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animaeducacao-my.sharepoint.com/personal/thiago_arruda_animaeducacao_com_br/Documents/Doutorado UFRJ/Tese/"/>
    </mc:Choice>
  </mc:AlternateContent>
  <xr:revisionPtr revIDLastSave="77" documentId="8_{062758E0-5F10-44A7-8BEF-4712F2A7D788}" xr6:coauthVersionLast="47" xr6:coauthVersionMax="47" xr10:uidLastSave="{B6CD0355-9847-471A-AEB0-E8C64BDC6AD6}"/>
  <bookViews>
    <workbookView xWindow="-120" yWindow="-120" windowWidth="20730" windowHeight="11160" tabRatio="483" activeTab="1" xr2:uid="{00000000-000D-0000-FFFF-FFFF00000000}"/>
  </bookViews>
  <sheets>
    <sheet name="Dados base" sheetId="1" r:id="rId1"/>
    <sheet name="Consolidado" sheetId="9" r:id="rId2"/>
    <sheet name="Dinâmica e Dashboard" sheetId="10" r:id="rId3"/>
  </sheets>
  <definedNames>
    <definedName name="_xlnm._FilterDatabase" localSheetId="1" hidden="1">Consolidado!$A$1:$CR$411</definedName>
    <definedName name="_xlnm._FilterDatabase" localSheetId="0" hidden="1">'Dados base'!$A$1:$CR$411</definedName>
    <definedName name="SegmentaçãodeDados_Aluno">#N/A</definedName>
    <definedName name="SegmentaçãodeDados_Ano">#N/A</definedName>
    <definedName name="SegmentaçãodeDados_Cor_da_pele">#N/A</definedName>
    <definedName name="SegmentaçãodeDados_Lesão_Renal_Aguda">#N/A</definedName>
    <definedName name="SegmentaçãodeDados_Missão">#N/A</definedName>
    <definedName name="SegmentaçãodeDados_Rabdomiólise">#N/A</definedName>
  </definedNames>
  <calcPr calcId="191029"/>
  <pivotCaches>
    <pivotCache cacheId="21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RwnxGtLbTECp6937bLCDob0U+fRWLW3aufYw9aUqUnY="/>
    </ext>
  </extLst>
</workbook>
</file>

<file path=xl/calcChain.xml><?xml version="1.0" encoding="utf-8"?>
<calcChain xmlns="http://schemas.openxmlformats.org/spreadsheetml/2006/main">
  <c r="J383" i="1" l="1"/>
  <c r="J360" i="1"/>
  <c r="J403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84" i="1"/>
  <c r="CL404" i="1"/>
  <c r="BD394" i="1"/>
  <c r="BE394" i="1"/>
  <c r="BD395" i="1"/>
  <c r="BE395" i="1"/>
  <c r="BD396" i="1"/>
  <c r="BE396" i="1"/>
  <c r="BD397" i="1"/>
  <c r="BE397" i="1"/>
  <c r="BD398" i="1"/>
  <c r="BE398" i="1"/>
  <c r="BD399" i="1"/>
  <c r="BE399" i="1"/>
  <c r="BD400" i="1"/>
  <c r="BE400" i="1"/>
  <c r="BD401" i="1"/>
  <c r="BE401" i="1"/>
  <c r="BD402" i="1"/>
  <c r="BE402" i="1"/>
  <c r="BD403" i="1"/>
  <c r="BE403" i="1"/>
  <c r="BD404" i="1"/>
  <c r="BE404" i="1"/>
  <c r="BD405" i="1"/>
  <c r="BE405" i="1"/>
  <c r="BD406" i="1"/>
  <c r="BE406" i="1"/>
  <c r="BD407" i="1"/>
  <c r="BE407" i="1"/>
  <c r="BD408" i="1"/>
  <c r="BE408" i="1"/>
  <c r="BD409" i="1"/>
  <c r="BE409" i="1"/>
  <c r="BD410" i="1"/>
  <c r="BE410" i="1"/>
  <c r="BD411" i="1"/>
  <c r="BE411" i="1"/>
  <c r="E356" i="9"/>
  <c r="CJ316" i="1"/>
  <c r="A400" i="9"/>
  <c r="B400" i="9"/>
  <c r="A403" i="9"/>
  <c r="B403" i="9"/>
  <c r="A406" i="9"/>
  <c r="B406" i="9"/>
  <c r="A409" i="9"/>
  <c r="B409" i="9"/>
  <c r="A135" i="9"/>
  <c r="B135" i="9"/>
  <c r="A139" i="9"/>
  <c r="B139" i="9"/>
  <c r="A143" i="9"/>
  <c r="B143" i="9"/>
  <c r="A147" i="9"/>
  <c r="B147" i="9"/>
  <c r="A151" i="9"/>
  <c r="B151" i="9"/>
  <c r="A155" i="9"/>
  <c r="B155" i="9"/>
  <c r="A159" i="9"/>
  <c r="B159" i="9"/>
  <c r="A163" i="9"/>
  <c r="B163" i="9"/>
  <c r="A2" i="9"/>
  <c r="B2" i="9"/>
  <c r="A4" i="9"/>
  <c r="B4" i="9"/>
  <c r="A5" i="9"/>
  <c r="B5" i="9"/>
  <c r="A8" i="9"/>
  <c r="B8" i="9"/>
  <c r="A12" i="9"/>
  <c r="B12" i="9"/>
  <c r="A16" i="9"/>
  <c r="B16" i="9"/>
  <c r="A20" i="9"/>
  <c r="B20" i="9"/>
  <c r="A24" i="9"/>
  <c r="B24" i="9"/>
  <c r="A27" i="9"/>
  <c r="B27" i="9"/>
  <c r="A29" i="9"/>
  <c r="B29" i="9"/>
  <c r="A33" i="9"/>
  <c r="B33" i="9"/>
  <c r="A37" i="9"/>
  <c r="B37" i="9"/>
  <c r="A41" i="9"/>
  <c r="B41" i="9"/>
  <c r="A45" i="9"/>
  <c r="B45" i="9"/>
  <c r="A49" i="9"/>
  <c r="B49" i="9"/>
  <c r="A136" i="9"/>
  <c r="B136" i="9"/>
  <c r="A140" i="9"/>
  <c r="B140" i="9"/>
  <c r="A144" i="9"/>
  <c r="B144" i="9"/>
  <c r="A148" i="9"/>
  <c r="B148" i="9"/>
  <c r="A152" i="9"/>
  <c r="B152" i="9"/>
  <c r="A156" i="9"/>
  <c r="B156" i="9"/>
  <c r="A160" i="9"/>
  <c r="B160" i="9"/>
  <c r="A164" i="9"/>
  <c r="B164" i="9"/>
  <c r="A3" i="9"/>
  <c r="B3" i="9"/>
  <c r="A6" i="9"/>
  <c r="B6" i="9"/>
  <c r="A9" i="9"/>
  <c r="B9" i="9"/>
  <c r="A13" i="9"/>
  <c r="B13" i="9"/>
  <c r="A17" i="9"/>
  <c r="B17" i="9"/>
  <c r="A21" i="9"/>
  <c r="B21" i="9"/>
  <c r="A25" i="9"/>
  <c r="B25" i="9"/>
  <c r="A28" i="9"/>
  <c r="B28" i="9"/>
  <c r="A30" i="9"/>
  <c r="B30" i="9"/>
  <c r="A34" i="9"/>
  <c r="B34" i="9"/>
  <c r="A38" i="9"/>
  <c r="B38" i="9"/>
  <c r="A42" i="9"/>
  <c r="B42" i="9"/>
  <c r="A46" i="9"/>
  <c r="B46" i="9"/>
  <c r="A50" i="9"/>
  <c r="B50" i="9"/>
  <c r="A137" i="9"/>
  <c r="B137" i="9"/>
  <c r="A141" i="9"/>
  <c r="B141" i="9"/>
  <c r="A145" i="9"/>
  <c r="B145" i="9"/>
  <c r="A149" i="9"/>
  <c r="B149" i="9"/>
  <c r="A153" i="9"/>
  <c r="B153" i="9"/>
  <c r="A157" i="9"/>
  <c r="B157" i="9"/>
  <c r="A161" i="9"/>
  <c r="B161" i="9"/>
  <c r="A165" i="9"/>
  <c r="B165" i="9"/>
  <c r="A7" i="9"/>
  <c r="B7" i="9"/>
  <c r="A10" i="9"/>
  <c r="B10" i="9"/>
  <c r="A14" i="9"/>
  <c r="B14" i="9"/>
  <c r="A18" i="9"/>
  <c r="B18" i="9"/>
  <c r="A22" i="9"/>
  <c r="B22" i="9"/>
  <c r="A31" i="9"/>
  <c r="B31" i="9"/>
  <c r="A35" i="9"/>
  <c r="B35" i="9"/>
  <c r="A39" i="9"/>
  <c r="B39" i="9"/>
  <c r="A43" i="9"/>
  <c r="B43" i="9"/>
  <c r="A47" i="9"/>
  <c r="B47" i="9"/>
  <c r="A51" i="9"/>
  <c r="B51" i="9"/>
  <c r="A138" i="9"/>
  <c r="B138" i="9"/>
  <c r="A142" i="9"/>
  <c r="B142" i="9"/>
  <c r="A146" i="9"/>
  <c r="B146" i="9"/>
  <c r="A150" i="9"/>
  <c r="B150" i="9"/>
  <c r="A154" i="9"/>
  <c r="B154" i="9"/>
  <c r="A158" i="9"/>
  <c r="B158" i="9"/>
  <c r="A162" i="9"/>
  <c r="B162" i="9"/>
  <c r="A345" i="9"/>
  <c r="B345" i="9"/>
  <c r="A11" i="9"/>
  <c r="B11" i="9"/>
  <c r="A15" i="9"/>
  <c r="B15" i="9"/>
  <c r="A19" i="9"/>
  <c r="B19" i="9"/>
  <c r="A23" i="9"/>
  <c r="B23" i="9"/>
  <c r="A26" i="9"/>
  <c r="B26" i="9"/>
  <c r="A32" i="9"/>
  <c r="B32" i="9"/>
  <c r="A36" i="9"/>
  <c r="B36" i="9"/>
  <c r="A40" i="9"/>
  <c r="B40" i="9"/>
  <c r="A44" i="9"/>
  <c r="B44" i="9"/>
  <c r="A48" i="9"/>
  <c r="B48" i="9"/>
  <c r="A52" i="9"/>
  <c r="B52" i="9"/>
  <c r="A210" i="9"/>
  <c r="B210" i="9"/>
  <c r="A267" i="9"/>
  <c r="B267" i="9"/>
  <c r="A271" i="9"/>
  <c r="B271" i="9"/>
  <c r="A276" i="9"/>
  <c r="B276" i="9"/>
  <c r="A277" i="9"/>
  <c r="B277" i="9"/>
  <c r="A282" i="9"/>
  <c r="B282" i="9"/>
  <c r="A287" i="9"/>
  <c r="B287" i="9"/>
  <c r="A288" i="9"/>
  <c r="B288" i="9"/>
  <c r="A289" i="9"/>
  <c r="B289" i="9"/>
  <c r="A290" i="9"/>
  <c r="B290" i="9"/>
  <c r="A294" i="9"/>
  <c r="B294" i="9"/>
  <c r="A295" i="9"/>
  <c r="B295" i="9"/>
  <c r="A166" i="9"/>
  <c r="B166" i="9"/>
  <c r="A168" i="9"/>
  <c r="B168" i="9"/>
  <c r="A172" i="9"/>
  <c r="B172" i="9"/>
  <c r="A176" i="9"/>
  <c r="B176" i="9"/>
  <c r="A180" i="9"/>
  <c r="B180" i="9"/>
  <c r="A184" i="9"/>
  <c r="B184" i="9"/>
  <c r="A188" i="9"/>
  <c r="B188" i="9"/>
  <c r="A192" i="9"/>
  <c r="B192" i="9"/>
  <c r="A196" i="9"/>
  <c r="B196" i="9"/>
  <c r="A198" i="9"/>
  <c r="B198" i="9"/>
  <c r="A202" i="9"/>
  <c r="B202" i="9"/>
  <c r="A206" i="9"/>
  <c r="B206" i="9"/>
  <c r="A263" i="9"/>
  <c r="B263" i="9"/>
  <c r="A272" i="9"/>
  <c r="B272" i="9"/>
  <c r="A278" i="9"/>
  <c r="B278" i="9"/>
  <c r="A283" i="9"/>
  <c r="B283" i="9"/>
  <c r="A291" i="9"/>
  <c r="B291" i="9"/>
  <c r="A296" i="9"/>
  <c r="B296" i="9"/>
  <c r="A167" i="9"/>
  <c r="B167" i="9"/>
  <c r="A169" i="9"/>
  <c r="B169" i="9"/>
  <c r="A173" i="9"/>
  <c r="B173" i="9"/>
  <c r="A177" i="9"/>
  <c r="B177" i="9"/>
  <c r="A181" i="9"/>
  <c r="B181" i="9"/>
  <c r="A185" i="9"/>
  <c r="B185" i="9"/>
  <c r="A189" i="9"/>
  <c r="B189" i="9"/>
  <c r="A193" i="9"/>
  <c r="B193" i="9"/>
  <c r="A197" i="9"/>
  <c r="B197" i="9"/>
  <c r="A199" i="9"/>
  <c r="B199" i="9"/>
  <c r="A203" i="9"/>
  <c r="B203" i="9"/>
  <c r="A207" i="9"/>
  <c r="B207" i="9"/>
  <c r="A264" i="9"/>
  <c r="B264" i="9"/>
  <c r="A268" i="9"/>
  <c r="B268" i="9"/>
  <c r="A273" i="9"/>
  <c r="B273" i="9"/>
  <c r="A279" i="9"/>
  <c r="B279" i="9"/>
  <c r="A284" i="9"/>
  <c r="B284" i="9"/>
  <c r="A292" i="9"/>
  <c r="B292" i="9"/>
  <c r="A297" i="9"/>
  <c r="B297" i="9"/>
  <c r="A170" i="9"/>
  <c r="B170" i="9"/>
  <c r="A174" i="9"/>
  <c r="B174" i="9"/>
  <c r="A178" i="9"/>
  <c r="B178" i="9"/>
  <c r="A182" i="9"/>
  <c r="B182" i="9"/>
  <c r="A186" i="9"/>
  <c r="B186" i="9"/>
  <c r="A190" i="9"/>
  <c r="B190" i="9"/>
  <c r="A194" i="9"/>
  <c r="B194" i="9"/>
  <c r="A200" i="9"/>
  <c r="B200" i="9"/>
  <c r="A204" i="9"/>
  <c r="B204" i="9"/>
  <c r="A208" i="9"/>
  <c r="B208" i="9"/>
  <c r="A265" i="9"/>
  <c r="B265" i="9"/>
  <c r="A269" i="9"/>
  <c r="B269" i="9"/>
  <c r="A274" i="9"/>
  <c r="B274" i="9"/>
  <c r="A280" i="9"/>
  <c r="B280" i="9"/>
  <c r="A285" i="9"/>
  <c r="B285" i="9"/>
  <c r="A293" i="9"/>
  <c r="B293" i="9"/>
  <c r="A298" i="9"/>
  <c r="B298" i="9"/>
  <c r="A171" i="9"/>
  <c r="B171" i="9"/>
  <c r="A175" i="9"/>
  <c r="B175" i="9"/>
  <c r="A179" i="9"/>
  <c r="B179" i="9"/>
  <c r="A183" i="9"/>
  <c r="B183" i="9"/>
  <c r="A187" i="9"/>
  <c r="B187" i="9"/>
  <c r="A191" i="9"/>
  <c r="B191" i="9"/>
  <c r="A195" i="9"/>
  <c r="B195" i="9"/>
  <c r="A201" i="9"/>
  <c r="B201" i="9"/>
  <c r="A205" i="9"/>
  <c r="B205" i="9"/>
  <c r="A209" i="9"/>
  <c r="B209" i="9"/>
  <c r="A266" i="9"/>
  <c r="B266" i="9"/>
  <c r="A270" i="9"/>
  <c r="B270" i="9"/>
  <c r="A275" i="9"/>
  <c r="B275" i="9"/>
  <c r="A281" i="9"/>
  <c r="B281" i="9"/>
  <c r="A286" i="9"/>
  <c r="B286" i="9"/>
  <c r="A299" i="9"/>
  <c r="B299" i="9"/>
  <c r="A262" i="9"/>
  <c r="B262" i="9"/>
  <c r="A89" i="9"/>
  <c r="B89" i="9"/>
  <c r="A95" i="9"/>
  <c r="B95" i="9"/>
  <c r="A100" i="9"/>
  <c r="B100" i="9"/>
  <c r="A106" i="9"/>
  <c r="B106" i="9"/>
  <c r="A108" i="9"/>
  <c r="B108" i="9"/>
  <c r="A112" i="9"/>
  <c r="B112" i="9"/>
  <c r="A116" i="9"/>
  <c r="B116" i="9"/>
  <c r="A120" i="9"/>
  <c r="B120" i="9"/>
  <c r="A121" i="9"/>
  <c r="B121" i="9"/>
  <c r="A122" i="9"/>
  <c r="B122" i="9"/>
  <c r="A128" i="9"/>
  <c r="B128" i="9"/>
  <c r="A129" i="9"/>
  <c r="B129" i="9"/>
  <c r="A84" i="9"/>
  <c r="B84" i="9"/>
  <c r="A90" i="9"/>
  <c r="B90" i="9"/>
  <c r="A96" i="9"/>
  <c r="B96" i="9"/>
  <c r="A101" i="9"/>
  <c r="B101" i="9"/>
  <c r="A107" i="9"/>
  <c r="B107" i="9"/>
  <c r="A109" i="9"/>
  <c r="B109" i="9"/>
  <c r="A113" i="9"/>
  <c r="B113" i="9"/>
  <c r="A117" i="9"/>
  <c r="B117" i="9"/>
  <c r="A123" i="9"/>
  <c r="B123" i="9"/>
  <c r="A130" i="9"/>
  <c r="B130" i="9"/>
  <c r="A85" i="9"/>
  <c r="B85" i="9"/>
  <c r="A91" i="9"/>
  <c r="B91" i="9"/>
  <c r="A97" i="9"/>
  <c r="B97" i="9"/>
  <c r="A102" i="9"/>
  <c r="B102" i="9"/>
  <c r="A110" i="9"/>
  <c r="B110" i="9"/>
  <c r="A114" i="9"/>
  <c r="B114" i="9"/>
  <c r="A118" i="9"/>
  <c r="B118" i="9"/>
  <c r="A124" i="9"/>
  <c r="B124" i="9"/>
  <c r="A131" i="9"/>
  <c r="B131" i="9"/>
  <c r="A86" i="9"/>
  <c r="B86" i="9"/>
  <c r="A92" i="9"/>
  <c r="B92" i="9"/>
  <c r="A98" i="9"/>
  <c r="B98" i="9"/>
  <c r="A103" i="9"/>
  <c r="B103" i="9"/>
  <c r="A111" i="9"/>
  <c r="B111" i="9"/>
  <c r="A115" i="9"/>
  <c r="B115" i="9"/>
  <c r="A119" i="9"/>
  <c r="B119" i="9"/>
  <c r="A125" i="9"/>
  <c r="B125" i="9"/>
  <c r="A132" i="9"/>
  <c r="B132" i="9"/>
  <c r="A87" i="9"/>
  <c r="B87" i="9"/>
  <c r="A93" i="9"/>
  <c r="B93" i="9"/>
  <c r="A99" i="9"/>
  <c r="B99" i="9"/>
  <c r="A104" i="9"/>
  <c r="B104" i="9"/>
  <c r="A126" i="9"/>
  <c r="B126" i="9"/>
  <c r="A133" i="9"/>
  <c r="B133" i="9"/>
  <c r="A88" i="9"/>
  <c r="B88" i="9"/>
  <c r="A94" i="9"/>
  <c r="B94" i="9"/>
  <c r="A105" i="9"/>
  <c r="B105" i="9"/>
  <c r="A127" i="9"/>
  <c r="B127" i="9"/>
  <c r="A134" i="9"/>
  <c r="B134" i="9"/>
  <c r="A346" i="9"/>
  <c r="B346" i="9"/>
  <c r="A348" i="9"/>
  <c r="B348" i="9"/>
  <c r="A352" i="9"/>
  <c r="B352" i="9"/>
  <c r="A353" i="9"/>
  <c r="B353" i="9"/>
  <c r="A356" i="9"/>
  <c r="B356" i="9"/>
  <c r="A358" i="9"/>
  <c r="B358" i="9"/>
  <c r="A361" i="9"/>
  <c r="B361" i="9"/>
  <c r="A362" i="9"/>
  <c r="B362" i="9"/>
  <c r="A365" i="9"/>
  <c r="B365" i="9"/>
  <c r="A368" i="9"/>
  <c r="B368" i="9"/>
  <c r="A371" i="9"/>
  <c r="B371" i="9"/>
  <c r="A374" i="9"/>
  <c r="B374" i="9"/>
  <c r="A376" i="9"/>
  <c r="B376" i="9"/>
  <c r="A377" i="9"/>
  <c r="B377" i="9"/>
  <c r="A380" i="9"/>
  <c r="B380" i="9"/>
  <c r="A383" i="9"/>
  <c r="B383" i="9"/>
  <c r="A384" i="9"/>
  <c r="B384" i="9"/>
  <c r="A386" i="9"/>
  <c r="B386" i="9"/>
  <c r="A387" i="9"/>
  <c r="B387" i="9"/>
  <c r="A390" i="9"/>
  <c r="B390" i="9"/>
  <c r="A393" i="9"/>
  <c r="B393" i="9"/>
  <c r="A398" i="9"/>
  <c r="B398" i="9"/>
  <c r="A401" i="9"/>
  <c r="B401" i="9"/>
  <c r="A404" i="9"/>
  <c r="B404" i="9"/>
  <c r="A407" i="9"/>
  <c r="B407" i="9"/>
  <c r="A347" i="9"/>
  <c r="B347" i="9"/>
  <c r="A349" i="9"/>
  <c r="B349" i="9"/>
  <c r="A410" i="9"/>
  <c r="B410" i="9"/>
  <c r="A354" i="9"/>
  <c r="B354" i="9"/>
  <c r="A411" i="9"/>
  <c r="B411" i="9"/>
  <c r="A359" i="9"/>
  <c r="B359" i="9"/>
  <c r="A363" i="9"/>
  <c r="B363" i="9"/>
  <c r="A366" i="9"/>
  <c r="B366" i="9"/>
  <c r="A369" i="9"/>
  <c r="B369" i="9"/>
  <c r="A372" i="9"/>
  <c r="B372" i="9"/>
  <c r="A375" i="9"/>
  <c r="B375" i="9"/>
  <c r="A378" i="9"/>
  <c r="B378" i="9"/>
  <c r="A381" i="9"/>
  <c r="B381" i="9"/>
  <c r="A385" i="9"/>
  <c r="B385" i="9"/>
  <c r="A388" i="9"/>
  <c r="B388" i="9"/>
  <c r="A391" i="9"/>
  <c r="B391" i="9"/>
  <c r="A394" i="9"/>
  <c r="B394" i="9"/>
  <c r="A396" i="9"/>
  <c r="B396" i="9"/>
  <c r="A399" i="9"/>
  <c r="B399" i="9"/>
  <c r="A402" i="9"/>
  <c r="B402" i="9"/>
  <c r="A405" i="9"/>
  <c r="B405" i="9"/>
  <c r="A408" i="9"/>
  <c r="B408" i="9"/>
  <c r="A350" i="9"/>
  <c r="B350" i="9"/>
  <c r="A351" i="9"/>
  <c r="B351" i="9"/>
  <c r="A355" i="9"/>
  <c r="B355" i="9"/>
  <c r="A357" i="9"/>
  <c r="B357" i="9"/>
  <c r="A360" i="9"/>
  <c r="B360" i="9"/>
  <c r="A364" i="9"/>
  <c r="B364" i="9"/>
  <c r="A367" i="9"/>
  <c r="B367" i="9"/>
  <c r="A370" i="9"/>
  <c r="B370" i="9"/>
  <c r="A373" i="9"/>
  <c r="B373" i="9"/>
  <c r="A379" i="9"/>
  <c r="B379" i="9"/>
  <c r="A382" i="9"/>
  <c r="B382" i="9"/>
  <c r="A389" i="9"/>
  <c r="B389" i="9"/>
  <c r="A392" i="9"/>
  <c r="B392" i="9"/>
  <c r="A395" i="9"/>
  <c r="B395" i="9"/>
  <c r="A397" i="9"/>
  <c r="B397" i="9"/>
  <c r="C261" i="9"/>
  <c r="B261" i="9"/>
  <c r="A261" i="9"/>
  <c r="C253" i="9"/>
  <c r="B253" i="9"/>
  <c r="A253" i="9"/>
  <c r="C245" i="9"/>
  <c r="B245" i="9"/>
  <c r="A245" i="9"/>
  <c r="C237" i="9"/>
  <c r="B237" i="9"/>
  <c r="A237" i="9"/>
  <c r="C228" i="9"/>
  <c r="B228" i="9"/>
  <c r="A228" i="9"/>
  <c r="C220" i="9"/>
  <c r="B220" i="9"/>
  <c r="A220" i="9"/>
  <c r="C212" i="9"/>
  <c r="B212" i="9"/>
  <c r="A212" i="9"/>
  <c r="C71" i="9"/>
  <c r="B71" i="9"/>
  <c r="A71" i="9"/>
  <c r="C63" i="9"/>
  <c r="B63" i="9"/>
  <c r="A63" i="9"/>
  <c r="C344" i="9"/>
  <c r="B344" i="9"/>
  <c r="A344" i="9"/>
  <c r="C336" i="9"/>
  <c r="B336" i="9"/>
  <c r="A336" i="9"/>
  <c r="C324" i="9"/>
  <c r="B324" i="9"/>
  <c r="A324" i="9"/>
  <c r="C316" i="9"/>
  <c r="B316" i="9"/>
  <c r="A316" i="9"/>
  <c r="C308" i="9"/>
  <c r="B308" i="9"/>
  <c r="A308" i="9"/>
  <c r="C260" i="9"/>
  <c r="B260" i="9"/>
  <c r="A260" i="9"/>
  <c r="C252" i="9"/>
  <c r="B252" i="9"/>
  <c r="A252" i="9"/>
  <c r="C244" i="9"/>
  <c r="B244" i="9"/>
  <c r="A244" i="9"/>
  <c r="C236" i="9"/>
  <c r="B236" i="9"/>
  <c r="A236" i="9"/>
  <c r="C227" i="9"/>
  <c r="B227" i="9"/>
  <c r="A227" i="9"/>
  <c r="C219" i="9"/>
  <c r="B219" i="9"/>
  <c r="A219" i="9"/>
  <c r="C211" i="9"/>
  <c r="B211" i="9"/>
  <c r="A211" i="9"/>
  <c r="C70" i="9"/>
  <c r="B70" i="9"/>
  <c r="A70" i="9"/>
  <c r="C62" i="9"/>
  <c r="B62" i="9"/>
  <c r="A62" i="9"/>
  <c r="C343" i="9"/>
  <c r="B343" i="9"/>
  <c r="A343" i="9"/>
  <c r="C335" i="9"/>
  <c r="B335" i="9"/>
  <c r="A335" i="9"/>
  <c r="C323" i="9"/>
  <c r="B323" i="9"/>
  <c r="A323" i="9"/>
  <c r="C315" i="9"/>
  <c r="B315" i="9"/>
  <c r="A315" i="9"/>
  <c r="C307" i="9"/>
  <c r="B307" i="9"/>
  <c r="A307" i="9"/>
  <c r="C259" i="9"/>
  <c r="B259" i="9"/>
  <c r="A259" i="9"/>
  <c r="C251" i="9"/>
  <c r="B251" i="9"/>
  <c r="A251" i="9"/>
  <c r="C243" i="9"/>
  <c r="B243" i="9"/>
  <c r="A243" i="9"/>
  <c r="C235" i="9"/>
  <c r="B235" i="9"/>
  <c r="A235" i="9"/>
  <c r="C226" i="9"/>
  <c r="B226" i="9"/>
  <c r="A226" i="9"/>
  <c r="C218" i="9"/>
  <c r="B218" i="9"/>
  <c r="A218" i="9"/>
  <c r="C83" i="9"/>
  <c r="B83" i="9"/>
  <c r="A83" i="9"/>
  <c r="C69" i="9"/>
  <c r="B69" i="9"/>
  <c r="A69" i="9"/>
  <c r="C61" i="9"/>
  <c r="B61" i="9"/>
  <c r="A61" i="9"/>
  <c r="C342" i="9"/>
  <c r="B342" i="9"/>
  <c r="A342" i="9"/>
  <c r="C334" i="9"/>
  <c r="B334" i="9"/>
  <c r="A334" i="9"/>
  <c r="C322" i="9"/>
  <c r="B322" i="9"/>
  <c r="A322" i="9"/>
  <c r="C314" i="9"/>
  <c r="B314" i="9"/>
  <c r="A314" i="9"/>
  <c r="C306" i="9"/>
  <c r="B306" i="9"/>
  <c r="A306" i="9"/>
  <c r="C258" i="9"/>
  <c r="B258" i="9"/>
  <c r="A258" i="9"/>
  <c r="C250" i="9"/>
  <c r="B250" i="9"/>
  <c r="A250" i="9"/>
  <c r="C242" i="9"/>
  <c r="B242" i="9"/>
  <c r="A242" i="9"/>
  <c r="C234" i="9"/>
  <c r="B234" i="9"/>
  <c r="A234" i="9"/>
  <c r="C225" i="9"/>
  <c r="B225" i="9"/>
  <c r="A225" i="9"/>
  <c r="C217" i="9"/>
  <c r="B217" i="9"/>
  <c r="A217" i="9"/>
  <c r="C82" i="9"/>
  <c r="B82" i="9"/>
  <c r="A82" i="9"/>
  <c r="C68" i="9"/>
  <c r="B68" i="9"/>
  <c r="A68" i="9"/>
  <c r="C60" i="9"/>
  <c r="B60" i="9"/>
  <c r="A60" i="9"/>
  <c r="C341" i="9"/>
  <c r="B341" i="9"/>
  <c r="A341" i="9"/>
  <c r="C329" i="9"/>
  <c r="B329" i="9"/>
  <c r="A329" i="9"/>
  <c r="C321" i="9"/>
  <c r="B321" i="9"/>
  <c r="A321" i="9"/>
  <c r="C313" i="9"/>
  <c r="B313" i="9"/>
  <c r="A313" i="9"/>
  <c r="C305" i="9"/>
  <c r="B305" i="9"/>
  <c r="A305" i="9"/>
  <c r="C257" i="9"/>
  <c r="B257" i="9"/>
  <c r="A257" i="9"/>
  <c r="C249" i="9"/>
  <c r="B249" i="9"/>
  <c r="A249" i="9"/>
  <c r="C241" i="9"/>
  <c r="B241" i="9"/>
  <c r="A241" i="9"/>
  <c r="C233" i="9"/>
  <c r="B233" i="9"/>
  <c r="A233" i="9"/>
  <c r="C224" i="9"/>
  <c r="B224" i="9"/>
  <c r="A224" i="9"/>
  <c r="C216" i="9"/>
  <c r="B216" i="9"/>
  <c r="A216" i="9"/>
  <c r="C81" i="9"/>
  <c r="B81" i="9"/>
  <c r="A81" i="9"/>
  <c r="C67" i="9"/>
  <c r="B67" i="9"/>
  <c r="A67" i="9"/>
  <c r="C59" i="9"/>
  <c r="B59" i="9"/>
  <c r="A59" i="9"/>
  <c r="C340" i="9"/>
  <c r="B340" i="9"/>
  <c r="A340" i="9"/>
  <c r="C333" i="9"/>
  <c r="B333" i="9"/>
  <c r="A333" i="9"/>
  <c r="C328" i="9"/>
  <c r="B328" i="9"/>
  <c r="A328" i="9"/>
  <c r="C320" i="9"/>
  <c r="B320" i="9"/>
  <c r="A320" i="9"/>
  <c r="C312" i="9"/>
  <c r="B312" i="9"/>
  <c r="A312" i="9"/>
  <c r="C304" i="9"/>
  <c r="B304" i="9"/>
  <c r="A304" i="9"/>
  <c r="C256" i="9"/>
  <c r="B256" i="9"/>
  <c r="A256" i="9"/>
  <c r="C248" i="9"/>
  <c r="B248" i="9"/>
  <c r="A248" i="9"/>
  <c r="C240" i="9"/>
  <c r="B240" i="9"/>
  <c r="A240" i="9"/>
  <c r="C232" i="9"/>
  <c r="B232" i="9"/>
  <c r="A232" i="9"/>
  <c r="C223" i="9"/>
  <c r="B223" i="9"/>
  <c r="A223" i="9"/>
  <c r="C215" i="9"/>
  <c r="B215" i="9"/>
  <c r="A215" i="9"/>
  <c r="C80" i="9"/>
  <c r="B80" i="9"/>
  <c r="A80" i="9"/>
  <c r="C74" i="9"/>
  <c r="B74" i="9"/>
  <c r="A74" i="9"/>
  <c r="C66" i="9"/>
  <c r="B66" i="9"/>
  <c r="A66" i="9"/>
  <c r="C58" i="9"/>
  <c r="B58" i="9"/>
  <c r="A58" i="9"/>
  <c r="C55" i="9"/>
  <c r="B55" i="9"/>
  <c r="A55" i="9"/>
  <c r="C339" i="9"/>
  <c r="B339" i="9"/>
  <c r="A339" i="9"/>
  <c r="C332" i="9"/>
  <c r="B332" i="9"/>
  <c r="A332" i="9"/>
  <c r="C327" i="9"/>
  <c r="B327" i="9"/>
  <c r="A327" i="9"/>
  <c r="C319" i="9"/>
  <c r="B319" i="9"/>
  <c r="A319" i="9"/>
  <c r="C311" i="9"/>
  <c r="B311" i="9"/>
  <c r="A311" i="9"/>
  <c r="C303" i="9"/>
  <c r="B303" i="9"/>
  <c r="A303" i="9"/>
  <c r="C255" i="9"/>
  <c r="B255" i="9"/>
  <c r="A255" i="9"/>
  <c r="C247" i="9"/>
  <c r="B247" i="9"/>
  <c r="A247" i="9"/>
  <c r="C239" i="9"/>
  <c r="B239" i="9"/>
  <c r="A239" i="9"/>
  <c r="C231" i="9"/>
  <c r="B231" i="9"/>
  <c r="A231" i="9"/>
  <c r="C222" i="9"/>
  <c r="B222" i="9"/>
  <c r="A222" i="9"/>
  <c r="C214" i="9"/>
  <c r="B214" i="9"/>
  <c r="A214" i="9"/>
  <c r="C79" i="9"/>
  <c r="B79" i="9"/>
  <c r="A79" i="9"/>
  <c r="C77" i="9"/>
  <c r="B77" i="9"/>
  <c r="A77" i="9"/>
  <c r="C73" i="9"/>
  <c r="B73" i="9"/>
  <c r="A73" i="9"/>
  <c r="C65" i="9"/>
  <c r="B65" i="9"/>
  <c r="A65" i="9"/>
  <c r="C57" i="9"/>
  <c r="B57" i="9"/>
  <c r="A57" i="9"/>
  <c r="C54" i="9"/>
  <c r="B54" i="9"/>
  <c r="A54" i="9"/>
  <c r="C338" i="9"/>
  <c r="B338" i="9"/>
  <c r="A338" i="9"/>
  <c r="C331" i="9"/>
  <c r="B331" i="9"/>
  <c r="A331" i="9"/>
  <c r="C326" i="9"/>
  <c r="B326" i="9"/>
  <c r="A326" i="9"/>
  <c r="C318" i="9"/>
  <c r="B318" i="9"/>
  <c r="A318" i="9"/>
  <c r="C310" i="9"/>
  <c r="B310" i="9"/>
  <c r="A310" i="9"/>
  <c r="C302" i="9"/>
  <c r="B302" i="9"/>
  <c r="A302" i="9"/>
  <c r="C254" i="9"/>
  <c r="B254" i="9"/>
  <c r="A254" i="9"/>
  <c r="C246" i="9"/>
  <c r="B246" i="9"/>
  <c r="A246" i="9"/>
  <c r="C238" i="9"/>
  <c r="B238" i="9"/>
  <c r="A238" i="9"/>
  <c r="C230" i="9"/>
  <c r="B230" i="9"/>
  <c r="A230" i="9"/>
  <c r="C229" i="9"/>
  <c r="B229" i="9"/>
  <c r="A229" i="9"/>
  <c r="C221" i="9"/>
  <c r="B221" i="9"/>
  <c r="A221" i="9"/>
  <c r="C213" i="9"/>
  <c r="B213" i="9"/>
  <c r="A213" i="9"/>
  <c r="C78" i="9"/>
  <c r="B78" i="9"/>
  <c r="A78" i="9"/>
  <c r="C76" i="9"/>
  <c r="B76" i="9"/>
  <c r="A76" i="9"/>
  <c r="C75" i="9"/>
  <c r="B75" i="9"/>
  <c r="A75" i="9"/>
  <c r="C72" i="9"/>
  <c r="B72" i="9"/>
  <c r="A72" i="9"/>
  <c r="C64" i="9"/>
  <c r="B64" i="9"/>
  <c r="A64" i="9"/>
  <c r="C56" i="9"/>
  <c r="B56" i="9"/>
  <c r="A56" i="9"/>
  <c r="C53" i="9"/>
  <c r="B53" i="9"/>
  <c r="A53" i="9"/>
  <c r="C337" i="9"/>
  <c r="B337" i="9"/>
  <c r="A337" i="9"/>
  <c r="C330" i="9"/>
  <c r="B330" i="9"/>
  <c r="A330" i="9"/>
  <c r="C325" i="9"/>
  <c r="B325" i="9"/>
  <c r="A325" i="9"/>
  <c r="C317" i="9"/>
  <c r="B317" i="9"/>
  <c r="A317" i="9"/>
  <c r="C309" i="9"/>
  <c r="B309" i="9"/>
  <c r="A309" i="9"/>
  <c r="C301" i="9"/>
  <c r="B301" i="9"/>
  <c r="A301" i="9"/>
  <c r="A300" i="9"/>
  <c r="B300" i="9"/>
  <c r="H56" i="9"/>
  <c r="BE209" i="1"/>
  <c r="CK201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2" i="1"/>
  <c r="CK203" i="1"/>
  <c r="CK204" i="1"/>
  <c r="CK205" i="1"/>
  <c r="CK206" i="1"/>
  <c r="CK207" i="1"/>
  <c r="CK208" i="1"/>
  <c r="CK209" i="1"/>
  <c r="CK210" i="1"/>
  <c r="CK263" i="1"/>
  <c r="CK264" i="1"/>
  <c r="CK265" i="1"/>
  <c r="CK266" i="1"/>
  <c r="CK267" i="1"/>
  <c r="CK268" i="1"/>
  <c r="CK269" i="1"/>
  <c r="CK270" i="1"/>
  <c r="CK271" i="1"/>
  <c r="CK272" i="1"/>
  <c r="CK273" i="1"/>
  <c r="CK274" i="1"/>
  <c r="CK275" i="1"/>
  <c r="CK276" i="1"/>
  <c r="CK277" i="1"/>
  <c r="CK278" i="1"/>
  <c r="CK279" i="1"/>
  <c r="CK280" i="1"/>
  <c r="CK281" i="1"/>
  <c r="CK282" i="1"/>
  <c r="CK283" i="1"/>
  <c r="CK284" i="1"/>
  <c r="CK285" i="1"/>
  <c r="CK286" i="1"/>
  <c r="CK287" i="1"/>
  <c r="CK288" i="1"/>
  <c r="CK289" i="1"/>
  <c r="CK290" i="1"/>
  <c r="CK291" i="1"/>
  <c r="CK292" i="1"/>
  <c r="CK293" i="1"/>
  <c r="CK294" i="1"/>
  <c r="CK295" i="1"/>
  <c r="CK296" i="1"/>
  <c r="CK297" i="1"/>
  <c r="CK298" i="1"/>
  <c r="CK299" i="1"/>
  <c r="CK300" i="1"/>
  <c r="CK301" i="1"/>
  <c r="CK302" i="1"/>
  <c r="CK303" i="1"/>
  <c r="CK304" i="1"/>
  <c r="CK305" i="1"/>
  <c r="CK306" i="1"/>
  <c r="CK307" i="1"/>
  <c r="CK308" i="1"/>
  <c r="CK309" i="1"/>
  <c r="CK310" i="1"/>
  <c r="CK311" i="1"/>
  <c r="CK312" i="1"/>
  <c r="CK313" i="1"/>
  <c r="CK314" i="1"/>
  <c r="CK315" i="1"/>
  <c r="CK316" i="1"/>
  <c r="CK317" i="1"/>
  <c r="CK318" i="1"/>
  <c r="CK319" i="1"/>
  <c r="CK320" i="1"/>
  <c r="CK321" i="1"/>
  <c r="CK322" i="1"/>
  <c r="CK323" i="1"/>
  <c r="CK324" i="1"/>
  <c r="CK325" i="1"/>
  <c r="CK326" i="1"/>
  <c r="CK327" i="1"/>
  <c r="CK328" i="1"/>
  <c r="CK329" i="1"/>
  <c r="CK330" i="1"/>
  <c r="CK331" i="1"/>
  <c r="CK332" i="1"/>
  <c r="CK333" i="1"/>
  <c r="CK334" i="1"/>
  <c r="CK335" i="1"/>
  <c r="CK336" i="1"/>
  <c r="CK337" i="1"/>
  <c r="CK338" i="1"/>
  <c r="CK339" i="1"/>
  <c r="CK340" i="1"/>
  <c r="CK341" i="1"/>
  <c r="CK342" i="1"/>
  <c r="CK343" i="1"/>
  <c r="CK344" i="1"/>
  <c r="CK345" i="1"/>
  <c r="CK2" i="1"/>
  <c r="CK3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223" i="1"/>
  <c r="CK224" i="1"/>
  <c r="CK225" i="1"/>
  <c r="CK226" i="1"/>
  <c r="CK227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254" i="1"/>
  <c r="CK255" i="1"/>
  <c r="CK256" i="1"/>
  <c r="CK257" i="1"/>
  <c r="CK258" i="1"/>
  <c r="CK259" i="1"/>
  <c r="CK260" i="1"/>
  <c r="CK261" i="1"/>
  <c r="CK262" i="1"/>
  <c r="CK346" i="1"/>
  <c r="CK347" i="1"/>
  <c r="CK348" i="1"/>
  <c r="CK349" i="1"/>
  <c r="CK350" i="1"/>
  <c r="CK351" i="1"/>
  <c r="CK352" i="1"/>
  <c r="CK353" i="1"/>
  <c r="CK354" i="1"/>
  <c r="CK355" i="1"/>
  <c r="CK356" i="1"/>
  <c r="CK357" i="1"/>
  <c r="CK358" i="1"/>
  <c r="CK359" i="1"/>
  <c r="CK360" i="1"/>
  <c r="CK361" i="1"/>
  <c r="CK362" i="1"/>
  <c r="CK363" i="1"/>
  <c r="CK364" i="1"/>
  <c r="CK365" i="1"/>
  <c r="CK366" i="1"/>
  <c r="CK367" i="1"/>
  <c r="CK368" i="1"/>
  <c r="CK369" i="1"/>
  <c r="CK370" i="1"/>
  <c r="CK371" i="1"/>
  <c r="CK372" i="1"/>
  <c r="CK373" i="1"/>
  <c r="CK374" i="1"/>
  <c r="CK375" i="1"/>
  <c r="CK376" i="1"/>
  <c r="CK377" i="1"/>
  <c r="CK378" i="1"/>
  <c r="CK379" i="1"/>
  <c r="CK380" i="1"/>
  <c r="CK381" i="1"/>
  <c r="CK382" i="1"/>
  <c r="CK383" i="1"/>
  <c r="CK384" i="1"/>
  <c r="CK385" i="1"/>
  <c r="CK386" i="1"/>
  <c r="CK387" i="1"/>
  <c r="CK388" i="1"/>
  <c r="CK389" i="1"/>
  <c r="CK390" i="1"/>
  <c r="CK391" i="1"/>
  <c r="CK392" i="1"/>
  <c r="CK393" i="1"/>
  <c r="CK394" i="1"/>
  <c r="CK395" i="1"/>
  <c r="CK396" i="1"/>
  <c r="CK397" i="1"/>
  <c r="CK398" i="1"/>
  <c r="CK399" i="1"/>
  <c r="CK400" i="1"/>
  <c r="CK401" i="1"/>
  <c r="CK402" i="1"/>
  <c r="CK403" i="1"/>
  <c r="CK404" i="1"/>
  <c r="CK405" i="1"/>
  <c r="CK406" i="1"/>
  <c r="CK407" i="1"/>
  <c r="CK408" i="1"/>
  <c r="CK409" i="1"/>
  <c r="CK410" i="1"/>
  <c r="CK411" i="1"/>
  <c r="E53" i="9"/>
  <c r="N330" i="9"/>
  <c r="J337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AY301" i="9"/>
  <c r="AZ301" i="9"/>
  <c r="BA301" i="9"/>
  <c r="BB301" i="9"/>
  <c r="BC301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AY309" i="9"/>
  <c r="AZ309" i="9"/>
  <c r="BA309" i="9"/>
  <c r="BB309" i="9"/>
  <c r="BC309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AY317" i="9"/>
  <c r="AZ317" i="9"/>
  <c r="BA317" i="9"/>
  <c r="BB317" i="9"/>
  <c r="BC317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AY325" i="9"/>
  <c r="AZ325" i="9"/>
  <c r="BA325" i="9"/>
  <c r="BB325" i="9"/>
  <c r="BC325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AY330" i="9"/>
  <c r="AZ330" i="9"/>
  <c r="BA330" i="9"/>
  <c r="BB330" i="9"/>
  <c r="BC330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AY337" i="9"/>
  <c r="AZ337" i="9"/>
  <c r="BA337" i="9"/>
  <c r="BB337" i="9"/>
  <c r="BC337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AZ53" i="9"/>
  <c r="BA53" i="9"/>
  <c r="BB53" i="9"/>
  <c r="BC53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AZ56" i="9"/>
  <c r="BA56" i="9"/>
  <c r="BB56" i="9"/>
  <c r="BC56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AZ64" i="9"/>
  <c r="BA64" i="9"/>
  <c r="BB64" i="9"/>
  <c r="BC64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AZ72" i="9"/>
  <c r="BA72" i="9"/>
  <c r="BB72" i="9"/>
  <c r="BC72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AZ75" i="9"/>
  <c r="BA75" i="9"/>
  <c r="BB75" i="9"/>
  <c r="BC75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AZ76" i="9"/>
  <c r="BA76" i="9"/>
  <c r="BB76" i="9"/>
  <c r="BC76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AZ78" i="9"/>
  <c r="BA78" i="9"/>
  <c r="BB78" i="9"/>
  <c r="BC78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AY213" i="9"/>
  <c r="AZ213" i="9"/>
  <c r="BA213" i="9"/>
  <c r="BB213" i="9"/>
  <c r="BC213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AZ221" i="9"/>
  <c r="BA221" i="9"/>
  <c r="BB221" i="9"/>
  <c r="BC221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AY229" i="9"/>
  <c r="AZ229" i="9"/>
  <c r="BA229" i="9"/>
  <c r="BB229" i="9"/>
  <c r="BC229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AY230" i="9"/>
  <c r="AZ230" i="9"/>
  <c r="BA230" i="9"/>
  <c r="BB230" i="9"/>
  <c r="BC230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AZ238" i="9"/>
  <c r="BA238" i="9"/>
  <c r="BB238" i="9"/>
  <c r="BC238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AY246" i="9"/>
  <c r="AZ246" i="9"/>
  <c r="BA246" i="9"/>
  <c r="BB246" i="9"/>
  <c r="BC246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AY254" i="9"/>
  <c r="AZ254" i="9"/>
  <c r="BA254" i="9"/>
  <c r="BB254" i="9"/>
  <c r="BC254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AY302" i="9"/>
  <c r="AZ302" i="9"/>
  <c r="BA302" i="9"/>
  <c r="BB302" i="9"/>
  <c r="BC302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AY310" i="9"/>
  <c r="AZ310" i="9"/>
  <c r="BA310" i="9"/>
  <c r="BB310" i="9"/>
  <c r="BC310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AY318" i="9"/>
  <c r="AZ318" i="9"/>
  <c r="BA318" i="9"/>
  <c r="BB318" i="9"/>
  <c r="BC318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AY326" i="9"/>
  <c r="AZ326" i="9"/>
  <c r="BA326" i="9"/>
  <c r="BB326" i="9"/>
  <c r="BC326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AY331" i="9"/>
  <c r="AZ331" i="9"/>
  <c r="BA331" i="9"/>
  <c r="BB331" i="9"/>
  <c r="BC331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AY338" i="9"/>
  <c r="AZ338" i="9"/>
  <c r="BA338" i="9"/>
  <c r="BB338" i="9"/>
  <c r="BC338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AZ54" i="9"/>
  <c r="BA54" i="9"/>
  <c r="BB54" i="9"/>
  <c r="BC54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AZ57" i="9"/>
  <c r="BA57" i="9"/>
  <c r="BB57" i="9"/>
  <c r="BC57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AZ65" i="9"/>
  <c r="BA65" i="9"/>
  <c r="BB65" i="9"/>
  <c r="BC65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AZ73" i="9"/>
  <c r="BA73" i="9"/>
  <c r="BB73" i="9"/>
  <c r="BC73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AZ77" i="9"/>
  <c r="BA77" i="9"/>
  <c r="BB77" i="9"/>
  <c r="BC77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AZ79" i="9"/>
  <c r="BA79" i="9"/>
  <c r="BB79" i="9"/>
  <c r="BC79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AY214" i="9"/>
  <c r="AZ214" i="9"/>
  <c r="BA214" i="9"/>
  <c r="BB214" i="9"/>
  <c r="BC214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AZ222" i="9"/>
  <c r="BA222" i="9"/>
  <c r="BB222" i="9"/>
  <c r="BC222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AY231" i="9"/>
  <c r="AZ231" i="9"/>
  <c r="BA231" i="9"/>
  <c r="BB231" i="9"/>
  <c r="BC231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AZ239" i="9"/>
  <c r="BA239" i="9"/>
  <c r="BB239" i="9"/>
  <c r="BC239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AY247" i="9"/>
  <c r="AZ247" i="9"/>
  <c r="BA247" i="9"/>
  <c r="BB247" i="9"/>
  <c r="BC247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AY255" i="9"/>
  <c r="AZ255" i="9"/>
  <c r="BA255" i="9"/>
  <c r="BB255" i="9"/>
  <c r="BC255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AY303" i="9"/>
  <c r="AZ303" i="9"/>
  <c r="BA303" i="9"/>
  <c r="BB303" i="9"/>
  <c r="BC303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AY311" i="9"/>
  <c r="AZ311" i="9"/>
  <c r="BA311" i="9"/>
  <c r="BB311" i="9"/>
  <c r="BC311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AY319" i="9"/>
  <c r="AZ319" i="9"/>
  <c r="BA319" i="9"/>
  <c r="BB319" i="9"/>
  <c r="BC319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AY327" i="9"/>
  <c r="AZ327" i="9"/>
  <c r="BA327" i="9"/>
  <c r="BB327" i="9"/>
  <c r="BC327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AY332" i="9"/>
  <c r="AZ332" i="9"/>
  <c r="BA332" i="9"/>
  <c r="BB332" i="9"/>
  <c r="BC332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AY339" i="9"/>
  <c r="AZ339" i="9"/>
  <c r="BA339" i="9"/>
  <c r="BB339" i="9"/>
  <c r="BC339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AZ55" i="9"/>
  <c r="BA55" i="9"/>
  <c r="BB55" i="9"/>
  <c r="BC55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AZ58" i="9"/>
  <c r="BA58" i="9"/>
  <c r="BB58" i="9"/>
  <c r="BC58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AZ66" i="9"/>
  <c r="BA66" i="9"/>
  <c r="BB66" i="9"/>
  <c r="BC66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AZ74" i="9"/>
  <c r="BA74" i="9"/>
  <c r="BB74" i="9"/>
  <c r="BC74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AZ80" i="9"/>
  <c r="BA80" i="9"/>
  <c r="BB80" i="9"/>
  <c r="BC80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AZ215" i="9"/>
  <c r="BA215" i="9"/>
  <c r="BB215" i="9"/>
  <c r="BC215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AY223" i="9"/>
  <c r="AZ223" i="9"/>
  <c r="BA223" i="9"/>
  <c r="BB223" i="9"/>
  <c r="BC223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AY232" i="9"/>
  <c r="AZ232" i="9"/>
  <c r="BA232" i="9"/>
  <c r="BB232" i="9"/>
  <c r="BC232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AZ240" i="9"/>
  <c r="BA240" i="9"/>
  <c r="BB240" i="9"/>
  <c r="BC240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AY248" i="9"/>
  <c r="AZ248" i="9"/>
  <c r="BA248" i="9"/>
  <c r="BB248" i="9"/>
  <c r="BC248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AY256" i="9"/>
  <c r="AZ256" i="9"/>
  <c r="BA256" i="9"/>
  <c r="BB256" i="9"/>
  <c r="BC256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AY304" i="9"/>
  <c r="AZ304" i="9"/>
  <c r="BA304" i="9"/>
  <c r="BB304" i="9"/>
  <c r="BC304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AY312" i="9"/>
  <c r="AZ312" i="9"/>
  <c r="BA312" i="9"/>
  <c r="BB312" i="9"/>
  <c r="BC312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AY320" i="9"/>
  <c r="AZ320" i="9"/>
  <c r="BA320" i="9"/>
  <c r="BB320" i="9"/>
  <c r="BC320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AY328" i="9"/>
  <c r="AZ328" i="9"/>
  <c r="BA328" i="9"/>
  <c r="BB328" i="9"/>
  <c r="BC328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AY333" i="9"/>
  <c r="AZ333" i="9"/>
  <c r="BA333" i="9"/>
  <c r="BB333" i="9"/>
  <c r="BC333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AY340" i="9"/>
  <c r="AZ340" i="9"/>
  <c r="BA340" i="9"/>
  <c r="BB340" i="9"/>
  <c r="BC340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AZ59" i="9"/>
  <c r="BA59" i="9"/>
  <c r="BB59" i="9"/>
  <c r="BC59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AZ67" i="9"/>
  <c r="BA67" i="9"/>
  <c r="BB67" i="9"/>
  <c r="BC67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AZ81" i="9"/>
  <c r="BA81" i="9"/>
  <c r="BB81" i="9"/>
  <c r="BC81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AZ216" i="9"/>
  <c r="BA216" i="9"/>
  <c r="BB216" i="9"/>
  <c r="BC216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AY224" i="9"/>
  <c r="AZ224" i="9"/>
  <c r="BA224" i="9"/>
  <c r="BB224" i="9"/>
  <c r="BC224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AY233" i="9"/>
  <c r="AZ233" i="9"/>
  <c r="BA233" i="9"/>
  <c r="BB233" i="9"/>
  <c r="BC233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AZ241" i="9"/>
  <c r="BA241" i="9"/>
  <c r="BB241" i="9"/>
  <c r="BC241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AZ249" i="9"/>
  <c r="BA249" i="9"/>
  <c r="BB249" i="9"/>
  <c r="BC249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AY257" i="9"/>
  <c r="AZ257" i="9"/>
  <c r="BA257" i="9"/>
  <c r="BB257" i="9"/>
  <c r="BC257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AY305" i="9"/>
  <c r="AZ305" i="9"/>
  <c r="BA305" i="9"/>
  <c r="BB305" i="9"/>
  <c r="BC305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AY313" i="9"/>
  <c r="AZ313" i="9"/>
  <c r="BA313" i="9"/>
  <c r="BB313" i="9"/>
  <c r="BC313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AY321" i="9"/>
  <c r="AZ321" i="9"/>
  <c r="BA321" i="9"/>
  <c r="BB321" i="9"/>
  <c r="BC321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AY329" i="9"/>
  <c r="AZ329" i="9"/>
  <c r="BA329" i="9"/>
  <c r="BB329" i="9"/>
  <c r="BC329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AY341" i="9"/>
  <c r="AZ341" i="9"/>
  <c r="BA341" i="9"/>
  <c r="BB341" i="9"/>
  <c r="BC341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AZ60" i="9"/>
  <c r="BA60" i="9"/>
  <c r="BB60" i="9"/>
  <c r="BC60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AZ68" i="9"/>
  <c r="BA68" i="9"/>
  <c r="BB68" i="9"/>
  <c r="BC68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AZ82" i="9"/>
  <c r="BA82" i="9"/>
  <c r="BB82" i="9"/>
  <c r="BC82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AZ217" i="9"/>
  <c r="BA217" i="9"/>
  <c r="BB217" i="9"/>
  <c r="BC217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AY225" i="9"/>
  <c r="AZ225" i="9"/>
  <c r="BA225" i="9"/>
  <c r="BB225" i="9"/>
  <c r="BC225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AY234" i="9"/>
  <c r="AZ234" i="9"/>
  <c r="BA234" i="9"/>
  <c r="BB234" i="9"/>
  <c r="BC234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AZ242" i="9"/>
  <c r="BA242" i="9"/>
  <c r="BB242" i="9"/>
  <c r="BC242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AY250" i="9"/>
  <c r="AZ250" i="9"/>
  <c r="BA250" i="9"/>
  <c r="BB250" i="9"/>
  <c r="BC250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AY258" i="9"/>
  <c r="AZ258" i="9"/>
  <c r="BA258" i="9"/>
  <c r="BB258" i="9"/>
  <c r="BC258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AY306" i="9"/>
  <c r="AZ306" i="9"/>
  <c r="BA306" i="9"/>
  <c r="BB306" i="9"/>
  <c r="BC306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AY314" i="9"/>
  <c r="AZ314" i="9"/>
  <c r="BA314" i="9"/>
  <c r="BB314" i="9"/>
  <c r="BC314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AY322" i="9"/>
  <c r="AZ322" i="9"/>
  <c r="BA322" i="9"/>
  <c r="BB322" i="9"/>
  <c r="BC322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AY334" i="9"/>
  <c r="AZ334" i="9"/>
  <c r="BA334" i="9"/>
  <c r="BB334" i="9"/>
  <c r="BC334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AY342" i="9"/>
  <c r="AZ342" i="9"/>
  <c r="BA342" i="9"/>
  <c r="BB342" i="9"/>
  <c r="BC342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AZ61" i="9"/>
  <c r="BA61" i="9"/>
  <c r="BB61" i="9"/>
  <c r="BC61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AZ69" i="9"/>
  <c r="BA69" i="9"/>
  <c r="BB69" i="9"/>
  <c r="BC69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AZ83" i="9"/>
  <c r="BA83" i="9"/>
  <c r="BB83" i="9"/>
  <c r="BC83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AZ218" i="9"/>
  <c r="BA218" i="9"/>
  <c r="BB218" i="9"/>
  <c r="BC218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AY226" i="9"/>
  <c r="AZ226" i="9"/>
  <c r="BA226" i="9"/>
  <c r="BB226" i="9"/>
  <c r="BC226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AY235" i="9"/>
  <c r="AZ235" i="9"/>
  <c r="BA235" i="9"/>
  <c r="BB235" i="9"/>
  <c r="BC235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AZ243" i="9"/>
  <c r="BA243" i="9"/>
  <c r="BB243" i="9"/>
  <c r="BC243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AY251" i="9"/>
  <c r="AZ251" i="9"/>
  <c r="BA251" i="9"/>
  <c r="BB251" i="9"/>
  <c r="BC251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AY259" i="9"/>
  <c r="AZ259" i="9"/>
  <c r="BA259" i="9"/>
  <c r="BB259" i="9"/>
  <c r="BC259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AY307" i="9"/>
  <c r="AZ307" i="9"/>
  <c r="BA307" i="9"/>
  <c r="BB307" i="9"/>
  <c r="BC307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AY315" i="9"/>
  <c r="AZ315" i="9"/>
  <c r="BA315" i="9"/>
  <c r="BB315" i="9"/>
  <c r="BC315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AY323" i="9"/>
  <c r="AZ323" i="9"/>
  <c r="BA323" i="9"/>
  <c r="BB323" i="9"/>
  <c r="BC323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AY335" i="9"/>
  <c r="AZ335" i="9"/>
  <c r="BA335" i="9"/>
  <c r="BB335" i="9"/>
  <c r="BC335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AY343" i="9"/>
  <c r="AZ343" i="9"/>
  <c r="BA343" i="9"/>
  <c r="BB343" i="9"/>
  <c r="BC343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AZ62" i="9"/>
  <c r="BA62" i="9"/>
  <c r="BB62" i="9"/>
  <c r="BC62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AZ70" i="9"/>
  <c r="BA70" i="9"/>
  <c r="BB70" i="9"/>
  <c r="BC70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AY211" i="9"/>
  <c r="AZ211" i="9"/>
  <c r="BA211" i="9"/>
  <c r="BB211" i="9"/>
  <c r="BC211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AZ219" i="9"/>
  <c r="BA219" i="9"/>
  <c r="BB219" i="9"/>
  <c r="BC219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AY227" i="9"/>
  <c r="AZ227" i="9"/>
  <c r="BA227" i="9"/>
  <c r="BB227" i="9"/>
  <c r="BC227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AY236" i="9"/>
  <c r="AZ236" i="9"/>
  <c r="BA236" i="9"/>
  <c r="BB236" i="9"/>
  <c r="BC236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AY244" i="9"/>
  <c r="AZ244" i="9"/>
  <c r="BA244" i="9"/>
  <c r="BB244" i="9"/>
  <c r="BC244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AY252" i="9"/>
  <c r="AZ252" i="9"/>
  <c r="BA252" i="9"/>
  <c r="BB252" i="9"/>
  <c r="BC252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AY260" i="9"/>
  <c r="AZ260" i="9"/>
  <c r="BA260" i="9"/>
  <c r="BB260" i="9"/>
  <c r="BC260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AY308" i="9"/>
  <c r="AZ308" i="9"/>
  <c r="BA308" i="9"/>
  <c r="BB308" i="9"/>
  <c r="BC308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AY316" i="9"/>
  <c r="AZ316" i="9"/>
  <c r="BA316" i="9"/>
  <c r="BB316" i="9"/>
  <c r="BC316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AY324" i="9"/>
  <c r="AZ324" i="9"/>
  <c r="BA324" i="9"/>
  <c r="BB324" i="9"/>
  <c r="BC324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AY336" i="9"/>
  <c r="AZ336" i="9"/>
  <c r="BA336" i="9"/>
  <c r="BB336" i="9"/>
  <c r="BC336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AY344" i="9"/>
  <c r="AZ344" i="9"/>
  <c r="BA344" i="9"/>
  <c r="BB344" i="9"/>
  <c r="BC344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AZ63" i="9"/>
  <c r="BA63" i="9"/>
  <c r="BB63" i="9"/>
  <c r="BC63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AZ71" i="9"/>
  <c r="BA71" i="9"/>
  <c r="BB71" i="9"/>
  <c r="BC71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AY212" i="9"/>
  <c r="AZ212" i="9"/>
  <c r="BA212" i="9"/>
  <c r="BB212" i="9"/>
  <c r="BC212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AZ220" i="9"/>
  <c r="BA220" i="9"/>
  <c r="BB220" i="9"/>
  <c r="BC220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AY228" i="9"/>
  <c r="AZ228" i="9"/>
  <c r="BA228" i="9"/>
  <c r="BB228" i="9"/>
  <c r="BC228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AY237" i="9"/>
  <c r="AZ237" i="9"/>
  <c r="BA237" i="9"/>
  <c r="BB237" i="9"/>
  <c r="BC237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AY245" i="9"/>
  <c r="AZ245" i="9"/>
  <c r="BA245" i="9"/>
  <c r="BB245" i="9"/>
  <c r="BC245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AY253" i="9"/>
  <c r="AZ253" i="9"/>
  <c r="BA253" i="9"/>
  <c r="BB253" i="9"/>
  <c r="BC253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AZ261" i="9"/>
  <c r="BA261" i="9"/>
  <c r="BB261" i="9"/>
  <c r="BC261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AZ135" i="9"/>
  <c r="BA135" i="9"/>
  <c r="BB135" i="9"/>
  <c r="BC135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AY139" i="9"/>
  <c r="AZ139" i="9"/>
  <c r="BA139" i="9"/>
  <c r="BB139" i="9"/>
  <c r="BC139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AY143" i="9"/>
  <c r="AZ143" i="9"/>
  <c r="BA143" i="9"/>
  <c r="BB143" i="9"/>
  <c r="BC143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AZ147" i="9"/>
  <c r="BA147" i="9"/>
  <c r="BB147" i="9"/>
  <c r="BC147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AZ151" i="9"/>
  <c r="BA151" i="9"/>
  <c r="BB151" i="9"/>
  <c r="BC151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AZ155" i="9"/>
  <c r="BA155" i="9"/>
  <c r="BB155" i="9"/>
  <c r="BC155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AZ159" i="9"/>
  <c r="BA159" i="9"/>
  <c r="BB159" i="9"/>
  <c r="BC159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AY163" i="9"/>
  <c r="AZ163" i="9"/>
  <c r="BA163" i="9"/>
  <c r="BB163" i="9"/>
  <c r="BC163" i="9"/>
  <c r="AL2" i="9"/>
  <c r="AM2" i="9"/>
  <c r="AN2" i="9"/>
  <c r="AO2" i="9"/>
  <c r="AP2" i="9"/>
  <c r="AQ2" i="9"/>
  <c r="AR2" i="9"/>
  <c r="AS2" i="9"/>
  <c r="AT2" i="9"/>
  <c r="AU2" i="9"/>
  <c r="AV2" i="9"/>
  <c r="AW2" i="9"/>
  <c r="AX2" i="9"/>
  <c r="AY2" i="9"/>
  <c r="AZ2" i="9"/>
  <c r="BA2" i="9"/>
  <c r="BB2" i="9"/>
  <c r="BC2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AZ4" i="9"/>
  <c r="BA4" i="9"/>
  <c r="BB4" i="9"/>
  <c r="BC4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BB5" i="9"/>
  <c r="BC5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BC20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AX24" i="9"/>
  <c r="AY24" i="9"/>
  <c r="AZ24" i="9"/>
  <c r="BA24" i="9"/>
  <c r="BB24" i="9"/>
  <c r="BC24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AZ27" i="9"/>
  <c r="BA27" i="9"/>
  <c r="BB27" i="9"/>
  <c r="BC27" i="9"/>
  <c r="AL29" i="9"/>
  <c r="AM29" i="9"/>
  <c r="AN29" i="9"/>
  <c r="AO29" i="9"/>
  <c r="AP29" i="9"/>
  <c r="AQ29" i="9"/>
  <c r="AR29" i="9"/>
  <c r="AS29" i="9"/>
  <c r="AT29" i="9"/>
  <c r="AU29" i="9"/>
  <c r="AV29" i="9"/>
  <c r="AW29" i="9"/>
  <c r="AX29" i="9"/>
  <c r="AY29" i="9"/>
  <c r="AZ29" i="9"/>
  <c r="BA29" i="9"/>
  <c r="BB29" i="9"/>
  <c r="BC29" i="9"/>
  <c r="AL33" i="9"/>
  <c r="AM33" i="9"/>
  <c r="AN33" i="9"/>
  <c r="AO33" i="9"/>
  <c r="AP33" i="9"/>
  <c r="AQ33" i="9"/>
  <c r="AR33" i="9"/>
  <c r="AS33" i="9"/>
  <c r="AT33" i="9"/>
  <c r="AU33" i="9"/>
  <c r="AV33" i="9"/>
  <c r="AW33" i="9"/>
  <c r="AX33" i="9"/>
  <c r="AY33" i="9"/>
  <c r="AZ33" i="9"/>
  <c r="BA33" i="9"/>
  <c r="BB33" i="9"/>
  <c r="BC33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AZ37" i="9"/>
  <c r="BA37" i="9"/>
  <c r="BB37" i="9"/>
  <c r="BC37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AZ41" i="9"/>
  <c r="BA41" i="9"/>
  <c r="BB41" i="9"/>
  <c r="BC41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AZ45" i="9"/>
  <c r="BA45" i="9"/>
  <c r="BB45" i="9"/>
  <c r="BC45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AZ49" i="9"/>
  <c r="BA49" i="9"/>
  <c r="BB49" i="9"/>
  <c r="BC49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AZ136" i="9"/>
  <c r="BA136" i="9"/>
  <c r="BB136" i="9"/>
  <c r="BC136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AY140" i="9"/>
  <c r="AZ140" i="9"/>
  <c r="BA140" i="9"/>
  <c r="BB140" i="9"/>
  <c r="BC140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AY144" i="9"/>
  <c r="AZ144" i="9"/>
  <c r="BA144" i="9"/>
  <c r="BB144" i="9"/>
  <c r="BC144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AZ148" i="9"/>
  <c r="BA148" i="9"/>
  <c r="BB148" i="9"/>
  <c r="BC148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AZ152" i="9"/>
  <c r="BA152" i="9"/>
  <c r="BB152" i="9"/>
  <c r="BC152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AZ156" i="9"/>
  <c r="BA156" i="9"/>
  <c r="BB156" i="9"/>
  <c r="BC156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AY160" i="9"/>
  <c r="AZ160" i="9"/>
  <c r="BA160" i="9"/>
  <c r="BB160" i="9"/>
  <c r="BC160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AY164" i="9"/>
  <c r="AZ164" i="9"/>
  <c r="BA164" i="9"/>
  <c r="BB164" i="9"/>
  <c r="BC164" i="9"/>
  <c r="AL3" i="9"/>
  <c r="AM3" i="9"/>
  <c r="AN3" i="9"/>
  <c r="AO3" i="9"/>
  <c r="AP3" i="9"/>
  <c r="AQ3" i="9"/>
  <c r="AR3" i="9"/>
  <c r="AS3" i="9"/>
  <c r="AT3" i="9"/>
  <c r="AU3" i="9"/>
  <c r="AV3" i="9"/>
  <c r="AW3" i="9"/>
  <c r="AX3" i="9"/>
  <c r="AY3" i="9"/>
  <c r="AZ3" i="9"/>
  <c r="BA3" i="9"/>
  <c r="BB3" i="9"/>
  <c r="BC3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AZ9" i="9"/>
  <c r="BA9" i="9"/>
  <c r="BB9" i="9"/>
  <c r="BC9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BC17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AX25" i="9"/>
  <c r="AY25" i="9"/>
  <c r="AZ25" i="9"/>
  <c r="BA25" i="9"/>
  <c r="BB25" i="9"/>
  <c r="BC25" i="9"/>
  <c r="AL28" i="9"/>
  <c r="AM28" i="9"/>
  <c r="AN28" i="9"/>
  <c r="AO28" i="9"/>
  <c r="AP28" i="9"/>
  <c r="AQ28" i="9"/>
  <c r="AR28" i="9"/>
  <c r="AS28" i="9"/>
  <c r="AT28" i="9"/>
  <c r="AU28" i="9"/>
  <c r="AV28" i="9"/>
  <c r="AW28" i="9"/>
  <c r="AX28" i="9"/>
  <c r="AY28" i="9"/>
  <c r="AZ28" i="9"/>
  <c r="BA28" i="9"/>
  <c r="BB28" i="9"/>
  <c r="BC28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AZ30" i="9"/>
  <c r="BA30" i="9"/>
  <c r="BB30" i="9"/>
  <c r="BC30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AZ34" i="9"/>
  <c r="BA34" i="9"/>
  <c r="BB34" i="9"/>
  <c r="BC34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AZ38" i="9"/>
  <c r="BA38" i="9"/>
  <c r="BB38" i="9"/>
  <c r="BC38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AZ42" i="9"/>
  <c r="BA42" i="9"/>
  <c r="BB42" i="9"/>
  <c r="BC42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AZ46" i="9"/>
  <c r="BA46" i="9"/>
  <c r="BB46" i="9"/>
  <c r="BC46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AZ50" i="9"/>
  <c r="BA50" i="9"/>
  <c r="BB50" i="9"/>
  <c r="BC50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AZ137" i="9"/>
  <c r="BA137" i="9"/>
  <c r="BB137" i="9"/>
  <c r="BC137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AY141" i="9"/>
  <c r="AZ141" i="9"/>
  <c r="BA141" i="9"/>
  <c r="BB141" i="9"/>
  <c r="BC141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AZ145" i="9"/>
  <c r="BA145" i="9"/>
  <c r="BB145" i="9"/>
  <c r="BC145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AZ149" i="9"/>
  <c r="BA149" i="9"/>
  <c r="BB149" i="9"/>
  <c r="BC149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AZ153" i="9"/>
  <c r="BA153" i="9"/>
  <c r="BB153" i="9"/>
  <c r="BC153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AZ157" i="9"/>
  <c r="BA157" i="9"/>
  <c r="BB157" i="9"/>
  <c r="BC157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AY161" i="9"/>
  <c r="AZ161" i="9"/>
  <c r="BA161" i="9"/>
  <c r="BB161" i="9"/>
  <c r="BC161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AY165" i="9"/>
  <c r="AZ165" i="9"/>
  <c r="BA165" i="9"/>
  <c r="BB165" i="9"/>
  <c r="BC165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BC22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AZ31" i="9"/>
  <c r="BA31" i="9"/>
  <c r="BB31" i="9"/>
  <c r="BC31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AZ35" i="9"/>
  <c r="BA35" i="9"/>
  <c r="BB35" i="9"/>
  <c r="BC35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AZ39" i="9"/>
  <c r="BA39" i="9"/>
  <c r="BB39" i="9"/>
  <c r="BC39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AZ43" i="9"/>
  <c r="BA43" i="9"/>
  <c r="BB43" i="9"/>
  <c r="BC43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AZ47" i="9"/>
  <c r="BA47" i="9"/>
  <c r="BB47" i="9"/>
  <c r="BC47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AZ51" i="9"/>
  <c r="BA51" i="9"/>
  <c r="BB51" i="9"/>
  <c r="BC51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AZ138" i="9"/>
  <c r="BA138" i="9"/>
  <c r="BB138" i="9"/>
  <c r="BC138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AY142" i="9"/>
  <c r="AZ142" i="9"/>
  <c r="BA142" i="9"/>
  <c r="BB142" i="9"/>
  <c r="BC142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AY146" i="9"/>
  <c r="AZ146" i="9"/>
  <c r="BA146" i="9"/>
  <c r="BB146" i="9"/>
  <c r="BC146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AZ150" i="9"/>
  <c r="BA150" i="9"/>
  <c r="BB150" i="9"/>
  <c r="BC150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AZ154" i="9"/>
  <c r="BA154" i="9"/>
  <c r="BB154" i="9"/>
  <c r="BC154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AZ158" i="9"/>
  <c r="BA158" i="9"/>
  <c r="BB158" i="9"/>
  <c r="BC158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AY162" i="9"/>
  <c r="AZ162" i="9"/>
  <c r="BA162" i="9"/>
  <c r="BB162" i="9"/>
  <c r="BC162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AY345" i="9"/>
  <c r="AZ345" i="9"/>
  <c r="BA345" i="9"/>
  <c r="BB345" i="9"/>
  <c r="BC345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AZ23" i="9"/>
  <c r="BA23" i="9"/>
  <c r="BB23" i="9"/>
  <c r="BC23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AZ26" i="9"/>
  <c r="BA26" i="9"/>
  <c r="BB26" i="9"/>
  <c r="BC26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AX32" i="9"/>
  <c r="AY32" i="9"/>
  <c r="AZ32" i="9"/>
  <c r="BA32" i="9"/>
  <c r="BB32" i="9"/>
  <c r="BC32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AZ36" i="9"/>
  <c r="BA36" i="9"/>
  <c r="BB36" i="9"/>
  <c r="BC36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AZ40" i="9"/>
  <c r="BA40" i="9"/>
  <c r="BB40" i="9"/>
  <c r="BC40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AZ44" i="9"/>
  <c r="BA44" i="9"/>
  <c r="BB44" i="9"/>
  <c r="BC44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AZ48" i="9"/>
  <c r="BA48" i="9"/>
  <c r="BB48" i="9"/>
  <c r="BC48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AZ52" i="9"/>
  <c r="BA52" i="9"/>
  <c r="BB52" i="9"/>
  <c r="BC52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AY210" i="9"/>
  <c r="AZ210" i="9"/>
  <c r="BA210" i="9"/>
  <c r="BB210" i="9"/>
  <c r="BC210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AZ267" i="9"/>
  <c r="BA267" i="9"/>
  <c r="BB267" i="9"/>
  <c r="BC267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AZ271" i="9"/>
  <c r="BA271" i="9"/>
  <c r="BB271" i="9"/>
  <c r="BC271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AZ276" i="9"/>
  <c r="BA276" i="9"/>
  <c r="BB276" i="9"/>
  <c r="BC276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AZ277" i="9"/>
  <c r="BA277" i="9"/>
  <c r="BB277" i="9"/>
  <c r="BC277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AY282" i="9"/>
  <c r="AZ282" i="9"/>
  <c r="BA282" i="9"/>
  <c r="BB282" i="9"/>
  <c r="BC282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AY287" i="9"/>
  <c r="AZ287" i="9"/>
  <c r="BA287" i="9"/>
  <c r="BB287" i="9"/>
  <c r="BC287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AY288" i="9"/>
  <c r="AZ288" i="9"/>
  <c r="BA288" i="9"/>
  <c r="BB288" i="9"/>
  <c r="BC288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AY289" i="9"/>
  <c r="AZ289" i="9"/>
  <c r="BA289" i="9"/>
  <c r="BB289" i="9"/>
  <c r="BC289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AY290" i="9"/>
  <c r="AZ290" i="9"/>
  <c r="BA290" i="9"/>
  <c r="BB290" i="9"/>
  <c r="BC290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AZ294" i="9"/>
  <c r="BA294" i="9"/>
  <c r="BB294" i="9"/>
  <c r="BC294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AY295" i="9"/>
  <c r="AZ295" i="9"/>
  <c r="BA295" i="9"/>
  <c r="BB295" i="9"/>
  <c r="BC295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AY166" i="9"/>
  <c r="AZ166" i="9"/>
  <c r="BA166" i="9"/>
  <c r="BB166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AY168" i="9"/>
  <c r="AZ168" i="9"/>
  <c r="BA168" i="9"/>
  <c r="BB168" i="9"/>
  <c r="BC168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AZ172" i="9"/>
  <c r="BA172" i="9"/>
  <c r="BB172" i="9"/>
  <c r="BC172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AY176" i="9"/>
  <c r="AZ176" i="9"/>
  <c r="BA176" i="9"/>
  <c r="BB176" i="9"/>
  <c r="BC176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AY180" i="9"/>
  <c r="AZ180" i="9"/>
  <c r="BA180" i="9"/>
  <c r="BB180" i="9"/>
  <c r="BC180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AY184" i="9"/>
  <c r="AZ184" i="9"/>
  <c r="BA184" i="9"/>
  <c r="BB184" i="9"/>
  <c r="BC184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AY188" i="9"/>
  <c r="AZ188" i="9"/>
  <c r="BA188" i="9"/>
  <c r="BB188" i="9"/>
  <c r="BC188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AY192" i="9"/>
  <c r="AZ192" i="9"/>
  <c r="BA192" i="9"/>
  <c r="BB192" i="9"/>
  <c r="BC192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AY196" i="9"/>
  <c r="AZ196" i="9"/>
  <c r="BA196" i="9"/>
  <c r="BB196" i="9"/>
  <c r="BC196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AY198" i="9"/>
  <c r="AZ198" i="9"/>
  <c r="BA198" i="9"/>
  <c r="BB198" i="9"/>
  <c r="BC198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AY202" i="9"/>
  <c r="AZ202" i="9"/>
  <c r="BA202" i="9"/>
  <c r="BB202" i="9"/>
  <c r="BC202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AY206" i="9"/>
  <c r="AZ206" i="9"/>
  <c r="BA206" i="9"/>
  <c r="BB206" i="9"/>
  <c r="BC206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AZ263" i="9"/>
  <c r="BA263" i="9"/>
  <c r="BB263" i="9"/>
  <c r="BC263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AZ272" i="9"/>
  <c r="BA272" i="9"/>
  <c r="BB272" i="9"/>
  <c r="BC272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AZ278" i="9"/>
  <c r="BA278" i="9"/>
  <c r="BB278" i="9"/>
  <c r="BC278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AY283" i="9"/>
  <c r="AZ283" i="9"/>
  <c r="BA283" i="9"/>
  <c r="BB283" i="9"/>
  <c r="BC283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AY291" i="9"/>
  <c r="AZ291" i="9"/>
  <c r="BA291" i="9"/>
  <c r="BB291" i="9"/>
  <c r="BC291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AZ296" i="9"/>
  <c r="BA296" i="9"/>
  <c r="BB296" i="9"/>
  <c r="BC296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AY167" i="9"/>
  <c r="AZ167" i="9"/>
  <c r="BA167" i="9"/>
  <c r="BB167" i="9"/>
  <c r="BC167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AY169" i="9"/>
  <c r="AZ169" i="9"/>
  <c r="BA169" i="9"/>
  <c r="BB169" i="9"/>
  <c r="BC169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AY173" i="9"/>
  <c r="AZ173" i="9"/>
  <c r="BA173" i="9"/>
  <c r="BB173" i="9"/>
  <c r="BC173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AY177" i="9"/>
  <c r="AZ177" i="9"/>
  <c r="BA177" i="9"/>
  <c r="BB177" i="9"/>
  <c r="BC177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AY181" i="9"/>
  <c r="AZ181" i="9"/>
  <c r="BA181" i="9"/>
  <c r="BB181" i="9"/>
  <c r="BC181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AY185" i="9"/>
  <c r="AZ185" i="9"/>
  <c r="BA185" i="9"/>
  <c r="BB185" i="9"/>
  <c r="BC185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AY189" i="9"/>
  <c r="AZ189" i="9"/>
  <c r="BA189" i="9"/>
  <c r="BB189" i="9"/>
  <c r="BC189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AY193" i="9"/>
  <c r="AZ193" i="9"/>
  <c r="BA193" i="9"/>
  <c r="BB193" i="9"/>
  <c r="BC193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AY197" i="9"/>
  <c r="AZ197" i="9"/>
  <c r="BA197" i="9"/>
  <c r="BB197" i="9"/>
  <c r="BC197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AY199" i="9"/>
  <c r="AZ199" i="9"/>
  <c r="BA199" i="9"/>
  <c r="BB199" i="9"/>
  <c r="BC199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AY203" i="9"/>
  <c r="AZ203" i="9"/>
  <c r="BA203" i="9"/>
  <c r="BB203" i="9"/>
  <c r="BC203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AZ207" i="9"/>
  <c r="BA207" i="9"/>
  <c r="BB207" i="9"/>
  <c r="BC207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AZ264" i="9"/>
  <c r="BA264" i="9"/>
  <c r="BB264" i="9"/>
  <c r="BC264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AZ268" i="9"/>
  <c r="BA268" i="9"/>
  <c r="BB268" i="9"/>
  <c r="BC268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AZ273" i="9"/>
  <c r="BA273" i="9"/>
  <c r="BB273" i="9"/>
  <c r="BC273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AZ279" i="9"/>
  <c r="BA279" i="9"/>
  <c r="BB279" i="9"/>
  <c r="BC279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AY284" i="9"/>
  <c r="AZ284" i="9"/>
  <c r="BA284" i="9"/>
  <c r="BB284" i="9"/>
  <c r="BC284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AY292" i="9"/>
  <c r="AZ292" i="9"/>
  <c r="BA292" i="9"/>
  <c r="BB292" i="9"/>
  <c r="BC292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AY297" i="9"/>
  <c r="AZ297" i="9"/>
  <c r="BA297" i="9"/>
  <c r="BB297" i="9"/>
  <c r="BC297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AY170" i="9"/>
  <c r="AZ170" i="9"/>
  <c r="BA170" i="9"/>
  <c r="BB170" i="9"/>
  <c r="BC170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AY174" i="9"/>
  <c r="AZ174" i="9"/>
  <c r="BA174" i="9"/>
  <c r="BB174" i="9"/>
  <c r="BC174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AY178" i="9"/>
  <c r="AZ178" i="9"/>
  <c r="BA178" i="9"/>
  <c r="BB178" i="9"/>
  <c r="BC178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AY182" i="9"/>
  <c r="AZ182" i="9"/>
  <c r="BA182" i="9"/>
  <c r="BB182" i="9"/>
  <c r="BC182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AY186" i="9"/>
  <c r="AZ186" i="9"/>
  <c r="BA186" i="9"/>
  <c r="BB186" i="9"/>
  <c r="BC186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AY190" i="9"/>
  <c r="AZ190" i="9"/>
  <c r="BA190" i="9"/>
  <c r="BB190" i="9"/>
  <c r="BC190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AY194" i="9"/>
  <c r="AZ194" i="9"/>
  <c r="BA194" i="9"/>
  <c r="BB194" i="9"/>
  <c r="BC194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AY200" i="9"/>
  <c r="AZ200" i="9"/>
  <c r="BA200" i="9"/>
  <c r="BB200" i="9"/>
  <c r="BC200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AY204" i="9"/>
  <c r="AZ204" i="9"/>
  <c r="BA204" i="9"/>
  <c r="BB204" i="9"/>
  <c r="BC204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AY208" i="9"/>
  <c r="AZ208" i="9"/>
  <c r="BA208" i="9"/>
  <c r="BB208" i="9"/>
  <c r="BC208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AZ265" i="9"/>
  <c r="BA265" i="9"/>
  <c r="BB265" i="9"/>
  <c r="BC265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AZ269" i="9"/>
  <c r="BA269" i="9"/>
  <c r="BB269" i="9"/>
  <c r="BC269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AZ274" i="9"/>
  <c r="BA274" i="9"/>
  <c r="BB274" i="9"/>
  <c r="BC274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AZ280" i="9"/>
  <c r="BA280" i="9"/>
  <c r="BB280" i="9"/>
  <c r="BC280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AY285" i="9"/>
  <c r="AZ285" i="9"/>
  <c r="BA285" i="9"/>
  <c r="BB285" i="9"/>
  <c r="BC285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AY293" i="9"/>
  <c r="AZ293" i="9"/>
  <c r="BA293" i="9"/>
  <c r="BB293" i="9"/>
  <c r="BC293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AY298" i="9"/>
  <c r="AZ298" i="9"/>
  <c r="BA298" i="9"/>
  <c r="BB298" i="9"/>
  <c r="BC298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AZ171" i="9"/>
  <c r="BA171" i="9"/>
  <c r="BB171" i="9"/>
  <c r="BC171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AY175" i="9"/>
  <c r="AZ175" i="9"/>
  <c r="BA175" i="9"/>
  <c r="BB175" i="9"/>
  <c r="BC175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AY179" i="9"/>
  <c r="AZ179" i="9"/>
  <c r="BA179" i="9"/>
  <c r="BB179" i="9"/>
  <c r="BC179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AY183" i="9"/>
  <c r="AZ183" i="9"/>
  <c r="BA183" i="9"/>
  <c r="BB183" i="9"/>
  <c r="BC183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AY187" i="9"/>
  <c r="AZ187" i="9"/>
  <c r="BA187" i="9"/>
  <c r="BB187" i="9"/>
  <c r="BC187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AY191" i="9"/>
  <c r="AZ191" i="9"/>
  <c r="BA191" i="9"/>
  <c r="BB191" i="9"/>
  <c r="BC191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AY195" i="9"/>
  <c r="AZ195" i="9"/>
  <c r="BA195" i="9"/>
  <c r="BB195" i="9"/>
  <c r="BC195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AY201" i="9"/>
  <c r="AZ201" i="9"/>
  <c r="BA201" i="9"/>
  <c r="BB201" i="9"/>
  <c r="BC201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AY205" i="9"/>
  <c r="AZ205" i="9"/>
  <c r="BA205" i="9"/>
  <c r="BB205" i="9"/>
  <c r="BC205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AY209" i="9"/>
  <c r="AZ209" i="9"/>
  <c r="BA209" i="9"/>
  <c r="BB209" i="9"/>
  <c r="BC209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AZ266" i="9"/>
  <c r="BA266" i="9"/>
  <c r="BB266" i="9"/>
  <c r="BC266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AZ270" i="9"/>
  <c r="BA270" i="9"/>
  <c r="BB270" i="9"/>
  <c r="BC270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AZ275" i="9"/>
  <c r="BA275" i="9"/>
  <c r="BB275" i="9"/>
  <c r="BC275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AY281" i="9"/>
  <c r="AZ281" i="9"/>
  <c r="BA281" i="9"/>
  <c r="BB281" i="9"/>
  <c r="BC281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AY286" i="9"/>
  <c r="AZ286" i="9"/>
  <c r="BA286" i="9"/>
  <c r="BB286" i="9"/>
  <c r="BC286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AY299" i="9"/>
  <c r="AZ299" i="9"/>
  <c r="BA299" i="9"/>
  <c r="BB299" i="9"/>
  <c r="BC299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AZ262" i="9"/>
  <c r="BA262" i="9"/>
  <c r="BB262" i="9"/>
  <c r="BC262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AZ89" i="9"/>
  <c r="BA89" i="9"/>
  <c r="BB89" i="9"/>
  <c r="BC89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AZ95" i="9"/>
  <c r="BA95" i="9"/>
  <c r="BB95" i="9"/>
  <c r="BC95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AZ100" i="9"/>
  <c r="BA100" i="9"/>
  <c r="BB100" i="9"/>
  <c r="BC100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AZ106" i="9"/>
  <c r="BA106" i="9"/>
  <c r="BB106" i="9"/>
  <c r="BC106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AZ108" i="9"/>
  <c r="BA108" i="9"/>
  <c r="BB108" i="9"/>
  <c r="BC108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AZ112" i="9"/>
  <c r="BA112" i="9"/>
  <c r="BB112" i="9"/>
  <c r="BC112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AZ116" i="9"/>
  <c r="BA116" i="9"/>
  <c r="BB116" i="9"/>
  <c r="BC116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AZ120" i="9"/>
  <c r="BA120" i="9"/>
  <c r="BB120" i="9"/>
  <c r="BC120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AZ121" i="9"/>
  <c r="BA121" i="9"/>
  <c r="BB121" i="9"/>
  <c r="BC121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AZ122" i="9"/>
  <c r="BA122" i="9"/>
  <c r="BB122" i="9"/>
  <c r="BC122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AZ128" i="9"/>
  <c r="BA128" i="9"/>
  <c r="BB128" i="9"/>
  <c r="BC128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AZ129" i="9"/>
  <c r="BA129" i="9"/>
  <c r="BB129" i="9"/>
  <c r="BC129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AZ84" i="9"/>
  <c r="BA84" i="9"/>
  <c r="BB84" i="9"/>
  <c r="BC84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AZ90" i="9"/>
  <c r="BA90" i="9"/>
  <c r="BB90" i="9"/>
  <c r="BC90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AZ96" i="9"/>
  <c r="BA96" i="9"/>
  <c r="BB96" i="9"/>
  <c r="BC96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AZ101" i="9"/>
  <c r="BA101" i="9"/>
  <c r="BB101" i="9"/>
  <c r="BC101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AZ107" i="9"/>
  <c r="BA107" i="9"/>
  <c r="BB107" i="9"/>
  <c r="BC107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AZ109" i="9"/>
  <c r="BA109" i="9"/>
  <c r="BB109" i="9"/>
  <c r="BC109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AZ113" i="9"/>
  <c r="BA113" i="9"/>
  <c r="BB113" i="9"/>
  <c r="BC113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AZ117" i="9"/>
  <c r="BA117" i="9"/>
  <c r="BB117" i="9"/>
  <c r="BC117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AZ123" i="9"/>
  <c r="BA123" i="9"/>
  <c r="BB123" i="9"/>
  <c r="BC123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AZ130" i="9"/>
  <c r="BA130" i="9"/>
  <c r="BB130" i="9"/>
  <c r="BC130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AZ85" i="9"/>
  <c r="BA85" i="9"/>
  <c r="BB85" i="9"/>
  <c r="BC85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AZ91" i="9"/>
  <c r="BA91" i="9"/>
  <c r="BB91" i="9"/>
  <c r="BC91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AZ97" i="9"/>
  <c r="BA97" i="9"/>
  <c r="BB97" i="9"/>
  <c r="BC97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AZ102" i="9"/>
  <c r="BA102" i="9"/>
  <c r="BB102" i="9"/>
  <c r="BC102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AZ110" i="9"/>
  <c r="BA110" i="9"/>
  <c r="BB110" i="9"/>
  <c r="BC110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AZ114" i="9"/>
  <c r="BA114" i="9"/>
  <c r="BB114" i="9"/>
  <c r="BC114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AZ118" i="9"/>
  <c r="BA118" i="9"/>
  <c r="BB118" i="9"/>
  <c r="BC118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AZ124" i="9"/>
  <c r="BA124" i="9"/>
  <c r="BB124" i="9"/>
  <c r="BC124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AY131" i="9"/>
  <c r="AZ131" i="9"/>
  <c r="BA131" i="9"/>
  <c r="BB131" i="9"/>
  <c r="BC131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AZ86" i="9"/>
  <c r="BA86" i="9"/>
  <c r="BB86" i="9"/>
  <c r="BC86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AZ92" i="9"/>
  <c r="BA92" i="9"/>
  <c r="BB92" i="9"/>
  <c r="BC92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AZ98" i="9"/>
  <c r="BA98" i="9"/>
  <c r="BB98" i="9"/>
  <c r="BC98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AZ103" i="9"/>
  <c r="BA103" i="9"/>
  <c r="BB103" i="9"/>
  <c r="BC103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AZ111" i="9"/>
  <c r="BA111" i="9"/>
  <c r="BB111" i="9"/>
  <c r="BC111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AY115" i="9"/>
  <c r="AZ115" i="9"/>
  <c r="BA115" i="9"/>
  <c r="BB115" i="9"/>
  <c r="BC115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AZ119" i="9"/>
  <c r="BA119" i="9"/>
  <c r="BB119" i="9"/>
  <c r="BC119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AZ125" i="9"/>
  <c r="BA125" i="9"/>
  <c r="BB125" i="9"/>
  <c r="BC125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AZ132" i="9"/>
  <c r="BA132" i="9"/>
  <c r="BB132" i="9"/>
  <c r="BC132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AZ87" i="9"/>
  <c r="BA87" i="9"/>
  <c r="BB87" i="9"/>
  <c r="BC87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AZ93" i="9"/>
  <c r="BA93" i="9"/>
  <c r="BB93" i="9"/>
  <c r="BC93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AZ99" i="9"/>
  <c r="BA99" i="9"/>
  <c r="BB99" i="9"/>
  <c r="BC99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AZ104" i="9"/>
  <c r="BA104" i="9"/>
  <c r="BB104" i="9"/>
  <c r="BC104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AZ126" i="9"/>
  <c r="BA126" i="9"/>
  <c r="BB126" i="9"/>
  <c r="BC126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AZ133" i="9"/>
  <c r="BA133" i="9"/>
  <c r="BB133" i="9"/>
  <c r="BC133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AZ88" i="9"/>
  <c r="BA88" i="9"/>
  <c r="BB88" i="9"/>
  <c r="BC88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AZ94" i="9"/>
  <c r="BA94" i="9"/>
  <c r="BB94" i="9"/>
  <c r="BC94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AZ105" i="9"/>
  <c r="BA105" i="9"/>
  <c r="BB105" i="9"/>
  <c r="BC105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AZ127" i="9"/>
  <c r="BA127" i="9"/>
  <c r="BB127" i="9"/>
  <c r="BC127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AZ134" i="9"/>
  <c r="BA134" i="9"/>
  <c r="BB134" i="9"/>
  <c r="BC134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AY346" i="9"/>
  <c r="AZ346" i="9"/>
  <c r="BA346" i="9"/>
  <c r="BB346" i="9"/>
  <c r="BC346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AY348" i="9"/>
  <c r="AZ348" i="9"/>
  <c r="BA348" i="9"/>
  <c r="BB348" i="9"/>
  <c r="BC348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AY352" i="9"/>
  <c r="AZ352" i="9"/>
  <c r="BA352" i="9"/>
  <c r="BB352" i="9"/>
  <c r="BC352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AY353" i="9"/>
  <c r="AZ353" i="9"/>
  <c r="BA353" i="9"/>
  <c r="BB353" i="9"/>
  <c r="BC353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AY356" i="9"/>
  <c r="AZ356" i="9"/>
  <c r="BA356" i="9"/>
  <c r="BB356" i="9"/>
  <c r="BC356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AY358" i="9"/>
  <c r="AZ358" i="9"/>
  <c r="BA358" i="9"/>
  <c r="BB358" i="9"/>
  <c r="BC358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AY361" i="9"/>
  <c r="AZ361" i="9"/>
  <c r="BA361" i="9"/>
  <c r="BB361" i="9"/>
  <c r="BC361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AY362" i="9"/>
  <c r="AZ362" i="9"/>
  <c r="BA362" i="9"/>
  <c r="BB362" i="9"/>
  <c r="BC362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AY365" i="9"/>
  <c r="AZ365" i="9"/>
  <c r="BA365" i="9"/>
  <c r="BB365" i="9"/>
  <c r="BC365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AY368" i="9"/>
  <c r="AZ368" i="9"/>
  <c r="BA368" i="9"/>
  <c r="BB368" i="9"/>
  <c r="BC368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AY371" i="9"/>
  <c r="AZ371" i="9"/>
  <c r="BA371" i="9"/>
  <c r="BB371" i="9"/>
  <c r="BC371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AY374" i="9"/>
  <c r="AZ374" i="9"/>
  <c r="BA374" i="9"/>
  <c r="BB374" i="9"/>
  <c r="BC374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AY376" i="9"/>
  <c r="AZ376" i="9"/>
  <c r="BA376" i="9"/>
  <c r="BB376" i="9"/>
  <c r="BC376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AY377" i="9"/>
  <c r="AZ377" i="9"/>
  <c r="BA377" i="9"/>
  <c r="BB377" i="9"/>
  <c r="BC377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AY380" i="9"/>
  <c r="AZ380" i="9"/>
  <c r="BA380" i="9"/>
  <c r="BB380" i="9"/>
  <c r="BC380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AY383" i="9"/>
  <c r="AZ383" i="9"/>
  <c r="BA383" i="9"/>
  <c r="BB383" i="9"/>
  <c r="BC383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AY384" i="9"/>
  <c r="AZ384" i="9"/>
  <c r="BA384" i="9"/>
  <c r="BB384" i="9"/>
  <c r="BC384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AY386" i="9"/>
  <c r="AZ386" i="9"/>
  <c r="BA386" i="9"/>
  <c r="BB386" i="9"/>
  <c r="BC386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AY387" i="9"/>
  <c r="AZ387" i="9"/>
  <c r="BA387" i="9"/>
  <c r="BB387" i="9"/>
  <c r="BC387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AY390" i="9"/>
  <c r="AZ390" i="9"/>
  <c r="BA390" i="9"/>
  <c r="BB390" i="9"/>
  <c r="BC390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AY393" i="9"/>
  <c r="AZ393" i="9"/>
  <c r="BA393" i="9"/>
  <c r="BB393" i="9"/>
  <c r="BC393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AY398" i="9"/>
  <c r="AZ398" i="9"/>
  <c r="BA398" i="9"/>
  <c r="BB398" i="9"/>
  <c r="BC398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AY401" i="9"/>
  <c r="AZ401" i="9"/>
  <c r="BA401" i="9"/>
  <c r="BB401" i="9"/>
  <c r="BC401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AY404" i="9"/>
  <c r="AZ404" i="9"/>
  <c r="BA404" i="9"/>
  <c r="BB404" i="9"/>
  <c r="BC404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AY407" i="9"/>
  <c r="AZ407" i="9"/>
  <c r="BA407" i="9"/>
  <c r="BB407" i="9"/>
  <c r="BC40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AY347" i="9"/>
  <c r="AZ347" i="9"/>
  <c r="BA347" i="9"/>
  <c r="BB347" i="9"/>
  <c r="BC347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AY349" i="9"/>
  <c r="AZ349" i="9"/>
  <c r="BA349" i="9"/>
  <c r="BB349" i="9"/>
  <c r="BC349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AZ410" i="9"/>
  <c r="BA410" i="9"/>
  <c r="BB410" i="9"/>
  <c r="BC410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AY354" i="9"/>
  <c r="AZ354" i="9"/>
  <c r="BA354" i="9"/>
  <c r="BB354" i="9"/>
  <c r="BC354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AZ411" i="9"/>
  <c r="BA411" i="9"/>
  <c r="BB411" i="9"/>
  <c r="BC411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AY359" i="9"/>
  <c r="AZ359" i="9"/>
  <c r="BA359" i="9"/>
  <c r="BB359" i="9"/>
  <c r="BC359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AY363" i="9"/>
  <c r="AZ363" i="9"/>
  <c r="BA363" i="9"/>
  <c r="BB363" i="9"/>
  <c r="BC363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AY366" i="9"/>
  <c r="AZ366" i="9"/>
  <c r="BA366" i="9"/>
  <c r="BB366" i="9"/>
  <c r="BC366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AY369" i="9"/>
  <c r="AZ369" i="9"/>
  <c r="BA369" i="9"/>
  <c r="BB369" i="9"/>
  <c r="BC369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AY372" i="9"/>
  <c r="AZ372" i="9"/>
  <c r="BA372" i="9"/>
  <c r="BB372" i="9"/>
  <c r="BC372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AY375" i="9"/>
  <c r="AZ375" i="9"/>
  <c r="BA375" i="9"/>
  <c r="BB375" i="9"/>
  <c r="BC375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AY378" i="9"/>
  <c r="AZ378" i="9"/>
  <c r="BA378" i="9"/>
  <c r="BB378" i="9"/>
  <c r="BC378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AY381" i="9"/>
  <c r="AZ381" i="9"/>
  <c r="BA381" i="9"/>
  <c r="BB381" i="9"/>
  <c r="BC381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AY385" i="9"/>
  <c r="AZ385" i="9"/>
  <c r="BA385" i="9"/>
  <c r="BB385" i="9"/>
  <c r="BC385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AY388" i="9"/>
  <c r="AZ388" i="9"/>
  <c r="BA388" i="9"/>
  <c r="BB388" i="9"/>
  <c r="BC388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AY391" i="9"/>
  <c r="AZ391" i="9"/>
  <c r="BA391" i="9"/>
  <c r="BB391" i="9"/>
  <c r="BC391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AY394" i="9"/>
  <c r="AZ394" i="9"/>
  <c r="BA394" i="9"/>
  <c r="BB394" i="9"/>
  <c r="BC394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AY396" i="9"/>
  <c r="AZ396" i="9"/>
  <c r="BA396" i="9"/>
  <c r="BB396" i="9"/>
  <c r="BC396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AY399" i="9"/>
  <c r="AZ399" i="9"/>
  <c r="BA399" i="9"/>
  <c r="BB399" i="9"/>
  <c r="BC399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AY402" i="9"/>
  <c r="AZ402" i="9"/>
  <c r="BA402" i="9"/>
  <c r="BB402" i="9"/>
  <c r="BC402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AY405" i="9"/>
  <c r="AZ405" i="9"/>
  <c r="BA405" i="9"/>
  <c r="BB405" i="9"/>
  <c r="BC405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AY408" i="9"/>
  <c r="AZ408" i="9"/>
  <c r="BA408" i="9"/>
  <c r="BB408" i="9"/>
  <c r="BC408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AY350" i="9"/>
  <c r="AZ350" i="9"/>
  <c r="BA350" i="9"/>
  <c r="BB350" i="9"/>
  <c r="BC350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AY351" i="9"/>
  <c r="AZ351" i="9"/>
  <c r="BA351" i="9"/>
  <c r="BB351" i="9"/>
  <c r="BC351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AY355" i="9"/>
  <c r="AZ355" i="9"/>
  <c r="BA355" i="9"/>
  <c r="BB355" i="9"/>
  <c r="BC355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AY357" i="9"/>
  <c r="AZ357" i="9"/>
  <c r="BA357" i="9"/>
  <c r="BB357" i="9"/>
  <c r="BC357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AY360" i="9"/>
  <c r="AZ360" i="9"/>
  <c r="BA360" i="9"/>
  <c r="BB360" i="9"/>
  <c r="BC360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AY364" i="9"/>
  <c r="AZ364" i="9"/>
  <c r="BA364" i="9"/>
  <c r="BB364" i="9"/>
  <c r="BC364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AY367" i="9"/>
  <c r="AZ367" i="9"/>
  <c r="BA367" i="9"/>
  <c r="BB367" i="9"/>
  <c r="BC367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AY370" i="9"/>
  <c r="AZ370" i="9"/>
  <c r="BA370" i="9"/>
  <c r="BB370" i="9"/>
  <c r="BC370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AY373" i="9"/>
  <c r="AZ373" i="9"/>
  <c r="BA373" i="9"/>
  <c r="BB373" i="9"/>
  <c r="BC373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AY379" i="9"/>
  <c r="AZ379" i="9"/>
  <c r="BA379" i="9"/>
  <c r="BB379" i="9"/>
  <c r="BC379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AY382" i="9"/>
  <c r="AZ382" i="9"/>
  <c r="BA382" i="9"/>
  <c r="BB382" i="9"/>
  <c r="BC382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AY389" i="9"/>
  <c r="AZ389" i="9"/>
  <c r="BA389" i="9"/>
  <c r="BB389" i="9"/>
  <c r="BC389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AY392" i="9"/>
  <c r="AZ392" i="9"/>
  <c r="BA392" i="9"/>
  <c r="BB392" i="9"/>
  <c r="BC392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AY395" i="9"/>
  <c r="AZ395" i="9"/>
  <c r="BA395" i="9"/>
  <c r="BB395" i="9"/>
  <c r="BC395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AY397" i="9"/>
  <c r="AZ397" i="9"/>
  <c r="BA397" i="9"/>
  <c r="BB397" i="9"/>
  <c r="BC397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AY400" i="9"/>
  <c r="AZ400" i="9"/>
  <c r="BA400" i="9"/>
  <c r="BB400" i="9"/>
  <c r="BC400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AY403" i="9"/>
  <c r="AZ403" i="9"/>
  <c r="BA403" i="9"/>
  <c r="BB403" i="9"/>
  <c r="BC403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AY406" i="9"/>
  <c r="AZ406" i="9"/>
  <c r="BA406" i="9"/>
  <c r="BB406" i="9"/>
  <c r="BC406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AY409" i="9"/>
  <c r="AZ409" i="9"/>
  <c r="BA409" i="9"/>
  <c r="BB409" i="9"/>
  <c r="BC409" i="9"/>
  <c r="D300" i="9" l="1"/>
  <c r="D221" i="9"/>
  <c r="E221" i="9"/>
  <c r="F221" i="9"/>
  <c r="G221" i="9"/>
  <c r="H221" i="9"/>
  <c r="I221" i="9"/>
  <c r="J221" i="9"/>
  <c r="K221" i="9"/>
  <c r="L221" i="9"/>
  <c r="M221" i="9"/>
  <c r="N221" i="9"/>
  <c r="O221" i="9"/>
  <c r="P221" i="9"/>
  <c r="Q221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G221" i="9"/>
  <c r="AH221" i="9"/>
  <c r="AI221" i="9"/>
  <c r="AJ221" i="9"/>
  <c r="BF221" i="9"/>
  <c r="BG221" i="9"/>
  <c r="BH221" i="9"/>
  <c r="BI221" i="9"/>
  <c r="BJ221" i="9"/>
  <c r="BK221" i="9"/>
  <c r="BL221" i="9"/>
  <c r="BM221" i="9"/>
  <c r="BN221" i="9"/>
  <c r="BO221" i="9"/>
  <c r="BP221" i="9"/>
  <c r="BQ221" i="9"/>
  <c r="BR221" i="9"/>
  <c r="BS221" i="9"/>
  <c r="BT221" i="9"/>
  <c r="BU221" i="9"/>
  <c r="BV221" i="9"/>
  <c r="BW221" i="9"/>
  <c r="BX221" i="9"/>
  <c r="BY221" i="9"/>
  <c r="BZ221" i="9"/>
  <c r="CA221" i="9"/>
  <c r="CB221" i="9"/>
  <c r="CC221" i="9"/>
  <c r="CD221" i="9"/>
  <c r="CE221" i="9"/>
  <c r="CF221" i="9"/>
  <c r="CG221" i="9"/>
  <c r="CH221" i="9"/>
  <c r="CI221" i="9"/>
  <c r="CM221" i="9"/>
  <c r="CN221" i="9"/>
  <c r="CO221" i="9"/>
  <c r="CP221" i="9"/>
  <c r="CQ221" i="9"/>
  <c r="CR221" i="9"/>
  <c r="D229" i="9"/>
  <c r="E229" i="9"/>
  <c r="F229" i="9"/>
  <c r="G229" i="9"/>
  <c r="H229" i="9"/>
  <c r="I229" i="9"/>
  <c r="J229" i="9"/>
  <c r="K229" i="9"/>
  <c r="L229" i="9"/>
  <c r="M229" i="9"/>
  <c r="N229" i="9"/>
  <c r="O229" i="9"/>
  <c r="P229" i="9"/>
  <c r="Q229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G229" i="9"/>
  <c r="AH229" i="9"/>
  <c r="AI229" i="9"/>
  <c r="AJ229" i="9"/>
  <c r="BF229" i="9"/>
  <c r="BG229" i="9"/>
  <c r="BH229" i="9"/>
  <c r="BI229" i="9"/>
  <c r="BJ229" i="9"/>
  <c r="BK229" i="9"/>
  <c r="BL229" i="9"/>
  <c r="BM229" i="9"/>
  <c r="BN229" i="9"/>
  <c r="BO229" i="9"/>
  <c r="BP229" i="9"/>
  <c r="BQ229" i="9"/>
  <c r="BR229" i="9"/>
  <c r="BS229" i="9"/>
  <c r="BT229" i="9"/>
  <c r="BU229" i="9"/>
  <c r="BV229" i="9"/>
  <c r="BW229" i="9"/>
  <c r="BX229" i="9"/>
  <c r="BY229" i="9"/>
  <c r="BZ229" i="9"/>
  <c r="CA229" i="9"/>
  <c r="CB229" i="9"/>
  <c r="CC229" i="9"/>
  <c r="CD229" i="9"/>
  <c r="CE229" i="9"/>
  <c r="CF229" i="9"/>
  <c r="CG229" i="9"/>
  <c r="CH229" i="9"/>
  <c r="CI229" i="9"/>
  <c r="CM229" i="9"/>
  <c r="CN229" i="9"/>
  <c r="CO229" i="9"/>
  <c r="CP229" i="9"/>
  <c r="CQ229" i="9"/>
  <c r="CR229" i="9"/>
  <c r="D230" i="9"/>
  <c r="E230" i="9"/>
  <c r="F230" i="9"/>
  <c r="G230" i="9"/>
  <c r="H230" i="9"/>
  <c r="I230" i="9"/>
  <c r="J230" i="9"/>
  <c r="K230" i="9"/>
  <c r="L230" i="9"/>
  <c r="M230" i="9"/>
  <c r="N230" i="9"/>
  <c r="O230" i="9"/>
  <c r="P230" i="9"/>
  <c r="Q230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G230" i="9"/>
  <c r="AH230" i="9"/>
  <c r="AI230" i="9"/>
  <c r="AJ230" i="9"/>
  <c r="BF230" i="9"/>
  <c r="BG230" i="9"/>
  <c r="BH230" i="9"/>
  <c r="BI230" i="9"/>
  <c r="BJ230" i="9"/>
  <c r="BK230" i="9"/>
  <c r="BL230" i="9"/>
  <c r="BM230" i="9"/>
  <c r="BN230" i="9"/>
  <c r="BO230" i="9"/>
  <c r="BP230" i="9"/>
  <c r="BQ230" i="9"/>
  <c r="BR230" i="9"/>
  <c r="BS230" i="9"/>
  <c r="BT230" i="9"/>
  <c r="BU230" i="9"/>
  <c r="BV230" i="9"/>
  <c r="BW230" i="9"/>
  <c r="BX230" i="9"/>
  <c r="BY230" i="9"/>
  <c r="BZ230" i="9"/>
  <c r="CA230" i="9"/>
  <c r="CB230" i="9"/>
  <c r="CC230" i="9"/>
  <c r="CD230" i="9"/>
  <c r="CE230" i="9"/>
  <c r="CF230" i="9"/>
  <c r="CG230" i="9"/>
  <c r="CH230" i="9"/>
  <c r="CI230" i="9"/>
  <c r="CM230" i="9"/>
  <c r="CN230" i="9"/>
  <c r="CO230" i="9"/>
  <c r="CP230" i="9"/>
  <c r="CQ230" i="9"/>
  <c r="CR230" i="9"/>
  <c r="D238" i="9"/>
  <c r="E238" i="9"/>
  <c r="F238" i="9"/>
  <c r="G238" i="9"/>
  <c r="H238" i="9"/>
  <c r="I238" i="9"/>
  <c r="J238" i="9"/>
  <c r="K238" i="9"/>
  <c r="L238" i="9"/>
  <c r="M238" i="9"/>
  <c r="N238" i="9"/>
  <c r="O238" i="9"/>
  <c r="P238" i="9"/>
  <c r="Q238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G238" i="9"/>
  <c r="AH238" i="9"/>
  <c r="AI238" i="9"/>
  <c r="AJ238" i="9"/>
  <c r="BF238" i="9"/>
  <c r="BG238" i="9"/>
  <c r="BH238" i="9"/>
  <c r="BI238" i="9"/>
  <c r="BJ238" i="9"/>
  <c r="BK238" i="9"/>
  <c r="BL238" i="9"/>
  <c r="BM238" i="9"/>
  <c r="BN238" i="9"/>
  <c r="BO238" i="9"/>
  <c r="BP238" i="9"/>
  <c r="BQ238" i="9"/>
  <c r="BR238" i="9"/>
  <c r="BS238" i="9"/>
  <c r="BT238" i="9"/>
  <c r="BU238" i="9"/>
  <c r="BV238" i="9"/>
  <c r="BW238" i="9"/>
  <c r="BX238" i="9"/>
  <c r="BY238" i="9"/>
  <c r="BZ238" i="9"/>
  <c r="CA238" i="9"/>
  <c r="CB238" i="9"/>
  <c r="CC238" i="9"/>
  <c r="CD238" i="9"/>
  <c r="CE238" i="9"/>
  <c r="CF238" i="9"/>
  <c r="CG238" i="9"/>
  <c r="CH238" i="9"/>
  <c r="CI238" i="9"/>
  <c r="CM238" i="9"/>
  <c r="CN238" i="9"/>
  <c r="CO238" i="9"/>
  <c r="CP238" i="9"/>
  <c r="CQ238" i="9"/>
  <c r="CR238" i="9"/>
  <c r="D246" i="9"/>
  <c r="E246" i="9"/>
  <c r="F246" i="9"/>
  <c r="G246" i="9"/>
  <c r="H246" i="9"/>
  <c r="I246" i="9"/>
  <c r="J246" i="9"/>
  <c r="K246" i="9"/>
  <c r="L246" i="9"/>
  <c r="M246" i="9"/>
  <c r="N246" i="9"/>
  <c r="O246" i="9"/>
  <c r="P246" i="9"/>
  <c r="Q246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G246" i="9"/>
  <c r="AH246" i="9"/>
  <c r="AI246" i="9"/>
  <c r="AJ246" i="9"/>
  <c r="BF246" i="9"/>
  <c r="BG246" i="9"/>
  <c r="BH246" i="9"/>
  <c r="BI246" i="9"/>
  <c r="BJ246" i="9"/>
  <c r="BK246" i="9"/>
  <c r="BL246" i="9"/>
  <c r="BM246" i="9"/>
  <c r="BN246" i="9"/>
  <c r="BO246" i="9"/>
  <c r="BP246" i="9"/>
  <c r="BQ246" i="9"/>
  <c r="BR246" i="9"/>
  <c r="BS246" i="9"/>
  <c r="BT246" i="9"/>
  <c r="BU246" i="9"/>
  <c r="BV246" i="9"/>
  <c r="BW246" i="9"/>
  <c r="BX246" i="9"/>
  <c r="BY246" i="9"/>
  <c r="BZ246" i="9"/>
  <c r="CA246" i="9"/>
  <c r="CB246" i="9"/>
  <c r="CC246" i="9"/>
  <c r="CD246" i="9"/>
  <c r="CE246" i="9"/>
  <c r="CF246" i="9"/>
  <c r="CG246" i="9"/>
  <c r="CH246" i="9"/>
  <c r="CI246" i="9"/>
  <c r="CM246" i="9"/>
  <c r="CN246" i="9"/>
  <c r="CO246" i="9"/>
  <c r="CP246" i="9"/>
  <c r="CQ246" i="9"/>
  <c r="CR246" i="9"/>
  <c r="D254" i="9"/>
  <c r="E254" i="9"/>
  <c r="F254" i="9"/>
  <c r="G254" i="9"/>
  <c r="H254" i="9"/>
  <c r="I254" i="9"/>
  <c r="J254" i="9"/>
  <c r="K254" i="9"/>
  <c r="L254" i="9"/>
  <c r="M254" i="9"/>
  <c r="N254" i="9"/>
  <c r="O254" i="9"/>
  <c r="P254" i="9"/>
  <c r="Q254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G254" i="9"/>
  <c r="AH254" i="9"/>
  <c r="AI254" i="9"/>
  <c r="AJ254" i="9"/>
  <c r="BF254" i="9"/>
  <c r="BG254" i="9"/>
  <c r="BH254" i="9"/>
  <c r="BI254" i="9"/>
  <c r="BJ254" i="9"/>
  <c r="BK254" i="9"/>
  <c r="BL254" i="9"/>
  <c r="BM254" i="9"/>
  <c r="BN254" i="9"/>
  <c r="BO254" i="9"/>
  <c r="BP254" i="9"/>
  <c r="BQ254" i="9"/>
  <c r="BR254" i="9"/>
  <c r="BS254" i="9"/>
  <c r="BT254" i="9"/>
  <c r="BU254" i="9"/>
  <c r="BV254" i="9"/>
  <c r="BW254" i="9"/>
  <c r="BX254" i="9"/>
  <c r="BY254" i="9"/>
  <c r="BZ254" i="9"/>
  <c r="CA254" i="9"/>
  <c r="CB254" i="9"/>
  <c r="CC254" i="9"/>
  <c r="CD254" i="9"/>
  <c r="CE254" i="9"/>
  <c r="CF254" i="9"/>
  <c r="CG254" i="9"/>
  <c r="CH254" i="9"/>
  <c r="CI254" i="9"/>
  <c r="CM254" i="9"/>
  <c r="CN254" i="9"/>
  <c r="CO254" i="9"/>
  <c r="CP254" i="9"/>
  <c r="CQ254" i="9"/>
  <c r="CR254" i="9"/>
  <c r="D302" i="9"/>
  <c r="E302" i="9"/>
  <c r="F302" i="9"/>
  <c r="G302" i="9"/>
  <c r="H302" i="9"/>
  <c r="I302" i="9"/>
  <c r="J302" i="9"/>
  <c r="K302" i="9"/>
  <c r="L302" i="9"/>
  <c r="M302" i="9"/>
  <c r="N302" i="9"/>
  <c r="O302" i="9"/>
  <c r="P302" i="9"/>
  <c r="Q302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G302" i="9"/>
  <c r="AH302" i="9"/>
  <c r="AI302" i="9"/>
  <c r="AJ302" i="9"/>
  <c r="BF302" i="9"/>
  <c r="BG302" i="9"/>
  <c r="BH302" i="9"/>
  <c r="BI302" i="9"/>
  <c r="BJ302" i="9"/>
  <c r="BK302" i="9"/>
  <c r="BL302" i="9"/>
  <c r="BM302" i="9"/>
  <c r="BN302" i="9"/>
  <c r="BO302" i="9"/>
  <c r="BP302" i="9"/>
  <c r="BQ302" i="9"/>
  <c r="BR302" i="9"/>
  <c r="BS302" i="9"/>
  <c r="BT302" i="9"/>
  <c r="BU302" i="9"/>
  <c r="BV302" i="9"/>
  <c r="BW302" i="9"/>
  <c r="BX302" i="9"/>
  <c r="BY302" i="9"/>
  <c r="BZ302" i="9"/>
  <c r="CA302" i="9"/>
  <c r="CB302" i="9"/>
  <c r="CC302" i="9"/>
  <c r="CD302" i="9"/>
  <c r="CE302" i="9"/>
  <c r="CF302" i="9"/>
  <c r="CG302" i="9"/>
  <c r="CH302" i="9"/>
  <c r="CI302" i="9"/>
  <c r="CM302" i="9"/>
  <c r="CN302" i="9"/>
  <c r="CO302" i="9"/>
  <c r="CP302" i="9"/>
  <c r="CQ302" i="9"/>
  <c r="CR302" i="9"/>
  <c r="D310" i="9"/>
  <c r="E310" i="9"/>
  <c r="F310" i="9"/>
  <c r="G310" i="9"/>
  <c r="H310" i="9"/>
  <c r="I310" i="9"/>
  <c r="J310" i="9"/>
  <c r="K310" i="9"/>
  <c r="L310" i="9"/>
  <c r="M310" i="9"/>
  <c r="N310" i="9"/>
  <c r="O310" i="9"/>
  <c r="P310" i="9"/>
  <c r="Q310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G310" i="9"/>
  <c r="AH310" i="9"/>
  <c r="AI310" i="9"/>
  <c r="AJ310" i="9"/>
  <c r="BF310" i="9"/>
  <c r="BG310" i="9"/>
  <c r="BH310" i="9"/>
  <c r="BI310" i="9"/>
  <c r="BJ310" i="9"/>
  <c r="BK310" i="9"/>
  <c r="BL310" i="9"/>
  <c r="BM310" i="9"/>
  <c r="BN310" i="9"/>
  <c r="BO310" i="9"/>
  <c r="BP310" i="9"/>
  <c r="BQ310" i="9"/>
  <c r="BR310" i="9"/>
  <c r="BS310" i="9"/>
  <c r="BT310" i="9"/>
  <c r="BU310" i="9"/>
  <c r="BV310" i="9"/>
  <c r="BW310" i="9"/>
  <c r="BX310" i="9"/>
  <c r="BY310" i="9"/>
  <c r="BZ310" i="9"/>
  <c r="CA310" i="9"/>
  <c r="CB310" i="9"/>
  <c r="CC310" i="9"/>
  <c r="CD310" i="9"/>
  <c r="CE310" i="9"/>
  <c r="CF310" i="9"/>
  <c r="CG310" i="9"/>
  <c r="CH310" i="9"/>
  <c r="CI310" i="9"/>
  <c r="CM310" i="9"/>
  <c r="CN310" i="9"/>
  <c r="CO310" i="9"/>
  <c r="CP310" i="9"/>
  <c r="CQ310" i="9"/>
  <c r="CR310" i="9"/>
  <c r="D318" i="9"/>
  <c r="E318" i="9"/>
  <c r="F318" i="9"/>
  <c r="G318" i="9"/>
  <c r="H318" i="9"/>
  <c r="I318" i="9"/>
  <c r="J318" i="9"/>
  <c r="K318" i="9"/>
  <c r="L318" i="9"/>
  <c r="M318" i="9"/>
  <c r="N318" i="9"/>
  <c r="O318" i="9"/>
  <c r="P318" i="9"/>
  <c r="Q318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G318" i="9"/>
  <c r="AH318" i="9"/>
  <c r="AI318" i="9"/>
  <c r="AJ318" i="9"/>
  <c r="BF318" i="9"/>
  <c r="BG318" i="9"/>
  <c r="BH318" i="9"/>
  <c r="BI318" i="9"/>
  <c r="BJ318" i="9"/>
  <c r="BK318" i="9"/>
  <c r="BL318" i="9"/>
  <c r="BM318" i="9"/>
  <c r="BN318" i="9"/>
  <c r="BO318" i="9"/>
  <c r="BP318" i="9"/>
  <c r="BQ318" i="9"/>
  <c r="BR318" i="9"/>
  <c r="BS318" i="9"/>
  <c r="BT318" i="9"/>
  <c r="BU318" i="9"/>
  <c r="BV318" i="9"/>
  <c r="BW318" i="9"/>
  <c r="BX318" i="9"/>
  <c r="BY318" i="9"/>
  <c r="BZ318" i="9"/>
  <c r="CA318" i="9"/>
  <c r="CB318" i="9"/>
  <c r="CC318" i="9"/>
  <c r="CD318" i="9"/>
  <c r="CE318" i="9"/>
  <c r="CF318" i="9"/>
  <c r="CG318" i="9"/>
  <c r="CH318" i="9"/>
  <c r="CI318" i="9"/>
  <c r="CM318" i="9"/>
  <c r="CN318" i="9"/>
  <c r="CO318" i="9"/>
  <c r="CP318" i="9"/>
  <c r="CQ318" i="9"/>
  <c r="CR318" i="9"/>
  <c r="D326" i="9"/>
  <c r="E326" i="9"/>
  <c r="F326" i="9"/>
  <c r="G326" i="9"/>
  <c r="H326" i="9"/>
  <c r="I326" i="9"/>
  <c r="J326" i="9"/>
  <c r="K326" i="9"/>
  <c r="L326" i="9"/>
  <c r="M326" i="9"/>
  <c r="N326" i="9"/>
  <c r="O326" i="9"/>
  <c r="P326" i="9"/>
  <c r="Q326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G326" i="9"/>
  <c r="AH326" i="9"/>
  <c r="AI326" i="9"/>
  <c r="AJ326" i="9"/>
  <c r="BF326" i="9"/>
  <c r="BG326" i="9"/>
  <c r="BH326" i="9"/>
  <c r="BI326" i="9"/>
  <c r="BJ326" i="9"/>
  <c r="BK326" i="9"/>
  <c r="BL326" i="9"/>
  <c r="BM326" i="9"/>
  <c r="BN326" i="9"/>
  <c r="BO326" i="9"/>
  <c r="BP326" i="9"/>
  <c r="BQ326" i="9"/>
  <c r="BR326" i="9"/>
  <c r="BS326" i="9"/>
  <c r="BT326" i="9"/>
  <c r="BU326" i="9"/>
  <c r="BV326" i="9"/>
  <c r="BW326" i="9"/>
  <c r="BX326" i="9"/>
  <c r="BY326" i="9"/>
  <c r="BZ326" i="9"/>
  <c r="CA326" i="9"/>
  <c r="CB326" i="9"/>
  <c r="CC326" i="9"/>
  <c r="CD326" i="9"/>
  <c r="CE326" i="9"/>
  <c r="CF326" i="9"/>
  <c r="CG326" i="9"/>
  <c r="CH326" i="9"/>
  <c r="CI326" i="9"/>
  <c r="CM326" i="9"/>
  <c r="CN326" i="9"/>
  <c r="CO326" i="9"/>
  <c r="CP326" i="9"/>
  <c r="CQ326" i="9"/>
  <c r="CR326" i="9"/>
  <c r="D331" i="9"/>
  <c r="E331" i="9"/>
  <c r="F331" i="9"/>
  <c r="G331" i="9"/>
  <c r="H331" i="9"/>
  <c r="I331" i="9"/>
  <c r="J331" i="9"/>
  <c r="K331" i="9"/>
  <c r="L331" i="9"/>
  <c r="M331" i="9"/>
  <c r="N331" i="9"/>
  <c r="O331" i="9"/>
  <c r="P331" i="9"/>
  <c r="Q331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G331" i="9"/>
  <c r="AH331" i="9"/>
  <c r="AI331" i="9"/>
  <c r="AJ331" i="9"/>
  <c r="BF331" i="9"/>
  <c r="BG331" i="9"/>
  <c r="BH331" i="9"/>
  <c r="BI331" i="9"/>
  <c r="BJ331" i="9"/>
  <c r="BK331" i="9"/>
  <c r="BL331" i="9"/>
  <c r="BM331" i="9"/>
  <c r="BN331" i="9"/>
  <c r="BO331" i="9"/>
  <c r="BP331" i="9"/>
  <c r="BQ331" i="9"/>
  <c r="BR331" i="9"/>
  <c r="BS331" i="9"/>
  <c r="BT331" i="9"/>
  <c r="BU331" i="9"/>
  <c r="BV331" i="9"/>
  <c r="BW331" i="9"/>
  <c r="BX331" i="9"/>
  <c r="BY331" i="9"/>
  <c r="BZ331" i="9"/>
  <c r="CA331" i="9"/>
  <c r="CB331" i="9"/>
  <c r="CC331" i="9"/>
  <c r="CD331" i="9"/>
  <c r="CE331" i="9"/>
  <c r="CF331" i="9"/>
  <c r="CG331" i="9"/>
  <c r="CH331" i="9"/>
  <c r="CI331" i="9"/>
  <c r="CM331" i="9"/>
  <c r="CN331" i="9"/>
  <c r="CO331" i="9"/>
  <c r="CP331" i="9"/>
  <c r="CQ331" i="9"/>
  <c r="CR331" i="9"/>
  <c r="D338" i="9"/>
  <c r="E338" i="9"/>
  <c r="F338" i="9"/>
  <c r="G338" i="9"/>
  <c r="H338" i="9"/>
  <c r="I338" i="9"/>
  <c r="J338" i="9"/>
  <c r="K338" i="9"/>
  <c r="L338" i="9"/>
  <c r="M338" i="9"/>
  <c r="N338" i="9"/>
  <c r="O338" i="9"/>
  <c r="P338" i="9"/>
  <c r="Q338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G338" i="9"/>
  <c r="AH338" i="9"/>
  <c r="AI338" i="9"/>
  <c r="AJ338" i="9"/>
  <c r="BF338" i="9"/>
  <c r="BG338" i="9"/>
  <c r="BH338" i="9"/>
  <c r="BI338" i="9"/>
  <c r="BJ338" i="9"/>
  <c r="BK338" i="9"/>
  <c r="BL338" i="9"/>
  <c r="BM338" i="9"/>
  <c r="BN338" i="9"/>
  <c r="BO338" i="9"/>
  <c r="BP338" i="9"/>
  <c r="BQ338" i="9"/>
  <c r="BR338" i="9"/>
  <c r="BS338" i="9"/>
  <c r="BT338" i="9"/>
  <c r="BU338" i="9"/>
  <c r="BV338" i="9"/>
  <c r="BW338" i="9"/>
  <c r="BX338" i="9"/>
  <c r="BY338" i="9"/>
  <c r="BZ338" i="9"/>
  <c r="CA338" i="9"/>
  <c r="CB338" i="9"/>
  <c r="CC338" i="9"/>
  <c r="CD338" i="9"/>
  <c r="CE338" i="9"/>
  <c r="CF338" i="9"/>
  <c r="CG338" i="9"/>
  <c r="CH338" i="9"/>
  <c r="CI338" i="9"/>
  <c r="CM338" i="9"/>
  <c r="CN338" i="9"/>
  <c r="CO338" i="9"/>
  <c r="CP338" i="9"/>
  <c r="CQ338" i="9"/>
  <c r="CR338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G54" i="9"/>
  <c r="AH54" i="9"/>
  <c r="AI54" i="9"/>
  <c r="AJ54" i="9"/>
  <c r="BF54" i="9"/>
  <c r="BG54" i="9"/>
  <c r="BH54" i="9"/>
  <c r="BI54" i="9"/>
  <c r="BJ54" i="9"/>
  <c r="BK54" i="9"/>
  <c r="BL54" i="9"/>
  <c r="BM54" i="9"/>
  <c r="BN54" i="9"/>
  <c r="BO54" i="9"/>
  <c r="BP54" i="9"/>
  <c r="BQ54" i="9"/>
  <c r="BR54" i="9"/>
  <c r="BS54" i="9"/>
  <c r="BT54" i="9"/>
  <c r="BU54" i="9"/>
  <c r="BV54" i="9"/>
  <c r="BW54" i="9"/>
  <c r="BX54" i="9"/>
  <c r="BY54" i="9"/>
  <c r="BZ54" i="9"/>
  <c r="CA54" i="9"/>
  <c r="CB54" i="9"/>
  <c r="CC54" i="9"/>
  <c r="CD54" i="9"/>
  <c r="CE54" i="9"/>
  <c r="CF54" i="9"/>
  <c r="CG54" i="9"/>
  <c r="CH54" i="9"/>
  <c r="CI54" i="9"/>
  <c r="CM54" i="9"/>
  <c r="CN54" i="9"/>
  <c r="CO54" i="9"/>
  <c r="CP54" i="9"/>
  <c r="CQ54" i="9"/>
  <c r="CR54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G57" i="9"/>
  <c r="AH57" i="9"/>
  <c r="AI57" i="9"/>
  <c r="AJ57" i="9"/>
  <c r="BF57" i="9"/>
  <c r="BG57" i="9"/>
  <c r="BH57" i="9"/>
  <c r="BI57" i="9"/>
  <c r="BJ57" i="9"/>
  <c r="BK57" i="9"/>
  <c r="BL57" i="9"/>
  <c r="BM57" i="9"/>
  <c r="BN57" i="9"/>
  <c r="BO57" i="9"/>
  <c r="BP57" i="9"/>
  <c r="BQ57" i="9"/>
  <c r="BR57" i="9"/>
  <c r="BS57" i="9"/>
  <c r="BT57" i="9"/>
  <c r="BU57" i="9"/>
  <c r="BV57" i="9"/>
  <c r="BW57" i="9"/>
  <c r="BX57" i="9"/>
  <c r="BY57" i="9"/>
  <c r="BZ57" i="9"/>
  <c r="CA57" i="9"/>
  <c r="CB57" i="9"/>
  <c r="CC57" i="9"/>
  <c r="CD57" i="9"/>
  <c r="CE57" i="9"/>
  <c r="CF57" i="9"/>
  <c r="CG57" i="9"/>
  <c r="CH57" i="9"/>
  <c r="CI57" i="9"/>
  <c r="CM57" i="9"/>
  <c r="CN57" i="9"/>
  <c r="CO57" i="9"/>
  <c r="CP57" i="9"/>
  <c r="CQ57" i="9"/>
  <c r="CR57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G65" i="9"/>
  <c r="AH65" i="9"/>
  <c r="AI65" i="9"/>
  <c r="AJ65" i="9"/>
  <c r="BF65" i="9"/>
  <c r="BG65" i="9"/>
  <c r="BH65" i="9"/>
  <c r="BI65" i="9"/>
  <c r="BJ65" i="9"/>
  <c r="BK65" i="9"/>
  <c r="BL65" i="9"/>
  <c r="BM65" i="9"/>
  <c r="BN65" i="9"/>
  <c r="BO65" i="9"/>
  <c r="BP65" i="9"/>
  <c r="BQ65" i="9"/>
  <c r="BR65" i="9"/>
  <c r="BS65" i="9"/>
  <c r="BT65" i="9"/>
  <c r="BU65" i="9"/>
  <c r="BV65" i="9"/>
  <c r="BW65" i="9"/>
  <c r="BX65" i="9"/>
  <c r="BY65" i="9"/>
  <c r="BZ65" i="9"/>
  <c r="CA65" i="9"/>
  <c r="CB65" i="9"/>
  <c r="CC65" i="9"/>
  <c r="CD65" i="9"/>
  <c r="CE65" i="9"/>
  <c r="CF65" i="9"/>
  <c r="CG65" i="9"/>
  <c r="CH65" i="9"/>
  <c r="CI65" i="9"/>
  <c r="CM65" i="9"/>
  <c r="CN65" i="9"/>
  <c r="CO65" i="9"/>
  <c r="CP65" i="9"/>
  <c r="CQ65" i="9"/>
  <c r="CR65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G73" i="9"/>
  <c r="AH73" i="9"/>
  <c r="AI73" i="9"/>
  <c r="AJ73" i="9"/>
  <c r="BF73" i="9"/>
  <c r="BG73" i="9"/>
  <c r="BH73" i="9"/>
  <c r="BI73" i="9"/>
  <c r="BJ73" i="9"/>
  <c r="BK73" i="9"/>
  <c r="BL73" i="9"/>
  <c r="BM73" i="9"/>
  <c r="BN73" i="9"/>
  <c r="BO73" i="9"/>
  <c r="BP73" i="9"/>
  <c r="BQ73" i="9"/>
  <c r="BR73" i="9"/>
  <c r="BS73" i="9"/>
  <c r="BT73" i="9"/>
  <c r="BU73" i="9"/>
  <c r="BV73" i="9"/>
  <c r="BW73" i="9"/>
  <c r="BX73" i="9"/>
  <c r="BY73" i="9"/>
  <c r="BZ73" i="9"/>
  <c r="CA73" i="9"/>
  <c r="CB73" i="9"/>
  <c r="CC73" i="9"/>
  <c r="CD73" i="9"/>
  <c r="CE73" i="9"/>
  <c r="CF73" i="9"/>
  <c r="CG73" i="9"/>
  <c r="CH73" i="9"/>
  <c r="CI73" i="9"/>
  <c r="CM73" i="9"/>
  <c r="CN73" i="9"/>
  <c r="CO73" i="9"/>
  <c r="CP73" i="9"/>
  <c r="CQ73" i="9"/>
  <c r="CR73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G77" i="9"/>
  <c r="AH77" i="9"/>
  <c r="AI77" i="9"/>
  <c r="AJ77" i="9"/>
  <c r="BF77" i="9"/>
  <c r="BG77" i="9"/>
  <c r="BH77" i="9"/>
  <c r="BI77" i="9"/>
  <c r="BJ77" i="9"/>
  <c r="BK77" i="9"/>
  <c r="BL77" i="9"/>
  <c r="BM77" i="9"/>
  <c r="BN77" i="9"/>
  <c r="BO77" i="9"/>
  <c r="BP77" i="9"/>
  <c r="BQ77" i="9"/>
  <c r="BR77" i="9"/>
  <c r="BS77" i="9"/>
  <c r="BT77" i="9"/>
  <c r="BU77" i="9"/>
  <c r="BV77" i="9"/>
  <c r="BW77" i="9"/>
  <c r="BX77" i="9"/>
  <c r="BY77" i="9"/>
  <c r="BZ77" i="9"/>
  <c r="CA77" i="9"/>
  <c r="CB77" i="9"/>
  <c r="CC77" i="9"/>
  <c r="CD77" i="9"/>
  <c r="CE77" i="9"/>
  <c r="CF77" i="9"/>
  <c r="CG77" i="9"/>
  <c r="CH77" i="9"/>
  <c r="CI77" i="9"/>
  <c r="CM77" i="9"/>
  <c r="CN77" i="9"/>
  <c r="CO77" i="9"/>
  <c r="CP77" i="9"/>
  <c r="CQ77" i="9"/>
  <c r="CR77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G79" i="9"/>
  <c r="AH79" i="9"/>
  <c r="AI79" i="9"/>
  <c r="AJ79" i="9"/>
  <c r="BF79" i="9"/>
  <c r="BG79" i="9"/>
  <c r="BH79" i="9"/>
  <c r="BI79" i="9"/>
  <c r="BJ79" i="9"/>
  <c r="BK79" i="9"/>
  <c r="BL79" i="9"/>
  <c r="BM79" i="9"/>
  <c r="BN79" i="9"/>
  <c r="BO79" i="9"/>
  <c r="BP79" i="9"/>
  <c r="BQ79" i="9"/>
  <c r="BR79" i="9"/>
  <c r="BS79" i="9"/>
  <c r="BT79" i="9"/>
  <c r="BU79" i="9"/>
  <c r="BV79" i="9"/>
  <c r="BW79" i="9"/>
  <c r="BX79" i="9"/>
  <c r="BY79" i="9"/>
  <c r="BZ79" i="9"/>
  <c r="CA79" i="9"/>
  <c r="CB79" i="9"/>
  <c r="CC79" i="9"/>
  <c r="CD79" i="9"/>
  <c r="CE79" i="9"/>
  <c r="CF79" i="9"/>
  <c r="CG79" i="9"/>
  <c r="CH79" i="9"/>
  <c r="CI79" i="9"/>
  <c r="CM79" i="9"/>
  <c r="CN79" i="9"/>
  <c r="CO79" i="9"/>
  <c r="CP79" i="9"/>
  <c r="CQ79" i="9"/>
  <c r="CR79" i="9"/>
  <c r="D214" i="9"/>
  <c r="E214" i="9"/>
  <c r="F214" i="9"/>
  <c r="G214" i="9"/>
  <c r="H214" i="9"/>
  <c r="I214" i="9"/>
  <c r="J214" i="9"/>
  <c r="K214" i="9"/>
  <c r="L214" i="9"/>
  <c r="M214" i="9"/>
  <c r="N214" i="9"/>
  <c r="O214" i="9"/>
  <c r="P214" i="9"/>
  <c r="Q214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G214" i="9"/>
  <c r="AH214" i="9"/>
  <c r="AI214" i="9"/>
  <c r="AJ214" i="9"/>
  <c r="BF214" i="9"/>
  <c r="BG214" i="9"/>
  <c r="BH214" i="9"/>
  <c r="BI214" i="9"/>
  <c r="BJ214" i="9"/>
  <c r="BK214" i="9"/>
  <c r="BL214" i="9"/>
  <c r="BM214" i="9"/>
  <c r="BN214" i="9"/>
  <c r="BO214" i="9"/>
  <c r="BP214" i="9"/>
  <c r="BQ214" i="9"/>
  <c r="BR214" i="9"/>
  <c r="BS214" i="9"/>
  <c r="BT214" i="9"/>
  <c r="BU214" i="9"/>
  <c r="BV214" i="9"/>
  <c r="BW214" i="9"/>
  <c r="BX214" i="9"/>
  <c r="BY214" i="9"/>
  <c r="BZ214" i="9"/>
  <c r="CA214" i="9"/>
  <c r="CB214" i="9"/>
  <c r="CC214" i="9"/>
  <c r="CD214" i="9"/>
  <c r="CE214" i="9"/>
  <c r="CF214" i="9"/>
  <c r="CG214" i="9"/>
  <c r="CH214" i="9"/>
  <c r="CI214" i="9"/>
  <c r="CM214" i="9"/>
  <c r="CN214" i="9"/>
  <c r="CO214" i="9"/>
  <c r="CP214" i="9"/>
  <c r="CQ214" i="9"/>
  <c r="CR214" i="9"/>
  <c r="D222" i="9"/>
  <c r="E222" i="9"/>
  <c r="F222" i="9"/>
  <c r="G222" i="9"/>
  <c r="H222" i="9"/>
  <c r="I222" i="9"/>
  <c r="J222" i="9"/>
  <c r="K222" i="9"/>
  <c r="L222" i="9"/>
  <c r="M222" i="9"/>
  <c r="N222" i="9"/>
  <c r="O222" i="9"/>
  <c r="P222" i="9"/>
  <c r="Q222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G222" i="9"/>
  <c r="AH222" i="9"/>
  <c r="AI222" i="9"/>
  <c r="AJ222" i="9"/>
  <c r="BF222" i="9"/>
  <c r="BG222" i="9"/>
  <c r="BH222" i="9"/>
  <c r="BI222" i="9"/>
  <c r="BJ222" i="9"/>
  <c r="BK222" i="9"/>
  <c r="BL222" i="9"/>
  <c r="BM222" i="9"/>
  <c r="BN222" i="9"/>
  <c r="BO222" i="9"/>
  <c r="BP222" i="9"/>
  <c r="BQ222" i="9"/>
  <c r="BR222" i="9"/>
  <c r="BS222" i="9"/>
  <c r="BT222" i="9"/>
  <c r="BU222" i="9"/>
  <c r="BV222" i="9"/>
  <c r="BW222" i="9"/>
  <c r="BX222" i="9"/>
  <c r="BY222" i="9"/>
  <c r="BZ222" i="9"/>
  <c r="CA222" i="9"/>
  <c r="CB222" i="9"/>
  <c r="CC222" i="9"/>
  <c r="CD222" i="9"/>
  <c r="CE222" i="9"/>
  <c r="CF222" i="9"/>
  <c r="CG222" i="9"/>
  <c r="CH222" i="9"/>
  <c r="CI222" i="9"/>
  <c r="CM222" i="9"/>
  <c r="CN222" i="9"/>
  <c r="CO222" i="9"/>
  <c r="CP222" i="9"/>
  <c r="CQ222" i="9"/>
  <c r="CR222" i="9"/>
  <c r="D231" i="9"/>
  <c r="E231" i="9"/>
  <c r="F231" i="9"/>
  <c r="G231" i="9"/>
  <c r="H231" i="9"/>
  <c r="I231" i="9"/>
  <c r="J231" i="9"/>
  <c r="K231" i="9"/>
  <c r="L231" i="9"/>
  <c r="M231" i="9"/>
  <c r="N231" i="9"/>
  <c r="O231" i="9"/>
  <c r="P231" i="9"/>
  <c r="Q231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G231" i="9"/>
  <c r="AH231" i="9"/>
  <c r="AI231" i="9"/>
  <c r="AJ231" i="9"/>
  <c r="BF231" i="9"/>
  <c r="BG231" i="9"/>
  <c r="BH231" i="9"/>
  <c r="BI231" i="9"/>
  <c r="BJ231" i="9"/>
  <c r="BK231" i="9"/>
  <c r="BL231" i="9"/>
  <c r="BM231" i="9"/>
  <c r="BN231" i="9"/>
  <c r="BO231" i="9"/>
  <c r="BP231" i="9"/>
  <c r="BQ231" i="9"/>
  <c r="BR231" i="9"/>
  <c r="BS231" i="9"/>
  <c r="BT231" i="9"/>
  <c r="BU231" i="9"/>
  <c r="BV231" i="9"/>
  <c r="BW231" i="9"/>
  <c r="BX231" i="9"/>
  <c r="BY231" i="9"/>
  <c r="BZ231" i="9"/>
  <c r="CA231" i="9"/>
  <c r="CB231" i="9"/>
  <c r="CC231" i="9"/>
  <c r="CD231" i="9"/>
  <c r="CE231" i="9"/>
  <c r="CF231" i="9"/>
  <c r="CG231" i="9"/>
  <c r="CH231" i="9"/>
  <c r="CI231" i="9"/>
  <c r="CM231" i="9"/>
  <c r="CN231" i="9"/>
  <c r="CO231" i="9"/>
  <c r="CP231" i="9"/>
  <c r="CQ231" i="9"/>
  <c r="CR231" i="9"/>
  <c r="D239" i="9"/>
  <c r="E239" i="9"/>
  <c r="F239" i="9"/>
  <c r="G239" i="9"/>
  <c r="H239" i="9"/>
  <c r="I239" i="9"/>
  <c r="J239" i="9"/>
  <c r="K239" i="9"/>
  <c r="L239" i="9"/>
  <c r="M239" i="9"/>
  <c r="N239" i="9"/>
  <c r="O239" i="9"/>
  <c r="P239" i="9"/>
  <c r="Q239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G239" i="9"/>
  <c r="AH239" i="9"/>
  <c r="AI239" i="9"/>
  <c r="AJ239" i="9"/>
  <c r="BF239" i="9"/>
  <c r="BG239" i="9"/>
  <c r="BH239" i="9"/>
  <c r="BI239" i="9"/>
  <c r="BJ239" i="9"/>
  <c r="BK239" i="9"/>
  <c r="BL239" i="9"/>
  <c r="BM239" i="9"/>
  <c r="BN239" i="9"/>
  <c r="BO239" i="9"/>
  <c r="BP239" i="9"/>
  <c r="BQ239" i="9"/>
  <c r="BR239" i="9"/>
  <c r="BS239" i="9"/>
  <c r="BT239" i="9"/>
  <c r="BU239" i="9"/>
  <c r="BV239" i="9"/>
  <c r="BW239" i="9"/>
  <c r="BX239" i="9"/>
  <c r="BY239" i="9"/>
  <c r="BZ239" i="9"/>
  <c r="CA239" i="9"/>
  <c r="CB239" i="9"/>
  <c r="CC239" i="9"/>
  <c r="CD239" i="9"/>
  <c r="CE239" i="9"/>
  <c r="CF239" i="9"/>
  <c r="CG239" i="9"/>
  <c r="CH239" i="9"/>
  <c r="CI239" i="9"/>
  <c r="CM239" i="9"/>
  <c r="CN239" i="9"/>
  <c r="CO239" i="9"/>
  <c r="CP239" i="9"/>
  <c r="CQ239" i="9"/>
  <c r="CR239" i="9"/>
  <c r="D247" i="9"/>
  <c r="E247" i="9"/>
  <c r="F247" i="9"/>
  <c r="G247" i="9"/>
  <c r="H247" i="9"/>
  <c r="I247" i="9"/>
  <c r="J247" i="9"/>
  <c r="K247" i="9"/>
  <c r="L247" i="9"/>
  <c r="M247" i="9"/>
  <c r="N247" i="9"/>
  <c r="O247" i="9"/>
  <c r="P247" i="9"/>
  <c r="Q247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G247" i="9"/>
  <c r="AH247" i="9"/>
  <c r="AI247" i="9"/>
  <c r="AJ247" i="9"/>
  <c r="BF247" i="9"/>
  <c r="BG247" i="9"/>
  <c r="BH247" i="9"/>
  <c r="BI247" i="9"/>
  <c r="BJ247" i="9"/>
  <c r="BK247" i="9"/>
  <c r="BL247" i="9"/>
  <c r="BM247" i="9"/>
  <c r="BN247" i="9"/>
  <c r="BO247" i="9"/>
  <c r="BP247" i="9"/>
  <c r="BQ247" i="9"/>
  <c r="BR247" i="9"/>
  <c r="BS247" i="9"/>
  <c r="BT247" i="9"/>
  <c r="BU247" i="9"/>
  <c r="BV247" i="9"/>
  <c r="BW247" i="9"/>
  <c r="BX247" i="9"/>
  <c r="BY247" i="9"/>
  <c r="BZ247" i="9"/>
  <c r="CA247" i="9"/>
  <c r="CB247" i="9"/>
  <c r="CC247" i="9"/>
  <c r="CD247" i="9"/>
  <c r="CE247" i="9"/>
  <c r="CF247" i="9"/>
  <c r="CG247" i="9"/>
  <c r="CH247" i="9"/>
  <c r="CI247" i="9"/>
  <c r="CM247" i="9"/>
  <c r="CN247" i="9"/>
  <c r="CO247" i="9"/>
  <c r="CP247" i="9"/>
  <c r="CQ247" i="9"/>
  <c r="CR247" i="9"/>
  <c r="D255" i="9"/>
  <c r="E255" i="9"/>
  <c r="F255" i="9"/>
  <c r="G255" i="9"/>
  <c r="H255" i="9"/>
  <c r="I255" i="9"/>
  <c r="J255" i="9"/>
  <c r="K255" i="9"/>
  <c r="L255" i="9"/>
  <c r="M255" i="9"/>
  <c r="N255" i="9"/>
  <c r="O255" i="9"/>
  <c r="P255" i="9"/>
  <c r="Q255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G255" i="9"/>
  <c r="AH255" i="9"/>
  <c r="AI255" i="9"/>
  <c r="AJ255" i="9"/>
  <c r="BF255" i="9"/>
  <c r="BG255" i="9"/>
  <c r="BH255" i="9"/>
  <c r="BI255" i="9"/>
  <c r="BJ255" i="9"/>
  <c r="BK255" i="9"/>
  <c r="BL255" i="9"/>
  <c r="BM255" i="9"/>
  <c r="BN255" i="9"/>
  <c r="BO255" i="9"/>
  <c r="BP255" i="9"/>
  <c r="BQ255" i="9"/>
  <c r="BR255" i="9"/>
  <c r="BS255" i="9"/>
  <c r="BT255" i="9"/>
  <c r="BU255" i="9"/>
  <c r="BV255" i="9"/>
  <c r="BW255" i="9"/>
  <c r="BX255" i="9"/>
  <c r="BY255" i="9"/>
  <c r="BZ255" i="9"/>
  <c r="CA255" i="9"/>
  <c r="CB255" i="9"/>
  <c r="CC255" i="9"/>
  <c r="CD255" i="9"/>
  <c r="CE255" i="9"/>
  <c r="CF255" i="9"/>
  <c r="CG255" i="9"/>
  <c r="CH255" i="9"/>
  <c r="CI255" i="9"/>
  <c r="CM255" i="9"/>
  <c r="CN255" i="9"/>
  <c r="CO255" i="9"/>
  <c r="CP255" i="9"/>
  <c r="CQ255" i="9"/>
  <c r="CR255" i="9"/>
  <c r="D303" i="9"/>
  <c r="E303" i="9"/>
  <c r="F303" i="9"/>
  <c r="G303" i="9"/>
  <c r="H303" i="9"/>
  <c r="I303" i="9"/>
  <c r="J303" i="9"/>
  <c r="K303" i="9"/>
  <c r="L303" i="9"/>
  <c r="M303" i="9"/>
  <c r="N303" i="9"/>
  <c r="O303" i="9"/>
  <c r="P303" i="9"/>
  <c r="Q303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G303" i="9"/>
  <c r="AH303" i="9"/>
  <c r="AI303" i="9"/>
  <c r="AJ303" i="9"/>
  <c r="BF303" i="9"/>
  <c r="BG303" i="9"/>
  <c r="BH303" i="9"/>
  <c r="BI303" i="9"/>
  <c r="BJ303" i="9"/>
  <c r="BK303" i="9"/>
  <c r="BL303" i="9"/>
  <c r="BM303" i="9"/>
  <c r="BN303" i="9"/>
  <c r="BO303" i="9"/>
  <c r="BP303" i="9"/>
  <c r="BQ303" i="9"/>
  <c r="BR303" i="9"/>
  <c r="BS303" i="9"/>
  <c r="BT303" i="9"/>
  <c r="BU303" i="9"/>
  <c r="BV303" i="9"/>
  <c r="BW303" i="9"/>
  <c r="BX303" i="9"/>
  <c r="BY303" i="9"/>
  <c r="BZ303" i="9"/>
  <c r="CA303" i="9"/>
  <c r="CB303" i="9"/>
  <c r="CC303" i="9"/>
  <c r="CD303" i="9"/>
  <c r="CE303" i="9"/>
  <c r="CF303" i="9"/>
  <c r="CG303" i="9"/>
  <c r="CH303" i="9"/>
  <c r="CI303" i="9"/>
  <c r="CM303" i="9"/>
  <c r="CN303" i="9"/>
  <c r="CO303" i="9"/>
  <c r="CP303" i="9"/>
  <c r="CQ303" i="9"/>
  <c r="CR303" i="9"/>
  <c r="D311" i="9"/>
  <c r="E311" i="9"/>
  <c r="F311" i="9"/>
  <c r="G311" i="9"/>
  <c r="H311" i="9"/>
  <c r="I311" i="9"/>
  <c r="J311" i="9"/>
  <c r="K311" i="9"/>
  <c r="L311" i="9"/>
  <c r="M311" i="9"/>
  <c r="N311" i="9"/>
  <c r="O311" i="9"/>
  <c r="P311" i="9"/>
  <c r="Q311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G311" i="9"/>
  <c r="AH311" i="9"/>
  <c r="AI311" i="9"/>
  <c r="AJ311" i="9"/>
  <c r="BF311" i="9"/>
  <c r="BG311" i="9"/>
  <c r="BH311" i="9"/>
  <c r="BI311" i="9"/>
  <c r="BJ311" i="9"/>
  <c r="BK311" i="9"/>
  <c r="BL311" i="9"/>
  <c r="BM311" i="9"/>
  <c r="BN311" i="9"/>
  <c r="BO311" i="9"/>
  <c r="BP311" i="9"/>
  <c r="BQ311" i="9"/>
  <c r="BR311" i="9"/>
  <c r="BS311" i="9"/>
  <c r="BT311" i="9"/>
  <c r="BU311" i="9"/>
  <c r="BV311" i="9"/>
  <c r="BW311" i="9"/>
  <c r="BX311" i="9"/>
  <c r="BY311" i="9"/>
  <c r="BZ311" i="9"/>
  <c r="CA311" i="9"/>
  <c r="CB311" i="9"/>
  <c r="CC311" i="9"/>
  <c r="CD311" i="9"/>
  <c r="CE311" i="9"/>
  <c r="CF311" i="9"/>
  <c r="CG311" i="9"/>
  <c r="CH311" i="9"/>
  <c r="CI311" i="9"/>
  <c r="CM311" i="9"/>
  <c r="CN311" i="9"/>
  <c r="CO311" i="9"/>
  <c r="CP311" i="9"/>
  <c r="CQ311" i="9"/>
  <c r="CR311" i="9"/>
  <c r="D319" i="9"/>
  <c r="E319" i="9"/>
  <c r="F319" i="9"/>
  <c r="G319" i="9"/>
  <c r="H319" i="9"/>
  <c r="I319" i="9"/>
  <c r="J319" i="9"/>
  <c r="K319" i="9"/>
  <c r="L319" i="9"/>
  <c r="M319" i="9"/>
  <c r="N319" i="9"/>
  <c r="O319" i="9"/>
  <c r="P319" i="9"/>
  <c r="Q319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G319" i="9"/>
  <c r="AH319" i="9"/>
  <c r="AI319" i="9"/>
  <c r="AJ319" i="9"/>
  <c r="BF319" i="9"/>
  <c r="BG319" i="9"/>
  <c r="BH319" i="9"/>
  <c r="BI319" i="9"/>
  <c r="BJ319" i="9"/>
  <c r="BK319" i="9"/>
  <c r="BL319" i="9"/>
  <c r="BM319" i="9"/>
  <c r="BN319" i="9"/>
  <c r="BO319" i="9"/>
  <c r="BP319" i="9"/>
  <c r="BQ319" i="9"/>
  <c r="BR319" i="9"/>
  <c r="BS319" i="9"/>
  <c r="BT319" i="9"/>
  <c r="BU319" i="9"/>
  <c r="BV319" i="9"/>
  <c r="BW319" i="9"/>
  <c r="BX319" i="9"/>
  <c r="BY319" i="9"/>
  <c r="BZ319" i="9"/>
  <c r="CA319" i="9"/>
  <c r="CB319" i="9"/>
  <c r="CC319" i="9"/>
  <c r="CD319" i="9"/>
  <c r="CE319" i="9"/>
  <c r="CF319" i="9"/>
  <c r="CG319" i="9"/>
  <c r="CH319" i="9"/>
  <c r="CI319" i="9"/>
  <c r="CM319" i="9"/>
  <c r="CN319" i="9"/>
  <c r="CO319" i="9"/>
  <c r="CP319" i="9"/>
  <c r="CQ319" i="9"/>
  <c r="CR319" i="9"/>
  <c r="D327" i="9"/>
  <c r="E327" i="9"/>
  <c r="F327" i="9"/>
  <c r="G327" i="9"/>
  <c r="H327" i="9"/>
  <c r="I327" i="9"/>
  <c r="J327" i="9"/>
  <c r="K327" i="9"/>
  <c r="L327" i="9"/>
  <c r="M327" i="9"/>
  <c r="N327" i="9"/>
  <c r="O327" i="9"/>
  <c r="P327" i="9"/>
  <c r="Q327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G327" i="9"/>
  <c r="AH327" i="9"/>
  <c r="AI327" i="9"/>
  <c r="AJ327" i="9"/>
  <c r="BF327" i="9"/>
  <c r="BG327" i="9"/>
  <c r="BH327" i="9"/>
  <c r="BI327" i="9"/>
  <c r="BJ327" i="9"/>
  <c r="BK327" i="9"/>
  <c r="BL327" i="9"/>
  <c r="BM327" i="9"/>
  <c r="BN327" i="9"/>
  <c r="BO327" i="9"/>
  <c r="BP327" i="9"/>
  <c r="BQ327" i="9"/>
  <c r="BR327" i="9"/>
  <c r="BS327" i="9"/>
  <c r="BT327" i="9"/>
  <c r="BU327" i="9"/>
  <c r="BV327" i="9"/>
  <c r="BW327" i="9"/>
  <c r="BX327" i="9"/>
  <c r="BY327" i="9"/>
  <c r="BZ327" i="9"/>
  <c r="CA327" i="9"/>
  <c r="CB327" i="9"/>
  <c r="CC327" i="9"/>
  <c r="CD327" i="9"/>
  <c r="CE327" i="9"/>
  <c r="CF327" i="9"/>
  <c r="CG327" i="9"/>
  <c r="CH327" i="9"/>
  <c r="CI327" i="9"/>
  <c r="CM327" i="9"/>
  <c r="CN327" i="9"/>
  <c r="CO327" i="9"/>
  <c r="CP327" i="9"/>
  <c r="CQ327" i="9"/>
  <c r="CR327" i="9"/>
  <c r="D332" i="9"/>
  <c r="E332" i="9"/>
  <c r="F332" i="9"/>
  <c r="G332" i="9"/>
  <c r="H332" i="9"/>
  <c r="I332" i="9"/>
  <c r="J332" i="9"/>
  <c r="K332" i="9"/>
  <c r="L332" i="9"/>
  <c r="M332" i="9"/>
  <c r="N332" i="9"/>
  <c r="O332" i="9"/>
  <c r="P332" i="9"/>
  <c r="Q332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G332" i="9"/>
  <c r="AH332" i="9"/>
  <c r="AI332" i="9"/>
  <c r="AJ332" i="9"/>
  <c r="BF332" i="9"/>
  <c r="BG332" i="9"/>
  <c r="BH332" i="9"/>
  <c r="BI332" i="9"/>
  <c r="BJ332" i="9"/>
  <c r="BK332" i="9"/>
  <c r="BL332" i="9"/>
  <c r="BM332" i="9"/>
  <c r="BN332" i="9"/>
  <c r="BO332" i="9"/>
  <c r="BP332" i="9"/>
  <c r="BQ332" i="9"/>
  <c r="BR332" i="9"/>
  <c r="BS332" i="9"/>
  <c r="BT332" i="9"/>
  <c r="BU332" i="9"/>
  <c r="BV332" i="9"/>
  <c r="BW332" i="9"/>
  <c r="BX332" i="9"/>
  <c r="BY332" i="9"/>
  <c r="BZ332" i="9"/>
  <c r="CA332" i="9"/>
  <c r="CB332" i="9"/>
  <c r="CC332" i="9"/>
  <c r="CD332" i="9"/>
  <c r="CE332" i="9"/>
  <c r="CF332" i="9"/>
  <c r="CG332" i="9"/>
  <c r="CH332" i="9"/>
  <c r="CI332" i="9"/>
  <c r="CM332" i="9"/>
  <c r="CN332" i="9"/>
  <c r="CO332" i="9"/>
  <c r="CP332" i="9"/>
  <c r="CQ332" i="9"/>
  <c r="CR332" i="9"/>
  <c r="D339" i="9"/>
  <c r="E339" i="9"/>
  <c r="F339" i="9"/>
  <c r="G339" i="9"/>
  <c r="H339" i="9"/>
  <c r="I339" i="9"/>
  <c r="J339" i="9"/>
  <c r="K339" i="9"/>
  <c r="L339" i="9"/>
  <c r="M339" i="9"/>
  <c r="N339" i="9"/>
  <c r="O339" i="9"/>
  <c r="P339" i="9"/>
  <c r="Q339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G339" i="9"/>
  <c r="AH339" i="9"/>
  <c r="AI339" i="9"/>
  <c r="AJ339" i="9"/>
  <c r="BF339" i="9"/>
  <c r="BG339" i="9"/>
  <c r="BH339" i="9"/>
  <c r="BI339" i="9"/>
  <c r="BJ339" i="9"/>
  <c r="BK339" i="9"/>
  <c r="BL339" i="9"/>
  <c r="BM339" i="9"/>
  <c r="BN339" i="9"/>
  <c r="BO339" i="9"/>
  <c r="BP339" i="9"/>
  <c r="BQ339" i="9"/>
  <c r="BR339" i="9"/>
  <c r="BS339" i="9"/>
  <c r="BT339" i="9"/>
  <c r="BU339" i="9"/>
  <c r="BV339" i="9"/>
  <c r="BW339" i="9"/>
  <c r="BX339" i="9"/>
  <c r="BY339" i="9"/>
  <c r="BZ339" i="9"/>
  <c r="CA339" i="9"/>
  <c r="CB339" i="9"/>
  <c r="CC339" i="9"/>
  <c r="CD339" i="9"/>
  <c r="CE339" i="9"/>
  <c r="CF339" i="9"/>
  <c r="CG339" i="9"/>
  <c r="CH339" i="9"/>
  <c r="CI339" i="9"/>
  <c r="CM339" i="9"/>
  <c r="CN339" i="9"/>
  <c r="CO339" i="9"/>
  <c r="CP339" i="9"/>
  <c r="CQ339" i="9"/>
  <c r="CR339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G55" i="9"/>
  <c r="AH55" i="9"/>
  <c r="AI55" i="9"/>
  <c r="AJ55" i="9"/>
  <c r="BF55" i="9"/>
  <c r="BG55" i="9"/>
  <c r="BH55" i="9"/>
  <c r="BI55" i="9"/>
  <c r="BJ55" i="9"/>
  <c r="BK55" i="9"/>
  <c r="BL55" i="9"/>
  <c r="BM55" i="9"/>
  <c r="BN55" i="9"/>
  <c r="BO55" i="9"/>
  <c r="BP55" i="9"/>
  <c r="BQ55" i="9"/>
  <c r="BR55" i="9"/>
  <c r="BS55" i="9"/>
  <c r="BT55" i="9"/>
  <c r="BU55" i="9"/>
  <c r="BV55" i="9"/>
  <c r="BW55" i="9"/>
  <c r="BX55" i="9"/>
  <c r="BY55" i="9"/>
  <c r="BZ55" i="9"/>
  <c r="CA55" i="9"/>
  <c r="CB55" i="9"/>
  <c r="CC55" i="9"/>
  <c r="CD55" i="9"/>
  <c r="CE55" i="9"/>
  <c r="CF55" i="9"/>
  <c r="CG55" i="9"/>
  <c r="CH55" i="9"/>
  <c r="CI55" i="9"/>
  <c r="CM55" i="9"/>
  <c r="CN55" i="9"/>
  <c r="CO55" i="9"/>
  <c r="CP55" i="9"/>
  <c r="CQ55" i="9"/>
  <c r="CR55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G58" i="9"/>
  <c r="AH58" i="9"/>
  <c r="AI58" i="9"/>
  <c r="AJ58" i="9"/>
  <c r="BF58" i="9"/>
  <c r="BG58" i="9"/>
  <c r="BH58" i="9"/>
  <c r="BI58" i="9"/>
  <c r="BJ58" i="9"/>
  <c r="BK58" i="9"/>
  <c r="BL58" i="9"/>
  <c r="BM58" i="9"/>
  <c r="BN58" i="9"/>
  <c r="BO58" i="9"/>
  <c r="BP58" i="9"/>
  <c r="BQ58" i="9"/>
  <c r="BR58" i="9"/>
  <c r="BS58" i="9"/>
  <c r="BT58" i="9"/>
  <c r="BU58" i="9"/>
  <c r="BV58" i="9"/>
  <c r="BW58" i="9"/>
  <c r="BX58" i="9"/>
  <c r="BY58" i="9"/>
  <c r="BZ58" i="9"/>
  <c r="CA58" i="9"/>
  <c r="CB58" i="9"/>
  <c r="CC58" i="9"/>
  <c r="CD58" i="9"/>
  <c r="CE58" i="9"/>
  <c r="CF58" i="9"/>
  <c r="CG58" i="9"/>
  <c r="CH58" i="9"/>
  <c r="CI58" i="9"/>
  <c r="CM58" i="9"/>
  <c r="CN58" i="9"/>
  <c r="CO58" i="9"/>
  <c r="CP58" i="9"/>
  <c r="CQ58" i="9"/>
  <c r="CR58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G66" i="9"/>
  <c r="AH66" i="9"/>
  <c r="AI66" i="9"/>
  <c r="AJ66" i="9"/>
  <c r="BF66" i="9"/>
  <c r="BG66" i="9"/>
  <c r="BH66" i="9"/>
  <c r="BI66" i="9"/>
  <c r="BJ66" i="9"/>
  <c r="BK66" i="9"/>
  <c r="BL66" i="9"/>
  <c r="BM66" i="9"/>
  <c r="BN66" i="9"/>
  <c r="BO66" i="9"/>
  <c r="BP66" i="9"/>
  <c r="BQ66" i="9"/>
  <c r="BR66" i="9"/>
  <c r="BS66" i="9"/>
  <c r="BT66" i="9"/>
  <c r="BU66" i="9"/>
  <c r="BV66" i="9"/>
  <c r="BW66" i="9"/>
  <c r="BX66" i="9"/>
  <c r="BY66" i="9"/>
  <c r="BZ66" i="9"/>
  <c r="CA66" i="9"/>
  <c r="CB66" i="9"/>
  <c r="CC66" i="9"/>
  <c r="CD66" i="9"/>
  <c r="CE66" i="9"/>
  <c r="CF66" i="9"/>
  <c r="CG66" i="9"/>
  <c r="CH66" i="9"/>
  <c r="CI66" i="9"/>
  <c r="CM66" i="9"/>
  <c r="CN66" i="9"/>
  <c r="CO66" i="9"/>
  <c r="CP66" i="9"/>
  <c r="CQ66" i="9"/>
  <c r="CR66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G74" i="9"/>
  <c r="AH74" i="9"/>
  <c r="AI74" i="9"/>
  <c r="AJ74" i="9"/>
  <c r="BF74" i="9"/>
  <c r="BG74" i="9"/>
  <c r="BH74" i="9"/>
  <c r="BI74" i="9"/>
  <c r="BJ74" i="9"/>
  <c r="BK74" i="9"/>
  <c r="BL74" i="9"/>
  <c r="BM74" i="9"/>
  <c r="BN74" i="9"/>
  <c r="BO74" i="9"/>
  <c r="BP74" i="9"/>
  <c r="BQ74" i="9"/>
  <c r="BR74" i="9"/>
  <c r="BS74" i="9"/>
  <c r="BT74" i="9"/>
  <c r="BU74" i="9"/>
  <c r="BV74" i="9"/>
  <c r="BW74" i="9"/>
  <c r="BX74" i="9"/>
  <c r="BY74" i="9"/>
  <c r="BZ74" i="9"/>
  <c r="CA74" i="9"/>
  <c r="CB74" i="9"/>
  <c r="CC74" i="9"/>
  <c r="CD74" i="9"/>
  <c r="CE74" i="9"/>
  <c r="CF74" i="9"/>
  <c r="CG74" i="9"/>
  <c r="CH74" i="9"/>
  <c r="CI74" i="9"/>
  <c r="CM74" i="9"/>
  <c r="CN74" i="9"/>
  <c r="CO74" i="9"/>
  <c r="CP74" i="9"/>
  <c r="CQ74" i="9"/>
  <c r="CR74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G80" i="9"/>
  <c r="AH80" i="9"/>
  <c r="AI80" i="9"/>
  <c r="AJ80" i="9"/>
  <c r="BF80" i="9"/>
  <c r="BG80" i="9"/>
  <c r="BH80" i="9"/>
  <c r="BI80" i="9"/>
  <c r="BJ80" i="9"/>
  <c r="BK80" i="9"/>
  <c r="BL80" i="9"/>
  <c r="BM80" i="9"/>
  <c r="BN80" i="9"/>
  <c r="BO80" i="9"/>
  <c r="BP80" i="9"/>
  <c r="BQ80" i="9"/>
  <c r="BR80" i="9"/>
  <c r="BS80" i="9"/>
  <c r="BT80" i="9"/>
  <c r="BU80" i="9"/>
  <c r="BV80" i="9"/>
  <c r="BW80" i="9"/>
  <c r="BX80" i="9"/>
  <c r="BY80" i="9"/>
  <c r="BZ80" i="9"/>
  <c r="CA80" i="9"/>
  <c r="CB80" i="9"/>
  <c r="CC80" i="9"/>
  <c r="CD80" i="9"/>
  <c r="CE80" i="9"/>
  <c r="CF80" i="9"/>
  <c r="CG80" i="9"/>
  <c r="CH80" i="9"/>
  <c r="CI80" i="9"/>
  <c r="CM80" i="9"/>
  <c r="CN80" i="9"/>
  <c r="CO80" i="9"/>
  <c r="CP80" i="9"/>
  <c r="CQ80" i="9"/>
  <c r="CR80" i="9"/>
  <c r="D215" i="9"/>
  <c r="E215" i="9"/>
  <c r="F215" i="9"/>
  <c r="G215" i="9"/>
  <c r="H215" i="9"/>
  <c r="I215" i="9"/>
  <c r="J215" i="9"/>
  <c r="K215" i="9"/>
  <c r="L215" i="9"/>
  <c r="M215" i="9"/>
  <c r="N215" i="9"/>
  <c r="O215" i="9"/>
  <c r="P215" i="9"/>
  <c r="Q215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G215" i="9"/>
  <c r="AH215" i="9"/>
  <c r="AI215" i="9"/>
  <c r="AJ215" i="9"/>
  <c r="BF215" i="9"/>
  <c r="BG215" i="9"/>
  <c r="BH215" i="9"/>
  <c r="BI215" i="9"/>
  <c r="BJ215" i="9"/>
  <c r="BK215" i="9"/>
  <c r="BL215" i="9"/>
  <c r="BM215" i="9"/>
  <c r="BN215" i="9"/>
  <c r="BO215" i="9"/>
  <c r="BP215" i="9"/>
  <c r="BQ215" i="9"/>
  <c r="BR215" i="9"/>
  <c r="BS215" i="9"/>
  <c r="BT215" i="9"/>
  <c r="BU215" i="9"/>
  <c r="BV215" i="9"/>
  <c r="BW215" i="9"/>
  <c r="BX215" i="9"/>
  <c r="BY215" i="9"/>
  <c r="BZ215" i="9"/>
  <c r="CA215" i="9"/>
  <c r="CB215" i="9"/>
  <c r="CC215" i="9"/>
  <c r="CD215" i="9"/>
  <c r="CE215" i="9"/>
  <c r="CF215" i="9"/>
  <c r="CG215" i="9"/>
  <c r="CH215" i="9"/>
  <c r="CI215" i="9"/>
  <c r="CM215" i="9"/>
  <c r="CN215" i="9"/>
  <c r="CO215" i="9"/>
  <c r="CP215" i="9"/>
  <c r="CQ215" i="9"/>
  <c r="CR215" i="9"/>
  <c r="D223" i="9"/>
  <c r="E223" i="9"/>
  <c r="F223" i="9"/>
  <c r="G223" i="9"/>
  <c r="H223" i="9"/>
  <c r="I223" i="9"/>
  <c r="J223" i="9"/>
  <c r="K223" i="9"/>
  <c r="L223" i="9"/>
  <c r="M223" i="9"/>
  <c r="N223" i="9"/>
  <c r="O223" i="9"/>
  <c r="P223" i="9"/>
  <c r="Q223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G223" i="9"/>
  <c r="AH223" i="9"/>
  <c r="AI223" i="9"/>
  <c r="AJ223" i="9"/>
  <c r="BF223" i="9"/>
  <c r="BG223" i="9"/>
  <c r="BH223" i="9"/>
  <c r="BI223" i="9"/>
  <c r="BJ223" i="9"/>
  <c r="BK223" i="9"/>
  <c r="BL223" i="9"/>
  <c r="BM223" i="9"/>
  <c r="BN223" i="9"/>
  <c r="BO223" i="9"/>
  <c r="BP223" i="9"/>
  <c r="BQ223" i="9"/>
  <c r="BR223" i="9"/>
  <c r="BS223" i="9"/>
  <c r="BT223" i="9"/>
  <c r="BU223" i="9"/>
  <c r="BV223" i="9"/>
  <c r="BW223" i="9"/>
  <c r="BX223" i="9"/>
  <c r="BY223" i="9"/>
  <c r="BZ223" i="9"/>
  <c r="CA223" i="9"/>
  <c r="CB223" i="9"/>
  <c r="CC223" i="9"/>
  <c r="CD223" i="9"/>
  <c r="CE223" i="9"/>
  <c r="CF223" i="9"/>
  <c r="CG223" i="9"/>
  <c r="CH223" i="9"/>
  <c r="CI223" i="9"/>
  <c r="CM223" i="9"/>
  <c r="CN223" i="9"/>
  <c r="CO223" i="9"/>
  <c r="CP223" i="9"/>
  <c r="CQ223" i="9"/>
  <c r="CR223" i="9"/>
  <c r="D232" i="9"/>
  <c r="E232" i="9"/>
  <c r="F232" i="9"/>
  <c r="G232" i="9"/>
  <c r="H232" i="9"/>
  <c r="I232" i="9"/>
  <c r="J232" i="9"/>
  <c r="K232" i="9"/>
  <c r="L232" i="9"/>
  <c r="M232" i="9"/>
  <c r="N232" i="9"/>
  <c r="O232" i="9"/>
  <c r="P232" i="9"/>
  <c r="Q232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G232" i="9"/>
  <c r="AH232" i="9"/>
  <c r="AI232" i="9"/>
  <c r="AJ232" i="9"/>
  <c r="BF232" i="9"/>
  <c r="BG232" i="9"/>
  <c r="BH232" i="9"/>
  <c r="BI232" i="9"/>
  <c r="BJ232" i="9"/>
  <c r="BK232" i="9"/>
  <c r="BL232" i="9"/>
  <c r="BM232" i="9"/>
  <c r="BN232" i="9"/>
  <c r="BO232" i="9"/>
  <c r="BP232" i="9"/>
  <c r="BQ232" i="9"/>
  <c r="BR232" i="9"/>
  <c r="BS232" i="9"/>
  <c r="BT232" i="9"/>
  <c r="BU232" i="9"/>
  <c r="BV232" i="9"/>
  <c r="BW232" i="9"/>
  <c r="BX232" i="9"/>
  <c r="BY232" i="9"/>
  <c r="BZ232" i="9"/>
  <c r="CA232" i="9"/>
  <c r="CB232" i="9"/>
  <c r="CC232" i="9"/>
  <c r="CD232" i="9"/>
  <c r="CE232" i="9"/>
  <c r="CF232" i="9"/>
  <c r="CG232" i="9"/>
  <c r="CH232" i="9"/>
  <c r="CI232" i="9"/>
  <c r="CM232" i="9"/>
  <c r="CN232" i="9"/>
  <c r="CO232" i="9"/>
  <c r="CP232" i="9"/>
  <c r="CQ232" i="9"/>
  <c r="CR232" i="9"/>
  <c r="D240" i="9"/>
  <c r="E240" i="9"/>
  <c r="F240" i="9"/>
  <c r="G240" i="9"/>
  <c r="H240" i="9"/>
  <c r="I240" i="9"/>
  <c r="J240" i="9"/>
  <c r="K240" i="9"/>
  <c r="L240" i="9"/>
  <c r="M240" i="9"/>
  <c r="N240" i="9"/>
  <c r="O240" i="9"/>
  <c r="P240" i="9"/>
  <c r="Q240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G240" i="9"/>
  <c r="BD240" i="9" s="1"/>
  <c r="AH240" i="9"/>
  <c r="AI240" i="9"/>
  <c r="AJ240" i="9"/>
  <c r="BF240" i="9"/>
  <c r="BG240" i="9"/>
  <c r="BH240" i="9"/>
  <c r="BI240" i="9"/>
  <c r="BJ240" i="9"/>
  <c r="BK240" i="9"/>
  <c r="BL240" i="9"/>
  <c r="BM240" i="9"/>
  <c r="BN240" i="9"/>
  <c r="BO240" i="9"/>
  <c r="BP240" i="9"/>
  <c r="BQ240" i="9"/>
  <c r="BR240" i="9"/>
  <c r="BS240" i="9"/>
  <c r="BT240" i="9"/>
  <c r="BU240" i="9"/>
  <c r="BV240" i="9"/>
  <c r="BW240" i="9"/>
  <c r="BX240" i="9"/>
  <c r="BY240" i="9"/>
  <c r="BZ240" i="9"/>
  <c r="CA240" i="9"/>
  <c r="CB240" i="9"/>
  <c r="CC240" i="9"/>
  <c r="CD240" i="9"/>
  <c r="CE240" i="9"/>
  <c r="CF240" i="9"/>
  <c r="CG240" i="9"/>
  <c r="CH240" i="9"/>
  <c r="CI240" i="9"/>
  <c r="CM240" i="9"/>
  <c r="CN240" i="9"/>
  <c r="CO240" i="9"/>
  <c r="CP240" i="9"/>
  <c r="CQ240" i="9"/>
  <c r="CR240" i="9"/>
  <c r="D248" i="9"/>
  <c r="E248" i="9"/>
  <c r="F248" i="9"/>
  <c r="G248" i="9"/>
  <c r="H248" i="9"/>
  <c r="I248" i="9"/>
  <c r="J248" i="9"/>
  <c r="K248" i="9"/>
  <c r="L248" i="9"/>
  <c r="M248" i="9"/>
  <c r="N248" i="9"/>
  <c r="O248" i="9"/>
  <c r="P248" i="9"/>
  <c r="Q248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G248" i="9"/>
  <c r="AH248" i="9"/>
  <c r="AI248" i="9"/>
  <c r="AJ248" i="9"/>
  <c r="BF248" i="9"/>
  <c r="BG248" i="9"/>
  <c r="BH248" i="9"/>
  <c r="BI248" i="9"/>
  <c r="BJ248" i="9"/>
  <c r="BK248" i="9"/>
  <c r="BL248" i="9"/>
  <c r="BM248" i="9"/>
  <c r="BN248" i="9"/>
  <c r="BO248" i="9"/>
  <c r="BP248" i="9"/>
  <c r="BQ248" i="9"/>
  <c r="BR248" i="9"/>
  <c r="BS248" i="9"/>
  <c r="BT248" i="9"/>
  <c r="BU248" i="9"/>
  <c r="BV248" i="9"/>
  <c r="BW248" i="9"/>
  <c r="BX248" i="9"/>
  <c r="BY248" i="9"/>
  <c r="BZ248" i="9"/>
  <c r="CA248" i="9"/>
  <c r="CB248" i="9"/>
  <c r="CC248" i="9"/>
  <c r="CD248" i="9"/>
  <c r="CE248" i="9"/>
  <c r="CF248" i="9"/>
  <c r="CG248" i="9"/>
  <c r="CH248" i="9"/>
  <c r="CI248" i="9"/>
  <c r="CM248" i="9"/>
  <c r="CN248" i="9"/>
  <c r="CO248" i="9"/>
  <c r="CP248" i="9"/>
  <c r="CQ248" i="9"/>
  <c r="CR248" i="9"/>
  <c r="D256" i="9"/>
  <c r="E256" i="9"/>
  <c r="F256" i="9"/>
  <c r="G256" i="9"/>
  <c r="H256" i="9"/>
  <c r="I256" i="9"/>
  <c r="J256" i="9"/>
  <c r="K256" i="9"/>
  <c r="L256" i="9"/>
  <c r="M256" i="9"/>
  <c r="N256" i="9"/>
  <c r="O256" i="9"/>
  <c r="P256" i="9"/>
  <c r="Q256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G256" i="9"/>
  <c r="AH256" i="9"/>
  <c r="AI256" i="9"/>
  <c r="AJ256" i="9"/>
  <c r="BF256" i="9"/>
  <c r="BG256" i="9"/>
  <c r="BH256" i="9"/>
  <c r="BI256" i="9"/>
  <c r="BJ256" i="9"/>
  <c r="BK256" i="9"/>
  <c r="BL256" i="9"/>
  <c r="BM256" i="9"/>
  <c r="BN256" i="9"/>
  <c r="BO256" i="9"/>
  <c r="BP256" i="9"/>
  <c r="BQ256" i="9"/>
  <c r="BR256" i="9"/>
  <c r="BS256" i="9"/>
  <c r="BT256" i="9"/>
  <c r="BU256" i="9"/>
  <c r="BV256" i="9"/>
  <c r="BW256" i="9"/>
  <c r="BX256" i="9"/>
  <c r="BY256" i="9"/>
  <c r="BZ256" i="9"/>
  <c r="CA256" i="9"/>
  <c r="CB256" i="9"/>
  <c r="CC256" i="9"/>
  <c r="CD256" i="9"/>
  <c r="CE256" i="9"/>
  <c r="CF256" i="9"/>
  <c r="CG256" i="9"/>
  <c r="CH256" i="9"/>
  <c r="CI256" i="9"/>
  <c r="CM256" i="9"/>
  <c r="CN256" i="9"/>
  <c r="CO256" i="9"/>
  <c r="CP256" i="9"/>
  <c r="CQ256" i="9"/>
  <c r="CR256" i="9"/>
  <c r="D304" i="9"/>
  <c r="E304" i="9"/>
  <c r="F304" i="9"/>
  <c r="G304" i="9"/>
  <c r="H304" i="9"/>
  <c r="I304" i="9"/>
  <c r="J304" i="9"/>
  <c r="K304" i="9"/>
  <c r="L304" i="9"/>
  <c r="M304" i="9"/>
  <c r="N304" i="9"/>
  <c r="O304" i="9"/>
  <c r="P304" i="9"/>
  <c r="Q304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G304" i="9"/>
  <c r="AH304" i="9"/>
  <c r="AI304" i="9"/>
  <c r="AJ304" i="9"/>
  <c r="BF304" i="9"/>
  <c r="BG304" i="9"/>
  <c r="BH304" i="9"/>
  <c r="BI304" i="9"/>
  <c r="BJ304" i="9"/>
  <c r="BK304" i="9"/>
  <c r="BL304" i="9"/>
  <c r="BM304" i="9"/>
  <c r="BN304" i="9"/>
  <c r="BO304" i="9"/>
  <c r="BP304" i="9"/>
  <c r="BQ304" i="9"/>
  <c r="BR304" i="9"/>
  <c r="BS304" i="9"/>
  <c r="BT304" i="9"/>
  <c r="BU304" i="9"/>
  <c r="BV304" i="9"/>
  <c r="BW304" i="9"/>
  <c r="BX304" i="9"/>
  <c r="BY304" i="9"/>
  <c r="BZ304" i="9"/>
  <c r="CA304" i="9"/>
  <c r="CB304" i="9"/>
  <c r="CC304" i="9"/>
  <c r="CD304" i="9"/>
  <c r="CE304" i="9"/>
  <c r="CF304" i="9"/>
  <c r="CG304" i="9"/>
  <c r="CH304" i="9"/>
  <c r="CI304" i="9"/>
  <c r="CM304" i="9"/>
  <c r="CN304" i="9"/>
  <c r="CO304" i="9"/>
  <c r="CP304" i="9"/>
  <c r="CQ304" i="9"/>
  <c r="CR304" i="9"/>
  <c r="D312" i="9"/>
  <c r="E312" i="9"/>
  <c r="F312" i="9"/>
  <c r="G312" i="9"/>
  <c r="H312" i="9"/>
  <c r="I312" i="9"/>
  <c r="J312" i="9"/>
  <c r="K312" i="9"/>
  <c r="L312" i="9"/>
  <c r="M312" i="9"/>
  <c r="N312" i="9"/>
  <c r="O312" i="9"/>
  <c r="P312" i="9"/>
  <c r="Q312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G312" i="9"/>
  <c r="BD312" i="9" s="1"/>
  <c r="AH312" i="9"/>
  <c r="AI312" i="9"/>
  <c r="AJ312" i="9"/>
  <c r="BF312" i="9"/>
  <c r="BG312" i="9"/>
  <c r="BH312" i="9"/>
  <c r="BI312" i="9"/>
  <c r="BJ312" i="9"/>
  <c r="BK312" i="9"/>
  <c r="BL312" i="9"/>
  <c r="BM312" i="9"/>
  <c r="BN312" i="9"/>
  <c r="BO312" i="9"/>
  <c r="BP312" i="9"/>
  <c r="BQ312" i="9"/>
  <c r="BR312" i="9"/>
  <c r="BS312" i="9"/>
  <c r="BT312" i="9"/>
  <c r="BU312" i="9"/>
  <c r="BV312" i="9"/>
  <c r="BW312" i="9"/>
  <c r="BX312" i="9"/>
  <c r="BY312" i="9"/>
  <c r="BZ312" i="9"/>
  <c r="CA312" i="9"/>
  <c r="CB312" i="9"/>
  <c r="CC312" i="9"/>
  <c r="CD312" i="9"/>
  <c r="CE312" i="9"/>
  <c r="CF312" i="9"/>
  <c r="CG312" i="9"/>
  <c r="CH312" i="9"/>
  <c r="CI312" i="9"/>
  <c r="CM312" i="9"/>
  <c r="CN312" i="9"/>
  <c r="CO312" i="9"/>
  <c r="CP312" i="9"/>
  <c r="CQ312" i="9"/>
  <c r="CR312" i="9"/>
  <c r="D320" i="9"/>
  <c r="E320" i="9"/>
  <c r="F320" i="9"/>
  <c r="G320" i="9"/>
  <c r="H320" i="9"/>
  <c r="I320" i="9"/>
  <c r="J320" i="9"/>
  <c r="K320" i="9"/>
  <c r="L320" i="9"/>
  <c r="M320" i="9"/>
  <c r="N320" i="9"/>
  <c r="O320" i="9"/>
  <c r="P320" i="9"/>
  <c r="Q320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G320" i="9"/>
  <c r="AH320" i="9"/>
  <c r="AI320" i="9"/>
  <c r="AJ320" i="9"/>
  <c r="BF320" i="9"/>
  <c r="BG320" i="9"/>
  <c r="BH320" i="9"/>
  <c r="BI320" i="9"/>
  <c r="BJ320" i="9"/>
  <c r="BK320" i="9"/>
  <c r="BL320" i="9"/>
  <c r="BM320" i="9"/>
  <c r="BN320" i="9"/>
  <c r="BO320" i="9"/>
  <c r="BP320" i="9"/>
  <c r="BQ320" i="9"/>
  <c r="BR320" i="9"/>
  <c r="BS320" i="9"/>
  <c r="BT320" i="9"/>
  <c r="BU320" i="9"/>
  <c r="BV320" i="9"/>
  <c r="BW320" i="9"/>
  <c r="BX320" i="9"/>
  <c r="BY320" i="9"/>
  <c r="BZ320" i="9"/>
  <c r="CA320" i="9"/>
  <c r="CB320" i="9"/>
  <c r="CC320" i="9"/>
  <c r="CD320" i="9"/>
  <c r="CE320" i="9"/>
  <c r="CF320" i="9"/>
  <c r="CG320" i="9"/>
  <c r="CH320" i="9"/>
  <c r="CI320" i="9"/>
  <c r="CM320" i="9"/>
  <c r="CN320" i="9"/>
  <c r="CO320" i="9"/>
  <c r="CP320" i="9"/>
  <c r="CQ320" i="9"/>
  <c r="CR320" i="9"/>
  <c r="D328" i="9"/>
  <c r="E328" i="9"/>
  <c r="F328" i="9"/>
  <c r="G328" i="9"/>
  <c r="H328" i="9"/>
  <c r="I328" i="9"/>
  <c r="J328" i="9"/>
  <c r="K328" i="9"/>
  <c r="L328" i="9"/>
  <c r="M328" i="9"/>
  <c r="N328" i="9"/>
  <c r="O328" i="9"/>
  <c r="P328" i="9"/>
  <c r="Q328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G328" i="9"/>
  <c r="AH328" i="9"/>
  <c r="AI328" i="9"/>
  <c r="AJ328" i="9"/>
  <c r="BF328" i="9"/>
  <c r="BG328" i="9"/>
  <c r="BH328" i="9"/>
  <c r="BI328" i="9"/>
  <c r="BJ328" i="9"/>
  <c r="BK328" i="9"/>
  <c r="BL328" i="9"/>
  <c r="BM328" i="9"/>
  <c r="BN328" i="9"/>
  <c r="BO328" i="9"/>
  <c r="BP328" i="9"/>
  <c r="BQ328" i="9"/>
  <c r="BR328" i="9"/>
  <c r="BS328" i="9"/>
  <c r="BT328" i="9"/>
  <c r="BU328" i="9"/>
  <c r="BV328" i="9"/>
  <c r="BW328" i="9"/>
  <c r="BX328" i="9"/>
  <c r="BY328" i="9"/>
  <c r="BZ328" i="9"/>
  <c r="CA328" i="9"/>
  <c r="CB328" i="9"/>
  <c r="CC328" i="9"/>
  <c r="CD328" i="9"/>
  <c r="CE328" i="9"/>
  <c r="CF328" i="9"/>
  <c r="CG328" i="9"/>
  <c r="CH328" i="9"/>
  <c r="CI328" i="9"/>
  <c r="CM328" i="9"/>
  <c r="CN328" i="9"/>
  <c r="CO328" i="9"/>
  <c r="CP328" i="9"/>
  <c r="CQ328" i="9"/>
  <c r="CR328" i="9"/>
  <c r="D333" i="9"/>
  <c r="E333" i="9"/>
  <c r="F333" i="9"/>
  <c r="G333" i="9"/>
  <c r="H333" i="9"/>
  <c r="I333" i="9"/>
  <c r="J333" i="9"/>
  <c r="K333" i="9"/>
  <c r="L333" i="9"/>
  <c r="M333" i="9"/>
  <c r="N333" i="9"/>
  <c r="O333" i="9"/>
  <c r="P333" i="9"/>
  <c r="Q333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G333" i="9"/>
  <c r="AH333" i="9"/>
  <c r="AI333" i="9"/>
  <c r="AJ333" i="9"/>
  <c r="BF333" i="9"/>
  <c r="BG333" i="9"/>
  <c r="BH333" i="9"/>
  <c r="BI333" i="9"/>
  <c r="BJ333" i="9"/>
  <c r="BK333" i="9"/>
  <c r="BL333" i="9"/>
  <c r="BM333" i="9"/>
  <c r="BN333" i="9"/>
  <c r="BO333" i="9"/>
  <c r="BP333" i="9"/>
  <c r="BQ333" i="9"/>
  <c r="BR333" i="9"/>
  <c r="BS333" i="9"/>
  <c r="BT333" i="9"/>
  <c r="BU333" i="9"/>
  <c r="BV333" i="9"/>
  <c r="BW333" i="9"/>
  <c r="BX333" i="9"/>
  <c r="BY333" i="9"/>
  <c r="BZ333" i="9"/>
  <c r="CA333" i="9"/>
  <c r="CB333" i="9"/>
  <c r="CC333" i="9"/>
  <c r="CD333" i="9"/>
  <c r="CE333" i="9"/>
  <c r="CF333" i="9"/>
  <c r="CG333" i="9"/>
  <c r="CH333" i="9"/>
  <c r="CI333" i="9"/>
  <c r="CM333" i="9"/>
  <c r="CN333" i="9"/>
  <c r="CO333" i="9"/>
  <c r="CP333" i="9"/>
  <c r="CQ333" i="9"/>
  <c r="CR333" i="9"/>
  <c r="D340" i="9"/>
  <c r="E340" i="9"/>
  <c r="F340" i="9"/>
  <c r="G340" i="9"/>
  <c r="H340" i="9"/>
  <c r="I340" i="9"/>
  <c r="J340" i="9"/>
  <c r="K340" i="9"/>
  <c r="L340" i="9"/>
  <c r="M340" i="9"/>
  <c r="N340" i="9"/>
  <c r="O340" i="9"/>
  <c r="P340" i="9"/>
  <c r="Q340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G340" i="9"/>
  <c r="BD340" i="9" s="1"/>
  <c r="AH340" i="9"/>
  <c r="AI340" i="9"/>
  <c r="AJ340" i="9"/>
  <c r="BF340" i="9"/>
  <c r="BG340" i="9"/>
  <c r="BH340" i="9"/>
  <c r="BI340" i="9"/>
  <c r="BJ340" i="9"/>
  <c r="BK340" i="9"/>
  <c r="BL340" i="9"/>
  <c r="BM340" i="9"/>
  <c r="BN340" i="9"/>
  <c r="BO340" i="9"/>
  <c r="BP340" i="9"/>
  <c r="BQ340" i="9"/>
  <c r="BR340" i="9"/>
  <c r="BS340" i="9"/>
  <c r="BT340" i="9"/>
  <c r="BU340" i="9"/>
  <c r="BV340" i="9"/>
  <c r="BW340" i="9"/>
  <c r="BX340" i="9"/>
  <c r="BY340" i="9"/>
  <c r="BZ340" i="9"/>
  <c r="CA340" i="9"/>
  <c r="CB340" i="9"/>
  <c r="CC340" i="9"/>
  <c r="CD340" i="9"/>
  <c r="CE340" i="9"/>
  <c r="CF340" i="9"/>
  <c r="CG340" i="9"/>
  <c r="CH340" i="9"/>
  <c r="CI340" i="9"/>
  <c r="CM340" i="9"/>
  <c r="CN340" i="9"/>
  <c r="CO340" i="9"/>
  <c r="CP340" i="9"/>
  <c r="CQ340" i="9"/>
  <c r="CR340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G59" i="9"/>
  <c r="AH59" i="9"/>
  <c r="AI59" i="9"/>
  <c r="AJ59" i="9"/>
  <c r="BF59" i="9"/>
  <c r="BG59" i="9"/>
  <c r="BH59" i="9"/>
  <c r="BI59" i="9"/>
  <c r="BJ59" i="9"/>
  <c r="BK59" i="9"/>
  <c r="BL59" i="9"/>
  <c r="BM59" i="9"/>
  <c r="BN59" i="9"/>
  <c r="BO59" i="9"/>
  <c r="BP59" i="9"/>
  <c r="BQ59" i="9"/>
  <c r="BR59" i="9"/>
  <c r="BS59" i="9"/>
  <c r="BT59" i="9"/>
  <c r="BU59" i="9"/>
  <c r="BV59" i="9"/>
  <c r="BW59" i="9"/>
  <c r="BX59" i="9"/>
  <c r="BY59" i="9"/>
  <c r="BZ59" i="9"/>
  <c r="CA59" i="9"/>
  <c r="CB59" i="9"/>
  <c r="CC59" i="9"/>
  <c r="CD59" i="9"/>
  <c r="CE59" i="9"/>
  <c r="CF59" i="9"/>
  <c r="CG59" i="9"/>
  <c r="CH59" i="9"/>
  <c r="CI59" i="9"/>
  <c r="CM59" i="9"/>
  <c r="CN59" i="9"/>
  <c r="CO59" i="9"/>
  <c r="CP59" i="9"/>
  <c r="CQ59" i="9"/>
  <c r="CR59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G67" i="9"/>
  <c r="AH67" i="9"/>
  <c r="AI67" i="9"/>
  <c r="AJ67" i="9"/>
  <c r="BF67" i="9"/>
  <c r="BG67" i="9"/>
  <c r="BH67" i="9"/>
  <c r="BI67" i="9"/>
  <c r="BJ67" i="9"/>
  <c r="BK67" i="9"/>
  <c r="BL67" i="9"/>
  <c r="BM67" i="9"/>
  <c r="BN67" i="9"/>
  <c r="BO67" i="9"/>
  <c r="BP67" i="9"/>
  <c r="BQ67" i="9"/>
  <c r="BR67" i="9"/>
  <c r="BS67" i="9"/>
  <c r="BT67" i="9"/>
  <c r="BU67" i="9"/>
  <c r="BV67" i="9"/>
  <c r="BW67" i="9"/>
  <c r="BX67" i="9"/>
  <c r="BY67" i="9"/>
  <c r="BZ67" i="9"/>
  <c r="CA67" i="9"/>
  <c r="CB67" i="9"/>
  <c r="CC67" i="9"/>
  <c r="CD67" i="9"/>
  <c r="CE67" i="9"/>
  <c r="CF67" i="9"/>
  <c r="CG67" i="9"/>
  <c r="CH67" i="9"/>
  <c r="CI67" i="9"/>
  <c r="CM67" i="9"/>
  <c r="CN67" i="9"/>
  <c r="CO67" i="9"/>
  <c r="CP67" i="9"/>
  <c r="CQ67" i="9"/>
  <c r="CR67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G81" i="9"/>
  <c r="AH81" i="9"/>
  <c r="AI81" i="9"/>
  <c r="AJ81" i="9"/>
  <c r="BF81" i="9"/>
  <c r="BG81" i="9"/>
  <c r="BH81" i="9"/>
  <c r="BI81" i="9"/>
  <c r="BJ81" i="9"/>
  <c r="BK81" i="9"/>
  <c r="BL81" i="9"/>
  <c r="BM81" i="9"/>
  <c r="BN81" i="9"/>
  <c r="BO81" i="9"/>
  <c r="BP81" i="9"/>
  <c r="BQ81" i="9"/>
  <c r="BR81" i="9"/>
  <c r="BS81" i="9"/>
  <c r="BT81" i="9"/>
  <c r="BU81" i="9"/>
  <c r="BV81" i="9"/>
  <c r="BW81" i="9"/>
  <c r="BX81" i="9"/>
  <c r="BY81" i="9"/>
  <c r="BZ81" i="9"/>
  <c r="CA81" i="9"/>
  <c r="CB81" i="9"/>
  <c r="CC81" i="9"/>
  <c r="CD81" i="9"/>
  <c r="CE81" i="9"/>
  <c r="CF81" i="9"/>
  <c r="CG81" i="9"/>
  <c r="CH81" i="9"/>
  <c r="CI81" i="9"/>
  <c r="CM81" i="9"/>
  <c r="CN81" i="9"/>
  <c r="CO81" i="9"/>
  <c r="CP81" i="9"/>
  <c r="CQ81" i="9"/>
  <c r="CR81" i="9"/>
  <c r="D216" i="9"/>
  <c r="E216" i="9"/>
  <c r="F216" i="9"/>
  <c r="G216" i="9"/>
  <c r="H216" i="9"/>
  <c r="I216" i="9"/>
  <c r="J216" i="9"/>
  <c r="K216" i="9"/>
  <c r="L216" i="9"/>
  <c r="M216" i="9"/>
  <c r="N216" i="9"/>
  <c r="O216" i="9"/>
  <c r="P216" i="9"/>
  <c r="Q216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G216" i="9"/>
  <c r="BD216" i="9" s="1"/>
  <c r="AH216" i="9"/>
  <c r="AI216" i="9"/>
  <c r="AJ216" i="9"/>
  <c r="BF216" i="9"/>
  <c r="BG216" i="9"/>
  <c r="BH216" i="9"/>
  <c r="BI216" i="9"/>
  <c r="BJ216" i="9"/>
  <c r="BK216" i="9"/>
  <c r="BL216" i="9"/>
  <c r="BM216" i="9"/>
  <c r="BN216" i="9"/>
  <c r="BO216" i="9"/>
  <c r="BP216" i="9"/>
  <c r="BQ216" i="9"/>
  <c r="BR216" i="9"/>
  <c r="BS216" i="9"/>
  <c r="BT216" i="9"/>
  <c r="BU216" i="9"/>
  <c r="BV216" i="9"/>
  <c r="BW216" i="9"/>
  <c r="BX216" i="9"/>
  <c r="BY216" i="9"/>
  <c r="BZ216" i="9"/>
  <c r="CA216" i="9"/>
  <c r="CB216" i="9"/>
  <c r="CC216" i="9"/>
  <c r="CD216" i="9"/>
  <c r="CE216" i="9"/>
  <c r="CF216" i="9"/>
  <c r="CG216" i="9"/>
  <c r="CH216" i="9"/>
  <c r="CI216" i="9"/>
  <c r="CM216" i="9"/>
  <c r="CN216" i="9"/>
  <c r="CO216" i="9"/>
  <c r="CP216" i="9"/>
  <c r="CQ216" i="9"/>
  <c r="CR216" i="9"/>
  <c r="D224" i="9"/>
  <c r="E224" i="9"/>
  <c r="F224" i="9"/>
  <c r="G224" i="9"/>
  <c r="H224" i="9"/>
  <c r="I224" i="9"/>
  <c r="J224" i="9"/>
  <c r="K224" i="9"/>
  <c r="L224" i="9"/>
  <c r="M224" i="9"/>
  <c r="N224" i="9"/>
  <c r="O224" i="9"/>
  <c r="P224" i="9"/>
  <c r="Q224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G224" i="9"/>
  <c r="AH224" i="9"/>
  <c r="AI224" i="9"/>
  <c r="AJ224" i="9"/>
  <c r="BF224" i="9"/>
  <c r="BG224" i="9"/>
  <c r="BH224" i="9"/>
  <c r="BI224" i="9"/>
  <c r="BJ224" i="9"/>
  <c r="BK224" i="9"/>
  <c r="BL224" i="9"/>
  <c r="BM224" i="9"/>
  <c r="BN224" i="9"/>
  <c r="BO224" i="9"/>
  <c r="BP224" i="9"/>
  <c r="BQ224" i="9"/>
  <c r="BR224" i="9"/>
  <c r="BS224" i="9"/>
  <c r="BT224" i="9"/>
  <c r="BU224" i="9"/>
  <c r="BV224" i="9"/>
  <c r="BW224" i="9"/>
  <c r="BX224" i="9"/>
  <c r="BY224" i="9"/>
  <c r="BZ224" i="9"/>
  <c r="CA224" i="9"/>
  <c r="CB224" i="9"/>
  <c r="CC224" i="9"/>
  <c r="CD224" i="9"/>
  <c r="CE224" i="9"/>
  <c r="CF224" i="9"/>
  <c r="CG224" i="9"/>
  <c r="CH224" i="9"/>
  <c r="CI224" i="9"/>
  <c r="CM224" i="9"/>
  <c r="CN224" i="9"/>
  <c r="CO224" i="9"/>
  <c r="CP224" i="9"/>
  <c r="CQ224" i="9"/>
  <c r="CR224" i="9"/>
  <c r="D233" i="9"/>
  <c r="E233" i="9"/>
  <c r="F233" i="9"/>
  <c r="G233" i="9"/>
  <c r="H233" i="9"/>
  <c r="I233" i="9"/>
  <c r="J233" i="9"/>
  <c r="K233" i="9"/>
  <c r="L233" i="9"/>
  <c r="M233" i="9"/>
  <c r="N233" i="9"/>
  <c r="O233" i="9"/>
  <c r="P233" i="9"/>
  <c r="Q233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G233" i="9"/>
  <c r="AH233" i="9"/>
  <c r="AI233" i="9"/>
  <c r="AJ233" i="9"/>
  <c r="BF233" i="9"/>
  <c r="BG233" i="9"/>
  <c r="BH233" i="9"/>
  <c r="BI233" i="9"/>
  <c r="BJ233" i="9"/>
  <c r="BK233" i="9"/>
  <c r="BL233" i="9"/>
  <c r="BM233" i="9"/>
  <c r="BN233" i="9"/>
  <c r="BO233" i="9"/>
  <c r="BP233" i="9"/>
  <c r="BQ233" i="9"/>
  <c r="BR233" i="9"/>
  <c r="BS233" i="9"/>
  <c r="BT233" i="9"/>
  <c r="BU233" i="9"/>
  <c r="BV233" i="9"/>
  <c r="BW233" i="9"/>
  <c r="BX233" i="9"/>
  <c r="BY233" i="9"/>
  <c r="BZ233" i="9"/>
  <c r="CA233" i="9"/>
  <c r="CB233" i="9"/>
  <c r="CC233" i="9"/>
  <c r="CD233" i="9"/>
  <c r="CE233" i="9"/>
  <c r="CF233" i="9"/>
  <c r="CG233" i="9"/>
  <c r="CH233" i="9"/>
  <c r="CI233" i="9"/>
  <c r="CM233" i="9"/>
  <c r="CN233" i="9"/>
  <c r="CO233" i="9"/>
  <c r="CP233" i="9"/>
  <c r="CQ233" i="9"/>
  <c r="CR233" i="9"/>
  <c r="D241" i="9"/>
  <c r="E241" i="9"/>
  <c r="F241" i="9"/>
  <c r="G241" i="9"/>
  <c r="H241" i="9"/>
  <c r="I241" i="9"/>
  <c r="J241" i="9"/>
  <c r="K241" i="9"/>
  <c r="L241" i="9"/>
  <c r="M241" i="9"/>
  <c r="N241" i="9"/>
  <c r="O241" i="9"/>
  <c r="P241" i="9"/>
  <c r="Q241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G241" i="9"/>
  <c r="AH241" i="9"/>
  <c r="AI241" i="9"/>
  <c r="AJ241" i="9"/>
  <c r="BF241" i="9"/>
  <c r="BG241" i="9"/>
  <c r="BH241" i="9"/>
  <c r="BI241" i="9"/>
  <c r="BJ241" i="9"/>
  <c r="BK241" i="9"/>
  <c r="BL241" i="9"/>
  <c r="BM241" i="9"/>
  <c r="BN241" i="9"/>
  <c r="BO241" i="9"/>
  <c r="BP241" i="9"/>
  <c r="BQ241" i="9"/>
  <c r="BR241" i="9"/>
  <c r="BS241" i="9"/>
  <c r="BT241" i="9"/>
  <c r="BU241" i="9"/>
  <c r="BV241" i="9"/>
  <c r="BW241" i="9"/>
  <c r="BX241" i="9"/>
  <c r="BY241" i="9"/>
  <c r="BZ241" i="9"/>
  <c r="CA241" i="9"/>
  <c r="CB241" i="9"/>
  <c r="CC241" i="9"/>
  <c r="CD241" i="9"/>
  <c r="CE241" i="9"/>
  <c r="CF241" i="9"/>
  <c r="CG241" i="9"/>
  <c r="CH241" i="9"/>
  <c r="CI241" i="9"/>
  <c r="CM241" i="9"/>
  <c r="CN241" i="9"/>
  <c r="CO241" i="9"/>
  <c r="CP241" i="9"/>
  <c r="CQ241" i="9"/>
  <c r="CR241" i="9"/>
  <c r="D249" i="9"/>
  <c r="E249" i="9"/>
  <c r="F249" i="9"/>
  <c r="G249" i="9"/>
  <c r="H249" i="9"/>
  <c r="I249" i="9"/>
  <c r="J249" i="9"/>
  <c r="K249" i="9"/>
  <c r="L249" i="9"/>
  <c r="M249" i="9"/>
  <c r="N249" i="9"/>
  <c r="O249" i="9"/>
  <c r="P249" i="9"/>
  <c r="Q249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G249" i="9"/>
  <c r="BD249" i="9" s="1"/>
  <c r="AH249" i="9"/>
  <c r="AI249" i="9"/>
  <c r="AJ249" i="9"/>
  <c r="BF249" i="9"/>
  <c r="BG249" i="9"/>
  <c r="BH249" i="9"/>
  <c r="BI249" i="9"/>
  <c r="BJ249" i="9"/>
  <c r="BK249" i="9"/>
  <c r="BL249" i="9"/>
  <c r="BM249" i="9"/>
  <c r="BN249" i="9"/>
  <c r="BO249" i="9"/>
  <c r="BP249" i="9"/>
  <c r="BQ249" i="9"/>
  <c r="BR249" i="9"/>
  <c r="BS249" i="9"/>
  <c r="BT249" i="9"/>
  <c r="BU249" i="9"/>
  <c r="BV249" i="9"/>
  <c r="BW249" i="9"/>
  <c r="BX249" i="9"/>
  <c r="BY249" i="9"/>
  <c r="BZ249" i="9"/>
  <c r="CA249" i="9"/>
  <c r="CB249" i="9"/>
  <c r="CC249" i="9"/>
  <c r="CD249" i="9"/>
  <c r="CE249" i="9"/>
  <c r="CF249" i="9"/>
  <c r="CG249" i="9"/>
  <c r="CH249" i="9"/>
  <c r="CI249" i="9"/>
  <c r="CM249" i="9"/>
  <c r="CN249" i="9"/>
  <c r="CO249" i="9"/>
  <c r="CP249" i="9"/>
  <c r="CQ249" i="9"/>
  <c r="CR249" i="9"/>
  <c r="D257" i="9"/>
  <c r="E257" i="9"/>
  <c r="F257" i="9"/>
  <c r="G257" i="9"/>
  <c r="H257" i="9"/>
  <c r="I257" i="9"/>
  <c r="J257" i="9"/>
  <c r="K257" i="9"/>
  <c r="L257" i="9"/>
  <c r="M257" i="9"/>
  <c r="N257" i="9"/>
  <c r="O257" i="9"/>
  <c r="P257" i="9"/>
  <c r="Q257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G257" i="9"/>
  <c r="AH257" i="9"/>
  <c r="AI257" i="9"/>
  <c r="AJ257" i="9"/>
  <c r="BF257" i="9"/>
  <c r="BG257" i="9"/>
  <c r="BH257" i="9"/>
  <c r="BI257" i="9"/>
  <c r="BJ257" i="9"/>
  <c r="BK257" i="9"/>
  <c r="BL257" i="9"/>
  <c r="BM257" i="9"/>
  <c r="BN257" i="9"/>
  <c r="BO257" i="9"/>
  <c r="BP257" i="9"/>
  <c r="BQ257" i="9"/>
  <c r="BR257" i="9"/>
  <c r="BS257" i="9"/>
  <c r="BT257" i="9"/>
  <c r="BU257" i="9"/>
  <c r="BV257" i="9"/>
  <c r="BW257" i="9"/>
  <c r="BX257" i="9"/>
  <c r="BY257" i="9"/>
  <c r="BZ257" i="9"/>
  <c r="CA257" i="9"/>
  <c r="CB257" i="9"/>
  <c r="CC257" i="9"/>
  <c r="CD257" i="9"/>
  <c r="CE257" i="9"/>
  <c r="CF257" i="9"/>
  <c r="CG257" i="9"/>
  <c r="CH257" i="9"/>
  <c r="CI257" i="9"/>
  <c r="CM257" i="9"/>
  <c r="CN257" i="9"/>
  <c r="CO257" i="9"/>
  <c r="CP257" i="9"/>
  <c r="CQ257" i="9"/>
  <c r="CR257" i="9"/>
  <c r="D305" i="9"/>
  <c r="E305" i="9"/>
  <c r="F305" i="9"/>
  <c r="G305" i="9"/>
  <c r="H305" i="9"/>
  <c r="I305" i="9"/>
  <c r="J305" i="9"/>
  <c r="K305" i="9"/>
  <c r="L305" i="9"/>
  <c r="M305" i="9"/>
  <c r="N305" i="9"/>
  <c r="O305" i="9"/>
  <c r="P305" i="9"/>
  <c r="Q305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G305" i="9"/>
  <c r="AH305" i="9"/>
  <c r="AI305" i="9"/>
  <c r="AJ305" i="9"/>
  <c r="BF305" i="9"/>
  <c r="BG305" i="9"/>
  <c r="BH305" i="9"/>
  <c r="BI305" i="9"/>
  <c r="BJ305" i="9"/>
  <c r="BK305" i="9"/>
  <c r="BL305" i="9"/>
  <c r="BM305" i="9"/>
  <c r="BN305" i="9"/>
  <c r="BO305" i="9"/>
  <c r="BP305" i="9"/>
  <c r="BQ305" i="9"/>
  <c r="BR305" i="9"/>
  <c r="BS305" i="9"/>
  <c r="BT305" i="9"/>
  <c r="BU305" i="9"/>
  <c r="BV305" i="9"/>
  <c r="BW305" i="9"/>
  <c r="BX305" i="9"/>
  <c r="BY305" i="9"/>
  <c r="BZ305" i="9"/>
  <c r="CA305" i="9"/>
  <c r="CB305" i="9"/>
  <c r="CC305" i="9"/>
  <c r="CD305" i="9"/>
  <c r="CE305" i="9"/>
  <c r="CF305" i="9"/>
  <c r="CG305" i="9"/>
  <c r="CH305" i="9"/>
  <c r="CI305" i="9"/>
  <c r="CM305" i="9"/>
  <c r="CN305" i="9"/>
  <c r="CO305" i="9"/>
  <c r="CP305" i="9"/>
  <c r="CQ305" i="9"/>
  <c r="CR305" i="9"/>
  <c r="D313" i="9"/>
  <c r="E313" i="9"/>
  <c r="F313" i="9"/>
  <c r="G313" i="9"/>
  <c r="H313" i="9"/>
  <c r="I313" i="9"/>
  <c r="J313" i="9"/>
  <c r="K313" i="9"/>
  <c r="L313" i="9"/>
  <c r="M313" i="9"/>
  <c r="N313" i="9"/>
  <c r="O313" i="9"/>
  <c r="P313" i="9"/>
  <c r="Q313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G313" i="9"/>
  <c r="AH313" i="9"/>
  <c r="AI313" i="9"/>
  <c r="AJ313" i="9"/>
  <c r="BF313" i="9"/>
  <c r="BG313" i="9"/>
  <c r="BH313" i="9"/>
  <c r="BI313" i="9"/>
  <c r="BJ313" i="9"/>
  <c r="BK313" i="9"/>
  <c r="BL313" i="9"/>
  <c r="BM313" i="9"/>
  <c r="BN313" i="9"/>
  <c r="BO313" i="9"/>
  <c r="BP313" i="9"/>
  <c r="BQ313" i="9"/>
  <c r="BR313" i="9"/>
  <c r="BS313" i="9"/>
  <c r="BT313" i="9"/>
  <c r="BU313" i="9"/>
  <c r="BV313" i="9"/>
  <c r="BW313" i="9"/>
  <c r="BX313" i="9"/>
  <c r="BY313" i="9"/>
  <c r="BZ313" i="9"/>
  <c r="CA313" i="9"/>
  <c r="CB313" i="9"/>
  <c r="CC313" i="9"/>
  <c r="CD313" i="9"/>
  <c r="CE313" i="9"/>
  <c r="CF313" i="9"/>
  <c r="CG313" i="9"/>
  <c r="CH313" i="9"/>
  <c r="CI313" i="9"/>
  <c r="CM313" i="9"/>
  <c r="CN313" i="9"/>
  <c r="CO313" i="9"/>
  <c r="CP313" i="9"/>
  <c r="CQ313" i="9"/>
  <c r="CR313" i="9"/>
  <c r="D321" i="9"/>
  <c r="E321" i="9"/>
  <c r="F321" i="9"/>
  <c r="G321" i="9"/>
  <c r="H321" i="9"/>
  <c r="I321" i="9"/>
  <c r="J321" i="9"/>
  <c r="K321" i="9"/>
  <c r="L321" i="9"/>
  <c r="M321" i="9"/>
  <c r="N321" i="9"/>
  <c r="O321" i="9"/>
  <c r="P321" i="9"/>
  <c r="Q321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G321" i="9"/>
  <c r="BD321" i="9" s="1"/>
  <c r="AH321" i="9"/>
  <c r="AI321" i="9"/>
  <c r="AJ321" i="9"/>
  <c r="BF321" i="9"/>
  <c r="BG321" i="9"/>
  <c r="BH321" i="9"/>
  <c r="BI321" i="9"/>
  <c r="BJ321" i="9"/>
  <c r="BK321" i="9"/>
  <c r="BL321" i="9"/>
  <c r="BM321" i="9"/>
  <c r="BN321" i="9"/>
  <c r="BO321" i="9"/>
  <c r="BP321" i="9"/>
  <c r="BQ321" i="9"/>
  <c r="BR321" i="9"/>
  <c r="BS321" i="9"/>
  <c r="BT321" i="9"/>
  <c r="BU321" i="9"/>
  <c r="BV321" i="9"/>
  <c r="BW321" i="9"/>
  <c r="BX321" i="9"/>
  <c r="BY321" i="9"/>
  <c r="BZ321" i="9"/>
  <c r="CA321" i="9"/>
  <c r="CB321" i="9"/>
  <c r="CC321" i="9"/>
  <c r="CD321" i="9"/>
  <c r="CE321" i="9"/>
  <c r="CF321" i="9"/>
  <c r="CG321" i="9"/>
  <c r="CH321" i="9"/>
  <c r="CI321" i="9"/>
  <c r="CM321" i="9"/>
  <c r="CN321" i="9"/>
  <c r="CO321" i="9"/>
  <c r="CP321" i="9"/>
  <c r="CQ321" i="9"/>
  <c r="CR321" i="9"/>
  <c r="D329" i="9"/>
  <c r="E329" i="9"/>
  <c r="F329" i="9"/>
  <c r="G329" i="9"/>
  <c r="H329" i="9"/>
  <c r="I329" i="9"/>
  <c r="J329" i="9"/>
  <c r="K329" i="9"/>
  <c r="L329" i="9"/>
  <c r="M329" i="9"/>
  <c r="N329" i="9"/>
  <c r="O329" i="9"/>
  <c r="P329" i="9"/>
  <c r="Q329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G329" i="9"/>
  <c r="AH329" i="9"/>
  <c r="AI329" i="9"/>
  <c r="AJ329" i="9"/>
  <c r="BF329" i="9"/>
  <c r="BG329" i="9"/>
  <c r="BH329" i="9"/>
  <c r="BI329" i="9"/>
  <c r="BJ329" i="9"/>
  <c r="BK329" i="9"/>
  <c r="BL329" i="9"/>
  <c r="BM329" i="9"/>
  <c r="BN329" i="9"/>
  <c r="BO329" i="9"/>
  <c r="BP329" i="9"/>
  <c r="BQ329" i="9"/>
  <c r="BR329" i="9"/>
  <c r="BS329" i="9"/>
  <c r="BT329" i="9"/>
  <c r="BU329" i="9"/>
  <c r="BV329" i="9"/>
  <c r="BW329" i="9"/>
  <c r="BX329" i="9"/>
  <c r="BY329" i="9"/>
  <c r="BZ329" i="9"/>
  <c r="CA329" i="9"/>
  <c r="CB329" i="9"/>
  <c r="CC329" i="9"/>
  <c r="CD329" i="9"/>
  <c r="CE329" i="9"/>
  <c r="CF329" i="9"/>
  <c r="CG329" i="9"/>
  <c r="CH329" i="9"/>
  <c r="CI329" i="9"/>
  <c r="CM329" i="9"/>
  <c r="CN329" i="9"/>
  <c r="CO329" i="9"/>
  <c r="CP329" i="9"/>
  <c r="CQ329" i="9"/>
  <c r="CR329" i="9"/>
  <c r="D341" i="9"/>
  <c r="E341" i="9"/>
  <c r="F341" i="9"/>
  <c r="G341" i="9"/>
  <c r="H341" i="9"/>
  <c r="I341" i="9"/>
  <c r="J341" i="9"/>
  <c r="K341" i="9"/>
  <c r="L341" i="9"/>
  <c r="M341" i="9"/>
  <c r="N341" i="9"/>
  <c r="O341" i="9"/>
  <c r="P341" i="9"/>
  <c r="Q341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G341" i="9"/>
  <c r="AH341" i="9"/>
  <c r="AI341" i="9"/>
  <c r="AJ341" i="9"/>
  <c r="BF341" i="9"/>
  <c r="BG341" i="9"/>
  <c r="BH341" i="9"/>
  <c r="BI341" i="9"/>
  <c r="BJ341" i="9"/>
  <c r="BK341" i="9"/>
  <c r="BL341" i="9"/>
  <c r="BM341" i="9"/>
  <c r="BN341" i="9"/>
  <c r="BO341" i="9"/>
  <c r="BP341" i="9"/>
  <c r="BQ341" i="9"/>
  <c r="BR341" i="9"/>
  <c r="BS341" i="9"/>
  <c r="BT341" i="9"/>
  <c r="BU341" i="9"/>
  <c r="BV341" i="9"/>
  <c r="BW341" i="9"/>
  <c r="BX341" i="9"/>
  <c r="BY341" i="9"/>
  <c r="BZ341" i="9"/>
  <c r="CA341" i="9"/>
  <c r="CB341" i="9"/>
  <c r="CC341" i="9"/>
  <c r="CD341" i="9"/>
  <c r="CE341" i="9"/>
  <c r="CF341" i="9"/>
  <c r="CG341" i="9"/>
  <c r="CH341" i="9"/>
  <c r="CI341" i="9"/>
  <c r="CM341" i="9"/>
  <c r="CN341" i="9"/>
  <c r="CO341" i="9"/>
  <c r="CP341" i="9"/>
  <c r="CQ341" i="9"/>
  <c r="CR341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G60" i="9"/>
  <c r="AH60" i="9"/>
  <c r="AI60" i="9"/>
  <c r="AJ60" i="9"/>
  <c r="BF60" i="9"/>
  <c r="BG60" i="9"/>
  <c r="BH60" i="9"/>
  <c r="BI60" i="9"/>
  <c r="BJ60" i="9"/>
  <c r="BK60" i="9"/>
  <c r="BL60" i="9"/>
  <c r="BM60" i="9"/>
  <c r="BN60" i="9"/>
  <c r="BO60" i="9"/>
  <c r="BP60" i="9"/>
  <c r="BQ60" i="9"/>
  <c r="BR60" i="9"/>
  <c r="BS60" i="9"/>
  <c r="BT60" i="9"/>
  <c r="BU60" i="9"/>
  <c r="BV60" i="9"/>
  <c r="BW60" i="9"/>
  <c r="BX60" i="9"/>
  <c r="BY60" i="9"/>
  <c r="BZ60" i="9"/>
  <c r="CA60" i="9"/>
  <c r="CB60" i="9"/>
  <c r="CC60" i="9"/>
  <c r="CD60" i="9"/>
  <c r="CE60" i="9"/>
  <c r="CF60" i="9"/>
  <c r="CG60" i="9"/>
  <c r="CH60" i="9"/>
  <c r="CI60" i="9"/>
  <c r="CM60" i="9"/>
  <c r="CN60" i="9"/>
  <c r="CO60" i="9"/>
  <c r="CP60" i="9"/>
  <c r="CQ60" i="9"/>
  <c r="CR60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G68" i="9"/>
  <c r="BD68" i="9" s="1"/>
  <c r="AH68" i="9"/>
  <c r="AI68" i="9"/>
  <c r="AJ68" i="9"/>
  <c r="BF68" i="9"/>
  <c r="BG68" i="9"/>
  <c r="BH68" i="9"/>
  <c r="BI68" i="9"/>
  <c r="BJ68" i="9"/>
  <c r="BK68" i="9"/>
  <c r="BL68" i="9"/>
  <c r="BM68" i="9"/>
  <c r="BN68" i="9"/>
  <c r="BO68" i="9"/>
  <c r="BP68" i="9"/>
  <c r="BQ68" i="9"/>
  <c r="BR68" i="9"/>
  <c r="BS68" i="9"/>
  <c r="BT68" i="9"/>
  <c r="BU68" i="9"/>
  <c r="BV68" i="9"/>
  <c r="BW68" i="9"/>
  <c r="BX68" i="9"/>
  <c r="BY68" i="9"/>
  <c r="BZ68" i="9"/>
  <c r="CA68" i="9"/>
  <c r="CB68" i="9"/>
  <c r="CC68" i="9"/>
  <c r="CD68" i="9"/>
  <c r="CE68" i="9"/>
  <c r="CF68" i="9"/>
  <c r="CG68" i="9"/>
  <c r="CH68" i="9"/>
  <c r="CI68" i="9"/>
  <c r="CM68" i="9"/>
  <c r="CN68" i="9"/>
  <c r="CO68" i="9"/>
  <c r="CP68" i="9"/>
  <c r="CQ68" i="9"/>
  <c r="CR68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G82" i="9"/>
  <c r="AH82" i="9"/>
  <c r="AI82" i="9"/>
  <c r="AJ82" i="9"/>
  <c r="BF82" i="9"/>
  <c r="BG82" i="9"/>
  <c r="BH82" i="9"/>
  <c r="BI82" i="9"/>
  <c r="BJ82" i="9"/>
  <c r="BK82" i="9"/>
  <c r="BL82" i="9"/>
  <c r="BM82" i="9"/>
  <c r="BN82" i="9"/>
  <c r="BO82" i="9"/>
  <c r="BP82" i="9"/>
  <c r="BQ82" i="9"/>
  <c r="BR82" i="9"/>
  <c r="BS82" i="9"/>
  <c r="BT82" i="9"/>
  <c r="BU82" i="9"/>
  <c r="BV82" i="9"/>
  <c r="BW82" i="9"/>
  <c r="BX82" i="9"/>
  <c r="BY82" i="9"/>
  <c r="BZ82" i="9"/>
  <c r="CA82" i="9"/>
  <c r="CB82" i="9"/>
  <c r="CC82" i="9"/>
  <c r="CD82" i="9"/>
  <c r="CE82" i="9"/>
  <c r="CF82" i="9"/>
  <c r="CG82" i="9"/>
  <c r="CH82" i="9"/>
  <c r="CI82" i="9"/>
  <c r="CM82" i="9"/>
  <c r="CN82" i="9"/>
  <c r="CO82" i="9"/>
  <c r="CP82" i="9"/>
  <c r="CQ82" i="9"/>
  <c r="CR82" i="9"/>
  <c r="D217" i="9"/>
  <c r="E217" i="9"/>
  <c r="F217" i="9"/>
  <c r="G217" i="9"/>
  <c r="H217" i="9"/>
  <c r="I217" i="9"/>
  <c r="J217" i="9"/>
  <c r="K217" i="9"/>
  <c r="L217" i="9"/>
  <c r="M217" i="9"/>
  <c r="N217" i="9"/>
  <c r="O217" i="9"/>
  <c r="P217" i="9"/>
  <c r="Q217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G217" i="9"/>
  <c r="AH217" i="9"/>
  <c r="AI217" i="9"/>
  <c r="AJ217" i="9"/>
  <c r="BF217" i="9"/>
  <c r="BG217" i="9"/>
  <c r="BH217" i="9"/>
  <c r="BI217" i="9"/>
  <c r="BJ217" i="9"/>
  <c r="BK217" i="9"/>
  <c r="BL217" i="9"/>
  <c r="BM217" i="9"/>
  <c r="BN217" i="9"/>
  <c r="BO217" i="9"/>
  <c r="BP217" i="9"/>
  <c r="BQ217" i="9"/>
  <c r="BR217" i="9"/>
  <c r="BS217" i="9"/>
  <c r="BT217" i="9"/>
  <c r="BU217" i="9"/>
  <c r="BV217" i="9"/>
  <c r="BW217" i="9"/>
  <c r="BX217" i="9"/>
  <c r="BY217" i="9"/>
  <c r="BZ217" i="9"/>
  <c r="CA217" i="9"/>
  <c r="CB217" i="9"/>
  <c r="CC217" i="9"/>
  <c r="CD217" i="9"/>
  <c r="CE217" i="9"/>
  <c r="CF217" i="9"/>
  <c r="CG217" i="9"/>
  <c r="CH217" i="9"/>
  <c r="CI217" i="9"/>
  <c r="CM217" i="9"/>
  <c r="CN217" i="9"/>
  <c r="CO217" i="9"/>
  <c r="CP217" i="9"/>
  <c r="CQ217" i="9"/>
  <c r="CR217" i="9"/>
  <c r="D225" i="9"/>
  <c r="E225" i="9"/>
  <c r="F225" i="9"/>
  <c r="G225" i="9"/>
  <c r="H225" i="9"/>
  <c r="I225" i="9"/>
  <c r="J225" i="9"/>
  <c r="K225" i="9"/>
  <c r="L225" i="9"/>
  <c r="M225" i="9"/>
  <c r="N225" i="9"/>
  <c r="O225" i="9"/>
  <c r="P225" i="9"/>
  <c r="Q225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G225" i="9"/>
  <c r="AH225" i="9"/>
  <c r="AI225" i="9"/>
  <c r="AJ225" i="9"/>
  <c r="BF225" i="9"/>
  <c r="BG225" i="9"/>
  <c r="BH225" i="9"/>
  <c r="BI225" i="9"/>
  <c r="BJ225" i="9"/>
  <c r="BK225" i="9"/>
  <c r="BL225" i="9"/>
  <c r="BM225" i="9"/>
  <c r="BN225" i="9"/>
  <c r="BO225" i="9"/>
  <c r="BP225" i="9"/>
  <c r="BQ225" i="9"/>
  <c r="BR225" i="9"/>
  <c r="BS225" i="9"/>
  <c r="BT225" i="9"/>
  <c r="BU225" i="9"/>
  <c r="BV225" i="9"/>
  <c r="BW225" i="9"/>
  <c r="BX225" i="9"/>
  <c r="BY225" i="9"/>
  <c r="BZ225" i="9"/>
  <c r="CA225" i="9"/>
  <c r="CB225" i="9"/>
  <c r="CC225" i="9"/>
  <c r="CD225" i="9"/>
  <c r="CE225" i="9"/>
  <c r="CF225" i="9"/>
  <c r="CG225" i="9"/>
  <c r="CH225" i="9"/>
  <c r="CI225" i="9"/>
  <c r="CM225" i="9"/>
  <c r="CN225" i="9"/>
  <c r="CO225" i="9"/>
  <c r="CP225" i="9"/>
  <c r="CQ225" i="9"/>
  <c r="CR225" i="9"/>
  <c r="D234" i="9"/>
  <c r="E234" i="9"/>
  <c r="F234" i="9"/>
  <c r="G234" i="9"/>
  <c r="H234" i="9"/>
  <c r="I234" i="9"/>
  <c r="J234" i="9"/>
  <c r="K234" i="9"/>
  <c r="L234" i="9"/>
  <c r="M234" i="9"/>
  <c r="N234" i="9"/>
  <c r="O234" i="9"/>
  <c r="P234" i="9"/>
  <c r="Q234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G234" i="9"/>
  <c r="BD234" i="9" s="1"/>
  <c r="AH234" i="9"/>
  <c r="AI234" i="9"/>
  <c r="AJ234" i="9"/>
  <c r="BF234" i="9"/>
  <c r="BG234" i="9"/>
  <c r="BH234" i="9"/>
  <c r="BI234" i="9"/>
  <c r="BJ234" i="9"/>
  <c r="BK234" i="9"/>
  <c r="BL234" i="9"/>
  <c r="BM234" i="9"/>
  <c r="BN234" i="9"/>
  <c r="BO234" i="9"/>
  <c r="BP234" i="9"/>
  <c r="BQ234" i="9"/>
  <c r="BR234" i="9"/>
  <c r="BS234" i="9"/>
  <c r="BT234" i="9"/>
  <c r="BU234" i="9"/>
  <c r="BV234" i="9"/>
  <c r="BW234" i="9"/>
  <c r="BX234" i="9"/>
  <c r="BY234" i="9"/>
  <c r="BZ234" i="9"/>
  <c r="CA234" i="9"/>
  <c r="CB234" i="9"/>
  <c r="CC234" i="9"/>
  <c r="CD234" i="9"/>
  <c r="CE234" i="9"/>
  <c r="CF234" i="9"/>
  <c r="CG234" i="9"/>
  <c r="CH234" i="9"/>
  <c r="CI234" i="9"/>
  <c r="CM234" i="9"/>
  <c r="CN234" i="9"/>
  <c r="CO234" i="9"/>
  <c r="CP234" i="9"/>
  <c r="CQ234" i="9"/>
  <c r="CR234" i="9"/>
  <c r="D242" i="9"/>
  <c r="E242" i="9"/>
  <c r="F242" i="9"/>
  <c r="G242" i="9"/>
  <c r="H242" i="9"/>
  <c r="I242" i="9"/>
  <c r="J242" i="9"/>
  <c r="K242" i="9"/>
  <c r="L242" i="9"/>
  <c r="M242" i="9"/>
  <c r="N242" i="9"/>
  <c r="O242" i="9"/>
  <c r="P242" i="9"/>
  <c r="Q242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G242" i="9"/>
  <c r="AH242" i="9"/>
  <c r="AI242" i="9"/>
  <c r="AJ242" i="9"/>
  <c r="BF242" i="9"/>
  <c r="BG242" i="9"/>
  <c r="BH242" i="9"/>
  <c r="BI242" i="9"/>
  <c r="BJ242" i="9"/>
  <c r="BK242" i="9"/>
  <c r="BL242" i="9"/>
  <c r="BM242" i="9"/>
  <c r="BN242" i="9"/>
  <c r="BO242" i="9"/>
  <c r="BP242" i="9"/>
  <c r="BQ242" i="9"/>
  <c r="BR242" i="9"/>
  <c r="BS242" i="9"/>
  <c r="BT242" i="9"/>
  <c r="BU242" i="9"/>
  <c r="BV242" i="9"/>
  <c r="BW242" i="9"/>
  <c r="BX242" i="9"/>
  <c r="BY242" i="9"/>
  <c r="BZ242" i="9"/>
  <c r="CA242" i="9"/>
  <c r="CB242" i="9"/>
  <c r="CC242" i="9"/>
  <c r="CD242" i="9"/>
  <c r="CE242" i="9"/>
  <c r="CF242" i="9"/>
  <c r="CG242" i="9"/>
  <c r="CH242" i="9"/>
  <c r="CI242" i="9"/>
  <c r="CM242" i="9"/>
  <c r="CN242" i="9"/>
  <c r="CO242" i="9"/>
  <c r="CP242" i="9"/>
  <c r="CQ242" i="9"/>
  <c r="CR242" i="9"/>
  <c r="D250" i="9"/>
  <c r="E250" i="9"/>
  <c r="F250" i="9"/>
  <c r="G250" i="9"/>
  <c r="H250" i="9"/>
  <c r="I250" i="9"/>
  <c r="J250" i="9"/>
  <c r="K250" i="9"/>
  <c r="L250" i="9"/>
  <c r="M250" i="9"/>
  <c r="N250" i="9"/>
  <c r="O250" i="9"/>
  <c r="P250" i="9"/>
  <c r="Q250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G250" i="9"/>
  <c r="AH250" i="9"/>
  <c r="AI250" i="9"/>
  <c r="AJ250" i="9"/>
  <c r="BF250" i="9"/>
  <c r="BG250" i="9"/>
  <c r="BH250" i="9"/>
  <c r="BI250" i="9"/>
  <c r="BJ250" i="9"/>
  <c r="BK250" i="9"/>
  <c r="BL250" i="9"/>
  <c r="BM250" i="9"/>
  <c r="BN250" i="9"/>
  <c r="BO250" i="9"/>
  <c r="BP250" i="9"/>
  <c r="BQ250" i="9"/>
  <c r="BR250" i="9"/>
  <c r="BS250" i="9"/>
  <c r="BT250" i="9"/>
  <c r="BU250" i="9"/>
  <c r="BV250" i="9"/>
  <c r="BW250" i="9"/>
  <c r="BX250" i="9"/>
  <c r="BY250" i="9"/>
  <c r="BZ250" i="9"/>
  <c r="CA250" i="9"/>
  <c r="CB250" i="9"/>
  <c r="CC250" i="9"/>
  <c r="CD250" i="9"/>
  <c r="CE250" i="9"/>
  <c r="CF250" i="9"/>
  <c r="CG250" i="9"/>
  <c r="CH250" i="9"/>
  <c r="CI250" i="9"/>
  <c r="CM250" i="9"/>
  <c r="CN250" i="9"/>
  <c r="CO250" i="9"/>
  <c r="CP250" i="9"/>
  <c r="CQ250" i="9"/>
  <c r="CR250" i="9"/>
  <c r="D258" i="9"/>
  <c r="E258" i="9"/>
  <c r="F258" i="9"/>
  <c r="G258" i="9"/>
  <c r="H258" i="9"/>
  <c r="I258" i="9"/>
  <c r="J258" i="9"/>
  <c r="K258" i="9"/>
  <c r="L258" i="9"/>
  <c r="M258" i="9"/>
  <c r="N258" i="9"/>
  <c r="O258" i="9"/>
  <c r="P258" i="9"/>
  <c r="Q258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G258" i="9"/>
  <c r="AH258" i="9"/>
  <c r="AI258" i="9"/>
  <c r="AJ258" i="9"/>
  <c r="BF258" i="9"/>
  <c r="BG258" i="9"/>
  <c r="BH258" i="9"/>
  <c r="BI258" i="9"/>
  <c r="BJ258" i="9"/>
  <c r="BK258" i="9"/>
  <c r="BL258" i="9"/>
  <c r="BM258" i="9"/>
  <c r="BN258" i="9"/>
  <c r="BO258" i="9"/>
  <c r="BP258" i="9"/>
  <c r="BQ258" i="9"/>
  <c r="BR258" i="9"/>
  <c r="BS258" i="9"/>
  <c r="BT258" i="9"/>
  <c r="BU258" i="9"/>
  <c r="BV258" i="9"/>
  <c r="BW258" i="9"/>
  <c r="BX258" i="9"/>
  <c r="BY258" i="9"/>
  <c r="BZ258" i="9"/>
  <c r="CA258" i="9"/>
  <c r="CB258" i="9"/>
  <c r="CC258" i="9"/>
  <c r="CD258" i="9"/>
  <c r="CE258" i="9"/>
  <c r="CF258" i="9"/>
  <c r="CG258" i="9"/>
  <c r="CH258" i="9"/>
  <c r="CI258" i="9"/>
  <c r="CM258" i="9"/>
  <c r="CN258" i="9"/>
  <c r="CO258" i="9"/>
  <c r="CP258" i="9"/>
  <c r="CQ258" i="9"/>
  <c r="CR258" i="9"/>
  <c r="D306" i="9"/>
  <c r="E306" i="9"/>
  <c r="F306" i="9"/>
  <c r="G306" i="9"/>
  <c r="H306" i="9"/>
  <c r="I306" i="9"/>
  <c r="J306" i="9"/>
  <c r="K306" i="9"/>
  <c r="L306" i="9"/>
  <c r="M306" i="9"/>
  <c r="N306" i="9"/>
  <c r="O306" i="9"/>
  <c r="P306" i="9"/>
  <c r="Q306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G306" i="9"/>
  <c r="BD306" i="9" s="1"/>
  <c r="AH306" i="9"/>
  <c r="AI306" i="9"/>
  <c r="AJ306" i="9"/>
  <c r="BF306" i="9"/>
  <c r="BG306" i="9"/>
  <c r="BH306" i="9"/>
  <c r="BI306" i="9"/>
  <c r="BJ306" i="9"/>
  <c r="BK306" i="9"/>
  <c r="BL306" i="9"/>
  <c r="BM306" i="9"/>
  <c r="BN306" i="9"/>
  <c r="BO306" i="9"/>
  <c r="BP306" i="9"/>
  <c r="BQ306" i="9"/>
  <c r="BR306" i="9"/>
  <c r="BS306" i="9"/>
  <c r="BT306" i="9"/>
  <c r="BU306" i="9"/>
  <c r="BV306" i="9"/>
  <c r="BW306" i="9"/>
  <c r="BX306" i="9"/>
  <c r="BY306" i="9"/>
  <c r="BZ306" i="9"/>
  <c r="CA306" i="9"/>
  <c r="CB306" i="9"/>
  <c r="CC306" i="9"/>
  <c r="CD306" i="9"/>
  <c r="CE306" i="9"/>
  <c r="CF306" i="9"/>
  <c r="CG306" i="9"/>
  <c r="CH306" i="9"/>
  <c r="CI306" i="9"/>
  <c r="CM306" i="9"/>
  <c r="CN306" i="9"/>
  <c r="CO306" i="9"/>
  <c r="CP306" i="9"/>
  <c r="CQ306" i="9"/>
  <c r="CR306" i="9"/>
  <c r="D314" i="9"/>
  <c r="E314" i="9"/>
  <c r="F314" i="9"/>
  <c r="G314" i="9"/>
  <c r="H314" i="9"/>
  <c r="I314" i="9"/>
  <c r="J314" i="9"/>
  <c r="K314" i="9"/>
  <c r="L314" i="9"/>
  <c r="M314" i="9"/>
  <c r="N314" i="9"/>
  <c r="O314" i="9"/>
  <c r="P314" i="9"/>
  <c r="Q314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G314" i="9"/>
  <c r="AH314" i="9"/>
  <c r="AI314" i="9"/>
  <c r="AJ314" i="9"/>
  <c r="BF314" i="9"/>
  <c r="BG314" i="9"/>
  <c r="BH314" i="9"/>
  <c r="BI314" i="9"/>
  <c r="BJ314" i="9"/>
  <c r="BK314" i="9"/>
  <c r="BL314" i="9"/>
  <c r="BM314" i="9"/>
  <c r="BN314" i="9"/>
  <c r="BO314" i="9"/>
  <c r="BP314" i="9"/>
  <c r="BQ314" i="9"/>
  <c r="BR314" i="9"/>
  <c r="BS314" i="9"/>
  <c r="BT314" i="9"/>
  <c r="BU314" i="9"/>
  <c r="BV314" i="9"/>
  <c r="BW314" i="9"/>
  <c r="BX314" i="9"/>
  <c r="BY314" i="9"/>
  <c r="BZ314" i="9"/>
  <c r="CA314" i="9"/>
  <c r="CB314" i="9"/>
  <c r="CC314" i="9"/>
  <c r="CD314" i="9"/>
  <c r="CE314" i="9"/>
  <c r="CF314" i="9"/>
  <c r="CG314" i="9"/>
  <c r="CH314" i="9"/>
  <c r="CI314" i="9"/>
  <c r="CM314" i="9"/>
  <c r="CN314" i="9"/>
  <c r="CO314" i="9"/>
  <c r="CP314" i="9"/>
  <c r="CQ314" i="9"/>
  <c r="CR314" i="9"/>
  <c r="D322" i="9"/>
  <c r="E322" i="9"/>
  <c r="F322" i="9"/>
  <c r="G322" i="9"/>
  <c r="H322" i="9"/>
  <c r="I322" i="9"/>
  <c r="J322" i="9"/>
  <c r="K322" i="9"/>
  <c r="L322" i="9"/>
  <c r="M322" i="9"/>
  <c r="N322" i="9"/>
  <c r="O322" i="9"/>
  <c r="P322" i="9"/>
  <c r="Q322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G322" i="9"/>
  <c r="AH322" i="9"/>
  <c r="AI322" i="9"/>
  <c r="AJ322" i="9"/>
  <c r="BF322" i="9"/>
  <c r="BG322" i="9"/>
  <c r="BH322" i="9"/>
  <c r="BI322" i="9"/>
  <c r="BJ322" i="9"/>
  <c r="BK322" i="9"/>
  <c r="BL322" i="9"/>
  <c r="BM322" i="9"/>
  <c r="BN322" i="9"/>
  <c r="BO322" i="9"/>
  <c r="BP322" i="9"/>
  <c r="BQ322" i="9"/>
  <c r="BR322" i="9"/>
  <c r="BS322" i="9"/>
  <c r="BT322" i="9"/>
  <c r="BU322" i="9"/>
  <c r="BV322" i="9"/>
  <c r="BW322" i="9"/>
  <c r="BX322" i="9"/>
  <c r="BY322" i="9"/>
  <c r="BZ322" i="9"/>
  <c r="CA322" i="9"/>
  <c r="CB322" i="9"/>
  <c r="CC322" i="9"/>
  <c r="CD322" i="9"/>
  <c r="CE322" i="9"/>
  <c r="CF322" i="9"/>
  <c r="CG322" i="9"/>
  <c r="CH322" i="9"/>
  <c r="CI322" i="9"/>
  <c r="CM322" i="9"/>
  <c r="CN322" i="9"/>
  <c r="CO322" i="9"/>
  <c r="CP322" i="9"/>
  <c r="CQ322" i="9"/>
  <c r="CR322" i="9"/>
  <c r="D334" i="9"/>
  <c r="E334" i="9"/>
  <c r="F334" i="9"/>
  <c r="G334" i="9"/>
  <c r="H334" i="9"/>
  <c r="I334" i="9"/>
  <c r="J334" i="9"/>
  <c r="K334" i="9"/>
  <c r="L334" i="9"/>
  <c r="M334" i="9"/>
  <c r="N334" i="9"/>
  <c r="O334" i="9"/>
  <c r="P334" i="9"/>
  <c r="Q334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G334" i="9"/>
  <c r="AH334" i="9"/>
  <c r="AI334" i="9"/>
  <c r="AJ334" i="9"/>
  <c r="BF334" i="9"/>
  <c r="BG334" i="9"/>
  <c r="BH334" i="9"/>
  <c r="BI334" i="9"/>
  <c r="BJ334" i="9"/>
  <c r="BK334" i="9"/>
  <c r="BL334" i="9"/>
  <c r="BM334" i="9"/>
  <c r="BN334" i="9"/>
  <c r="BO334" i="9"/>
  <c r="BP334" i="9"/>
  <c r="BQ334" i="9"/>
  <c r="BR334" i="9"/>
  <c r="BS334" i="9"/>
  <c r="BT334" i="9"/>
  <c r="BU334" i="9"/>
  <c r="BV334" i="9"/>
  <c r="BW334" i="9"/>
  <c r="BX334" i="9"/>
  <c r="BY334" i="9"/>
  <c r="BZ334" i="9"/>
  <c r="CA334" i="9"/>
  <c r="CB334" i="9"/>
  <c r="CC334" i="9"/>
  <c r="CD334" i="9"/>
  <c r="CE334" i="9"/>
  <c r="CF334" i="9"/>
  <c r="CG334" i="9"/>
  <c r="CH334" i="9"/>
  <c r="CI334" i="9"/>
  <c r="CM334" i="9"/>
  <c r="CN334" i="9"/>
  <c r="CO334" i="9"/>
  <c r="CP334" i="9"/>
  <c r="CQ334" i="9"/>
  <c r="CR334" i="9"/>
  <c r="D342" i="9"/>
  <c r="E342" i="9"/>
  <c r="F342" i="9"/>
  <c r="G342" i="9"/>
  <c r="H342" i="9"/>
  <c r="I342" i="9"/>
  <c r="J342" i="9"/>
  <c r="K342" i="9"/>
  <c r="L342" i="9"/>
  <c r="M342" i="9"/>
  <c r="N342" i="9"/>
  <c r="O342" i="9"/>
  <c r="P342" i="9"/>
  <c r="Q342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G342" i="9"/>
  <c r="BD342" i="9" s="1"/>
  <c r="AH342" i="9"/>
  <c r="AI342" i="9"/>
  <c r="AJ342" i="9"/>
  <c r="BF342" i="9"/>
  <c r="BG342" i="9"/>
  <c r="BH342" i="9"/>
  <c r="BI342" i="9"/>
  <c r="BJ342" i="9"/>
  <c r="BK342" i="9"/>
  <c r="BL342" i="9"/>
  <c r="BM342" i="9"/>
  <c r="BN342" i="9"/>
  <c r="BO342" i="9"/>
  <c r="BP342" i="9"/>
  <c r="BQ342" i="9"/>
  <c r="BR342" i="9"/>
  <c r="BS342" i="9"/>
  <c r="BT342" i="9"/>
  <c r="BU342" i="9"/>
  <c r="BV342" i="9"/>
  <c r="BW342" i="9"/>
  <c r="BX342" i="9"/>
  <c r="BY342" i="9"/>
  <c r="BZ342" i="9"/>
  <c r="CA342" i="9"/>
  <c r="CB342" i="9"/>
  <c r="CC342" i="9"/>
  <c r="CD342" i="9"/>
  <c r="CE342" i="9"/>
  <c r="CF342" i="9"/>
  <c r="CG342" i="9"/>
  <c r="CH342" i="9"/>
  <c r="CI342" i="9"/>
  <c r="CM342" i="9"/>
  <c r="CN342" i="9"/>
  <c r="CO342" i="9"/>
  <c r="CP342" i="9"/>
  <c r="CQ342" i="9"/>
  <c r="CR342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G61" i="9"/>
  <c r="AH61" i="9"/>
  <c r="AI61" i="9"/>
  <c r="AJ61" i="9"/>
  <c r="BF61" i="9"/>
  <c r="BG61" i="9"/>
  <c r="BH61" i="9"/>
  <c r="BI61" i="9"/>
  <c r="BJ61" i="9"/>
  <c r="BK61" i="9"/>
  <c r="BL61" i="9"/>
  <c r="BM61" i="9"/>
  <c r="BN61" i="9"/>
  <c r="BO61" i="9"/>
  <c r="BP61" i="9"/>
  <c r="BQ61" i="9"/>
  <c r="BR61" i="9"/>
  <c r="BS61" i="9"/>
  <c r="BT61" i="9"/>
  <c r="BU61" i="9"/>
  <c r="BV61" i="9"/>
  <c r="BW61" i="9"/>
  <c r="BX61" i="9"/>
  <c r="BY61" i="9"/>
  <c r="BZ61" i="9"/>
  <c r="CA61" i="9"/>
  <c r="CB61" i="9"/>
  <c r="CC61" i="9"/>
  <c r="CD61" i="9"/>
  <c r="CE61" i="9"/>
  <c r="CF61" i="9"/>
  <c r="CG61" i="9"/>
  <c r="CH61" i="9"/>
  <c r="CI61" i="9"/>
  <c r="CM61" i="9"/>
  <c r="CN61" i="9"/>
  <c r="CO61" i="9"/>
  <c r="CP61" i="9"/>
  <c r="CQ61" i="9"/>
  <c r="CR61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G69" i="9"/>
  <c r="AH69" i="9"/>
  <c r="AI69" i="9"/>
  <c r="AJ69" i="9"/>
  <c r="BF69" i="9"/>
  <c r="BG69" i="9"/>
  <c r="BH69" i="9"/>
  <c r="BI69" i="9"/>
  <c r="BJ69" i="9"/>
  <c r="BK69" i="9"/>
  <c r="BL69" i="9"/>
  <c r="BM69" i="9"/>
  <c r="BN69" i="9"/>
  <c r="BO69" i="9"/>
  <c r="BP69" i="9"/>
  <c r="BQ69" i="9"/>
  <c r="BR69" i="9"/>
  <c r="BS69" i="9"/>
  <c r="BT69" i="9"/>
  <c r="BU69" i="9"/>
  <c r="BV69" i="9"/>
  <c r="BW69" i="9"/>
  <c r="BX69" i="9"/>
  <c r="BY69" i="9"/>
  <c r="BZ69" i="9"/>
  <c r="CA69" i="9"/>
  <c r="CB69" i="9"/>
  <c r="CC69" i="9"/>
  <c r="CD69" i="9"/>
  <c r="CE69" i="9"/>
  <c r="CF69" i="9"/>
  <c r="CG69" i="9"/>
  <c r="CH69" i="9"/>
  <c r="CI69" i="9"/>
  <c r="CM69" i="9"/>
  <c r="CN69" i="9"/>
  <c r="CO69" i="9"/>
  <c r="CP69" i="9"/>
  <c r="CQ69" i="9"/>
  <c r="CR69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G83" i="9"/>
  <c r="AH83" i="9"/>
  <c r="AI83" i="9"/>
  <c r="AJ83" i="9"/>
  <c r="BF83" i="9"/>
  <c r="BG83" i="9"/>
  <c r="BH83" i="9"/>
  <c r="BI83" i="9"/>
  <c r="BJ83" i="9"/>
  <c r="BK83" i="9"/>
  <c r="BL83" i="9"/>
  <c r="BM83" i="9"/>
  <c r="BN83" i="9"/>
  <c r="BO83" i="9"/>
  <c r="BP83" i="9"/>
  <c r="BQ83" i="9"/>
  <c r="BR83" i="9"/>
  <c r="BS83" i="9"/>
  <c r="BT83" i="9"/>
  <c r="BU83" i="9"/>
  <c r="BV83" i="9"/>
  <c r="BW83" i="9"/>
  <c r="BX83" i="9"/>
  <c r="BY83" i="9"/>
  <c r="BZ83" i="9"/>
  <c r="CA83" i="9"/>
  <c r="CB83" i="9"/>
  <c r="CC83" i="9"/>
  <c r="CD83" i="9"/>
  <c r="CE83" i="9"/>
  <c r="CF83" i="9"/>
  <c r="CG83" i="9"/>
  <c r="CH83" i="9"/>
  <c r="CI83" i="9"/>
  <c r="CM83" i="9"/>
  <c r="CN83" i="9"/>
  <c r="CO83" i="9"/>
  <c r="CP83" i="9"/>
  <c r="CQ83" i="9"/>
  <c r="CR83" i="9"/>
  <c r="D218" i="9"/>
  <c r="E218" i="9"/>
  <c r="F218" i="9"/>
  <c r="G218" i="9"/>
  <c r="H218" i="9"/>
  <c r="I218" i="9"/>
  <c r="J218" i="9"/>
  <c r="K218" i="9"/>
  <c r="L218" i="9"/>
  <c r="M218" i="9"/>
  <c r="N218" i="9"/>
  <c r="O218" i="9"/>
  <c r="P218" i="9"/>
  <c r="Q218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G218" i="9"/>
  <c r="BD218" i="9" s="1"/>
  <c r="AH218" i="9"/>
  <c r="AI218" i="9"/>
  <c r="AJ218" i="9"/>
  <c r="BF218" i="9"/>
  <c r="BG218" i="9"/>
  <c r="BH218" i="9"/>
  <c r="BI218" i="9"/>
  <c r="BJ218" i="9"/>
  <c r="BK218" i="9"/>
  <c r="BL218" i="9"/>
  <c r="BM218" i="9"/>
  <c r="BN218" i="9"/>
  <c r="BO218" i="9"/>
  <c r="BP218" i="9"/>
  <c r="BQ218" i="9"/>
  <c r="BR218" i="9"/>
  <c r="BS218" i="9"/>
  <c r="BT218" i="9"/>
  <c r="BU218" i="9"/>
  <c r="BV218" i="9"/>
  <c r="BW218" i="9"/>
  <c r="BX218" i="9"/>
  <c r="BY218" i="9"/>
  <c r="BZ218" i="9"/>
  <c r="CA218" i="9"/>
  <c r="CB218" i="9"/>
  <c r="CC218" i="9"/>
  <c r="CD218" i="9"/>
  <c r="CE218" i="9"/>
  <c r="CF218" i="9"/>
  <c r="CG218" i="9"/>
  <c r="CH218" i="9"/>
  <c r="CI218" i="9"/>
  <c r="CM218" i="9"/>
  <c r="CN218" i="9"/>
  <c r="CO218" i="9"/>
  <c r="CP218" i="9"/>
  <c r="CQ218" i="9"/>
  <c r="CR218" i="9"/>
  <c r="D226" i="9"/>
  <c r="E226" i="9"/>
  <c r="F226" i="9"/>
  <c r="G226" i="9"/>
  <c r="H226" i="9"/>
  <c r="I226" i="9"/>
  <c r="J226" i="9"/>
  <c r="K226" i="9"/>
  <c r="L226" i="9"/>
  <c r="M226" i="9"/>
  <c r="N226" i="9"/>
  <c r="O226" i="9"/>
  <c r="P226" i="9"/>
  <c r="Q226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G226" i="9"/>
  <c r="AH226" i="9"/>
  <c r="AI226" i="9"/>
  <c r="AJ226" i="9"/>
  <c r="BF226" i="9"/>
  <c r="BG226" i="9"/>
  <c r="BH226" i="9"/>
  <c r="BI226" i="9"/>
  <c r="BJ226" i="9"/>
  <c r="BK226" i="9"/>
  <c r="BL226" i="9"/>
  <c r="BM226" i="9"/>
  <c r="BN226" i="9"/>
  <c r="BO226" i="9"/>
  <c r="BP226" i="9"/>
  <c r="BQ226" i="9"/>
  <c r="BR226" i="9"/>
  <c r="BS226" i="9"/>
  <c r="BT226" i="9"/>
  <c r="BU226" i="9"/>
  <c r="BV226" i="9"/>
  <c r="BW226" i="9"/>
  <c r="BX226" i="9"/>
  <c r="BY226" i="9"/>
  <c r="BZ226" i="9"/>
  <c r="CA226" i="9"/>
  <c r="CB226" i="9"/>
  <c r="CC226" i="9"/>
  <c r="CD226" i="9"/>
  <c r="CE226" i="9"/>
  <c r="CF226" i="9"/>
  <c r="CG226" i="9"/>
  <c r="CH226" i="9"/>
  <c r="CI226" i="9"/>
  <c r="CM226" i="9"/>
  <c r="CN226" i="9"/>
  <c r="CO226" i="9"/>
  <c r="CP226" i="9"/>
  <c r="CQ226" i="9"/>
  <c r="CR226" i="9"/>
  <c r="D235" i="9"/>
  <c r="E235" i="9"/>
  <c r="F235" i="9"/>
  <c r="G235" i="9"/>
  <c r="H235" i="9"/>
  <c r="I235" i="9"/>
  <c r="J235" i="9"/>
  <c r="K235" i="9"/>
  <c r="L235" i="9"/>
  <c r="M235" i="9"/>
  <c r="N235" i="9"/>
  <c r="O235" i="9"/>
  <c r="P235" i="9"/>
  <c r="Q235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G235" i="9"/>
  <c r="AH235" i="9"/>
  <c r="AI235" i="9"/>
  <c r="AJ235" i="9"/>
  <c r="BF235" i="9"/>
  <c r="BG235" i="9"/>
  <c r="BH235" i="9"/>
  <c r="BI235" i="9"/>
  <c r="BJ235" i="9"/>
  <c r="BK235" i="9"/>
  <c r="BL235" i="9"/>
  <c r="BM235" i="9"/>
  <c r="BN235" i="9"/>
  <c r="BO235" i="9"/>
  <c r="BP235" i="9"/>
  <c r="BQ235" i="9"/>
  <c r="BR235" i="9"/>
  <c r="BS235" i="9"/>
  <c r="BT235" i="9"/>
  <c r="BU235" i="9"/>
  <c r="BV235" i="9"/>
  <c r="BW235" i="9"/>
  <c r="BX235" i="9"/>
  <c r="BY235" i="9"/>
  <c r="BZ235" i="9"/>
  <c r="CA235" i="9"/>
  <c r="CB235" i="9"/>
  <c r="CC235" i="9"/>
  <c r="CD235" i="9"/>
  <c r="CE235" i="9"/>
  <c r="CF235" i="9"/>
  <c r="CG235" i="9"/>
  <c r="CH235" i="9"/>
  <c r="CI235" i="9"/>
  <c r="CM235" i="9"/>
  <c r="CN235" i="9"/>
  <c r="CO235" i="9"/>
  <c r="CP235" i="9"/>
  <c r="CQ235" i="9"/>
  <c r="CR235" i="9"/>
  <c r="D243" i="9"/>
  <c r="E243" i="9"/>
  <c r="F243" i="9"/>
  <c r="G243" i="9"/>
  <c r="H243" i="9"/>
  <c r="I243" i="9"/>
  <c r="J243" i="9"/>
  <c r="K243" i="9"/>
  <c r="L243" i="9"/>
  <c r="M243" i="9"/>
  <c r="N243" i="9"/>
  <c r="O243" i="9"/>
  <c r="P243" i="9"/>
  <c r="Q243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G243" i="9"/>
  <c r="AH243" i="9"/>
  <c r="AI243" i="9"/>
  <c r="AJ243" i="9"/>
  <c r="BF243" i="9"/>
  <c r="BG243" i="9"/>
  <c r="BH243" i="9"/>
  <c r="BI243" i="9"/>
  <c r="BJ243" i="9"/>
  <c r="BK243" i="9"/>
  <c r="BL243" i="9"/>
  <c r="BM243" i="9"/>
  <c r="BN243" i="9"/>
  <c r="BO243" i="9"/>
  <c r="BP243" i="9"/>
  <c r="BQ243" i="9"/>
  <c r="BR243" i="9"/>
  <c r="BS243" i="9"/>
  <c r="BT243" i="9"/>
  <c r="BU243" i="9"/>
  <c r="BV243" i="9"/>
  <c r="BW243" i="9"/>
  <c r="BX243" i="9"/>
  <c r="BY243" i="9"/>
  <c r="BZ243" i="9"/>
  <c r="CA243" i="9"/>
  <c r="CB243" i="9"/>
  <c r="CC243" i="9"/>
  <c r="CD243" i="9"/>
  <c r="CE243" i="9"/>
  <c r="CF243" i="9"/>
  <c r="CG243" i="9"/>
  <c r="CH243" i="9"/>
  <c r="CI243" i="9"/>
  <c r="CM243" i="9"/>
  <c r="CN243" i="9"/>
  <c r="CO243" i="9"/>
  <c r="CP243" i="9"/>
  <c r="CQ243" i="9"/>
  <c r="CR243" i="9"/>
  <c r="D251" i="9"/>
  <c r="E251" i="9"/>
  <c r="F251" i="9"/>
  <c r="G251" i="9"/>
  <c r="H251" i="9"/>
  <c r="I251" i="9"/>
  <c r="J251" i="9"/>
  <c r="K251" i="9"/>
  <c r="L251" i="9"/>
  <c r="M251" i="9"/>
  <c r="N251" i="9"/>
  <c r="O251" i="9"/>
  <c r="P251" i="9"/>
  <c r="Q251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G251" i="9"/>
  <c r="BD251" i="9" s="1"/>
  <c r="AH251" i="9"/>
  <c r="AI251" i="9"/>
  <c r="AJ251" i="9"/>
  <c r="BF251" i="9"/>
  <c r="BG251" i="9"/>
  <c r="BH251" i="9"/>
  <c r="BI251" i="9"/>
  <c r="BJ251" i="9"/>
  <c r="BK251" i="9"/>
  <c r="BL251" i="9"/>
  <c r="BM251" i="9"/>
  <c r="BN251" i="9"/>
  <c r="BO251" i="9"/>
  <c r="BP251" i="9"/>
  <c r="BQ251" i="9"/>
  <c r="BR251" i="9"/>
  <c r="BS251" i="9"/>
  <c r="BT251" i="9"/>
  <c r="BU251" i="9"/>
  <c r="BV251" i="9"/>
  <c r="BW251" i="9"/>
  <c r="BX251" i="9"/>
  <c r="BY251" i="9"/>
  <c r="BZ251" i="9"/>
  <c r="CA251" i="9"/>
  <c r="CB251" i="9"/>
  <c r="CC251" i="9"/>
  <c r="CD251" i="9"/>
  <c r="CE251" i="9"/>
  <c r="CF251" i="9"/>
  <c r="CG251" i="9"/>
  <c r="CH251" i="9"/>
  <c r="CI251" i="9"/>
  <c r="CM251" i="9"/>
  <c r="CN251" i="9"/>
  <c r="CO251" i="9"/>
  <c r="CP251" i="9"/>
  <c r="CQ251" i="9"/>
  <c r="CR251" i="9"/>
  <c r="D259" i="9"/>
  <c r="E259" i="9"/>
  <c r="F259" i="9"/>
  <c r="G259" i="9"/>
  <c r="H259" i="9"/>
  <c r="I259" i="9"/>
  <c r="J259" i="9"/>
  <c r="K259" i="9"/>
  <c r="L259" i="9"/>
  <c r="M259" i="9"/>
  <c r="N259" i="9"/>
  <c r="O259" i="9"/>
  <c r="P259" i="9"/>
  <c r="Q259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G259" i="9"/>
  <c r="AH259" i="9"/>
  <c r="AI259" i="9"/>
  <c r="AJ259" i="9"/>
  <c r="BF259" i="9"/>
  <c r="BG259" i="9"/>
  <c r="BH259" i="9"/>
  <c r="BI259" i="9"/>
  <c r="BJ259" i="9"/>
  <c r="BK259" i="9"/>
  <c r="BL259" i="9"/>
  <c r="BM259" i="9"/>
  <c r="BN259" i="9"/>
  <c r="BO259" i="9"/>
  <c r="BP259" i="9"/>
  <c r="BQ259" i="9"/>
  <c r="BR259" i="9"/>
  <c r="BS259" i="9"/>
  <c r="BT259" i="9"/>
  <c r="BU259" i="9"/>
  <c r="BV259" i="9"/>
  <c r="BW259" i="9"/>
  <c r="BX259" i="9"/>
  <c r="BY259" i="9"/>
  <c r="BZ259" i="9"/>
  <c r="CA259" i="9"/>
  <c r="CB259" i="9"/>
  <c r="CC259" i="9"/>
  <c r="CD259" i="9"/>
  <c r="CE259" i="9"/>
  <c r="CF259" i="9"/>
  <c r="CG259" i="9"/>
  <c r="CH259" i="9"/>
  <c r="CI259" i="9"/>
  <c r="CM259" i="9"/>
  <c r="CN259" i="9"/>
  <c r="CO259" i="9"/>
  <c r="CP259" i="9"/>
  <c r="CQ259" i="9"/>
  <c r="CR259" i="9"/>
  <c r="D307" i="9"/>
  <c r="E307" i="9"/>
  <c r="F307" i="9"/>
  <c r="G307" i="9"/>
  <c r="H307" i="9"/>
  <c r="I307" i="9"/>
  <c r="J307" i="9"/>
  <c r="K307" i="9"/>
  <c r="L307" i="9"/>
  <c r="M307" i="9"/>
  <c r="N307" i="9"/>
  <c r="O307" i="9"/>
  <c r="P307" i="9"/>
  <c r="Q307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G307" i="9"/>
  <c r="AH307" i="9"/>
  <c r="AI307" i="9"/>
  <c r="AJ307" i="9"/>
  <c r="BF307" i="9"/>
  <c r="BG307" i="9"/>
  <c r="BH307" i="9"/>
  <c r="BI307" i="9"/>
  <c r="BJ307" i="9"/>
  <c r="BK307" i="9"/>
  <c r="BL307" i="9"/>
  <c r="BM307" i="9"/>
  <c r="BN307" i="9"/>
  <c r="BO307" i="9"/>
  <c r="BP307" i="9"/>
  <c r="BQ307" i="9"/>
  <c r="BR307" i="9"/>
  <c r="BS307" i="9"/>
  <c r="BT307" i="9"/>
  <c r="BU307" i="9"/>
  <c r="BV307" i="9"/>
  <c r="BW307" i="9"/>
  <c r="BX307" i="9"/>
  <c r="BY307" i="9"/>
  <c r="BZ307" i="9"/>
  <c r="CA307" i="9"/>
  <c r="CB307" i="9"/>
  <c r="CC307" i="9"/>
  <c r="CD307" i="9"/>
  <c r="CE307" i="9"/>
  <c r="CF307" i="9"/>
  <c r="CG307" i="9"/>
  <c r="CH307" i="9"/>
  <c r="CI307" i="9"/>
  <c r="CM307" i="9"/>
  <c r="CN307" i="9"/>
  <c r="CO307" i="9"/>
  <c r="CP307" i="9"/>
  <c r="CQ307" i="9"/>
  <c r="CR307" i="9"/>
  <c r="D315" i="9"/>
  <c r="E315" i="9"/>
  <c r="F315" i="9"/>
  <c r="G315" i="9"/>
  <c r="H315" i="9"/>
  <c r="I315" i="9"/>
  <c r="J315" i="9"/>
  <c r="K315" i="9"/>
  <c r="L315" i="9"/>
  <c r="M315" i="9"/>
  <c r="N315" i="9"/>
  <c r="O315" i="9"/>
  <c r="P315" i="9"/>
  <c r="Q315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G315" i="9"/>
  <c r="AH315" i="9"/>
  <c r="AI315" i="9"/>
  <c r="AJ315" i="9"/>
  <c r="BF315" i="9"/>
  <c r="BG315" i="9"/>
  <c r="BH315" i="9"/>
  <c r="BI315" i="9"/>
  <c r="BJ315" i="9"/>
  <c r="BK315" i="9"/>
  <c r="BL315" i="9"/>
  <c r="BM315" i="9"/>
  <c r="BN315" i="9"/>
  <c r="BO315" i="9"/>
  <c r="BP315" i="9"/>
  <c r="BQ315" i="9"/>
  <c r="BR315" i="9"/>
  <c r="BS315" i="9"/>
  <c r="BT315" i="9"/>
  <c r="BU315" i="9"/>
  <c r="BV315" i="9"/>
  <c r="BW315" i="9"/>
  <c r="BX315" i="9"/>
  <c r="BY315" i="9"/>
  <c r="BZ315" i="9"/>
  <c r="CA315" i="9"/>
  <c r="CB315" i="9"/>
  <c r="CC315" i="9"/>
  <c r="CD315" i="9"/>
  <c r="CE315" i="9"/>
  <c r="CF315" i="9"/>
  <c r="CG315" i="9"/>
  <c r="CH315" i="9"/>
  <c r="CI315" i="9"/>
  <c r="CM315" i="9"/>
  <c r="CN315" i="9"/>
  <c r="CO315" i="9"/>
  <c r="CP315" i="9"/>
  <c r="CQ315" i="9"/>
  <c r="CR315" i="9"/>
  <c r="D323" i="9"/>
  <c r="E323" i="9"/>
  <c r="F323" i="9"/>
  <c r="G323" i="9"/>
  <c r="H323" i="9"/>
  <c r="I323" i="9"/>
  <c r="J323" i="9"/>
  <c r="K323" i="9"/>
  <c r="L323" i="9"/>
  <c r="M323" i="9"/>
  <c r="N323" i="9"/>
  <c r="O323" i="9"/>
  <c r="P323" i="9"/>
  <c r="Q323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G323" i="9"/>
  <c r="BD323" i="9" s="1"/>
  <c r="AH323" i="9"/>
  <c r="AI323" i="9"/>
  <c r="AJ323" i="9"/>
  <c r="BF323" i="9"/>
  <c r="BG323" i="9"/>
  <c r="BH323" i="9"/>
  <c r="BI323" i="9"/>
  <c r="BJ323" i="9"/>
  <c r="BK323" i="9"/>
  <c r="BL323" i="9"/>
  <c r="BM323" i="9"/>
  <c r="BN323" i="9"/>
  <c r="BO323" i="9"/>
  <c r="BP323" i="9"/>
  <c r="BQ323" i="9"/>
  <c r="BR323" i="9"/>
  <c r="BS323" i="9"/>
  <c r="BT323" i="9"/>
  <c r="BU323" i="9"/>
  <c r="BV323" i="9"/>
  <c r="BW323" i="9"/>
  <c r="BX323" i="9"/>
  <c r="BY323" i="9"/>
  <c r="BZ323" i="9"/>
  <c r="CA323" i="9"/>
  <c r="CB323" i="9"/>
  <c r="CC323" i="9"/>
  <c r="CD323" i="9"/>
  <c r="CE323" i="9"/>
  <c r="CF323" i="9"/>
  <c r="CG323" i="9"/>
  <c r="CH323" i="9"/>
  <c r="CI323" i="9"/>
  <c r="CM323" i="9"/>
  <c r="CN323" i="9"/>
  <c r="CO323" i="9"/>
  <c r="CP323" i="9"/>
  <c r="CQ323" i="9"/>
  <c r="CR323" i="9"/>
  <c r="D335" i="9"/>
  <c r="E335" i="9"/>
  <c r="F335" i="9"/>
  <c r="G335" i="9"/>
  <c r="H335" i="9"/>
  <c r="I335" i="9"/>
  <c r="J335" i="9"/>
  <c r="K335" i="9"/>
  <c r="L335" i="9"/>
  <c r="M335" i="9"/>
  <c r="N335" i="9"/>
  <c r="O335" i="9"/>
  <c r="P335" i="9"/>
  <c r="Q335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G335" i="9"/>
  <c r="AH335" i="9"/>
  <c r="AI335" i="9"/>
  <c r="AJ335" i="9"/>
  <c r="BF335" i="9"/>
  <c r="BG335" i="9"/>
  <c r="BH335" i="9"/>
  <c r="BI335" i="9"/>
  <c r="BJ335" i="9"/>
  <c r="BK335" i="9"/>
  <c r="BL335" i="9"/>
  <c r="BM335" i="9"/>
  <c r="BN335" i="9"/>
  <c r="BO335" i="9"/>
  <c r="BP335" i="9"/>
  <c r="BQ335" i="9"/>
  <c r="BR335" i="9"/>
  <c r="BS335" i="9"/>
  <c r="BT335" i="9"/>
  <c r="BU335" i="9"/>
  <c r="BV335" i="9"/>
  <c r="BW335" i="9"/>
  <c r="BX335" i="9"/>
  <c r="BY335" i="9"/>
  <c r="BZ335" i="9"/>
  <c r="CA335" i="9"/>
  <c r="CB335" i="9"/>
  <c r="CC335" i="9"/>
  <c r="CD335" i="9"/>
  <c r="CE335" i="9"/>
  <c r="CF335" i="9"/>
  <c r="CG335" i="9"/>
  <c r="CH335" i="9"/>
  <c r="CI335" i="9"/>
  <c r="CM335" i="9"/>
  <c r="CN335" i="9"/>
  <c r="CO335" i="9"/>
  <c r="CP335" i="9"/>
  <c r="CQ335" i="9"/>
  <c r="CR335" i="9"/>
  <c r="D343" i="9"/>
  <c r="E343" i="9"/>
  <c r="F343" i="9"/>
  <c r="G343" i="9"/>
  <c r="H343" i="9"/>
  <c r="I343" i="9"/>
  <c r="J343" i="9"/>
  <c r="K343" i="9"/>
  <c r="L343" i="9"/>
  <c r="M343" i="9"/>
  <c r="N343" i="9"/>
  <c r="O343" i="9"/>
  <c r="P343" i="9"/>
  <c r="Q343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G343" i="9"/>
  <c r="AH343" i="9"/>
  <c r="AI343" i="9"/>
  <c r="AJ343" i="9"/>
  <c r="BF343" i="9"/>
  <c r="BG343" i="9"/>
  <c r="BH343" i="9"/>
  <c r="BI343" i="9"/>
  <c r="BJ343" i="9"/>
  <c r="BK343" i="9"/>
  <c r="BL343" i="9"/>
  <c r="BM343" i="9"/>
  <c r="BN343" i="9"/>
  <c r="BO343" i="9"/>
  <c r="BP343" i="9"/>
  <c r="BQ343" i="9"/>
  <c r="BR343" i="9"/>
  <c r="BS343" i="9"/>
  <c r="BT343" i="9"/>
  <c r="BU343" i="9"/>
  <c r="BV343" i="9"/>
  <c r="BW343" i="9"/>
  <c r="BX343" i="9"/>
  <c r="BY343" i="9"/>
  <c r="BZ343" i="9"/>
  <c r="CA343" i="9"/>
  <c r="CB343" i="9"/>
  <c r="CC343" i="9"/>
  <c r="CD343" i="9"/>
  <c r="CE343" i="9"/>
  <c r="CF343" i="9"/>
  <c r="CG343" i="9"/>
  <c r="CH343" i="9"/>
  <c r="CI343" i="9"/>
  <c r="CM343" i="9"/>
  <c r="CN343" i="9"/>
  <c r="CO343" i="9"/>
  <c r="CP343" i="9"/>
  <c r="CQ343" i="9"/>
  <c r="CR343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G62" i="9"/>
  <c r="AH62" i="9"/>
  <c r="AI62" i="9"/>
  <c r="AJ62" i="9"/>
  <c r="BF62" i="9"/>
  <c r="BG62" i="9"/>
  <c r="BH62" i="9"/>
  <c r="BI62" i="9"/>
  <c r="BJ62" i="9"/>
  <c r="BK62" i="9"/>
  <c r="BL62" i="9"/>
  <c r="BM62" i="9"/>
  <c r="BN62" i="9"/>
  <c r="BO62" i="9"/>
  <c r="BP62" i="9"/>
  <c r="BQ62" i="9"/>
  <c r="BR62" i="9"/>
  <c r="BS62" i="9"/>
  <c r="BT62" i="9"/>
  <c r="BU62" i="9"/>
  <c r="BV62" i="9"/>
  <c r="BW62" i="9"/>
  <c r="BX62" i="9"/>
  <c r="BY62" i="9"/>
  <c r="BZ62" i="9"/>
  <c r="CA62" i="9"/>
  <c r="CB62" i="9"/>
  <c r="CC62" i="9"/>
  <c r="CD62" i="9"/>
  <c r="CE62" i="9"/>
  <c r="CF62" i="9"/>
  <c r="CG62" i="9"/>
  <c r="CH62" i="9"/>
  <c r="CI62" i="9"/>
  <c r="CM62" i="9"/>
  <c r="CN62" i="9"/>
  <c r="CO62" i="9"/>
  <c r="CP62" i="9"/>
  <c r="CQ62" i="9"/>
  <c r="CR62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G70" i="9"/>
  <c r="BD70" i="9" s="1"/>
  <c r="AH70" i="9"/>
  <c r="AI70" i="9"/>
  <c r="AJ70" i="9"/>
  <c r="BF70" i="9"/>
  <c r="BG70" i="9"/>
  <c r="BH70" i="9"/>
  <c r="BI70" i="9"/>
  <c r="BJ70" i="9"/>
  <c r="BK70" i="9"/>
  <c r="BL70" i="9"/>
  <c r="BM70" i="9"/>
  <c r="BN70" i="9"/>
  <c r="BO70" i="9"/>
  <c r="BP70" i="9"/>
  <c r="BQ70" i="9"/>
  <c r="BR70" i="9"/>
  <c r="BS70" i="9"/>
  <c r="BT70" i="9"/>
  <c r="BU70" i="9"/>
  <c r="BV70" i="9"/>
  <c r="BW70" i="9"/>
  <c r="BX70" i="9"/>
  <c r="BY70" i="9"/>
  <c r="BZ70" i="9"/>
  <c r="CA70" i="9"/>
  <c r="CB70" i="9"/>
  <c r="CC70" i="9"/>
  <c r="CD70" i="9"/>
  <c r="CE70" i="9"/>
  <c r="CF70" i="9"/>
  <c r="CG70" i="9"/>
  <c r="CH70" i="9"/>
  <c r="CI70" i="9"/>
  <c r="CM70" i="9"/>
  <c r="CN70" i="9"/>
  <c r="CO70" i="9"/>
  <c r="CP70" i="9"/>
  <c r="CQ70" i="9"/>
  <c r="CR70" i="9"/>
  <c r="D211" i="9"/>
  <c r="E211" i="9"/>
  <c r="F211" i="9"/>
  <c r="G211" i="9"/>
  <c r="H211" i="9"/>
  <c r="I211" i="9"/>
  <c r="J211" i="9"/>
  <c r="K211" i="9"/>
  <c r="L211" i="9"/>
  <c r="M211" i="9"/>
  <c r="N211" i="9"/>
  <c r="O211" i="9"/>
  <c r="P211" i="9"/>
  <c r="Q211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G211" i="9"/>
  <c r="AH211" i="9"/>
  <c r="AI211" i="9"/>
  <c r="AJ211" i="9"/>
  <c r="BF211" i="9"/>
  <c r="BG211" i="9"/>
  <c r="BH211" i="9"/>
  <c r="BI211" i="9"/>
  <c r="BJ211" i="9"/>
  <c r="BK211" i="9"/>
  <c r="BL211" i="9"/>
  <c r="BM211" i="9"/>
  <c r="BN211" i="9"/>
  <c r="BO211" i="9"/>
  <c r="BP211" i="9"/>
  <c r="BQ211" i="9"/>
  <c r="BR211" i="9"/>
  <c r="BS211" i="9"/>
  <c r="BT211" i="9"/>
  <c r="BU211" i="9"/>
  <c r="BV211" i="9"/>
  <c r="BW211" i="9"/>
  <c r="BX211" i="9"/>
  <c r="BY211" i="9"/>
  <c r="BZ211" i="9"/>
  <c r="CA211" i="9"/>
  <c r="CB211" i="9"/>
  <c r="CC211" i="9"/>
  <c r="CD211" i="9"/>
  <c r="CE211" i="9"/>
  <c r="CF211" i="9"/>
  <c r="CG211" i="9"/>
  <c r="CH211" i="9"/>
  <c r="CI211" i="9"/>
  <c r="CM211" i="9"/>
  <c r="CN211" i="9"/>
  <c r="CO211" i="9"/>
  <c r="CP211" i="9"/>
  <c r="CQ211" i="9"/>
  <c r="CR211" i="9"/>
  <c r="D219" i="9"/>
  <c r="E219" i="9"/>
  <c r="F219" i="9"/>
  <c r="G219" i="9"/>
  <c r="H219" i="9"/>
  <c r="I219" i="9"/>
  <c r="J219" i="9"/>
  <c r="K219" i="9"/>
  <c r="L219" i="9"/>
  <c r="M219" i="9"/>
  <c r="N219" i="9"/>
  <c r="O219" i="9"/>
  <c r="P219" i="9"/>
  <c r="Q219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G219" i="9"/>
  <c r="AH219" i="9"/>
  <c r="AI219" i="9"/>
  <c r="AJ219" i="9"/>
  <c r="BF219" i="9"/>
  <c r="BG219" i="9"/>
  <c r="BH219" i="9"/>
  <c r="BI219" i="9"/>
  <c r="BJ219" i="9"/>
  <c r="BK219" i="9"/>
  <c r="BL219" i="9"/>
  <c r="BM219" i="9"/>
  <c r="BN219" i="9"/>
  <c r="BO219" i="9"/>
  <c r="BP219" i="9"/>
  <c r="BQ219" i="9"/>
  <c r="BR219" i="9"/>
  <c r="BS219" i="9"/>
  <c r="BT219" i="9"/>
  <c r="BU219" i="9"/>
  <c r="BV219" i="9"/>
  <c r="BW219" i="9"/>
  <c r="BX219" i="9"/>
  <c r="BY219" i="9"/>
  <c r="BZ219" i="9"/>
  <c r="CA219" i="9"/>
  <c r="CB219" i="9"/>
  <c r="CC219" i="9"/>
  <c r="CD219" i="9"/>
  <c r="CE219" i="9"/>
  <c r="CF219" i="9"/>
  <c r="CG219" i="9"/>
  <c r="CH219" i="9"/>
  <c r="CI219" i="9"/>
  <c r="CM219" i="9"/>
  <c r="CN219" i="9"/>
  <c r="CO219" i="9"/>
  <c r="CP219" i="9"/>
  <c r="CQ219" i="9"/>
  <c r="CR219" i="9"/>
  <c r="D227" i="9"/>
  <c r="E227" i="9"/>
  <c r="F227" i="9"/>
  <c r="G227" i="9"/>
  <c r="H227" i="9"/>
  <c r="I227" i="9"/>
  <c r="J227" i="9"/>
  <c r="K227" i="9"/>
  <c r="L227" i="9"/>
  <c r="M227" i="9"/>
  <c r="N227" i="9"/>
  <c r="O227" i="9"/>
  <c r="P227" i="9"/>
  <c r="Q227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G227" i="9"/>
  <c r="AH227" i="9"/>
  <c r="AI227" i="9"/>
  <c r="AJ227" i="9"/>
  <c r="BF227" i="9"/>
  <c r="BG227" i="9"/>
  <c r="BH227" i="9"/>
  <c r="BI227" i="9"/>
  <c r="BJ227" i="9"/>
  <c r="BK227" i="9"/>
  <c r="BL227" i="9"/>
  <c r="BM227" i="9"/>
  <c r="BN227" i="9"/>
  <c r="BO227" i="9"/>
  <c r="BP227" i="9"/>
  <c r="BQ227" i="9"/>
  <c r="BR227" i="9"/>
  <c r="BS227" i="9"/>
  <c r="BT227" i="9"/>
  <c r="BU227" i="9"/>
  <c r="BV227" i="9"/>
  <c r="BW227" i="9"/>
  <c r="BX227" i="9"/>
  <c r="BY227" i="9"/>
  <c r="BZ227" i="9"/>
  <c r="CA227" i="9"/>
  <c r="CB227" i="9"/>
  <c r="CC227" i="9"/>
  <c r="CD227" i="9"/>
  <c r="CE227" i="9"/>
  <c r="CF227" i="9"/>
  <c r="CG227" i="9"/>
  <c r="CH227" i="9"/>
  <c r="CI227" i="9"/>
  <c r="CM227" i="9"/>
  <c r="CN227" i="9"/>
  <c r="CO227" i="9"/>
  <c r="CP227" i="9"/>
  <c r="CQ227" i="9"/>
  <c r="CR227" i="9"/>
  <c r="D236" i="9"/>
  <c r="E236" i="9"/>
  <c r="F236" i="9"/>
  <c r="G236" i="9"/>
  <c r="H236" i="9"/>
  <c r="I236" i="9"/>
  <c r="J236" i="9"/>
  <c r="K236" i="9"/>
  <c r="L236" i="9"/>
  <c r="M236" i="9"/>
  <c r="N236" i="9"/>
  <c r="O236" i="9"/>
  <c r="P236" i="9"/>
  <c r="Q236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G236" i="9"/>
  <c r="BD236" i="9" s="1"/>
  <c r="AH236" i="9"/>
  <c r="AI236" i="9"/>
  <c r="AJ236" i="9"/>
  <c r="BF236" i="9"/>
  <c r="BG236" i="9"/>
  <c r="BH236" i="9"/>
  <c r="BI236" i="9"/>
  <c r="BJ236" i="9"/>
  <c r="BK236" i="9"/>
  <c r="BL236" i="9"/>
  <c r="BM236" i="9"/>
  <c r="BN236" i="9"/>
  <c r="BO236" i="9"/>
  <c r="BP236" i="9"/>
  <c r="BQ236" i="9"/>
  <c r="BR236" i="9"/>
  <c r="BS236" i="9"/>
  <c r="BT236" i="9"/>
  <c r="BU236" i="9"/>
  <c r="BV236" i="9"/>
  <c r="BW236" i="9"/>
  <c r="BX236" i="9"/>
  <c r="BY236" i="9"/>
  <c r="BZ236" i="9"/>
  <c r="CA236" i="9"/>
  <c r="CB236" i="9"/>
  <c r="CC236" i="9"/>
  <c r="CD236" i="9"/>
  <c r="CE236" i="9"/>
  <c r="CF236" i="9"/>
  <c r="CG236" i="9"/>
  <c r="CH236" i="9"/>
  <c r="CI236" i="9"/>
  <c r="CM236" i="9"/>
  <c r="CN236" i="9"/>
  <c r="CO236" i="9"/>
  <c r="CP236" i="9"/>
  <c r="CQ236" i="9"/>
  <c r="CR236" i="9"/>
  <c r="D244" i="9"/>
  <c r="E244" i="9"/>
  <c r="F244" i="9"/>
  <c r="G244" i="9"/>
  <c r="H244" i="9"/>
  <c r="I244" i="9"/>
  <c r="J244" i="9"/>
  <c r="K244" i="9"/>
  <c r="L244" i="9"/>
  <c r="M244" i="9"/>
  <c r="N244" i="9"/>
  <c r="O244" i="9"/>
  <c r="P244" i="9"/>
  <c r="Q244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G244" i="9"/>
  <c r="AH244" i="9"/>
  <c r="AI244" i="9"/>
  <c r="AJ244" i="9"/>
  <c r="BF244" i="9"/>
  <c r="BG244" i="9"/>
  <c r="BH244" i="9"/>
  <c r="BI244" i="9"/>
  <c r="BJ244" i="9"/>
  <c r="BK244" i="9"/>
  <c r="BL244" i="9"/>
  <c r="BM244" i="9"/>
  <c r="BN244" i="9"/>
  <c r="BO244" i="9"/>
  <c r="BP244" i="9"/>
  <c r="BQ244" i="9"/>
  <c r="BR244" i="9"/>
  <c r="BS244" i="9"/>
  <c r="BT244" i="9"/>
  <c r="BU244" i="9"/>
  <c r="BV244" i="9"/>
  <c r="BW244" i="9"/>
  <c r="BX244" i="9"/>
  <c r="BY244" i="9"/>
  <c r="BZ244" i="9"/>
  <c r="CA244" i="9"/>
  <c r="CB244" i="9"/>
  <c r="CC244" i="9"/>
  <c r="CD244" i="9"/>
  <c r="CE244" i="9"/>
  <c r="CF244" i="9"/>
  <c r="CG244" i="9"/>
  <c r="CH244" i="9"/>
  <c r="CI244" i="9"/>
  <c r="CM244" i="9"/>
  <c r="CN244" i="9"/>
  <c r="CO244" i="9"/>
  <c r="CP244" i="9"/>
  <c r="CQ244" i="9"/>
  <c r="CR244" i="9"/>
  <c r="D252" i="9"/>
  <c r="E252" i="9"/>
  <c r="F252" i="9"/>
  <c r="G252" i="9"/>
  <c r="H252" i="9"/>
  <c r="I252" i="9"/>
  <c r="J252" i="9"/>
  <c r="K252" i="9"/>
  <c r="L252" i="9"/>
  <c r="M252" i="9"/>
  <c r="N252" i="9"/>
  <c r="O252" i="9"/>
  <c r="P252" i="9"/>
  <c r="Q252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G252" i="9"/>
  <c r="AH252" i="9"/>
  <c r="AI252" i="9"/>
  <c r="AJ252" i="9"/>
  <c r="BF252" i="9"/>
  <c r="BG252" i="9"/>
  <c r="BH252" i="9"/>
  <c r="BI252" i="9"/>
  <c r="BJ252" i="9"/>
  <c r="BK252" i="9"/>
  <c r="BL252" i="9"/>
  <c r="BM252" i="9"/>
  <c r="BN252" i="9"/>
  <c r="BO252" i="9"/>
  <c r="BP252" i="9"/>
  <c r="BQ252" i="9"/>
  <c r="BR252" i="9"/>
  <c r="BS252" i="9"/>
  <c r="BT252" i="9"/>
  <c r="BU252" i="9"/>
  <c r="BV252" i="9"/>
  <c r="BW252" i="9"/>
  <c r="BX252" i="9"/>
  <c r="BY252" i="9"/>
  <c r="BZ252" i="9"/>
  <c r="CA252" i="9"/>
  <c r="CB252" i="9"/>
  <c r="CC252" i="9"/>
  <c r="CD252" i="9"/>
  <c r="CE252" i="9"/>
  <c r="CF252" i="9"/>
  <c r="CG252" i="9"/>
  <c r="CH252" i="9"/>
  <c r="CI252" i="9"/>
  <c r="CM252" i="9"/>
  <c r="CN252" i="9"/>
  <c r="CO252" i="9"/>
  <c r="CP252" i="9"/>
  <c r="CQ252" i="9"/>
  <c r="CR252" i="9"/>
  <c r="D260" i="9"/>
  <c r="E260" i="9"/>
  <c r="F260" i="9"/>
  <c r="G260" i="9"/>
  <c r="H260" i="9"/>
  <c r="I260" i="9"/>
  <c r="J260" i="9"/>
  <c r="K260" i="9"/>
  <c r="L260" i="9"/>
  <c r="M260" i="9"/>
  <c r="N260" i="9"/>
  <c r="O260" i="9"/>
  <c r="P260" i="9"/>
  <c r="Q260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G260" i="9"/>
  <c r="AH260" i="9"/>
  <c r="AI260" i="9"/>
  <c r="AJ260" i="9"/>
  <c r="BF260" i="9"/>
  <c r="BG260" i="9"/>
  <c r="BH260" i="9"/>
  <c r="BI260" i="9"/>
  <c r="BJ260" i="9"/>
  <c r="BK260" i="9"/>
  <c r="BL260" i="9"/>
  <c r="BM260" i="9"/>
  <c r="BN260" i="9"/>
  <c r="BO260" i="9"/>
  <c r="BP260" i="9"/>
  <c r="BQ260" i="9"/>
  <c r="BR260" i="9"/>
  <c r="BS260" i="9"/>
  <c r="BT260" i="9"/>
  <c r="BU260" i="9"/>
  <c r="BV260" i="9"/>
  <c r="BW260" i="9"/>
  <c r="BX260" i="9"/>
  <c r="BY260" i="9"/>
  <c r="BZ260" i="9"/>
  <c r="CA260" i="9"/>
  <c r="CB260" i="9"/>
  <c r="CC260" i="9"/>
  <c r="CD260" i="9"/>
  <c r="CE260" i="9"/>
  <c r="CF260" i="9"/>
  <c r="CG260" i="9"/>
  <c r="CH260" i="9"/>
  <c r="CI260" i="9"/>
  <c r="CM260" i="9"/>
  <c r="CN260" i="9"/>
  <c r="CO260" i="9"/>
  <c r="CP260" i="9"/>
  <c r="CQ260" i="9"/>
  <c r="CR260" i="9"/>
  <c r="D308" i="9"/>
  <c r="E308" i="9"/>
  <c r="F308" i="9"/>
  <c r="G308" i="9"/>
  <c r="H308" i="9"/>
  <c r="I308" i="9"/>
  <c r="J308" i="9"/>
  <c r="K308" i="9"/>
  <c r="L308" i="9"/>
  <c r="M308" i="9"/>
  <c r="N308" i="9"/>
  <c r="O308" i="9"/>
  <c r="P308" i="9"/>
  <c r="Q308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G308" i="9"/>
  <c r="BD308" i="9" s="1"/>
  <c r="AH308" i="9"/>
  <c r="AI308" i="9"/>
  <c r="AJ308" i="9"/>
  <c r="BF308" i="9"/>
  <c r="BG308" i="9"/>
  <c r="BH308" i="9"/>
  <c r="BI308" i="9"/>
  <c r="BJ308" i="9"/>
  <c r="BK308" i="9"/>
  <c r="BL308" i="9"/>
  <c r="BM308" i="9"/>
  <c r="BN308" i="9"/>
  <c r="BO308" i="9"/>
  <c r="BP308" i="9"/>
  <c r="BQ308" i="9"/>
  <c r="BR308" i="9"/>
  <c r="BS308" i="9"/>
  <c r="BT308" i="9"/>
  <c r="BU308" i="9"/>
  <c r="BV308" i="9"/>
  <c r="BW308" i="9"/>
  <c r="BX308" i="9"/>
  <c r="BY308" i="9"/>
  <c r="BZ308" i="9"/>
  <c r="CA308" i="9"/>
  <c r="CB308" i="9"/>
  <c r="CC308" i="9"/>
  <c r="CD308" i="9"/>
  <c r="CE308" i="9"/>
  <c r="CF308" i="9"/>
  <c r="CG308" i="9"/>
  <c r="CH308" i="9"/>
  <c r="CI308" i="9"/>
  <c r="CM308" i="9"/>
  <c r="CN308" i="9"/>
  <c r="CO308" i="9"/>
  <c r="CP308" i="9"/>
  <c r="CQ308" i="9"/>
  <c r="CR308" i="9"/>
  <c r="D316" i="9"/>
  <c r="E316" i="9"/>
  <c r="F316" i="9"/>
  <c r="G316" i="9"/>
  <c r="H316" i="9"/>
  <c r="I316" i="9"/>
  <c r="J316" i="9"/>
  <c r="K316" i="9"/>
  <c r="L316" i="9"/>
  <c r="M316" i="9"/>
  <c r="N316" i="9"/>
  <c r="O316" i="9"/>
  <c r="P316" i="9"/>
  <c r="Q316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G316" i="9"/>
  <c r="AH316" i="9"/>
  <c r="AI316" i="9"/>
  <c r="AJ316" i="9"/>
  <c r="BF316" i="9"/>
  <c r="BG316" i="9"/>
  <c r="BH316" i="9"/>
  <c r="BI316" i="9"/>
  <c r="BJ316" i="9"/>
  <c r="BK316" i="9"/>
  <c r="BL316" i="9"/>
  <c r="BM316" i="9"/>
  <c r="BN316" i="9"/>
  <c r="BO316" i="9"/>
  <c r="BP316" i="9"/>
  <c r="BQ316" i="9"/>
  <c r="BR316" i="9"/>
  <c r="BS316" i="9"/>
  <c r="BT316" i="9"/>
  <c r="BU316" i="9"/>
  <c r="BV316" i="9"/>
  <c r="BW316" i="9"/>
  <c r="BX316" i="9"/>
  <c r="BY316" i="9"/>
  <c r="BZ316" i="9"/>
  <c r="CA316" i="9"/>
  <c r="CB316" i="9"/>
  <c r="CC316" i="9"/>
  <c r="CD316" i="9"/>
  <c r="CE316" i="9"/>
  <c r="CF316" i="9"/>
  <c r="CG316" i="9"/>
  <c r="CH316" i="9"/>
  <c r="CI316" i="9"/>
  <c r="CM316" i="9"/>
  <c r="CN316" i="9"/>
  <c r="CO316" i="9"/>
  <c r="CP316" i="9"/>
  <c r="CQ316" i="9"/>
  <c r="CR316" i="9"/>
  <c r="D324" i="9"/>
  <c r="E324" i="9"/>
  <c r="F324" i="9"/>
  <c r="G324" i="9"/>
  <c r="H324" i="9"/>
  <c r="I324" i="9"/>
  <c r="J324" i="9"/>
  <c r="K324" i="9"/>
  <c r="L324" i="9"/>
  <c r="M324" i="9"/>
  <c r="N324" i="9"/>
  <c r="O324" i="9"/>
  <c r="P324" i="9"/>
  <c r="Q324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G324" i="9"/>
  <c r="AH324" i="9"/>
  <c r="AI324" i="9"/>
  <c r="AJ324" i="9"/>
  <c r="BF324" i="9"/>
  <c r="BG324" i="9"/>
  <c r="BH324" i="9"/>
  <c r="BI324" i="9"/>
  <c r="BJ324" i="9"/>
  <c r="BK324" i="9"/>
  <c r="BL324" i="9"/>
  <c r="BM324" i="9"/>
  <c r="BN324" i="9"/>
  <c r="BO324" i="9"/>
  <c r="BP324" i="9"/>
  <c r="BQ324" i="9"/>
  <c r="BR324" i="9"/>
  <c r="BS324" i="9"/>
  <c r="BT324" i="9"/>
  <c r="BU324" i="9"/>
  <c r="BV324" i="9"/>
  <c r="BW324" i="9"/>
  <c r="BX324" i="9"/>
  <c r="BY324" i="9"/>
  <c r="BZ324" i="9"/>
  <c r="CA324" i="9"/>
  <c r="CB324" i="9"/>
  <c r="CC324" i="9"/>
  <c r="CD324" i="9"/>
  <c r="CE324" i="9"/>
  <c r="CF324" i="9"/>
  <c r="CG324" i="9"/>
  <c r="CH324" i="9"/>
  <c r="CI324" i="9"/>
  <c r="CM324" i="9"/>
  <c r="CN324" i="9"/>
  <c r="CO324" i="9"/>
  <c r="CP324" i="9"/>
  <c r="CQ324" i="9"/>
  <c r="CR324" i="9"/>
  <c r="D336" i="9"/>
  <c r="E336" i="9"/>
  <c r="F336" i="9"/>
  <c r="G336" i="9"/>
  <c r="H336" i="9"/>
  <c r="I336" i="9"/>
  <c r="J336" i="9"/>
  <c r="K336" i="9"/>
  <c r="L336" i="9"/>
  <c r="M336" i="9"/>
  <c r="N336" i="9"/>
  <c r="O336" i="9"/>
  <c r="P336" i="9"/>
  <c r="Q336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G336" i="9"/>
  <c r="AH336" i="9"/>
  <c r="AI336" i="9"/>
  <c r="AJ336" i="9"/>
  <c r="BF336" i="9"/>
  <c r="BG336" i="9"/>
  <c r="BH336" i="9"/>
  <c r="BI336" i="9"/>
  <c r="BJ336" i="9"/>
  <c r="BK336" i="9"/>
  <c r="BL336" i="9"/>
  <c r="BM336" i="9"/>
  <c r="BN336" i="9"/>
  <c r="BO336" i="9"/>
  <c r="BP336" i="9"/>
  <c r="BQ336" i="9"/>
  <c r="BR336" i="9"/>
  <c r="BS336" i="9"/>
  <c r="BT336" i="9"/>
  <c r="BU336" i="9"/>
  <c r="BV336" i="9"/>
  <c r="BW336" i="9"/>
  <c r="BX336" i="9"/>
  <c r="BY336" i="9"/>
  <c r="BZ336" i="9"/>
  <c r="CA336" i="9"/>
  <c r="CB336" i="9"/>
  <c r="CC336" i="9"/>
  <c r="CD336" i="9"/>
  <c r="CE336" i="9"/>
  <c r="CF336" i="9"/>
  <c r="CG336" i="9"/>
  <c r="CH336" i="9"/>
  <c r="CI336" i="9"/>
  <c r="CM336" i="9"/>
  <c r="CN336" i="9"/>
  <c r="CO336" i="9"/>
  <c r="CP336" i="9"/>
  <c r="CQ336" i="9"/>
  <c r="CR336" i="9"/>
  <c r="D344" i="9"/>
  <c r="E344" i="9"/>
  <c r="F344" i="9"/>
  <c r="G344" i="9"/>
  <c r="H344" i="9"/>
  <c r="I344" i="9"/>
  <c r="J344" i="9"/>
  <c r="K344" i="9"/>
  <c r="L344" i="9"/>
  <c r="M344" i="9"/>
  <c r="N344" i="9"/>
  <c r="O344" i="9"/>
  <c r="P344" i="9"/>
  <c r="Q344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G344" i="9"/>
  <c r="BD344" i="9" s="1"/>
  <c r="AH344" i="9"/>
  <c r="AI344" i="9"/>
  <c r="AJ344" i="9"/>
  <c r="BF344" i="9"/>
  <c r="BG344" i="9"/>
  <c r="BH344" i="9"/>
  <c r="BI344" i="9"/>
  <c r="BJ344" i="9"/>
  <c r="BK344" i="9"/>
  <c r="BL344" i="9"/>
  <c r="BM344" i="9"/>
  <c r="BN344" i="9"/>
  <c r="BO344" i="9"/>
  <c r="BP344" i="9"/>
  <c r="BQ344" i="9"/>
  <c r="BR344" i="9"/>
  <c r="BS344" i="9"/>
  <c r="BT344" i="9"/>
  <c r="BU344" i="9"/>
  <c r="BV344" i="9"/>
  <c r="BW344" i="9"/>
  <c r="BX344" i="9"/>
  <c r="BY344" i="9"/>
  <c r="BZ344" i="9"/>
  <c r="CA344" i="9"/>
  <c r="CB344" i="9"/>
  <c r="CC344" i="9"/>
  <c r="CD344" i="9"/>
  <c r="CE344" i="9"/>
  <c r="CF344" i="9"/>
  <c r="CG344" i="9"/>
  <c r="CH344" i="9"/>
  <c r="CI344" i="9"/>
  <c r="CM344" i="9"/>
  <c r="CN344" i="9"/>
  <c r="CO344" i="9"/>
  <c r="CP344" i="9"/>
  <c r="CQ344" i="9"/>
  <c r="CR344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G63" i="9"/>
  <c r="AH63" i="9"/>
  <c r="AI63" i="9"/>
  <c r="AJ63" i="9"/>
  <c r="BF63" i="9"/>
  <c r="BG63" i="9"/>
  <c r="BH63" i="9"/>
  <c r="BI63" i="9"/>
  <c r="BJ63" i="9"/>
  <c r="BK63" i="9"/>
  <c r="BL63" i="9"/>
  <c r="BM63" i="9"/>
  <c r="BN63" i="9"/>
  <c r="BO63" i="9"/>
  <c r="BP63" i="9"/>
  <c r="BQ63" i="9"/>
  <c r="BR63" i="9"/>
  <c r="BS63" i="9"/>
  <c r="BT63" i="9"/>
  <c r="BU63" i="9"/>
  <c r="BV63" i="9"/>
  <c r="BW63" i="9"/>
  <c r="BX63" i="9"/>
  <c r="BY63" i="9"/>
  <c r="BZ63" i="9"/>
  <c r="CA63" i="9"/>
  <c r="CB63" i="9"/>
  <c r="CC63" i="9"/>
  <c r="CD63" i="9"/>
  <c r="CE63" i="9"/>
  <c r="CF63" i="9"/>
  <c r="CG63" i="9"/>
  <c r="CH63" i="9"/>
  <c r="CI63" i="9"/>
  <c r="CM63" i="9"/>
  <c r="CN63" i="9"/>
  <c r="CO63" i="9"/>
  <c r="CP63" i="9"/>
  <c r="CQ63" i="9"/>
  <c r="CR63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G71" i="9"/>
  <c r="AH71" i="9"/>
  <c r="AI71" i="9"/>
  <c r="AJ71" i="9"/>
  <c r="BF71" i="9"/>
  <c r="BG71" i="9"/>
  <c r="BH71" i="9"/>
  <c r="BI71" i="9"/>
  <c r="BJ71" i="9"/>
  <c r="BK71" i="9"/>
  <c r="BL71" i="9"/>
  <c r="BM71" i="9"/>
  <c r="BN71" i="9"/>
  <c r="BO71" i="9"/>
  <c r="BP71" i="9"/>
  <c r="BQ71" i="9"/>
  <c r="BR71" i="9"/>
  <c r="BS71" i="9"/>
  <c r="BT71" i="9"/>
  <c r="BU71" i="9"/>
  <c r="BV71" i="9"/>
  <c r="BW71" i="9"/>
  <c r="BX71" i="9"/>
  <c r="BY71" i="9"/>
  <c r="BZ71" i="9"/>
  <c r="CA71" i="9"/>
  <c r="CB71" i="9"/>
  <c r="CC71" i="9"/>
  <c r="CD71" i="9"/>
  <c r="CE71" i="9"/>
  <c r="CF71" i="9"/>
  <c r="CG71" i="9"/>
  <c r="CH71" i="9"/>
  <c r="CI71" i="9"/>
  <c r="CM71" i="9"/>
  <c r="CN71" i="9"/>
  <c r="CO71" i="9"/>
  <c r="CP71" i="9"/>
  <c r="CQ71" i="9"/>
  <c r="CR71" i="9"/>
  <c r="D212" i="9"/>
  <c r="E212" i="9"/>
  <c r="F212" i="9"/>
  <c r="G212" i="9"/>
  <c r="H212" i="9"/>
  <c r="I212" i="9"/>
  <c r="J212" i="9"/>
  <c r="K212" i="9"/>
  <c r="L212" i="9"/>
  <c r="M212" i="9"/>
  <c r="N212" i="9"/>
  <c r="O212" i="9"/>
  <c r="P212" i="9"/>
  <c r="Q212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G212" i="9"/>
  <c r="AH212" i="9"/>
  <c r="AI212" i="9"/>
  <c r="AJ212" i="9"/>
  <c r="BF212" i="9"/>
  <c r="BG212" i="9"/>
  <c r="BH212" i="9"/>
  <c r="BI212" i="9"/>
  <c r="BJ212" i="9"/>
  <c r="BK212" i="9"/>
  <c r="BL212" i="9"/>
  <c r="BM212" i="9"/>
  <c r="BN212" i="9"/>
  <c r="BO212" i="9"/>
  <c r="BP212" i="9"/>
  <c r="BQ212" i="9"/>
  <c r="BR212" i="9"/>
  <c r="BS212" i="9"/>
  <c r="BT212" i="9"/>
  <c r="BU212" i="9"/>
  <c r="BV212" i="9"/>
  <c r="BW212" i="9"/>
  <c r="BX212" i="9"/>
  <c r="BY212" i="9"/>
  <c r="BZ212" i="9"/>
  <c r="CA212" i="9"/>
  <c r="CB212" i="9"/>
  <c r="CC212" i="9"/>
  <c r="CD212" i="9"/>
  <c r="CE212" i="9"/>
  <c r="CF212" i="9"/>
  <c r="CG212" i="9"/>
  <c r="CH212" i="9"/>
  <c r="CI212" i="9"/>
  <c r="CM212" i="9"/>
  <c r="CN212" i="9"/>
  <c r="CO212" i="9"/>
  <c r="CP212" i="9"/>
  <c r="CQ212" i="9"/>
  <c r="CR212" i="9"/>
  <c r="D220" i="9"/>
  <c r="E220" i="9"/>
  <c r="F220" i="9"/>
  <c r="G220" i="9"/>
  <c r="H220" i="9"/>
  <c r="I220" i="9"/>
  <c r="J220" i="9"/>
  <c r="K220" i="9"/>
  <c r="L220" i="9"/>
  <c r="M220" i="9"/>
  <c r="N220" i="9"/>
  <c r="O220" i="9"/>
  <c r="P220" i="9"/>
  <c r="Q220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G220" i="9"/>
  <c r="BD220" i="9" s="1"/>
  <c r="AH220" i="9"/>
  <c r="AI220" i="9"/>
  <c r="AJ220" i="9"/>
  <c r="BF220" i="9"/>
  <c r="BG220" i="9"/>
  <c r="BH220" i="9"/>
  <c r="BI220" i="9"/>
  <c r="BJ220" i="9"/>
  <c r="BK220" i="9"/>
  <c r="BL220" i="9"/>
  <c r="BM220" i="9"/>
  <c r="BN220" i="9"/>
  <c r="BO220" i="9"/>
  <c r="BP220" i="9"/>
  <c r="BQ220" i="9"/>
  <c r="BR220" i="9"/>
  <c r="BS220" i="9"/>
  <c r="BT220" i="9"/>
  <c r="BU220" i="9"/>
  <c r="BV220" i="9"/>
  <c r="BW220" i="9"/>
  <c r="BX220" i="9"/>
  <c r="BY220" i="9"/>
  <c r="BZ220" i="9"/>
  <c r="CA220" i="9"/>
  <c r="CB220" i="9"/>
  <c r="CC220" i="9"/>
  <c r="CD220" i="9"/>
  <c r="CE220" i="9"/>
  <c r="CF220" i="9"/>
  <c r="CG220" i="9"/>
  <c r="CH220" i="9"/>
  <c r="CI220" i="9"/>
  <c r="CM220" i="9"/>
  <c r="CN220" i="9"/>
  <c r="CO220" i="9"/>
  <c r="CP220" i="9"/>
  <c r="CQ220" i="9"/>
  <c r="CR220" i="9"/>
  <c r="D228" i="9"/>
  <c r="E228" i="9"/>
  <c r="F228" i="9"/>
  <c r="G228" i="9"/>
  <c r="H228" i="9"/>
  <c r="I228" i="9"/>
  <c r="J228" i="9"/>
  <c r="K228" i="9"/>
  <c r="L228" i="9"/>
  <c r="M228" i="9"/>
  <c r="N228" i="9"/>
  <c r="O228" i="9"/>
  <c r="P228" i="9"/>
  <c r="Q228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G228" i="9"/>
  <c r="AH228" i="9"/>
  <c r="AI228" i="9"/>
  <c r="AJ228" i="9"/>
  <c r="BF228" i="9"/>
  <c r="BG228" i="9"/>
  <c r="BH228" i="9"/>
  <c r="BI228" i="9"/>
  <c r="BJ228" i="9"/>
  <c r="BK228" i="9"/>
  <c r="BL228" i="9"/>
  <c r="BM228" i="9"/>
  <c r="BN228" i="9"/>
  <c r="BO228" i="9"/>
  <c r="BP228" i="9"/>
  <c r="BQ228" i="9"/>
  <c r="BR228" i="9"/>
  <c r="BS228" i="9"/>
  <c r="BT228" i="9"/>
  <c r="BU228" i="9"/>
  <c r="BV228" i="9"/>
  <c r="BW228" i="9"/>
  <c r="BX228" i="9"/>
  <c r="BY228" i="9"/>
  <c r="BZ228" i="9"/>
  <c r="CA228" i="9"/>
  <c r="CB228" i="9"/>
  <c r="CC228" i="9"/>
  <c r="CD228" i="9"/>
  <c r="CE228" i="9"/>
  <c r="CF228" i="9"/>
  <c r="CG228" i="9"/>
  <c r="CH228" i="9"/>
  <c r="CI228" i="9"/>
  <c r="CM228" i="9"/>
  <c r="CN228" i="9"/>
  <c r="CO228" i="9"/>
  <c r="CP228" i="9"/>
  <c r="CQ228" i="9"/>
  <c r="CR228" i="9"/>
  <c r="D237" i="9"/>
  <c r="E237" i="9"/>
  <c r="F237" i="9"/>
  <c r="G237" i="9"/>
  <c r="H237" i="9"/>
  <c r="I237" i="9"/>
  <c r="J237" i="9"/>
  <c r="K237" i="9"/>
  <c r="L237" i="9"/>
  <c r="M237" i="9"/>
  <c r="N237" i="9"/>
  <c r="O237" i="9"/>
  <c r="P237" i="9"/>
  <c r="Q237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G237" i="9"/>
  <c r="AH237" i="9"/>
  <c r="AI237" i="9"/>
  <c r="AJ237" i="9"/>
  <c r="BF237" i="9"/>
  <c r="BG237" i="9"/>
  <c r="BH237" i="9"/>
  <c r="BI237" i="9"/>
  <c r="BJ237" i="9"/>
  <c r="BK237" i="9"/>
  <c r="BL237" i="9"/>
  <c r="BM237" i="9"/>
  <c r="BN237" i="9"/>
  <c r="BO237" i="9"/>
  <c r="BP237" i="9"/>
  <c r="BQ237" i="9"/>
  <c r="BR237" i="9"/>
  <c r="BS237" i="9"/>
  <c r="BT237" i="9"/>
  <c r="BU237" i="9"/>
  <c r="BV237" i="9"/>
  <c r="BW237" i="9"/>
  <c r="BX237" i="9"/>
  <c r="BY237" i="9"/>
  <c r="BZ237" i="9"/>
  <c r="CA237" i="9"/>
  <c r="CB237" i="9"/>
  <c r="CC237" i="9"/>
  <c r="CD237" i="9"/>
  <c r="CE237" i="9"/>
  <c r="CF237" i="9"/>
  <c r="CG237" i="9"/>
  <c r="CH237" i="9"/>
  <c r="CI237" i="9"/>
  <c r="CM237" i="9"/>
  <c r="CN237" i="9"/>
  <c r="CO237" i="9"/>
  <c r="CP237" i="9"/>
  <c r="CQ237" i="9"/>
  <c r="CR237" i="9"/>
  <c r="D245" i="9"/>
  <c r="E245" i="9"/>
  <c r="F245" i="9"/>
  <c r="G245" i="9"/>
  <c r="H245" i="9"/>
  <c r="I245" i="9"/>
  <c r="J245" i="9"/>
  <c r="K245" i="9"/>
  <c r="L245" i="9"/>
  <c r="M245" i="9"/>
  <c r="N245" i="9"/>
  <c r="O245" i="9"/>
  <c r="P245" i="9"/>
  <c r="Q245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G245" i="9"/>
  <c r="AH245" i="9"/>
  <c r="AI245" i="9"/>
  <c r="AJ245" i="9"/>
  <c r="BF245" i="9"/>
  <c r="BG245" i="9"/>
  <c r="BH245" i="9"/>
  <c r="BI245" i="9"/>
  <c r="BJ245" i="9"/>
  <c r="BK245" i="9"/>
  <c r="BL245" i="9"/>
  <c r="BM245" i="9"/>
  <c r="BN245" i="9"/>
  <c r="BO245" i="9"/>
  <c r="BP245" i="9"/>
  <c r="BQ245" i="9"/>
  <c r="BR245" i="9"/>
  <c r="BS245" i="9"/>
  <c r="BT245" i="9"/>
  <c r="BU245" i="9"/>
  <c r="BV245" i="9"/>
  <c r="BW245" i="9"/>
  <c r="BX245" i="9"/>
  <c r="BY245" i="9"/>
  <c r="BZ245" i="9"/>
  <c r="CA245" i="9"/>
  <c r="CB245" i="9"/>
  <c r="CC245" i="9"/>
  <c r="CD245" i="9"/>
  <c r="CE245" i="9"/>
  <c r="CF245" i="9"/>
  <c r="CG245" i="9"/>
  <c r="CH245" i="9"/>
  <c r="CI245" i="9"/>
  <c r="CM245" i="9"/>
  <c r="CN245" i="9"/>
  <c r="CO245" i="9"/>
  <c r="CP245" i="9"/>
  <c r="CQ245" i="9"/>
  <c r="CR245" i="9"/>
  <c r="D253" i="9"/>
  <c r="E253" i="9"/>
  <c r="F253" i="9"/>
  <c r="G253" i="9"/>
  <c r="H253" i="9"/>
  <c r="I253" i="9"/>
  <c r="J253" i="9"/>
  <c r="K253" i="9"/>
  <c r="L253" i="9"/>
  <c r="M253" i="9"/>
  <c r="N253" i="9"/>
  <c r="O253" i="9"/>
  <c r="P253" i="9"/>
  <c r="Q253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G253" i="9"/>
  <c r="BD253" i="9" s="1"/>
  <c r="AH253" i="9"/>
  <c r="AI253" i="9"/>
  <c r="AJ253" i="9"/>
  <c r="BF253" i="9"/>
  <c r="BG253" i="9"/>
  <c r="BH253" i="9"/>
  <c r="BI253" i="9"/>
  <c r="BJ253" i="9"/>
  <c r="BK253" i="9"/>
  <c r="BL253" i="9"/>
  <c r="BM253" i="9"/>
  <c r="BN253" i="9"/>
  <c r="BO253" i="9"/>
  <c r="BP253" i="9"/>
  <c r="BQ253" i="9"/>
  <c r="BR253" i="9"/>
  <c r="BS253" i="9"/>
  <c r="BT253" i="9"/>
  <c r="BU253" i="9"/>
  <c r="BV253" i="9"/>
  <c r="BW253" i="9"/>
  <c r="BX253" i="9"/>
  <c r="BY253" i="9"/>
  <c r="BZ253" i="9"/>
  <c r="CA253" i="9"/>
  <c r="CB253" i="9"/>
  <c r="CC253" i="9"/>
  <c r="CD253" i="9"/>
  <c r="CE253" i="9"/>
  <c r="CF253" i="9"/>
  <c r="CG253" i="9"/>
  <c r="CH253" i="9"/>
  <c r="CI253" i="9"/>
  <c r="CM253" i="9"/>
  <c r="CN253" i="9"/>
  <c r="CO253" i="9"/>
  <c r="CP253" i="9"/>
  <c r="CQ253" i="9"/>
  <c r="CR253" i="9"/>
  <c r="D261" i="9"/>
  <c r="E261" i="9"/>
  <c r="F261" i="9"/>
  <c r="G261" i="9"/>
  <c r="H261" i="9"/>
  <c r="I261" i="9"/>
  <c r="J261" i="9"/>
  <c r="K261" i="9"/>
  <c r="L261" i="9"/>
  <c r="M261" i="9"/>
  <c r="N261" i="9"/>
  <c r="O261" i="9"/>
  <c r="P261" i="9"/>
  <c r="Q261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G261" i="9"/>
  <c r="AH261" i="9"/>
  <c r="AI261" i="9"/>
  <c r="AJ261" i="9"/>
  <c r="BF261" i="9"/>
  <c r="BG261" i="9"/>
  <c r="BH261" i="9"/>
  <c r="BI261" i="9"/>
  <c r="BJ261" i="9"/>
  <c r="BK261" i="9"/>
  <c r="BL261" i="9"/>
  <c r="BM261" i="9"/>
  <c r="BN261" i="9"/>
  <c r="BO261" i="9"/>
  <c r="BP261" i="9"/>
  <c r="BQ261" i="9"/>
  <c r="BR261" i="9"/>
  <c r="BS261" i="9"/>
  <c r="BT261" i="9"/>
  <c r="BU261" i="9"/>
  <c r="BV261" i="9"/>
  <c r="BW261" i="9"/>
  <c r="BX261" i="9"/>
  <c r="BY261" i="9"/>
  <c r="BZ261" i="9"/>
  <c r="CA261" i="9"/>
  <c r="CB261" i="9"/>
  <c r="CC261" i="9"/>
  <c r="CD261" i="9"/>
  <c r="CE261" i="9"/>
  <c r="CF261" i="9"/>
  <c r="CG261" i="9"/>
  <c r="CH261" i="9"/>
  <c r="CI261" i="9"/>
  <c r="CM261" i="9"/>
  <c r="CN261" i="9"/>
  <c r="CO261" i="9"/>
  <c r="CP261" i="9"/>
  <c r="CQ261" i="9"/>
  <c r="CR261" i="9"/>
  <c r="C135" i="9"/>
  <c r="D135" i="9"/>
  <c r="E135" i="9"/>
  <c r="F135" i="9"/>
  <c r="G135" i="9"/>
  <c r="H135" i="9"/>
  <c r="I135" i="9"/>
  <c r="J135" i="9"/>
  <c r="K135" i="9"/>
  <c r="L135" i="9"/>
  <c r="M135" i="9"/>
  <c r="N135" i="9"/>
  <c r="O135" i="9"/>
  <c r="P135" i="9"/>
  <c r="Q135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G135" i="9"/>
  <c r="AH135" i="9"/>
  <c r="AI135" i="9"/>
  <c r="AJ135" i="9"/>
  <c r="BF135" i="9"/>
  <c r="BG135" i="9"/>
  <c r="BH135" i="9"/>
  <c r="BI135" i="9"/>
  <c r="BJ135" i="9"/>
  <c r="BK135" i="9"/>
  <c r="BL135" i="9"/>
  <c r="BM135" i="9"/>
  <c r="BN135" i="9"/>
  <c r="BO135" i="9"/>
  <c r="BP135" i="9"/>
  <c r="BQ135" i="9"/>
  <c r="BR135" i="9"/>
  <c r="BS135" i="9"/>
  <c r="BT135" i="9"/>
  <c r="BU135" i="9"/>
  <c r="BV135" i="9"/>
  <c r="BW135" i="9"/>
  <c r="BX135" i="9"/>
  <c r="BY135" i="9"/>
  <c r="BZ135" i="9"/>
  <c r="CA135" i="9"/>
  <c r="CB135" i="9"/>
  <c r="CC135" i="9"/>
  <c r="CD135" i="9"/>
  <c r="CE135" i="9"/>
  <c r="CF135" i="9"/>
  <c r="CG135" i="9"/>
  <c r="CH135" i="9"/>
  <c r="CI135" i="9"/>
  <c r="CM135" i="9"/>
  <c r="CN135" i="9"/>
  <c r="CO135" i="9"/>
  <c r="CP135" i="9"/>
  <c r="CQ135" i="9"/>
  <c r="CR135" i="9"/>
  <c r="C139" i="9"/>
  <c r="D139" i="9"/>
  <c r="E139" i="9"/>
  <c r="F139" i="9"/>
  <c r="G139" i="9"/>
  <c r="H139" i="9"/>
  <c r="I139" i="9"/>
  <c r="J139" i="9"/>
  <c r="K139" i="9"/>
  <c r="L139" i="9"/>
  <c r="M139" i="9"/>
  <c r="N139" i="9"/>
  <c r="O139" i="9"/>
  <c r="P139" i="9"/>
  <c r="Q139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G139" i="9"/>
  <c r="AH139" i="9"/>
  <c r="AI139" i="9"/>
  <c r="AJ139" i="9"/>
  <c r="BF139" i="9"/>
  <c r="BG139" i="9"/>
  <c r="BH139" i="9"/>
  <c r="BI139" i="9"/>
  <c r="BJ139" i="9"/>
  <c r="BK139" i="9"/>
  <c r="BL139" i="9"/>
  <c r="BM139" i="9"/>
  <c r="BN139" i="9"/>
  <c r="BO139" i="9"/>
  <c r="BP139" i="9"/>
  <c r="BQ139" i="9"/>
  <c r="BR139" i="9"/>
  <c r="BS139" i="9"/>
  <c r="BT139" i="9"/>
  <c r="BU139" i="9"/>
  <c r="BV139" i="9"/>
  <c r="BW139" i="9"/>
  <c r="BX139" i="9"/>
  <c r="BY139" i="9"/>
  <c r="BZ139" i="9"/>
  <c r="CA139" i="9"/>
  <c r="CB139" i="9"/>
  <c r="CC139" i="9"/>
  <c r="CD139" i="9"/>
  <c r="CE139" i="9"/>
  <c r="CF139" i="9"/>
  <c r="CG139" i="9"/>
  <c r="CH139" i="9"/>
  <c r="CI139" i="9"/>
  <c r="CM139" i="9"/>
  <c r="CN139" i="9"/>
  <c r="CO139" i="9"/>
  <c r="CP139" i="9"/>
  <c r="CQ139" i="9"/>
  <c r="CR139" i="9"/>
  <c r="C143" i="9"/>
  <c r="D143" i="9"/>
  <c r="E143" i="9"/>
  <c r="F143" i="9"/>
  <c r="G143" i="9"/>
  <c r="H143" i="9"/>
  <c r="I143" i="9"/>
  <c r="J143" i="9"/>
  <c r="K143" i="9"/>
  <c r="L143" i="9"/>
  <c r="M143" i="9"/>
  <c r="N143" i="9"/>
  <c r="O143" i="9"/>
  <c r="P143" i="9"/>
  <c r="Q143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G143" i="9"/>
  <c r="BD143" i="9" s="1"/>
  <c r="AH143" i="9"/>
  <c r="AI143" i="9"/>
  <c r="AJ143" i="9"/>
  <c r="BF143" i="9"/>
  <c r="BG143" i="9"/>
  <c r="BH143" i="9"/>
  <c r="BI143" i="9"/>
  <c r="BJ143" i="9"/>
  <c r="BK143" i="9"/>
  <c r="BL143" i="9"/>
  <c r="BM143" i="9"/>
  <c r="BN143" i="9"/>
  <c r="BO143" i="9"/>
  <c r="BP143" i="9"/>
  <c r="BQ143" i="9"/>
  <c r="BR143" i="9"/>
  <c r="BS143" i="9"/>
  <c r="BT143" i="9"/>
  <c r="BU143" i="9"/>
  <c r="BV143" i="9"/>
  <c r="BW143" i="9"/>
  <c r="BX143" i="9"/>
  <c r="BY143" i="9"/>
  <c r="BZ143" i="9"/>
  <c r="CA143" i="9"/>
  <c r="CB143" i="9"/>
  <c r="CC143" i="9"/>
  <c r="CD143" i="9"/>
  <c r="CE143" i="9"/>
  <c r="CF143" i="9"/>
  <c r="CG143" i="9"/>
  <c r="CH143" i="9"/>
  <c r="CI143" i="9"/>
  <c r="CM143" i="9"/>
  <c r="CN143" i="9"/>
  <c r="CO143" i="9"/>
  <c r="CP143" i="9"/>
  <c r="CQ143" i="9"/>
  <c r="CR143" i="9"/>
  <c r="C147" i="9"/>
  <c r="D147" i="9"/>
  <c r="E147" i="9"/>
  <c r="F147" i="9"/>
  <c r="G147" i="9"/>
  <c r="H147" i="9"/>
  <c r="I147" i="9"/>
  <c r="J147" i="9"/>
  <c r="K147" i="9"/>
  <c r="L147" i="9"/>
  <c r="M147" i="9"/>
  <c r="N147" i="9"/>
  <c r="O147" i="9"/>
  <c r="P147" i="9"/>
  <c r="Q147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G147" i="9"/>
  <c r="AH147" i="9"/>
  <c r="AI147" i="9"/>
  <c r="AJ147" i="9"/>
  <c r="BF147" i="9"/>
  <c r="BG147" i="9"/>
  <c r="BH147" i="9"/>
  <c r="BI147" i="9"/>
  <c r="BJ147" i="9"/>
  <c r="BK147" i="9"/>
  <c r="BL147" i="9"/>
  <c r="BM147" i="9"/>
  <c r="BN147" i="9"/>
  <c r="BO147" i="9"/>
  <c r="BP147" i="9"/>
  <c r="BQ147" i="9"/>
  <c r="BR147" i="9"/>
  <c r="BS147" i="9"/>
  <c r="BT147" i="9"/>
  <c r="BU147" i="9"/>
  <c r="BV147" i="9"/>
  <c r="BW147" i="9"/>
  <c r="BX147" i="9"/>
  <c r="BY147" i="9"/>
  <c r="BZ147" i="9"/>
  <c r="CA147" i="9"/>
  <c r="CB147" i="9"/>
  <c r="CC147" i="9"/>
  <c r="CD147" i="9"/>
  <c r="CE147" i="9"/>
  <c r="CF147" i="9"/>
  <c r="CG147" i="9"/>
  <c r="CH147" i="9"/>
  <c r="CI147" i="9"/>
  <c r="CM147" i="9"/>
  <c r="CN147" i="9"/>
  <c r="CO147" i="9"/>
  <c r="CP147" i="9"/>
  <c r="CQ147" i="9"/>
  <c r="CR147" i="9"/>
  <c r="C151" i="9"/>
  <c r="D151" i="9"/>
  <c r="E151" i="9"/>
  <c r="F151" i="9"/>
  <c r="G151" i="9"/>
  <c r="H151" i="9"/>
  <c r="I151" i="9"/>
  <c r="J151" i="9"/>
  <c r="K151" i="9"/>
  <c r="L151" i="9"/>
  <c r="M151" i="9"/>
  <c r="N151" i="9"/>
  <c r="O151" i="9"/>
  <c r="P151" i="9"/>
  <c r="Q151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G151" i="9"/>
  <c r="AH151" i="9"/>
  <c r="AI151" i="9"/>
  <c r="AJ151" i="9"/>
  <c r="BF151" i="9"/>
  <c r="BG151" i="9"/>
  <c r="BH151" i="9"/>
  <c r="BI151" i="9"/>
  <c r="BJ151" i="9"/>
  <c r="BK151" i="9"/>
  <c r="BL151" i="9"/>
  <c r="BM151" i="9"/>
  <c r="BN151" i="9"/>
  <c r="BO151" i="9"/>
  <c r="BP151" i="9"/>
  <c r="BQ151" i="9"/>
  <c r="BR151" i="9"/>
  <c r="BS151" i="9"/>
  <c r="BT151" i="9"/>
  <c r="BU151" i="9"/>
  <c r="BV151" i="9"/>
  <c r="BW151" i="9"/>
  <c r="BX151" i="9"/>
  <c r="BY151" i="9"/>
  <c r="BZ151" i="9"/>
  <c r="CA151" i="9"/>
  <c r="CB151" i="9"/>
  <c r="CC151" i="9"/>
  <c r="CD151" i="9"/>
  <c r="CE151" i="9"/>
  <c r="CF151" i="9"/>
  <c r="CG151" i="9"/>
  <c r="CH151" i="9"/>
  <c r="CI151" i="9"/>
  <c r="CM151" i="9"/>
  <c r="CN151" i="9"/>
  <c r="CO151" i="9"/>
  <c r="CP151" i="9"/>
  <c r="CQ151" i="9"/>
  <c r="CR151" i="9"/>
  <c r="C155" i="9"/>
  <c r="D155" i="9"/>
  <c r="E155" i="9"/>
  <c r="F155" i="9"/>
  <c r="G155" i="9"/>
  <c r="H155" i="9"/>
  <c r="I155" i="9"/>
  <c r="J155" i="9"/>
  <c r="K155" i="9"/>
  <c r="L155" i="9"/>
  <c r="M155" i="9"/>
  <c r="N155" i="9"/>
  <c r="O155" i="9"/>
  <c r="P155" i="9"/>
  <c r="Q155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G155" i="9"/>
  <c r="AH155" i="9"/>
  <c r="AI155" i="9"/>
  <c r="AJ155" i="9"/>
  <c r="BF155" i="9"/>
  <c r="BG155" i="9"/>
  <c r="BH155" i="9"/>
  <c r="BI155" i="9"/>
  <c r="BJ155" i="9"/>
  <c r="BK155" i="9"/>
  <c r="BL155" i="9"/>
  <c r="BM155" i="9"/>
  <c r="BN155" i="9"/>
  <c r="BO155" i="9"/>
  <c r="BP155" i="9"/>
  <c r="BQ155" i="9"/>
  <c r="BR155" i="9"/>
  <c r="BS155" i="9"/>
  <c r="BT155" i="9"/>
  <c r="BU155" i="9"/>
  <c r="BV155" i="9"/>
  <c r="BW155" i="9"/>
  <c r="BX155" i="9"/>
  <c r="BY155" i="9"/>
  <c r="BZ155" i="9"/>
  <c r="CA155" i="9"/>
  <c r="CB155" i="9"/>
  <c r="CC155" i="9"/>
  <c r="CD155" i="9"/>
  <c r="CE155" i="9"/>
  <c r="CF155" i="9"/>
  <c r="CG155" i="9"/>
  <c r="CH155" i="9"/>
  <c r="CI155" i="9"/>
  <c r="CM155" i="9"/>
  <c r="CN155" i="9"/>
  <c r="CO155" i="9"/>
  <c r="CP155" i="9"/>
  <c r="CQ155" i="9"/>
  <c r="CR155" i="9"/>
  <c r="C159" i="9"/>
  <c r="D159" i="9"/>
  <c r="E159" i="9"/>
  <c r="F159" i="9"/>
  <c r="G159" i="9"/>
  <c r="H159" i="9"/>
  <c r="I159" i="9"/>
  <c r="J159" i="9"/>
  <c r="K159" i="9"/>
  <c r="L159" i="9"/>
  <c r="M159" i="9"/>
  <c r="N159" i="9"/>
  <c r="O159" i="9"/>
  <c r="P159" i="9"/>
  <c r="Q159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G159" i="9"/>
  <c r="BD159" i="9" s="1"/>
  <c r="AH159" i="9"/>
  <c r="AI159" i="9"/>
  <c r="AJ159" i="9"/>
  <c r="BF159" i="9"/>
  <c r="BG159" i="9"/>
  <c r="BH159" i="9"/>
  <c r="BI159" i="9"/>
  <c r="BJ159" i="9"/>
  <c r="BK159" i="9"/>
  <c r="BL159" i="9"/>
  <c r="BM159" i="9"/>
  <c r="BN159" i="9"/>
  <c r="BO159" i="9"/>
  <c r="BP159" i="9"/>
  <c r="BQ159" i="9"/>
  <c r="BR159" i="9"/>
  <c r="BS159" i="9"/>
  <c r="BT159" i="9"/>
  <c r="BU159" i="9"/>
  <c r="BV159" i="9"/>
  <c r="BW159" i="9"/>
  <c r="BX159" i="9"/>
  <c r="BY159" i="9"/>
  <c r="BZ159" i="9"/>
  <c r="CA159" i="9"/>
  <c r="CB159" i="9"/>
  <c r="CC159" i="9"/>
  <c r="CD159" i="9"/>
  <c r="CE159" i="9"/>
  <c r="CF159" i="9"/>
  <c r="CG159" i="9"/>
  <c r="CH159" i="9"/>
  <c r="CI159" i="9"/>
  <c r="CM159" i="9"/>
  <c r="CN159" i="9"/>
  <c r="CO159" i="9"/>
  <c r="CP159" i="9"/>
  <c r="CQ159" i="9"/>
  <c r="CR159" i="9"/>
  <c r="C163" i="9"/>
  <c r="D163" i="9"/>
  <c r="E163" i="9"/>
  <c r="F163" i="9"/>
  <c r="G163" i="9"/>
  <c r="H163" i="9"/>
  <c r="I163" i="9"/>
  <c r="J163" i="9"/>
  <c r="K163" i="9"/>
  <c r="L163" i="9"/>
  <c r="M163" i="9"/>
  <c r="N163" i="9"/>
  <c r="O163" i="9"/>
  <c r="P163" i="9"/>
  <c r="Q163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G163" i="9"/>
  <c r="AH163" i="9"/>
  <c r="AI163" i="9"/>
  <c r="AJ163" i="9"/>
  <c r="BF163" i="9"/>
  <c r="BG163" i="9"/>
  <c r="BH163" i="9"/>
  <c r="BI163" i="9"/>
  <c r="BJ163" i="9"/>
  <c r="BK163" i="9"/>
  <c r="BL163" i="9"/>
  <c r="BM163" i="9"/>
  <c r="BN163" i="9"/>
  <c r="BO163" i="9"/>
  <c r="BP163" i="9"/>
  <c r="BQ163" i="9"/>
  <c r="BR163" i="9"/>
  <c r="BS163" i="9"/>
  <c r="BT163" i="9"/>
  <c r="BU163" i="9"/>
  <c r="BV163" i="9"/>
  <c r="BW163" i="9"/>
  <c r="BX163" i="9"/>
  <c r="BY163" i="9"/>
  <c r="BZ163" i="9"/>
  <c r="CA163" i="9"/>
  <c r="CB163" i="9"/>
  <c r="CC163" i="9"/>
  <c r="CD163" i="9"/>
  <c r="CE163" i="9"/>
  <c r="CF163" i="9"/>
  <c r="CG163" i="9"/>
  <c r="CH163" i="9"/>
  <c r="CI163" i="9"/>
  <c r="CM163" i="9"/>
  <c r="CN163" i="9"/>
  <c r="CO163" i="9"/>
  <c r="CP163" i="9"/>
  <c r="CQ163" i="9"/>
  <c r="CR16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G2" i="9"/>
  <c r="AH2" i="9"/>
  <c r="AI2" i="9"/>
  <c r="AJ2" i="9"/>
  <c r="BF2" i="9"/>
  <c r="BG2" i="9"/>
  <c r="BH2" i="9"/>
  <c r="BI2" i="9"/>
  <c r="BJ2" i="9"/>
  <c r="BK2" i="9"/>
  <c r="BL2" i="9"/>
  <c r="BM2" i="9"/>
  <c r="BN2" i="9"/>
  <c r="BO2" i="9"/>
  <c r="BP2" i="9"/>
  <c r="BQ2" i="9"/>
  <c r="BR2" i="9"/>
  <c r="BS2" i="9"/>
  <c r="BT2" i="9"/>
  <c r="BU2" i="9"/>
  <c r="BV2" i="9"/>
  <c r="BW2" i="9"/>
  <c r="BX2" i="9"/>
  <c r="BY2" i="9"/>
  <c r="BZ2" i="9"/>
  <c r="CA2" i="9"/>
  <c r="CB2" i="9"/>
  <c r="CC2" i="9"/>
  <c r="CD2" i="9"/>
  <c r="CE2" i="9"/>
  <c r="CF2" i="9"/>
  <c r="CG2" i="9"/>
  <c r="CH2" i="9"/>
  <c r="CI2" i="9"/>
  <c r="CM2" i="9"/>
  <c r="CN2" i="9"/>
  <c r="CO2" i="9"/>
  <c r="CP2" i="9"/>
  <c r="CQ2" i="9"/>
  <c r="CR2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G4" i="9"/>
  <c r="AH4" i="9"/>
  <c r="AI4" i="9"/>
  <c r="AJ4" i="9"/>
  <c r="BF4" i="9"/>
  <c r="BG4" i="9"/>
  <c r="BH4" i="9"/>
  <c r="BI4" i="9"/>
  <c r="BJ4" i="9"/>
  <c r="BK4" i="9"/>
  <c r="BL4" i="9"/>
  <c r="BM4" i="9"/>
  <c r="BN4" i="9"/>
  <c r="BO4" i="9"/>
  <c r="BP4" i="9"/>
  <c r="BQ4" i="9"/>
  <c r="BR4" i="9"/>
  <c r="BS4" i="9"/>
  <c r="BT4" i="9"/>
  <c r="BU4" i="9"/>
  <c r="BV4" i="9"/>
  <c r="BW4" i="9"/>
  <c r="BX4" i="9"/>
  <c r="BY4" i="9"/>
  <c r="BZ4" i="9"/>
  <c r="CA4" i="9"/>
  <c r="CB4" i="9"/>
  <c r="CC4" i="9"/>
  <c r="CD4" i="9"/>
  <c r="CE4" i="9"/>
  <c r="CF4" i="9"/>
  <c r="CG4" i="9"/>
  <c r="CH4" i="9"/>
  <c r="CI4" i="9"/>
  <c r="CM4" i="9"/>
  <c r="CN4" i="9"/>
  <c r="CO4" i="9"/>
  <c r="CP4" i="9"/>
  <c r="CQ4" i="9"/>
  <c r="CR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G5" i="9"/>
  <c r="BD5" i="9" s="1"/>
  <c r="AH5" i="9"/>
  <c r="AI5" i="9"/>
  <c r="AJ5" i="9"/>
  <c r="BF5" i="9"/>
  <c r="BG5" i="9"/>
  <c r="BH5" i="9"/>
  <c r="BI5" i="9"/>
  <c r="BJ5" i="9"/>
  <c r="BK5" i="9"/>
  <c r="BL5" i="9"/>
  <c r="BM5" i="9"/>
  <c r="BN5" i="9"/>
  <c r="BO5" i="9"/>
  <c r="BP5" i="9"/>
  <c r="BQ5" i="9"/>
  <c r="BR5" i="9"/>
  <c r="BS5" i="9"/>
  <c r="BT5" i="9"/>
  <c r="BU5" i="9"/>
  <c r="BV5" i="9"/>
  <c r="BW5" i="9"/>
  <c r="BX5" i="9"/>
  <c r="BY5" i="9"/>
  <c r="BZ5" i="9"/>
  <c r="CA5" i="9"/>
  <c r="CB5" i="9"/>
  <c r="CC5" i="9"/>
  <c r="CD5" i="9"/>
  <c r="CE5" i="9"/>
  <c r="CF5" i="9"/>
  <c r="CG5" i="9"/>
  <c r="CH5" i="9"/>
  <c r="CI5" i="9"/>
  <c r="CM5" i="9"/>
  <c r="CN5" i="9"/>
  <c r="CO5" i="9"/>
  <c r="CP5" i="9"/>
  <c r="CQ5" i="9"/>
  <c r="CR5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G8" i="9"/>
  <c r="AH8" i="9"/>
  <c r="AI8" i="9"/>
  <c r="AJ8" i="9"/>
  <c r="BF8" i="9"/>
  <c r="BG8" i="9"/>
  <c r="BH8" i="9"/>
  <c r="BI8" i="9"/>
  <c r="BJ8" i="9"/>
  <c r="BK8" i="9"/>
  <c r="BL8" i="9"/>
  <c r="BM8" i="9"/>
  <c r="BN8" i="9"/>
  <c r="BO8" i="9"/>
  <c r="BP8" i="9"/>
  <c r="BQ8" i="9"/>
  <c r="BR8" i="9"/>
  <c r="BS8" i="9"/>
  <c r="BT8" i="9"/>
  <c r="BU8" i="9"/>
  <c r="BV8" i="9"/>
  <c r="BW8" i="9"/>
  <c r="BX8" i="9"/>
  <c r="BY8" i="9"/>
  <c r="BZ8" i="9"/>
  <c r="CA8" i="9"/>
  <c r="CB8" i="9"/>
  <c r="CC8" i="9"/>
  <c r="CD8" i="9"/>
  <c r="CE8" i="9"/>
  <c r="CF8" i="9"/>
  <c r="CG8" i="9"/>
  <c r="CH8" i="9"/>
  <c r="CI8" i="9"/>
  <c r="CM8" i="9"/>
  <c r="CN8" i="9"/>
  <c r="CO8" i="9"/>
  <c r="CP8" i="9"/>
  <c r="CQ8" i="9"/>
  <c r="CR8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G12" i="9"/>
  <c r="AH12" i="9"/>
  <c r="AI12" i="9"/>
  <c r="AJ12" i="9"/>
  <c r="BF12" i="9"/>
  <c r="BG12" i="9"/>
  <c r="BH12" i="9"/>
  <c r="BI12" i="9"/>
  <c r="BJ12" i="9"/>
  <c r="BK12" i="9"/>
  <c r="BL12" i="9"/>
  <c r="BM12" i="9"/>
  <c r="BN12" i="9"/>
  <c r="BO12" i="9"/>
  <c r="BP12" i="9"/>
  <c r="BQ12" i="9"/>
  <c r="BR12" i="9"/>
  <c r="BS12" i="9"/>
  <c r="BT12" i="9"/>
  <c r="BU12" i="9"/>
  <c r="BV12" i="9"/>
  <c r="BW12" i="9"/>
  <c r="BX12" i="9"/>
  <c r="BY12" i="9"/>
  <c r="BZ12" i="9"/>
  <c r="CA12" i="9"/>
  <c r="CB12" i="9"/>
  <c r="CC12" i="9"/>
  <c r="CD12" i="9"/>
  <c r="CE12" i="9"/>
  <c r="CF12" i="9"/>
  <c r="CG12" i="9"/>
  <c r="CH12" i="9"/>
  <c r="CI12" i="9"/>
  <c r="CM12" i="9"/>
  <c r="CN12" i="9"/>
  <c r="CO12" i="9"/>
  <c r="CP12" i="9"/>
  <c r="CQ12" i="9"/>
  <c r="CR12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G16" i="9"/>
  <c r="AH16" i="9"/>
  <c r="AI16" i="9"/>
  <c r="AJ16" i="9"/>
  <c r="BF16" i="9"/>
  <c r="BG16" i="9"/>
  <c r="BH16" i="9"/>
  <c r="BI16" i="9"/>
  <c r="BJ16" i="9"/>
  <c r="BK16" i="9"/>
  <c r="BL16" i="9"/>
  <c r="BM16" i="9"/>
  <c r="BN16" i="9"/>
  <c r="BO16" i="9"/>
  <c r="BP16" i="9"/>
  <c r="BQ16" i="9"/>
  <c r="BR16" i="9"/>
  <c r="BS16" i="9"/>
  <c r="BT16" i="9"/>
  <c r="BU16" i="9"/>
  <c r="BV16" i="9"/>
  <c r="BW16" i="9"/>
  <c r="BX16" i="9"/>
  <c r="BY16" i="9"/>
  <c r="BZ16" i="9"/>
  <c r="CA16" i="9"/>
  <c r="CB16" i="9"/>
  <c r="CC16" i="9"/>
  <c r="CD16" i="9"/>
  <c r="CE16" i="9"/>
  <c r="CF16" i="9"/>
  <c r="CG16" i="9"/>
  <c r="CH16" i="9"/>
  <c r="CI16" i="9"/>
  <c r="CM16" i="9"/>
  <c r="CN16" i="9"/>
  <c r="CO16" i="9"/>
  <c r="CP16" i="9"/>
  <c r="CQ16" i="9"/>
  <c r="CR16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G20" i="9"/>
  <c r="BD20" i="9" s="1"/>
  <c r="AH20" i="9"/>
  <c r="AI20" i="9"/>
  <c r="AJ20" i="9"/>
  <c r="BF20" i="9"/>
  <c r="BG20" i="9"/>
  <c r="BH20" i="9"/>
  <c r="BI20" i="9"/>
  <c r="BJ20" i="9"/>
  <c r="BK20" i="9"/>
  <c r="BL20" i="9"/>
  <c r="BM20" i="9"/>
  <c r="BN20" i="9"/>
  <c r="BO20" i="9"/>
  <c r="BP20" i="9"/>
  <c r="BQ20" i="9"/>
  <c r="BR20" i="9"/>
  <c r="BS20" i="9"/>
  <c r="BT20" i="9"/>
  <c r="BU20" i="9"/>
  <c r="BV20" i="9"/>
  <c r="BW20" i="9"/>
  <c r="BX20" i="9"/>
  <c r="BY20" i="9"/>
  <c r="BZ20" i="9"/>
  <c r="CA20" i="9"/>
  <c r="CB20" i="9"/>
  <c r="CC20" i="9"/>
  <c r="CD20" i="9"/>
  <c r="CE20" i="9"/>
  <c r="CF20" i="9"/>
  <c r="CG20" i="9"/>
  <c r="CH20" i="9"/>
  <c r="CI20" i="9"/>
  <c r="CM20" i="9"/>
  <c r="CN20" i="9"/>
  <c r="CO20" i="9"/>
  <c r="CP20" i="9"/>
  <c r="CQ20" i="9"/>
  <c r="CR20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G24" i="9"/>
  <c r="AH24" i="9"/>
  <c r="AI24" i="9"/>
  <c r="AJ24" i="9"/>
  <c r="BF24" i="9"/>
  <c r="BG24" i="9"/>
  <c r="BH24" i="9"/>
  <c r="BI24" i="9"/>
  <c r="BJ24" i="9"/>
  <c r="BK24" i="9"/>
  <c r="BL24" i="9"/>
  <c r="BM24" i="9"/>
  <c r="BN24" i="9"/>
  <c r="BO24" i="9"/>
  <c r="BP24" i="9"/>
  <c r="BQ24" i="9"/>
  <c r="BR24" i="9"/>
  <c r="BS24" i="9"/>
  <c r="BT24" i="9"/>
  <c r="BU24" i="9"/>
  <c r="BV24" i="9"/>
  <c r="BW24" i="9"/>
  <c r="BX24" i="9"/>
  <c r="BY24" i="9"/>
  <c r="BZ24" i="9"/>
  <c r="CA24" i="9"/>
  <c r="CB24" i="9"/>
  <c r="CC24" i="9"/>
  <c r="CD24" i="9"/>
  <c r="CE24" i="9"/>
  <c r="CF24" i="9"/>
  <c r="CG24" i="9"/>
  <c r="CH24" i="9"/>
  <c r="CI24" i="9"/>
  <c r="CM24" i="9"/>
  <c r="CN24" i="9"/>
  <c r="CO24" i="9"/>
  <c r="CP24" i="9"/>
  <c r="CQ24" i="9"/>
  <c r="CR24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G27" i="9"/>
  <c r="AH27" i="9"/>
  <c r="AI27" i="9"/>
  <c r="AJ27" i="9"/>
  <c r="BF27" i="9"/>
  <c r="BG27" i="9"/>
  <c r="BH27" i="9"/>
  <c r="BI27" i="9"/>
  <c r="BJ27" i="9"/>
  <c r="BK27" i="9"/>
  <c r="BL27" i="9"/>
  <c r="BM27" i="9"/>
  <c r="BN27" i="9"/>
  <c r="BO27" i="9"/>
  <c r="BP27" i="9"/>
  <c r="BQ27" i="9"/>
  <c r="BR27" i="9"/>
  <c r="BS27" i="9"/>
  <c r="BT27" i="9"/>
  <c r="BU27" i="9"/>
  <c r="BV27" i="9"/>
  <c r="BW27" i="9"/>
  <c r="BX27" i="9"/>
  <c r="BY27" i="9"/>
  <c r="BZ27" i="9"/>
  <c r="CA27" i="9"/>
  <c r="CB27" i="9"/>
  <c r="CC27" i="9"/>
  <c r="CD27" i="9"/>
  <c r="CE27" i="9"/>
  <c r="CF27" i="9"/>
  <c r="CG27" i="9"/>
  <c r="CH27" i="9"/>
  <c r="CI27" i="9"/>
  <c r="CM27" i="9"/>
  <c r="CN27" i="9"/>
  <c r="CO27" i="9"/>
  <c r="CP27" i="9"/>
  <c r="CQ27" i="9"/>
  <c r="CR27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G29" i="9"/>
  <c r="AH29" i="9"/>
  <c r="AI29" i="9"/>
  <c r="AJ29" i="9"/>
  <c r="BF29" i="9"/>
  <c r="BG29" i="9"/>
  <c r="BH29" i="9"/>
  <c r="BI29" i="9"/>
  <c r="BJ29" i="9"/>
  <c r="BK29" i="9"/>
  <c r="BL29" i="9"/>
  <c r="BM29" i="9"/>
  <c r="BN29" i="9"/>
  <c r="BO29" i="9"/>
  <c r="BP29" i="9"/>
  <c r="BQ29" i="9"/>
  <c r="BR29" i="9"/>
  <c r="BS29" i="9"/>
  <c r="BT29" i="9"/>
  <c r="BU29" i="9"/>
  <c r="BV29" i="9"/>
  <c r="BW29" i="9"/>
  <c r="BX29" i="9"/>
  <c r="BY29" i="9"/>
  <c r="BZ29" i="9"/>
  <c r="CA29" i="9"/>
  <c r="CB29" i="9"/>
  <c r="CC29" i="9"/>
  <c r="CD29" i="9"/>
  <c r="CE29" i="9"/>
  <c r="CF29" i="9"/>
  <c r="CG29" i="9"/>
  <c r="CH29" i="9"/>
  <c r="CI29" i="9"/>
  <c r="CM29" i="9"/>
  <c r="CN29" i="9"/>
  <c r="CO29" i="9"/>
  <c r="CP29" i="9"/>
  <c r="CQ29" i="9"/>
  <c r="CR29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G33" i="9"/>
  <c r="BD33" i="9" s="1"/>
  <c r="AH33" i="9"/>
  <c r="AI33" i="9"/>
  <c r="AJ33" i="9"/>
  <c r="BF33" i="9"/>
  <c r="BG33" i="9"/>
  <c r="BH33" i="9"/>
  <c r="BI33" i="9"/>
  <c r="BJ33" i="9"/>
  <c r="BK33" i="9"/>
  <c r="BL33" i="9"/>
  <c r="BM33" i="9"/>
  <c r="BN33" i="9"/>
  <c r="BO33" i="9"/>
  <c r="BP33" i="9"/>
  <c r="BQ33" i="9"/>
  <c r="BR33" i="9"/>
  <c r="BS33" i="9"/>
  <c r="BT33" i="9"/>
  <c r="BU33" i="9"/>
  <c r="BV33" i="9"/>
  <c r="BW33" i="9"/>
  <c r="BX33" i="9"/>
  <c r="BY33" i="9"/>
  <c r="BZ33" i="9"/>
  <c r="CA33" i="9"/>
  <c r="CB33" i="9"/>
  <c r="CC33" i="9"/>
  <c r="CD33" i="9"/>
  <c r="CE33" i="9"/>
  <c r="CF33" i="9"/>
  <c r="CG33" i="9"/>
  <c r="CH33" i="9"/>
  <c r="CI33" i="9"/>
  <c r="CM33" i="9"/>
  <c r="CN33" i="9"/>
  <c r="CO33" i="9"/>
  <c r="CP33" i="9"/>
  <c r="CQ33" i="9"/>
  <c r="CR33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G37" i="9"/>
  <c r="AH37" i="9"/>
  <c r="AI37" i="9"/>
  <c r="AJ37" i="9"/>
  <c r="BF37" i="9"/>
  <c r="BG37" i="9"/>
  <c r="BH37" i="9"/>
  <c r="BI37" i="9"/>
  <c r="BJ37" i="9"/>
  <c r="BK37" i="9"/>
  <c r="BL37" i="9"/>
  <c r="BM37" i="9"/>
  <c r="BN37" i="9"/>
  <c r="BO37" i="9"/>
  <c r="BP37" i="9"/>
  <c r="BQ37" i="9"/>
  <c r="BR37" i="9"/>
  <c r="BS37" i="9"/>
  <c r="BT37" i="9"/>
  <c r="BU37" i="9"/>
  <c r="BV37" i="9"/>
  <c r="BW37" i="9"/>
  <c r="BX37" i="9"/>
  <c r="BY37" i="9"/>
  <c r="BZ37" i="9"/>
  <c r="CA37" i="9"/>
  <c r="CB37" i="9"/>
  <c r="CC37" i="9"/>
  <c r="CD37" i="9"/>
  <c r="CE37" i="9"/>
  <c r="CF37" i="9"/>
  <c r="CG37" i="9"/>
  <c r="CH37" i="9"/>
  <c r="CI37" i="9"/>
  <c r="CM37" i="9"/>
  <c r="CN37" i="9"/>
  <c r="CO37" i="9"/>
  <c r="CP37" i="9"/>
  <c r="CQ37" i="9"/>
  <c r="CR37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G41" i="9"/>
  <c r="AH41" i="9"/>
  <c r="AI41" i="9"/>
  <c r="AJ41" i="9"/>
  <c r="BF41" i="9"/>
  <c r="BG41" i="9"/>
  <c r="BH41" i="9"/>
  <c r="BI41" i="9"/>
  <c r="BJ41" i="9"/>
  <c r="BK41" i="9"/>
  <c r="BL41" i="9"/>
  <c r="BM41" i="9"/>
  <c r="BN41" i="9"/>
  <c r="BO41" i="9"/>
  <c r="BP41" i="9"/>
  <c r="BQ41" i="9"/>
  <c r="BR41" i="9"/>
  <c r="BS41" i="9"/>
  <c r="BT41" i="9"/>
  <c r="BU41" i="9"/>
  <c r="BV41" i="9"/>
  <c r="BW41" i="9"/>
  <c r="BX41" i="9"/>
  <c r="BY41" i="9"/>
  <c r="BZ41" i="9"/>
  <c r="CA41" i="9"/>
  <c r="CB41" i="9"/>
  <c r="CC41" i="9"/>
  <c r="CD41" i="9"/>
  <c r="CE41" i="9"/>
  <c r="CF41" i="9"/>
  <c r="CG41" i="9"/>
  <c r="CH41" i="9"/>
  <c r="CI41" i="9"/>
  <c r="CM41" i="9"/>
  <c r="CN41" i="9"/>
  <c r="CO41" i="9"/>
  <c r="CP41" i="9"/>
  <c r="CQ41" i="9"/>
  <c r="CR41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G45" i="9"/>
  <c r="AH45" i="9"/>
  <c r="AI45" i="9"/>
  <c r="AJ45" i="9"/>
  <c r="BF45" i="9"/>
  <c r="BG45" i="9"/>
  <c r="BH45" i="9"/>
  <c r="BI45" i="9"/>
  <c r="BJ45" i="9"/>
  <c r="BK45" i="9"/>
  <c r="BL45" i="9"/>
  <c r="BM45" i="9"/>
  <c r="BN45" i="9"/>
  <c r="BO45" i="9"/>
  <c r="BP45" i="9"/>
  <c r="BQ45" i="9"/>
  <c r="BR45" i="9"/>
  <c r="BS45" i="9"/>
  <c r="BT45" i="9"/>
  <c r="BU45" i="9"/>
  <c r="BV45" i="9"/>
  <c r="BW45" i="9"/>
  <c r="BX45" i="9"/>
  <c r="BY45" i="9"/>
  <c r="BZ45" i="9"/>
  <c r="CA45" i="9"/>
  <c r="CB45" i="9"/>
  <c r="CC45" i="9"/>
  <c r="CD45" i="9"/>
  <c r="CE45" i="9"/>
  <c r="CF45" i="9"/>
  <c r="CG45" i="9"/>
  <c r="CH45" i="9"/>
  <c r="CI45" i="9"/>
  <c r="CM45" i="9"/>
  <c r="CN45" i="9"/>
  <c r="CO45" i="9"/>
  <c r="CP45" i="9"/>
  <c r="CQ45" i="9"/>
  <c r="CR45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G49" i="9"/>
  <c r="BD49" i="9" s="1"/>
  <c r="AH49" i="9"/>
  <c r="AI49" i="9"/>
  <c r="AJ49" i="9"/>
  <c r="BF49" i="9"/>
  <c r="BG49" i="9"/>
  <c r="BH49" i="9"/>
  <c r="BI49" i="9"/>
  <c r="BJ49" i="9"/>
  <c r="BK49" i="9"/>
  <c r="BL49" i="9"/>
  <c r="BM49" i="9"/>
  <c r="BN49" i="9"/>
  <c r="BO49" i="9"/>
  <c r="BP49" i="9"/>
  <c r="BQ49" i="9"/>
  <c r="BR49" i="9"/>
  <c r="BS49" i="9"/>
  <c r="BT49" i="9"/>
  <c r="BU49" i="9"/>
  <c r="BV49" i="9"/>
  <c r="BW49" i="9"/>
  <c r="BX49" i="9"/>
  <c r="BY49" i="9"/>
  <c r="BZ49" i="9"/>
  <c r="CA49" i="9"/>
  <c r="CB49" i="9"/>
  <c r="CC49" i="9"/>
  <c r="CD49" i="9"/>
  <c r="CE49" i="9"/>
  <c r="CF49" i="9"/>
  <c r="CG49" i="9"/>
  <c r="CH49" i="9"/>
  <c r="CI49" i="9"/>
  <c r="CM49" i="9"/>
  <c r="CN49" i="9"/>
  <c r="CO49" i="9"/>
  <c r="CP49" i="9"/>
  <c r="CQ49" i="9"/>
  <c r="CR49" i="9"/>
  <c r="C136" i="9"/>
  <c r="D136" i="9"/>
  <c r="E136" i="9"/>
  <c r="F136" i="9"/>
  <c r="G136" i="9"/>
  <c r="H136" i="9"/>
  <c r="I136" i="9"/>
  <c r="J136" i="9"/>
  <c r="K136" i="9"/>
  <c r="L136" i="9"/>
  <c r="M136" i="9"/>
  <c r="N136" i="9"/>
  <c r="O136" i="9"/>
  <c r="P136" i="9"/>
  <c r="Q136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G136" i="9"/>
  <c r="AH136" i="9"/>
  <c r="AI136" i="9"/>
  <c r="AJ136" i="9"/>
  <c r="BF136" i="9"/>
  <c r="BG136" i="9"/>
  <c r="BH136" i="9"/>
  <c r="BI136" i="9"/>
  <c r="BJ136" i="9"/>
  <c r="BK136" i="9"/>
  <c r="BL136" i="9"/>
  <c r="BM136" i="9"/>
  <c r="BN136" i="9"/>
  <c r="BO136" i="9"/>
  <c r="BP136" i="9"/>
  <c r="BQ136" i="9"/>
  <c r="BR136" i="9"/>
  <c r="BS136" i="9"/>
  <c r="BT136" i="9"/>
  <c r="BU136" i="9"/>
  <c r="BV136" i="9"/>
  <c r="BW136" i="9"/>
  <c r="BX136" i="9"/>
  <c r="BY136" i="9"/>
  <c r="BZ136" i="9"/>
  <c r="CA136" i="9"/>
  <c r="CB136" i="9"/>
  <c r="CC136" i="9"/>
  <c r="CD136" i="9"/>
  <c r="CE136" i="9"/>
  <c r="CF136" i="9"/>
  <c r="CG136" i="9"/>
  <c r="CH136" i="9"/>
  <c r="CI136" i="9"/>
  <c r="CM136" i="9"/>
  <c r="CN136" i="9"/>
  <c r="CO136" i="9"/>
  <c r="CP136" i="9"/>
  <c r="CQ136" i="9"/>
  <c r="CR136" i="9"/>
  <c r="C140" i="9"/>
  <c r="D140" i="9"/>
  <c r="E140" i="9"/>
  <c r="F140" i="9"/>
  <c r="G140" i="9"/>
  <c r="H140" i="9"/>
  <c r="I140" i="9"/>
  <c r="J140" i="9"/>
  <c r="K140" i="9"/>
  <c r="L140" i="9"/>
  <c r="M140" i="9"/>
  <c r="N140" i="9"/>
  <c r="O140" i="9"/>
  <c r="P140" i="9"/>
  <c r="Q140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G140" i="9"/>
  <c r="AH140" i="9"/>
  <c r="AI140" i="9"/>
  <c r="AJ140" i="9"/>
  <c r="BF140" i="9"/>
  <c r="BG140" i="9"/>
  <c r="BH140" i="9"/>
  <c r="BI140" i="9"/>
  <c r="BJ140" i="9"/>
  <c r="BK140" i="9"/>
  <c r="BL140" i="9"/>
  <c r="BM140" i="9"/>
  <c r="BN140" i="9"/>
  <c r="BO140" i="9"/>
  <c r="BP140" i="9"/>
  <c r="BQ140" i="9"/>
  <c r="BR140" i="9"/>
  <c r="BS140" i="9"/>
  <c r="BT140" i="9"/>
  <c r="BU140" i="9"/>
  <c r="BV140" i="9"/>
  <c r="BW140" i="9"/>
  <c r="BX140" i="9"/>
  <c r="BY140" i="9"/>
  <c r="BZ140" i="9"/>
  <c r="CA140" i="9"/>
  <c r="CB140" i="9"/>
  <c r="CC140" i="9"/>
  <c r="CD140" i="9"/>
  <c r="CE140" i="9"/>
  <c r="CF140" i="9"/>
  <c r="CG140" i="9"/>
  <c r="CH140" i="9"/>
  <c r="CI140" i="9"/>
  <c r="CM140" i="9"/>
  <c r="CN140" i="9"/>
  <c r="CO140" i="9"/>
  <c r="CP140" i="9"/>
  <c r="CQ140" i="9"/>
  <c r="CR140" i="9"/>
  <c r="C144" i="9"/>
  <c r="D144" i="9"/>
  <c r="E144" i="9"/>
  <c r="F144" i="9"/>
  <c r="G144" i="9"/>
  <c r="H144" i="9"/>
  <c r="I144" i="9"/>
  <c r="J144" i="9"/>
  <c r="K144" i="9"/>
  <c r="L144" i="9"/>
  <c r="M144" i="9"/>
  <c r="N144" i="9"/>
  <c r="O144" i="9"/>
  <c r="P144" i="9"/>
  <c r="Q144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G144" i="9"/>
  <c r="AH144" i="9"/>
  <c r="AI144" i="9"/>
  <c r="AJ144" i="9"/>
  <c r="BF144" i="9"/>
  <c r="BG144" i="9"/>
  <c r="BH144" i="9"/>
  <c r="BI144" i="9"/>
  <c r="BJ144" i="9"/>
  <c r="BK144" i="9"/>
  <c r="BL144" i="9"/>
  <c r="BM144" i="9"/>
  <c r="BN144" i="9"/>
  <c r="BO144" i="9"/>
  <c r="BP144" i="9"/>
  <c r="BQ144" i="9"/>
  <c r="BR144" i="9"/>
  <c r="BS144" i="9"/>
  <c r="BT144" i="9"/>
  <c r="BU144" i="9"/>
  <c r="BV144" i="9"/>
  <c r="BW144" i="9"/>
  <c r="BX144" i="9"/>
  <c r="BY144" i="9"/>
  <c r="BZ144" i="9"/>
  <c r="CA144" i="9"/>
  <c r="CB144" i="9"/>
  <c r="CC144" i="9"/>
  <c r="CD144" i="9"/>
  <c r="CE144" i="9"/>
  <c r="CF144" i="9"/>
  <c r="CG144" i="9"/>
  <c r="CH144" i="9"/>
  <c r="CI144" i="9"/>
  <c r="CM144" i="9"/>
  <c r="CN144" i="9"/>
  <c r="CO144" i="9"/>
  <c r="CP144" i="9"/>
  <c r="CQ144" i="9"/>
  <c r="CR144" i="9"/>
  <c r="C148" i="9"/>
  <c r="D148" i="9"/>
  <c r="E148" i="9"/>
  <c r="F148" i="9"/>
  <c r="G148" i="9"/>
  <c r="H148" i="9"/>
  <c r="I148" i="9"/>
  <c r="J148" i="9"/>
  <c r="K148" i="9"/>
  <c r="L148" i="9"/>
  <c r="M148" i="9"/>
  <c r="N148" i="9"/>
  <c r="O148" i="9"/>
  <c r="P148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G148" i="9"/>
  <c r="BD148" i="9" s="1"/>
  <c r="AH148" i="9"/>
  <c r="AI148" i="9"/>
  <c r="AJ148" i="9"/>
  <c r="BF148" i="9"/>
  <c r="BG148" i="9"/>
  <c r="BH148" i="9"/>
  <c r="BI148" i="9"/>
  <c r="BJ148" i="9"/>
  <c r="BK148" i="9"/>
  <c r="BL148" i="9"/>
  <c r="BM148" i="9"/>
  <c r="BN148" i="9"/>
  <c r="BO148" i="9"/>
  <c r="BP148" i="9"/>
  <c r="BQ148" i="9"/>
  <c r="BR148" i="9"/>
  <c r="BS148" i="9"/>
  <c r="BT148" i="9"/>
  <c r="BU148" i="9"/>
  <c r="BV148" i="9"/>
  <c r="BW148" i="9"/>
  <c r="BX148" i="9"/>
  <c r="BY148" i="9"/>
  <c r="BZ148" i="9"/>
  <c r="CA148" i="9"/>
  <c r="CB148" i="9"/>
  <c r="CC148" i="9"/>
  <c r="CD148" i="9"/>
  <c r="CE148" i="9"/>
  <c r="CF148" i="9"/>
  <c r="CG148" i="9"/>
  <c r="CH148" i="9"/>
  <c r="CI148" i="9"/>
  <c r="CM148" i="9"/>
  <c r="CN148" i="9"/>
  <c r="CO148" i="9"/>
  <c r="CP148" i="9"/>
  <c r="CQ148" i="9"/>
  <c r="CR148" i="9"/>
  <c r="C152" i="9"/>
  <c r="D152" i="9"/>
  <c r="E152" i="9"/>
  <c r="F152" i="9"/>
  <c r="G152" i="9"/>
  <c r="H152" i="9"/>
  <c r="I152" i="9"/>
  <c r="J152" i="9"/>
  <c r="K152" i="9"/>
  <c r="L152" i="9"/>
  <c r="M152" i="9"/>
  <c r="N152" i="9"/>
  <c r="O152" i="9"/>
  <c r="P152" i="9"/>
  <c r="Q152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G152" i="9"/>
  <c r="AH152" i="9"/>
  <c r="AI152" i="9"/>
  <c r="AJ152" i="9"/>
  <c r="BF152" i="9"/>
  <c r="BG152" i="9"/>
  <c r="BH152" i="9"/>
  <c r="BI152" i="9"/>
  <c r="BJ152" i="9"/>
  <c r="BK152" i="9"/>
  <c r="BL152" i="9"/>
  <c r="BM152" i="9"/>
  <c r="BN152" i="9"/>
  <c r="BO152" i="9"/>
  <c r="BP152" i="9"/>
  <c r="BQ152" i="9"/>
  <c r="BR152" i="9"/>
  <c r="BS152" i="9"/>
  <c r="BT152" i="9"/>
  <c r="BU152" i="9"/>
  <c r="BV152" i="9"/>
  <c r="BW152" i="9"/>
  <c r="BX152" i="9"/>
  <c r="BY152" i="9"/>
  <c r="BZ152" i="9"/>
  <c r="CA152" i="9"/>
  <c r="CB152" i="9"/>
  <c r="CC152" i="9"/>
  <c r="CD152" i="9"/>
  <c r="CE152" i="9"/>
  <c r="CF152" i="9"/>
  <c r="CG152" i="9"/>
  <c r="CH152" i="9"/>
  <c r="CI152" i="9"/>
  <c r="CM152" i="9"/>
  <c r="CN152" i="9"/>
  <c r="CO152" i="9"/>
  <c r="CP152" i="9"/>
  <c r="CQ152" i="9"/>
  <c r="CR152" i="9"/>
  <c r="C156" i="9"/>
  <c r="D156" i="9"/>
  <c r="E156" i="9"/>
  <c r="F156" i="9"/>
  <c r="G156" i="9"/>
  <c r="H156" i="9"/>
  <c r="I156" i="9"/>
  <c r="J156" i="9"/>
  <c r="K156" i="9"/>
  <c r="L156" i="9"/>
  <c r="M156" i="9"/>
  <c r="N156" i="9"/>
  <c r="O156" i="9"/>
  <c r="P156" i="9"/>
  <c r="Q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G156" i="9"/>
  <c r="AH156" i="9"/>
  <c r="AI156" i="9"/>
  <c r="AJ156" i="9"/>
  <c r="BF156" i="9"/>
  <c r="BG156" i="9"/>
  <c r="BH156" i="9"/>
  <c r="BI156" i="9"/>
  <c r="BJ156" i="9"/>
  <c r="BK156" i="9"/>
  <c r="BL156" i="9"/>
  <c r="BM156" i="9"/>
  <c r="BN156" i="9"/>
  <c r="BO156" i="9"/>
  <c r="BP156" i="9"/>
  <c r="BQ156" i="9"/>
  <c r="BR156" i="9"/>
  <c r="BS156" i="9"/>
  <c r="BT156" i="9"/>
  <c r="BU156" i="9"/>
  <c r="BV156" i="9"/>
  <c r="BW156" i="9"/>
  <c r="BX156" i="9"/>
  <c r="BY156" i="9"/>
  <c r="BZ156" i="9"/>
  <c r="CA156" i="9"/>
  <c r="CB156" i="9"/>
  <c r="CC156" i="9"/>
  <c r="CD156" i="9"/>
  <c r="CE156" i="9"/>
  <c r="CF156" i="9"/>
  <c r="CG156" i="9"/>
  <c r="CH156" i="9"/>
  <c r="CI156" i="9"/>
  <c r="CM156" i="9"/>
  <c r="CN156" i="9"/>
  <c r="CO156" i="9"/>
  <c r="CP156" i="9"/>
  <c r="CQ156" i="9"/>
  <c r="CR156" i="9"/>
  <c r="C160" i="9"/>
  <c r="D160" i="9"/>
  <c r="E160" i="9"/>
  <c r="F160" i="9"/>
  <c r="G160" i="9"/>
  <c r="H160" i="9"/>
  <c r="I160" i="9"/>
  <c r="J160" i="9"/>
  <c r="K160" i="9"/>
  <c r="L160" i="9"/>
  <c r="M160" i="9"/>
  <c r="N160" i="9"/>
  <c r="O160" i="9"/>
  <c r="P160" i="9"/>
  <c r="Q160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G160" i="9"/>
  <c r="AH160" i="9"/>
  <c r="AI160" i="9"/>
  <c r="AJ160" i="9"/>
  <c r="BF160" i="9"/>
  <c r="BG160" i="9"/>
  <c r="BH160" i="9"/>
  <c r="BI160" i="9"/>
  <c r="BJ160" i="9"/>
  <c r="BK160" i="9"/>
  <c r="BL160" i="9"/>
  <c r="BM160" i="9"/>
  <c r="BN160" i="9"/>
  <c r="BO160" i="9"/>
  <c r="BP160" i="9"/>
  <c r="BQ160" i="9"/>
  <c r="BR160" i="9"/>
  <c r="BS160" i="9"/>
  <c r="BT160" i="9"/>
  <c r="BU160" i="9"/>
  <c r="BV160" i="9"/>
  <c r="BW160" i="9"/>
  <c r="BX160" i="9"/>
  <c r="BY160" i="9"/>
  <c r="BZ160" i="9"/>
  <c r="CA160" i="9"/>
  <c r="CB160" i="9"/>
  <c r="CC160" i="9"/>
  <c r="CD160" i="9"/>
  <c r="CE160" i="9"/>
  <c r="CF160" i="9"/>
  <c r="CG160" i="9"/>
  <c r="CH160" i="9"/>
  <c r="CI160" i="9"/>
  <c r="CM160" i="9"/>
  <c r="CN160" i="9"/>
  <c r="CO160" i="9"/>
  <c r="CP160" i="9"/>
  <c r="CQ160" i="9"/>
  <c r="CR160" i="9"/>
  <c r="C164" i="9"/>
  <c r="D164" i="9"/>
  <c r="E164" i="9"/>
  <c r="F164" i="9"/>
  <c r="G164" i="9"/>
  <c r="H164" i="9"/>
  <c r="I164" i="9"/>
  <c r="J164" i="9"/>
  <c r="K164" i="9"/>
  <c r="L164" i="9"/>
  <c r="M164" i="9"/>
  <c r="N164" i="9"/>
  <c r="O164" i="9"/>
  <c r="P164" i="9"/>
  <c r="Q164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G164" i="9"/>
  <c r="BD164" i="9" s="1"/>
  <c r="AH164" i="9"/>
  <c r="AI164" i="9"/>
  <c r="AJ164" i="9"/>
  <c r="BF164" i="9"/>
  <c r="BG164" i="9"/>
  <c r="BH164" i="9"/>
  <c r="BI164" i="9"/>
  <c r="BJ164" i="9"/>
  <c r="BK164" i="9"/>
  <c r="BL164" i="9"/>
  <c r="BM164" i="9"/>
  <c r="BN164" i="9"/>
  <c r="BO164" i="9"/>
  <c r="BP164" i="9"/>
  <c r="BQ164" i="9"/>
  <c r="BR164" i="9"/>
  <c r="BS164" i="9"/>
  <c r="BT164" i="9"/>
  <c r="BU164" i="9"/>
  <c r="BV164" i="9"/>
  <c r="BW164" i="9"/>
  <c r="BX164" i="9"/>
  <c r="BY164" i="9"/>
  <c r="BZ164" i="9"/>
  <c r="CA164" i="9"/>
  <c r="CB164" i="9"/>
  <c r="CC164" i="9"/>
  <c r="CD164" i="9"/>
  <c r="CE164" i="9"/>
  <c r="CF164" i="9"/>
  <c r="CG164" i="9"/>
  <c r="CH164" i="9"/>
  <c r="CI164" i="9"/>
  <c r="CM164" i="9"/>
  <c r="CN164" i="9"/>
  <c r="CO164" i="9"/>
  <c r="CP164" i="9"/>
  <c r="CQ164" i="9"/>
  <c r="CR164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G3" i="9"/>
  <c r="AH3" i="9"/>
  <c r="AI3" i="9"/>
  <c r="AJ3" i="9"/>
  <c r="BF3" i="9"/>
  <c r="BG3" i="9"/>
  <c r="BH3" i="9"/>
  <c r="BI3" i="9"/>
  <c r="BJ3" i="9"/>
  <c r="BK3" i="9"/>
  <c r="BL3" i="9"/>
  <c r="BM3" i="9"/>
  <c r="BN3" i="9"/>
  <c r="BO3" i="9"/>
  <c r="BP3" i="9"/>
  <c r="BQ3" i="9"/>
  <c r="BR3" i="9"/>
  <c r="BS3" i="9"/>
  <c r="BT3" i="9"/>
  <c r="BU3" i="9"/>
  <c r="BV3" i="9"/>
  <c r="BW3" i="9"/>
  <c r="BX3" i="9"/>
  <c r="BY3" i="9"/>
  <c r="BZ3" i="9"/>
  <c r="CA3" i="9"/>
  <c r="CB3" i="9"/>
  <c r="CC3" i="9"/>
  <c r="CD3" i="9"/>
  <c r="CE3" i="9"/>
  <c r="CF3" i="9"/>
  <c r="CG3" i="9"/>
  <c r="CH3" i="9"/>
  <c r="CI3" i="9"/>
  <c r="CM3" i="9"/>
  <c r="CN3" i="9"/>
  <c r="CO3" i="9"/>
  <c r="CP3" i="9"/>
  <c r="CQ3" i="9"/>
  <c r="CR3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G6" i="9"/>
  <c r="AH6" i="9"/>
  <c r="AI6" i="9"/>
  <c r="AJ6" i="9"/>
  <c r="BF6" i="9"/>
  <c r="BG6" i="9"/>
  <c r="BH6" i="9"/>
  <c r="BI6" i="9"/>
  <c r="BJ6" i="9"/>
  <c r="BK6" i="9"/>
  <c r="BL6" i="9"/>
  <c r="BM6" i="9"/>
  <c r="BN6" i="9"/>
  <c r="BO6" i="9"/>
  <c r="BP6" i="9"/>
  <c r="BQ6" i="9"/>
  <c r="BR6" i="9"/>
  <c r="BS6" i="9"/>
  <c r="BT6" i="9"/>
  <c r="BU6" i="9"/>
  <c r="BV6" i="9"/>
  <c r="BW6" i="9"/>
  <c r="BX6" i="9"/>
  <c r="BY6" i="9"/>
  <c r="BZ6" i="9"/>
  <c r="CA6" i="9"/>
  <c r="CB6" i="9"/>
  <c r="CC6" i="9"/>
  <c r="CD6" i="9"/>
  <c r="CE6" i="9"/>
  <c r="CF6" i="9"/>
  <c r="CG6" i="9"/>
  <c r="CH6" i="9"/>
  <c r="CI6" i="9"/>
  <c r="CM6" i="9"/>
  <c r="CN6" i="9"/>
  <c r="CO6" i="9"/>
  <c r="CP6" i="9"/>
  <c r="CQ6" i="9"/>
  <c r="CR6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G9" i="9"/>
  <c r="AH9" i="9"/>
  <c r="AI9" i="9"/>
  <c r="AJ9" i="9"/>
  <c r="BF9" i="9"/>
  <c r="BG9" i="9"/>
  <c r="BH9" i="9"/>
  <c r="BI9" i="9"/>
  <c r="BJ9" i="9"/>
  <c r="BK9" i="9"/>
  <c r="BL9" i="9"/>
  <c r="BM9" i="9"/>
  <c r="BN9" i="9"/>
  <c r="BO9" i="9"/>
  <c r="BP9" i="9"/>
  <c r="BQ9" i="9"/>
  <c r="BR9" i="9"/>
  <c r="BS9" i="9"/>
  <c r="BT9" i="9"/>
  <c r="BU9" i="9"/>
  <c r="BV9" i="9"/>
  <c r="BW9" i="9"/>
  <c r="BX9" i="9"/>
  <c r="BY9" i="9"/>
  <c r="BZ9" i="9"/>
  <c r="CA9" i="9"/>
  <c r="CB9" i="9"/>
  <c r="CC9" i="9"/>
  <c r="CD9" i="9"/>
  <c r="CE9" i="9"/>
  <c r="CF9" i="9"/>
  <c r="CG9" i="9"/>
  <c r="CH9" i="9"/>
  <c r="CI9" i="9"/>
  <c r="CM9" i="9"/>
  <c r="CN9" i="9"/>
  <c r="CO9" i="9"/>
  <c r="CP9" i="9"/>
  <c r="CQ9" i="9"/>
  <c r="CR9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G13" i="9"/>
  <c r="BD13" i="9" s="1"/>
  <c r="AH13" i="9"/>
  <c r="AI13" i="9"/>
  <c r="AJ13" i="9"/>
  <c r="BF13" i="9"/>
  <c r="BG13" i="9"/>
  <c r="BH13" i="9"/>
  <c r="BI13" i="9"/>
  <c r="BJ13" i="9"/>
  <c r="BK13" i="9"/>
  <c r="BL13" i="9"/>
  <c r="BM13" i="9"/>
  <c r="BN13" i="9"/>
  <c r="BO13" i="9"/>
  <c r="BP13" i="9"/>
  <c r="BQ13" i="9"/>
  <c r="BR13" i="9"/>
  <c r="BS13" i="9"/>
  <c r="BT13" i="9"/>
  <c r="BU13" i="9"/>
  <c r="BV13" i="9"/>
  <c r="BW13" i="9"/>
  <c r="BX13" i="9"/>
  <c r="BY13" i="9"/>
  <c r="BZ13" i="9"/>
  <c r="CA13" i="9"/>
  <c r="CB13" i="9"/>
  <c r="CC13" i="9"/>
  <c r="CD13" i="9"/>
  <c r="CE13" i="9"/>
  <c r="CF13" i="9"/>
  <c r="CG13" i="9"/>
  <c r="CH13" i="9"/>
  <c r="CI13" i="9"/>
  <c r="CM13" i="9"/>
  <c r="CN13" i="9"/>
  <c r="CO13" i="9"/>
  <c r="CP13" i="9"/>
  <c r="CQ13" i="9"/>
  <c r="CR13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G17" i="9"/>
  <c r="AH17" i="9"/>
  <c r="AI17" i="9"/>
  <c r="AJ17" i="9"/>
  <c r="BF17" i="9"/>
  <c r="BG17" i="9"/>
  <c r="BH17" i="9"/>
  <c r="BI17" i="9"/>
  <c r="BJ17" i="9"/>
  <c r="BK17" i="9"/>
  <c r="BL17" i="9"/>
  <c r="BM17" i="9"/>
  <c r="BN17" i="9"/>
  <c r="BO17" i="9"/>
  <c r="BP17" i="9"/>
  <c r="BQ17" i="9"/>
  <c r="BR17" i="9"/>
  <c r="BS17" i="9"/>
  <c r="BT17" i="9"/>
  <c r="BU17" i="9"/>
  <c r="BV17" i="9"/>
  <c r="BW17" i="9"/>
  <c r="BX17" i="9"/>
  <c r="BY17" i="9"/>
  <c r="BZ17" i="9"/>
  <c r="CA17" i="9"/>
  <c r="CB17" i="9"/>
  <c r="CC17" i="9"/>
  <c r="CD17" i="9"/>
  <c r="CE17" i="9"/>
  <c r="CF17" i="9"/>
  <c r="CG17" i="9"/>
  <c r="CH17" i="9"/>
  <c r="CI17" i="9"/>
  <c r="CM17" i="9"/>
  <c r="CN17" i="9"/>
  <c r="CO17" i="9"/>
  <c r="CP17" i="9"/>
  <c r="CQ17" i="9"/>
  <c r="CR17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G21" i="9"/>
  <c r="AH21" i="9"/>
  <c r="AI21" i="9"/>
  <c r="AJ21" i="9"/>
  <c r="BF21" i="9"/>
  <c r="BG21" i="9"/>
  <c r="BH21" i="9"/>
  <c r="BI21" i="9"/>
  <c r="BJ21" i="9"/>
  <c r="BK21" i="9"/>
  <c r="BL21" i="9"/>
  <c r="BM21" i="9"/>
  <c r="BN21" i="9"/>
  <c r="BO21" i="9"/>
  <c r="BP21" i="9"/>
  <c r="BQ21" i="9"/>
  <c r="BR21" i="9"/>
  <c r="BS21" i="9"/>
  <c r="BT21" i="9"/>
  <c r="BU21" i="9"/>
  <c r="BV21" i="9"/>
  <c r="BW21" i="9"/>
  <c r="BX21" i="9"/>
  <c r="BY21" i="9"/>
  <c r="BZ21" i="9"/>
  <c r="CA21" i="9"/>
  <c r="CB21" i="9"/>
  <c r="CC21" i="9"/>
  <c r="CD21" i="9"/>
  <c r="CE21" i="9"/>
  <c r="CF21" i="9"/>
  <c r="CG21" i="9"/>
  <c r="CH21" i="9"/>
  <c r="CI21" i="9"/>
  <c r="CM21" i="9"/>
  <c r="CN21" i="9"/>
  <c r="CO21" i="9"/>
  <c r="CP21" i="9"/>
  <c r="CQ21" i="9"/>
  <c r="CR21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G25" i="9"/>
  <c r="AH25" i="9"/>
  <c r="AI25" i="9"/>
  <c r="AJ25" i="9"/>
  <c r="BF25" i="9"/>
  <c r="BG25" i="9"/>
  <c r="BH25" i="9"/>
  <c r="BI25" i="9"/>
  <c r="BJ25" i="9"/>
  <c r="BK25" i="9"/>
  <c r="BL25" i="9"/>
  <c r="BM25" i="9"/>
  <c r="BN25" i="9"/>
  <c r="BO25" i="9"/>
  <c r="BP25" i="9"/>
  <c r="BQ25" i="9"/>
  <c r="BR25" i="9"/>
  <c r="BS25" i="9"/>
  <c r="BT25" i="9"/>
  <c r="BU25" i="9"/>
  <c r="BV25" i="9"/>
  <c r="BW25" i="9"/>
  <c r="BX25" i="9"/>
  <c r="BY25" i="9"/>
  <c r="BZ25" i="9"/>
  <c r="CA25" i="9"/>
  <c r="CB25" i="9"/>
  <c r="CC25" i="9"/>
  <c r="CD25" i="9"/>
  <c r="CE25" i="9"/>
  <c r="CF25" i="9"/>
  <c r="CG25" i="9"/>
  <c r="CH25" i="9"/>
  <c r="CI25" i="9"/>
  <c r="CM25" i="9"/>
  <c r="CN25" i="9"/>
  <c r="CO25" i="9"/>
  <c r="CP25" i="9"/>
  <c r="CQ25" i="9"/>
  <c r="CR25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G28" i="9"/>
  <c r="BD28" i="9" s="1"/>
  <c r="AH28" i="9"/>
  <c r="AI28" i="9"/>
  <c r="AJ28" i="9"/>
  <c r="BF28" i="9"/>
  <c r="BG28" i="9"/>
  <c r="BH28" i="9"/>
  <c r="BI28" i="9"/>
  <c r="BJ28" i="9"/>
  <c r="BK28" i="9"/>
  <c r="BL28" i="9"/>
  <c r="BM28" i="9"/>
  <c r="BN28" i="9"/>
  <c r="BO28" i="9"/>
  <c r="BP28" i="9"/>
  <c r="BQ28" i="9"/>
  <c r="BR28" i="9"/>
  <c r="BS28" i="9"/>
  <c r="BT28" i="9"/>
  <c r="BU28" i="9"/>
  <c r="BV28" i="9"/>
  <c r="BW28" i="9"/>
  <c r="BX28" i="9"/>
  <c r="BY28" i="9"/>
  <c r="BZ28" i="9"/>
  <c r="CA28" i="9"/>
  <c r="CB28" i="9"/>
  <c r="CC28" i="9"/>
  <c r="CD28" i="9"/>
  <c r="CE28" i="9"/>
  <c r="CF28" i="9"/>
  <c r="CG28" i="9"/>
  <c r="CH28" i="9"/>
  <c r="CI28" i="9"/>
  <c r="CM28" i="9"/>
  <c r="CN28" i="9"/>
  <c r="CO28" i="9"/>
  <c r="CP28" i="9"/>
  <c r="CQ28" i="9"/>
  <c r="CR28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G30" i="9"/>
  <c r="AH30" i="9"/>
  <c r="AI30" i="9"/>
  <c r="AJ30" i="9"/>
  <c r="BF30" i="9"/>
  <c r="BG30" i="9"/>
  <c r="BH30" i="9"/>
  <c r="BI30" i="9"/>
  <c r="BJ30" i="9"/>
  <c r="BK30" i="9"/>
  <c r="BL30" i="9"/>
  <c r="BM30" i="9"/>
  <c r="BN30" i="9"/>
  <c r="BO30" i="9"/>
  <c r="BP30" i="9"/>
  <c r="BQ30" i="9"/>
  <c r="BR30" i="9"/>
  <c r="BS30" i="9"/>
  <c r="BT30" i="9"/>
  <c r="BU30" i="9"/>
  <c r="BV30" i="9"/>
  <c r="BW30" i="9"/>
  <c r="BX30" i="9"/>
  <c r="BY30" i="9"/>
  <c r="BZ30" i="9"/>
  <c r="CA30" i="9"/>
  <c r="CB30" i="9"/>
  <c r="CC30" i="9"/>
  <c r="CD30" i="9"/>
  <c r="CE30" i="9"/>
  <c r="CF30" i="9"/>
  <c r="CG30" i="9"/>
  <c r="CH30" i="9"/>
  <c r="CI30" i="9"/>
  <c r="CM30" i="9"/>
  <c r="CN30" i="9"/>
  <c r="CO30" i="9"/>
  <c r="CP30" i="9"/>
  <c r="CQ30" i="9"/>
  <c r="CR30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G34" i="9"/>
  <c r="AH34" i="9"/>
  <c r="AI34" i="9"/>
  <c r="AJ34" i="9"/>
  <c r="BF34" i="9"/>
  <c r="BG34" i="9"/>
  <c r="BH34" i="9"/>
  <c r="BI34" i="9"/>
  <c r="BJ34" i="9"/>
  <c r="BK34" i="9"/>
  <c r="BL34" i="9"/>
  <c r="BM34" i="9"/>
  <c r="BN34" i="9"/>
  <c r="BO34" i="9"/>
  <c r="BP34" i="9"/>
  <c r="BQ34" i="9"/>
  <c r="BR34" i="9"/>
  <c r="BS34" i="9"/>
  <c r="BT34" i="9"/>
  <c r="BU34" i="9"/>
  <c r="BV34" i="9"/>
  <c r="BW34" i="9"/>
  <c r="BX34" i="9"/>
  <c r="BY34" i="9"/>
  <c r="BZ34" i="9"/>
  <c r="CA34" i="9"/>
  <c r="CB34" i="9"/>
  <c r="CC34" i="9"/>
  <c r="CD34" i="9"/>
  <c r="CE34" i="9"/>
  <c r="CF34" i="9"/>
  <c r="CG34" i="9"/>
  <c r="CH34" i="9"/>
  <c r="CI34" i="9"/>
  <c r="CM34" i="9"/>
  <c r="CN34" i="9"/>
  <c r="CO34" i="9"/>
  <c r="CP34" i="9"/>
  <c r="CQ34" i="9"/>
  <c r="CR34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G38" i="9"/>
  <c r="AH38" i="9"/>
  <c r="AI38" i="9"/>
  <c r="AJ38" i="9"/>
  <c r="BF38" i="9"/>
  <c r="BG38" i="9"/>
  <c r="BH38" i="9"/>
  <c r="BI38" i="9"/>
  <c r="BJ38" i="9"/>
  <c r="BK38" i="9"/>
  <c r="BL38" i="9"/>
  <c r="BM38" i="9"/>
  <c r="BN38" i="9"/>
  <c r="BO38" i="9"/>
  <c r="BP38" i="9"/>
  <c r="BQ38" i="9"/>
  <c r="BR38" i="9"/>
  <c r="BS38" i="9"/>
  <c r="BT38" i="9"/>
  <c r="BU38" i="9"/>
  <c r="BV38" i="9"/>
  <c r="BW38" i="9"/>
  <c r="BX38" i="9"/>
  <c r="BY38" i="9"/>
  <c r="BZ38" i="9"/>
  <c r="CA38" i="9"/>
  <c r="CB38" i="9"/>
  <c r="CC38" i="9"/>
  <c r="CD38" i="9"/>
  <c r="CE38" i="9"/>
  <c r="CF38" i="9"/>
  <c r="CG38" i="9"/>
  <c r="CH38" i="9"/>
  <c r="CI38" i="9"/>
  <c r="CM38" i="9"/>
  <c r="CN38" i="9"/>
  <c r="CO38" i="9"/>
  <c r="CP38" i="9"/>
  <c r="CQ38" i="9"/>
  <c r="CR38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G42" i="9"/>
  <c r="BD42" i="9" s="1"/>
  <c r="AH42" i="9"/>
  <c r="AI42" i="9"/>
  <c r="AJ42" i="9"/>
  <c r="BF42" i="9"/>
  <c r="BG42" i="9"/>
  <c r="BH42" i="9"/>
  <c r="BI42" i="9"/>
  <c r="BJ42" i="9"/>
  <c r="BK42" i="9"/>
  <c r="BL42" i="9"/>
  <c r="BM42" i="9"/>
  <c r="BN42" i="9"/>
  <c r="BO42" i="9"/>
  <c r="BP42" i="9"/>
  <c r="BQ42" i="9"/>
  <c r="BR42" i="9"/>
  <c r="BS42" i="9"/>
  <c r="BT42" i="9"/>
  <c r="BU42" i="9"/>
  <c r="BV42" i="9"/>
  <c r="BW42" i="9"/>
  <c r="BX42" i="9"/>
  <c r="BY42" i="9"/>
  <c r="BZ42" i="9"/>
  <c r="CA42" i="9"/>
  <c r="CB42" i="9"/>
  <c r="CC42" i="9"/>
  <c r="CD42" i="9"/>
  <c r="CE42" i="9"/>
  <c r="CF42" i="9"/>
  <c r="CG42" i="9"/>
  <c r="CH42" i="9"/>
  <c r="CI42" i="9"/>
  <c r="CM42" i="9"/>
  <c r="CN42" i="9"/>
  <c r="CO42" i="9"/>
  <c r="CP42" i="9"/>
  <c r="CQ42" i="9"/>
  <c r="CR42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G46" i="9"/>
  <c r="AH46" i="9"/>
  <c r="AI46" i="9"/>
  <c r="AJ46" i="9"/>
  <c r="BF46" i="9"/>
  <c r="BG46" i="9"/>
  <c r="BH46" i="9"/>
  <c r="BI46" i="9"/>
  <c r="BJ46" i="9"/>
  <c r="BK46" i="9"/>
  <c r="BL46" i="9"/>
  <c r="BM46" i="9"/>
  <c r="BN46" i="9"/>
  <c r="BO46" i="9"/>
  <c r="BP46" i="9"/>
  <c r="BQ46" i="9"/>
  <c r="BR46" i="9"/>
  <c r="BS46" i="9"/>
  <c r="BT46" i="9"/>
  <c r="BU46" i="9"/>
  <c r="BV46" i="9"/>
  <c r="BW46" i="9"/>
  <c r="BX46" i="9"/>
  <c r="BY46" i="9"/>
  <c r="BZ46" i="9"/>
  <c r="CA46" i="9"/>
  <c r="CB46" i="9"/>
  <c r="CC46" i="9"/>
  <c r="CD46" i="9"/>
  <c r="CE46" i="9"/>
  <c r="CF46" i="9"/>
  <c r="CG46" i="9"/>
  <c r="CH46" i="9"/>
  <c r="CI46" i="9"/>
  <c r="CM46" i="9"/>
  <c r="CN46" i="9"/>
  <c r="CO46" i="9"/>
  <c r="CP46" i="9"/>
  <c r="CQ46" i="9"/>
  <c r="CR46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G50" i="9"/>
  <c r="AH50" i="9"/>
  <c r="AI50" i="9"/>
  <c r="AJ50" i="9"/>
  <c r="BF50" i="9"/>
  <c r="BG50" i="9"/>
  <c r="BH50" i="9"/>
  <c r="BI50" i="9"/>
  <c r="BJ50" i="9"/>
  <c r="BK50" i="9"/>
  <c r="BL50" i="9"/>
  <c r="BM50" i="9"/>
  <c r="BN50" i="9"/>
  <c r="BO50" i="9"/>
  <c r="BP50" i="9"/>
  <c r="BQ50" i="9"/>
  <c r="BR50" i="9"/>
  <c r="BS50" i="9"/>
  <c r="BT50" i="9"/>
  <c r="BU50" i="9"/>
  <c r="BV50" i="9"/>
  <c r="BW50" i="9"/>
  <c r="BX50" i="9"/>
  <c r="BY50" i="9"/>
  <c r="BZ50" i="9"/>
  <c r="CA50" i="9"/>
  <c r="CB50" i="9"/>
  <c r="CC50" i="9"/>
  <c r="CD50" i="9"/>
  <c r="CE50" i="9"/>
  <c r="CF50" i="9"/>
  <c r="CG50" i="9"/>
  <c r="CH50" i="9"/>
  <c r="CI50" i="9"/>
  <c r="CM50" i="9"/>
  <c r="CN50" i="9"/>
  <c r="CO50" i="9"/>
  <c r="CP50" i="9"/>
  <c r="CQ50" i="9"/>
  <c r="CR50" i="9"/>
  <c r="C137" i="9"/>
  <c r="D137" i="9"/>
  <c r="E137" i="9"/>
  <c r="F137" i="9"/>
  <c r="G137" i="9"/>
  <c r="H137" i="9"/>
  <c r="I137" i="9"/>
  <c r="J137" i="9"/>
  <c r="K137" i="9"/>
  <c r="L137" i="9"/>
  <c r="M137" i="9"/>
  <c r="N137" i="9"/>
  <c r="O137" i="9"/>
  <c r="P137" i="9"/>
  <c r="Q137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G137" i="9"/>
  <c r="AH137" i="9"/>
  <c r="AI137" i="9"/>
  <c r="AJ137" i="9"/>
  <c r="BF137" i="9"/>
  <c r="BG137" i="9"/>
  <c r="BH137" i="9"/>
  <c r="BI137" i="9"/>
  <c r="BJ137" i="9"/>
  <c r="BK137" i="9"/>
  <c r="BL137" i="9"/>
  <c r="BM137" i="9"/>
  <c r="BN137" i="9"/>
  <c r="BO137" i="9"/>
  <c r="BP137" i="9"/>
  <c r="BQ137" i="9"/>
  <c r="BR137" i="9"/>
  <c r="BS137" i="9"/>
  <c r="BT137" i="9"/>
  <c r="BU137" i="9"/>
  <c r="BV137" i="9"/>
  <c r="BW137" i="9"/>
  <c r="BX137" i="9"/>
  <c r="BY137" i="9"/>
  <c r="BZ137" i="9"/>
  <c r="CA137" i="9"/>
  <c r="CB137" i="9"/>
  <c r="CC137" i="9"/>
  <c r="CD137" i="9"/>
  <c r="CE137" i="9"/>
  <c r="CF137" i="9"/>
  <c r="CG137" i="9"/>
  <c r="CH137" i="9"/>
  <c r="CI137" i="9"/>
  <c r="CM137" i="9"/>
  <c r="CN137" i="9"/>
  <c r="CO137" i="9"/>
  <c r="CP137" i="9"/>
  <c r="CQ137" i="9"/>
  <c r="CR137" i="9"/>
  <c r="C141" i="9"/>
  <c r="D141" i="9"/>
  <c r="E141" i="9"/>
  <c r="F141" i="9"/>
  <c r="G141" i="9"/>
  <c r="H141" i="9"/>
  <c r="I141" i="9"/>
  <c r="J141" i="9"/>
  <c r="K141" i="9"/>
  <c r="L141" i="9"/>
  <c r="M141" i="9"/>
  <c r="N141" i="9"/>
  <c r="O141" i="9"/>
  <c r="P141" i="9"/>
  <c r="Q141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G141" i="9"/>
  <c r="BD141" i="9" s="1"/>
  <c r="AH141" i="9"/>
  <c r="AI141" i="9"/>
  <c r="AJ141" i="9"/>
  <c r="BF141" i="9"/>
  <c r="BG141" i="9"/>
  <c r="BH141" i="9"/>
  <c r="BI141" i="9"/>
  <c r="BJ141" i="9"/>
  <c r="BK141" i="9"/>
  <c r="BL141" i="9"/>
  <c r="BM141" i="9"/>
  <c r="BN141" i="9"/>
  <c r="BO141" i="9"/>
  <c r="BP141" i="9"/>
  <c r="BQ141" i="9"/>
  <c r="BR141" i="9"/>
  <c r="BS141" i="9"/>
  <c r="BT141" i="9"/>
  <c r="BU141" i="9"/>
  <c r="BV141" i="9"/>
  <c r="BW141" i="9"/>
  <c r="BX141" i="9"/>
  <c r="BY141" i="9"/>
  <c r="BZ141" i="9"/>
  <c r="CA141" i="9"/>
  <c r="CB141" i="9"/>
  <c r="CC141" i="9"/>
  <c r="CD141" i="9"/>
  <c r="CE141" i="9"/>
  <c r="CF141" i="9"/>
  <c r="CG141" i="9"/>
  <c r="CH141" i="9"/>
  <c r="CI141" i="9"/>
  <c r="CM141" i="9"/>
  <c r="CN141" i="9"/>
  <c r="CO141" i="9"/>
  <c r="CP141" i="9"/>
  <c r="CQ141" i="9"/>
  <c r="CR141" i="9"/>
  <c r="C145" i="9"/>
  <c r="D145" i="9"/>
  <c r="E145" i="9"/>
  <c r="F145" i="9"/>
  <c r="G145" i="9"/>
  <c r="H145" i="9"/>
  <c r="I145" i="9"/>
  <c r="J145" i="9"/>
  <c r="K145" i="9"/>
  <c r="L145" i="9"/>
  <c r="M145" i="9"/>
  <c r="N145" i="9"/>
  <c r="O145" i="9"/>
  <c r="P145" i="9"/>
  <c r="Q145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G145" i="9"/>
  <c r="AH145" i="9"/>
  <c r="AI145" i="9"/>
  <c r="AJ145" i="9"/>
  <c r="BF145" i="9"/>
  <c r="BG145" i="9"/>
  <c r="BH145" i="9"/>
  <c r="BI145" i="9"/>
  <c r="BJ145" i="9"/>
  <c r="BK145" i="9"/>
  <c r="BL145" i="9"/>
  <c r="BM145" i="9"/>
  <c r="BN145" i="9"/>
  <c r="BO145" i="9"/>
  <c r="BP145" i="9"/>
  <c r="BQ145" i="9"/>
  <c r="BR145" i="9"/>
  <c r="BS145" i="9"/>
  <c r="BT145" i="9"/>
  <c r="BU145" i="9"/>
  <c r="BV145" i="9"/>
  <c r="BW145" i="9"/>
  <c r="BX145" i="9"/>
  <c r="BY145" i="9"/>
  <c r="BZ145" i="9"/>
  <c r="CA145" i="9"/>
  <c r="CB145" i="9"/>
  <c r="CC145" i="9"/>
  <c r="CD145" i="9"/>
  <c r="CE145" i="9"/>
  <c r="CF145" i="9"/>
  <c r="CG145" i="9"/>
  <c r="CH145" i="9"/>
  <c r="CI145" i="9"/>
  <c r="CM145" i="9"/>
  <c r="CN145" i="9"/>
  <c r="CO145" i="9"/>
  <c r="CP145" i="9"/>
  <c r="CQ145" i="9"/>
  <c r="CR145" i="9"/>
  <c r="C149" i="9"/>
  <c r="D149" i="9"/>
  <c r="E149" i="9"/>
  <c r="F149" i="9"/>
  <c r="G149" i="9"/>
  <c r="H149" i="9"/>
  <c r="I149" i="9"/>
  <c r="J149" i="9"/>
  <c r="K149" i="9"/>
  <c r="L149" i="9"/>
  <c r="M149" i="9"/>
  <c r="N149" i="9"/>
  <c r="O149" i="9"/>
  <c r="P149" i="9"/>
  <c r="Q149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G149" i="9"/>
  <c r="AH149" i="9"/>
  <c r="AI149" i="9"/>
  <c r="AJ149" i="9"/>
  <c r="BF149" i="9"/>
  <c r="BG149" i="9"/>
  <c r="BH149" i="9"/>
  <c r="BI149" i="9"/>
  <c r="BJ149" i="9"/>
  <c r="BK149" i="9"/>
  <c r="BL149" i="9"/>
  <c r="BM149" i="9"/>
  <c r="BN149" i="9"/>
  <c r="BO149" i="9"/>
  <c r="BP149" i="9"/>
  <c r="BQ149" i="9"/>
  <c r="BR149" i="9"/>
  <c r="BS149" i="9"/>
  <c r="BT149" i="9"/>
  <c r="BU149" i="9"/>
  <c r="BV149" i="9"/>
  <c r="BW149" i="9"/>
  <c r="BX149" i="9"/>
  <c r="BY149" i="9"/>
  <c r="BZ149" i="9"/>
  <c r="CA149" i="9"/>
  <c r="CB149" i="9"/>
  <c r="CC149" i="9"/>
  <c r="CD149" i="9"/>
  <c r="CE149" i="9"/>
  <c r="CF149" i="9"/>
  <c r="CG149" i="9"/>
  <c r="CH149" i="9"/>
  <c r="CI149" i="9"/>
  <c r="CM149" i="9"/>
  <c r="CN149" i="9"/>
  <c r="CO149" i="9"/>
  <c r="CP149" i="9"/>
  <c r="CQ149" i="9"/>
  <c r="CR149" i="9"/>
  <c r="C153" i="9"/>
  <c r="D153" i="9"/>
  <c r="E153" i="9"/>
  <c r="F153" i="9"/>
  <c r="G153" i="9"/>
  <c r="H153" i="9"/>
  <c r="I153" i="9"/>
  <c r="J153" i="9"/>
  <c r="K153" i="9"/>
  <c r="L153" i="9"/>
  <c r="M153" i="9"/>
  <c r="N153" i="9"/>
  <c r="O153" i="9"/>
  <c r="P153" i="9"/>
  <c r="Q153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G153" i="9"/>
  <c r="AH153" i="9"/>
  <c r="AI153" i="9"/>
  <c r="AJ153" i="9"/>
  <c r="BF153" i="9"/>
  <c r="BG153" i="9"/>
  <c r="BH153" i="9"/>
  <c r="BI153" i="9"/>
  <c r="BJ153" i="9"/>
  <c r="BK153" i="9"/>
  <c r="BL153" i="9"/>
  <c r="BM153" i="9"/>
  <c r="BN153" i="9"/>
  <c r="BO153" i="9"/>
  <c r="BP153" i="9"/>
  <c r="BQ153" i="9"/>
  <c r="BR153" i="9"/>
  <c r="BS153" i="9"/>
  <c r="BT153" i="9"/>
  <c r="BU153" i="9"/>
  <c r="BV153" i="9"/>
  <c r="BW153" i="9"/>
  <c r="BX153" i="9"/>
  <c r="BY153" i="9"/>
  <c r="BZ153" i="9"/>
  <c r="CA153" i="9"/>
  <c r="CB153" i="9"/>
  <c r="CC153" i="9"/>
  <c r="CD153" i="9"/>
  <c r="CE153" i="9"/>
  <c r="CF153" i="9"/>
  <c r="CG153" i="9"/>
  <c r="CH153" i="9"/>
  <c r="CI153" i="9"/>
  <c r="CM153" i="9"/>
  <c r="CN153" i="9"/>
  <c r="CO153" i="9"/>
  <c r="CP153" i="9"/>
  <c r="CQ153" i="9"/>
  <c r="CR153" i="9"/>
  <c r="C157" i="9"/>
  <c r="D157" i="9"/>
  <c r="E157" i="9"/>
  <c r="F157" i="9"/>
  <c r="G157" i="9"/>
  <c r="H157" i="9"/>
  <c r="I157" i="9"/>
  <c r="J157" i="9"/>
  <c r="K157" i="9"/>
  <c r="L157" i="9"/>
  <c r="M157" i="9"/>
  <c r="N157" i="9"/>
  <c r="O157" i="9"/>
  <c r="P157" i="9"/>
  <c r="Q157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G157" i="9"/>
  <c r="BD157" i="9" s="1"/>
  <c r="AH157" i="9"/>
  <c r="AI157" i="9"/>
  <c r="AJ157" i="9"/>
  <c r="BF157" i="9"/>
  <c r="BG157" i="9"/>
  <c r="BH157" i="9"/>
  <c r="BI157" i="9"/>
  <c r="BJ157" i="9"/>
  <c r="BK157" i="9"/>
  <c r="BL157" i="9"/>
  <c r="BM157" i="9"/>
  <c r="BN157" i="9"/>
  <c r="BO157" i="9"/>
  <c r="BP157" i="9"/>
  <c r="BQ157" i="9"/>
  <c r="BR157" i="9"/>
  <c r="BS157" i="9"/>
  <c r="BT157" i="9"/>
  <c r="BU157" i="9"/>
  <c r="BV157" i="9"/>
  <c r="BW157" i="9"/>
  <c r="BX157" i="9"/>
  <c r="BY157" i="9"/>
  <c r="BZ157" i="9"/>
  <c r="CA157" i="9"/>
  <c r="CB157" i="9"/>
  <c r="CC157" i="9"/>
  <c r="CD157" i="9"/>
  <c r="CE157" i="9"/>
  <c r="CF157" i="9"/>
  <c r="CG157" i="9"/>
  <c r="CH157" i="9"/>
  <c r="CI157" i="9"/>
  <c r="CM157" i="9"/>
  <c r="CN157" i="9"/>
  <c r="CO157" i="9"/>
  <c r="CP157" i="9"/>
  <c r="CQ157" i="9"/>
  <c r="CR157" i="9"/>
  <c r="C161" i="9"/>
  <c r="D161" i="9"/>
  <c r="E161" i="9"/>
  <c r="F161" i="9"/>
  <c r="G161" i="9"/>
  <c r="H161" i="9"/>
  <c r="I161" i="9"/>
  <c r="J161" i="9"/>
  <c r="K161" i="9"/>
  <c r="L161" i="9"/>
  <c r="M161" i="9"/>
  <c r="N161" i="9"/>
  <c r="O161" i="9"/>
  <c r="P161" i="9"/>
  <c r="Q161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G161" i="9"/>
  <c r="AH161" i="9"/>
  <c r="AI161" i="9"/>
  <c r="AJ161" i="9"/>
  <c r="BF161" i="9"/>
  <c r="BG161" i="9"/>
  <c r="BH161" i="9"/>
  <c r="BI161" i="9"/>
  <c r="BJ161" i="9"/>
  <c r="BK161" i="9"/>
  <c r="BL161" i="9"/>
  <c r="BM161" i="9"/>
  <c r="BN161" i="9"/>
  <c r="BO161" i="9"/>
  <c r="BP161" i="9"/>
  <c r="BQ161" i="9"/>
  <c r="BR161" i="9"/>
  <c r="BS161" i="9"/>
  <c r="BT161" i="9"/>
  <c r="BU161" i="9"/>
  <c r="BV161" i="9"/>
  <c r="BW161" i="9"/>
  <c r="BX161" i="9"/>
  <c r="BY161" i="9"/>
  <c r="BZ161" i="9"/>
  <c r="CA161" i="9"/>
  <c r="CB161" i="9"/>
  <c r="CC161" i="9"/>
  <c r="CD161" i="9"/>
  <c r="CE161" i="9"/>
  <c r="CF161" i="9"/>
  <c r="CG161" i="9"/>
  <c r="CH161" i="9"/>
  <c r="CI161" i="9"/>
  <c r="CM161" i="9"/>
  <c r="CN161" i="9"/>
  <c r="CO161" i="9"/>
  <c r="CP161" i="9"/>
  <c r="CQ161" i="9"/>
  <c r="CR161" i="9"/>
  <c r="C165" i="9"/>
  <c r="D165" i="9"/>
  <c r="E165" i="9"/>
  <c r="F165" i="9"/>
  <c r="G165" i="9"/>
  <c r="H165" i="9"/>
  <c r="I165" i="9"/>
  <c r="J165" i="9"/>
  <c r="K165" i="9"/>
  <c r="L165" i="9"/>
  <c r="M165" i="9"/>
  <c r="N165" i="9"/>
  <c r="O165" i="9"/>
  <c r="P165" i="9"/>
  <c r="Q165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G165" i="9"/>
  <c r="AH165" i="9"/>
  <c r="AI165" i="9"/>
  <c r="AJ165" i="9"/>
  <c r="BF165" i="9"/>
  <c r="BG165" i="9"/>
  <c r="BH165" i="9"/>
  <c r="BI165" i="9"/>
  <c r="BJ165" i="9"/>
  <c r="BK165" i="9"/>
  <c r="BL165" i="9"/>
  <c r="BM165" i="9"/>
  <c r="BN165" i="9"/>
  <c r="BO165" i="9"/>
  <c r="BP165" i="9"/>
  <c r="BQ165" i="9"/>
  <c r="BR165" i="9"/>
  <c r="BS165" i="9"/>
  <c r="BT165" i="9"/>
  <c r="BU165" i="9"/>
  <c r="BV165" i="9"/>
  <c r="BW165" i="9"/>
  <c r="BX165" i="9"/>
  <c r="BY165" i="9"/>
  <c r="BZ165" i="9"/>
  <c r="CA165" i="9"/>
  <c r="CB165" i="9"/>
  <c r="CC165" i="9"/>
  <c r="CD165" i="9"/>
  <c r="CE165" i="9"/>
  <c r="CF165" i="9"/>
  <c r="CG165" i="9"/>
  <c r="CH165" i="9"/>
  <c r="CI165" i="9"/>
  <c r="CM165" i="9"/>
  <c r="CN165" i="9"/>
  <c r="CO165" i="9"/>
  <c r="CP165" i="9"/>
  <c r="CQ165" i="9"/>
  <c r="CR165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G7" i="9"/>
  <c r="AH7" i="9"/>
  <c r="AI7" i="9"/>
  <c r="AJ7" i="9"/>
  <c r="BF7" i="9"/>
  <c r="BG7" i="9"/>
  <c r="BH7" i="9"/>
  <c r="BI7" i="9"/>
  <c r="BJ7" i="9"/>
  <c r="BK7" i="9"/>
  <c r="BL7" i="9"/>
  <c r="BM7" i="9"/>
  <c r="BN7" i="9"/>
  <c r="BO7" i="9"/>
  <c r="BP7" i="9"/>
  <c r="BQ7" i="9"/>
  <c r="BR7" i="9"/>
  <c r="BS7" i="9"/>
  <c r="BT7" i="9"/>
  <c r="BU7" i="9"/>
  <c r="BV7" i="9"/>
  <c r="BW7" i="9"/>
  <c r="BX7" i="9"/>
  <c r="BY7" i="9"/>
  <c r="BZ7" i="9"/>
  <c r="CA7" i="9"/>
  <c r="CB7" i="9"/>
  <c r="CC7" i="9"/>
  <c r="CD7" i="9"/>
  <c r="CE7" i="9"/>
  <c r="CF7" i="9"/>
  <c r="CG7" i="9"/>
  <c r="CH7" i="9"/>
  <c r="CI7" i="9"/>
  <c r="CM7" i="9"/>
  <c r="CN7" i="9"/>
  <c r="CO7" i="9"/>
  <c r="CP7" i="9"/>
  <c r="CQ7" i="9"/>
  <c r="CR7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G10" i="9"/>
  <c r="BD10" i="9" s="1"/>
  <c r="AH10" i="9"/>
  <c r="AI10" i="9"/>
  <c r="AJ10" i="9"/>
  <c r="BF10" i="9"/>
  <c r="BG10" i="9"/>
  <c r="BH10" i="9"/>
  <c r="BI10" i="9"/>
  <c r="BJ10" i="9"/>
  <c r="BK10" i="9"/>
  <c r="BL10" i="9"/>
  <c r="BM10" i="9"/>
  <c r="BN10" i="9"/>
  <c r="BO10" i="9"/>
  <c r="BP10" i="9"/>
  <c r="BQ10" i="9"/>
  <c r="BR10" i="9"/>
  <c r="BS10" i="9"/>
  <c r="BT10" i="9"/>
  <c r="BU10" i="9"/>
  <c r="BV10" i="9"/>
  <c r="BW10" i="9"/>
  <c r="BX10" i="9"/>
  <c r="BY10" i="9"/>
  <c r="BZ10" i="9"/>
  <c r="CA10" i="9"/>
  <c r="CB10" i="9"/>
  <c r="CC10" i="9"/>
  <c r="CD10" i="9"/>
  <c r="CE10" i="9"/>
  <c r="CF10" i="9"/>
  <c r="CG10" i="9"/>
  <c r="CH10" i="9"/>
  <c r="CI10" i="9"/>
  <c r="CM10" i="9"/>
  <c r="CN10" i="9"/>
  <c r="CO10" i="9"/>
  <c r="CP10" i="9"/>
  <c r="CQ10" i="9"/>
  <c r="CR10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G14" i="9"/>
  <c r="AH14" i="9"/>
  <c r="AI14" i="9"/>
  <c r="AJ14" i="9"/>
  <c r="BF14" i="9"/>
  <c r="BG14" i="9"/>
  <c r="BH14" i="9"/>
  <c r="BI14" i="9"/>
  <c r="BJ14" i="9"/>
  <c r="BK14" i="9"/>
  <c r="BL14" i="9"/>
  <c r="BM14" i="9"/>
  <c r="BN14" i="9"/>
  <c r="BO14" i="9"/>
  <c r="BP14" i="9"/>
  <c r="BQ14" i="9"/>
  <c r="BR14" i="9"/>
  <c r="BS14" i="9"/>
  <c r="BT14" i="9"/>
  <c r="BU14" i="9"/>
  <c r="BV14" i="9"/>
  <c r="BW14" i="9"/>
  <c r="BX14" i="9"/>
  <c r="BY14" i="9"/>
  <c r="BZ14" i="9"/>
  <c r="CA14" i="9"/>
  <c r="CB14" i="9"/>
  <c r="CC14" i="9"/>
  <c r="CD14" i="9"/>
  <c r="CE14" i="9"/>
  <c r="CF14" i="9"/>
  <c r="CG14" i="9"/>
  <c r="CH14" i="9"/>
  <c r="CI14" i="9"/>
  <c r="CM14" i="9"/>
  <c r="CN14" i="9"/>
  <c r="CO14" i="9"/>
  <c r="CP14" i="9"/>
  <c r="CQ14" i="9"/>
  <c r="CR14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G18" i="9"/>
  <c r="AH18" i="9"/>
  <c r="AI18" i="9"/>
  <c r="AJ18" i="9"/>
  <c r="BF18" i="9"/>
  <c r="BG18" i="9"/>
  <c r="BH18" i="9"/>
  <c r="BI18" i="9"/>
  <c r="BJ18" i="9"/>
  <c r="BK18" i="9"/>
  <c r="BL18" i="9"/>
  <c r="BM18" i="9"/>
  <c r="BN18" i="9"/>
  <c r="BO18" i="9"/>
  <c r="BP18" i="9"/>
  <c r="BQ18" i="9"/>
  <c r="BR18" i="9"/>
  <c r="BS18" i="9"/>
  <c r="BT18" i="9"/>
  <c r="BU18" i="9"/>
  <c r="BV18" i="9"/>
  <c r="BW18" i="9"/>
  <c r="BX18" i="9"/>
  <c r="BY18" i="9"/>
  <c r="BZ18" i="9"/>
  <c r="CA18" i="9"/>
  <c r="CB18" i="9"/>
  <c r="CC18" i="9"/>
  <c r="CD18" i="9"/>
  <c r="CE18" i="9"/>
  <c r="CF18" i="9"/>
  <c r="CG18" i="9"/>
  <c r="CH18" i="9"/>
  <c r="CI18" i="9"/>
  <c r="CM18" i="9"/>
  <c r="CN18" i="9"/>
  <c r="CO18" i="9"/>
  <c r="CP18" i="9"/>
  <c r="CQ18" i="9"/>
  <c r="CR18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G22" i="9"/>
  <c r="AH22" i="9"/>
  <c r="AI22" i="9"/>
  <c r="AJ22" i="9"/>
  <c r="BF22" i="9"/>
  <c r="BG22" i="9"/>
  <c r="BH22" i="9"/>
  <c r="BI22" i="9"/>
  <c r="BJ22" i="9"/>
  <c r="BK22" i="9"/>
  <c r="BL22" i="9"/>
  <c r="BM22" i="9"/>
  <c r="BN22" i="9"/>
  <c r="BO22" i="9"/>
  <c r="BP22" i="9"/>
  <c r="BQ22" i="9"/>
  <c r="BR22" i="9"/>
  <c r="BS22" i="9"/>
  <c r="BT22" i="9"/>
  <c r="BU22" i="9"/>
  <c r="BV22" i="9"/>
  <c r="BW22" i="9"/>
  <c r="BX22" i="9"/>
  <c r="BY22" i="9"/>
  <c r="BZ22" i="9"/>
  <c r="CA22" i="9"/>
  <c r="CB22" i="9"/>
  <c r="CC22" i="9"/>
  <c r="CD22" i="9"/>
  <c r="CE22" i="9"/>
  <c r="CF22" i="9"/>
  <c r="CG22" i="9"/>
  <c r="CH22" i="9"/>
  <c r="CI22" i="9"/>
  <c r="CM22" i="9"/>
  <c r="CN22" i="9"/>
  <c r="CO22" i="9"/>
  <c r="CP22" i="9"/>
  <c r="CQ22" i="9"/>
  <c r="CR22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G31" i="9"/>
  <c r="BD31" i="9" s="1"/>
  <c r="AH31" i="9"/>
  <c r="AI31" i="9"/>
  <c r="AJ31" i="9"/>
  <c r="BF31" i="9"/>
  <c r="BG31" i="9"/>
  <c r="BH31" i="9"/>
  <c r="BI31" i="9"/>
  <c r="BJ31" i="9"/>
  <c r="BK31" i="9"/>
  <c r="BL31" i="9"/>
  <c r="BM31" i="9"/>
  <c r="BN31" i="9"/>
  <c r="BO31" i="9"/>
  <c r="BP31" i="9"/>
  <c r="BQ31" i="9"/>
  <c r="BR31" i="9"/>
  <c r="BS31" i="9"/>
  <c r="BT31" i="9"/>
  <c r="BU31" i="9"/>
  <c r="BV31" i="9"/>
  <c r="BW31" i="9"/>
  <c r="BX31" i="9"/>
  <c r="BY31" i="9"/>
  <c r="BZ31" i="9"/>
  <c r="CA31" i="9"/>
  <c r="CB31" i="9"/>
  <c r="CC31" i="9"/>
  <c r="CD31" i="9"/>
  <c r="CE31" i="9"/>
  <c r="CF31" i="9"/>
  <c r="CG31" i="9"/>
  <c r="CH31" i="9"/>
  <c r="CI31" i="9"/>
  <c r="CM31" i="9"/>
  <c r="CN31" i="9"/>
  <c r="CO31" i="9"/>
  <c r="CP31" i="9"/>
  <c r="CQ31" i="9"/>
  <c r="CR31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G35" i="9"/>
  <c r="AH35" i="9"/>
  <c r="AI35" i="9"/>
  <c r="AJ35" i="9"/>
  <c r="BF35" i="9"/>
  <c r="BG35" i="9"/>
  <c r="BH35" i="9"/>
  <c r="BI35" i="9"/>
  <c r="BJ35" i="9"/>
  <c r="BK35" i="9"/>
  <c r="BL35" i="9"/>
  <c r="BM35" i="9"/>
  <c r="BN35" i="9"/>
  <c r="BO35" i="9"/>
  <c r="BP35" i="9"/>
  <c r="BQ35" i="9"/>
  <c r="BR35" i="9"/>
  <c r="BS35" i="9"/>
  <c r="BT35" i="9"/>
  <c r="BU35" i="9"/>
  <c r="BV35" i="9"/>
  <c r="BW35" i="9"/>
  <c r="BX35" i="9"/>
  <c r="BY35" i="9"/>
  <c r="BZ35" i="9"/>
  <c r="CA35" i="9"/>
  <c r="CB35" i="9"/>
  <c r="CC35" i="9"/>
  <c r="CD35" i="9"/>
  <c r="CE35" i="9"/>
  <c r="CF35" i="9"/>
  <c r="CG35" i="9"/>
  <c r="CH35" i="9"/>
  <c r="CI35" i="9"/>
  <c r="CM35" i="9"/>
  <c r="CN35" i="9"/>
  <c r="CO35" i="9"/>
  <c r="CP35" i="9"/>
  <c r="CQ35" i="9"/>
  <c r="CR35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G39" i="9"/>
  <c r="AH39" i="9"/>
  <c r="AI39" i="9"/>
  <c r="AJ39" i="9"/>
  <c r="BF39" i="9"/>
  <c r="BG39" i="9"/>
  <c r="BH39" i="9"/>
  <c r="BI39" i="9"/>
  <c r="BJ39" i="9"/>
  <c r="BK39" i="9"/>
  <c r="BL39" i="9"/>
  <c r="BM39" i="9"/>
  <c r="BN39" i="9"/>
  <c r="BO39" i="9"/>
  <c r="BP39" i="9"/>
  <c r="BQ39" i="9"/>
  <c r="BR39" i="9"/>
  <c r="BS39" i="9"/>
  <c r="BT39" i="9"/>
  <c r="BU39" i="9"/>
  <c r="BV39" i="9"/>
  <c r="BW39" i="9"/>
  <c r="BX39" i="9"/>
  <c r="BY39" i="9"/>
  <c r="BZ39" i="9"/>
  <c r="CA39" i="9"/>
  <c r="CB39" i="9"/>
  <c r="CC39" i="9"/>
  <c r="CD39" i="9"/>
  <c r="CE39" i="9"/>
  <c r="CF39" i="9"/>
  <c r="CG39" i="9"/>
  <c r="CH39" i="9"/>
  <c r="CI39" i="9"/>
  <c r="CM39" i="9"/>
  <c r="CN39" i="9"/>
  <c r="CO39" i="9"/>
  <c r="CP39" i="9"/>
  <c r="CQ39" i="9"/>
  <c r="CR39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G43" i="9"/>
  <c r="AH43" i="9"/>
  <c r="AI43" i="9"/>
  <c r="AJ43" i="9"/>
  <c r="BF43" i="9"/>
  <c r="BG43" i="9"/>
  <c r="BH43" i="9"/>
  <c r="BI43" i="9"/>
  <c r="BJ43" i="9"/>
  <c r="BK43" i="9"/>
  <c r="BL43" i="9"/>
  <c r="BM43" i="9"/>
  <c r="BN43" i="9"/>
  <c r="BO43" i="9"/>
  <c r="BP43" i="9"/>
  <c r="BQ43" i="9"/>
  <c r="BR43" i="9"/>
  <c r="BS43" i="9"/>
  <c r="BT43" i="9"/>
  <c r="BU43" i="9"/>
  <c r="BV43" i="9"/>
  <c r="BW43" i="9"/>
  <c r="BX43" i="9"/>
  <c r="BY43" i="9"/>
  <c r="BZ43" i="9"/>
  <c r="CA43" i="9"/>
  <c r="CB43" i="9"/>
  <c r="CC43" i="9"/>
  <c r="CD43" i="9"/>
  <c r="CE43" i="9"/>
  <c r="CF43" i="9"/>
  <c r="CG43" i="9"/>
  <c r="CH43" i="9"/>
  <c r="CI43" i="9"/>
  <c r="CM43" i="9"/>
  <c r="CN43" i="9"/>
  <c r="CO43" i="9"/>
  <c r="CP43" i="9"/>
  <c r="CQ43" i="9"/>
  <c r="CR43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G47" i="9"/>
  <c r="BD47" i="9" s="1"/>
  <c r="AH47" i="9"/>
  <c r="AI47" i="9"/>
  <c r="AJ47" i="9"/>
  <c r="BF47" i="9"/>
  <c r="BG47" i="9"/>
  <c r="BH47" i="9"/>
  <c r="BI47" i="9"/>
  <c r="BJ47" i="9"/>
  <c r="BK47" i="9"/>
  <c r="BL47" i="9"/>
  <c r="BM47" i="9"/>
  <c r="BN47" i="9"/>
  <c r="BO47" i="9"/>
  <c r="BP47" i="9"/>
  <c r="BQ47" i="9"/>
  <c r="BR47" i="9"/>
  <c r="BS47" i="9"/>
  <c r="BT47" i="9"/>
  <c r="BU47" i="9"/>
  <c r="BV47" i="9"/>
  <c r="BW47" i="9"/>
  <c r="BX47" i="9"/>
  <c r="BY47" i="9"/>
  <c r="BZ47" i="9"/>
  <c r="CA47" i="9"/>
  <c r="CB47" i="9"/>
  <c r="CC47" i="9"/>
  <c r="CD47" i="9"/>
  <c r="CE47" i="9"/>
  <c r="CF47" i="9"/>
  <c r="CG47" i="9"/>
  <c r="CH47" i="9"/>
  <c r="CI47" i="9"/>
  <c r="CM47" i="9"/>
  <c r="CN47" i="9"/>
  <c r="CO47" i="9"/>
  <c r="CP47" i="9"/>
  <c r="CQ47" i="9"/>
  <c r="CR47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G51" i="9"/>
  <c r="AH51" i="9"/>
  <c r="AI51" i="9"/>
  <c r="AJ51" i="9"/>
  <c r="BF51" i="9"/>
  <c r="BG51" i="9"/>
  <c r="BH51" i="9"/>
  <c r="BI51" i="9"/>
  <c r="BJ51" i="9"/>
  <c r="BK51" i="9"/>
  <c r="BL51" i="9"/>
  <c r="BM51" i="9"/>
  <c r="BN51" i="9"/>
  <c r="BO51" i="9"/>
  <c r="BP51" i="9"/>
  <c r="BQ51" i="9"/>
  <c r="BR51" i="9"/>
  <c r="BS51" i="9"/>
  <c r="BT51" i="9"/>
  <c r="BU51" i="9"/>
  <c r="BV51" i="9"/>
  <c r="BW51" i="9"/>
  <c r="BX51" i="9"/>
  <c r="BY51" i="9"/>
  <c r="BZ51" i="9"/>
  <c r="CA51" i="9"/>
  <c r="CB51" i="9"/>
  <c r="CC51" i="9"/>
  <c r="CD51" i="9"/>
  <c r="CE51" i="9"/>
  <c r="CF51" i="9"/>
  <c r="CG51" i="9"/>
  <c r="CH51" i="9"/>
  <c r="CI51" i="9"/>
  <c r="CM51" i="9"/>
  <c r="CN51" i="9"/>
  <c r="CO51" i="9"/>
  <c r="CP51" i="9"/>
  <c r="CQ51" i="9"/>
  <c r="CR51" i="9"/>
  <c r="C138" i="9"/>
  <c r="D138" i="9"/>
  <c r="E138" i="9"/>
  <c r="F138" i="9"/>
  <c r="G138" i="9"/>
  <c r="H138" i="9"/>
  <c r="I138" i="9"/>
  <c r="J138" i="9"/>
  <c r="K138" i="9"/>
  <c r="L138" i="9"/>
  <c r="M138" i="9"/>
  <c r="N138" i="9"/>
  <c r="O138" i="9"/>
  <c r="P138" i="9"/>
  <c r="Q138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G138" i="9"/>
  <c r="AH138" i="9"/>
  <c r="AI138" i="9"/>
  <c r="AJ138" i="9"/>
  <c r="BF138" i="9"/>
  <c r="BG138" i="9"/>
  <c r="BH138" i="9"/>
  <c r="BI138" i="9"/>
  <c r="BJ138" i="9"/>
  <c r="BK138" i="9"/>
  <c r="BL138" i="9"/>
  <c r="BM138" i="9"/>
  <c r="BN138" i="9"/>
  <c r="BO138" i="9"/>
  <c r="BP138" i="9"/>
  <c r="BQ138" i="9"/>
  <c r="BR138" i="9"/>
  <c r="BS138" i="9"/>
  <c r="BT138" i="9"/>
  <c r="BU138" i="9"/>
  <c r="BV138" i="9"/>
  <c r="BW138" i="9"/>
  <c r="BX138" i="9"/>
  <c r="BY138" i="9"/>
  <c r="BZ138" i="9"/>
  <c r="CA138" i="9"/>
  <c r="CB138" i="9"/>
  <c r="CC138" i="9"/>
  <c r="CD138" i="9"/>
  <c r="CE138" i="9"/>
  <c r="CF138" i="9"/>
  <c r="CG138" i="9"/>
  <c r="CH138" i="9"/>
  <c r="CI138" i="9"/>
  <c r="CM138" i="9"/>
  <c r="CN138" i="9"/>
  <c r="CO138" i="9"/>
  <c r="CP138" i="9"/>
  <c r="CQ138" i="9"/>
  <c r="CR138" i="9"/>
  <c r="C142" i="9"/>
  <c r="D142" i="9"/>
  <c r="E142" i="9"/>
  <c r="F142" i="9"/>
  <c r="G142" i="9"/>
  <c r="H142" i="9"/>
  <c r="I142" i="9"/>
  <c r="J142" i="9"/>
  <c r="K142" i="9"/>
  <c r="L142" i="9"/>
  <c r="M142" i="9"/>
  <c r="N142" i="9"/>
  <c r="O142" i="9"/>
  <c r="P142" i="9"/>
  <c r="Q142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G142" i="9"/>
  <c r="AH142" i="9"/>
  <c r="AI142" i="9"/>
  <c r="AJ142" i="9"/>
  <c r="BF142" i="9"/>
  <c r="BG142" i="9"/>
  <c r="BH142" i="9"/>
  <c r="BI142" i="9"/>
  <c r="BJ142" i="9"/>
  <c r="BK142" i="9"/>
  <c r="BL142" i="9"/>
  <c r="BM142" i="9"/>
  <c r="BN142" i="9"/>
  <c r="BO142" i="9"/>
  <c r="BP142" i="9"/>
  <c r="BQ142" i="9"/>
  <c r="BR142" i="9"/>
  <c r="BS142" i="9"/>
  <c r="BT142" i="9"/>
  <c r="BU142" i="9"/>
  <c r="BV142" i="9"/>
  <c r="BW142" i="9"/>
  <c r="BX142" i="9"/>
  <c r="BY142" i="9"/>
  <c r="BZ142" i="9"/>
  <c r="CA142" i="9"/>
  <c r="CB142" i="9"/>
  <c r="CC142" i="9"/>
  <c r="CD142" i="9"/>
  <c r="CE142" i="9"/>
  <c r="CF142" i="9"/>
  <c r="CG142" i="9"/>
  <c r="CH142" i="9"/>
  <c r="CI142" i="9"/>
  <c r="CM142" i="9"/>
  <c r="CN142" i="9"/>
  <c r="CO142" i="9"/>
  <c r="CP142" i="9"/>
  <c r="CQ142" i="9"/>
  <c r="CR142" i="9"/>
  <c r="C146" i="9"/>
  <c r="D146" i="9"/>
  <c r="E146" i="9"/>
  <c r="F146" i="9"/>
  <c r="G146" i="9"/>
  <c r="H146" i="9"/>
  <c r="I146" i="9"/>
  <c r="J146" i="9"/>
  <c r="K146" i="9"/>
  <c r="L146" i="9"/>
  <c r="M146" i="9"/>
  <c r="N146" i="9"/>
  <c r="O146" i="9"/>
  <c r="P146" i="9"/>
  <c r="Q146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G146" i="9"/>
  <c r="BD146" i="9" s="1"/>
  <c r="AH146" i="9"/>
  <c r="AI146" i="9"/>
  <c r="AJ146" i="9"/>
  <c r="BF146" i="9"/>
  <c r="BG146" i="9"/>
  <c r="BH146" i="9"/>
  <c r="BI146" i="9"/>
  <c r="BJ146" i="9"/>
  <c r="BK146" i="9"/>
  <c r="BL146" i="9"/>
  <c r="BM146" i="9"/>
  <c r="BN146" i="9"/>
  <c r="BO146" i="9"/>
  <c r="BP146" i="9"/>
  <c r="BQ146" i="9"/>
  <c r="BR146" i="9"/>
  <c r="BS146" i="9"/>
  <c r="BT146" i="9"/>
  <c r="BU146" i="9"/>
  <c r="BV146" i="9"/>
  <c r="BW146" i="9"/>
  <c r="BX146" i="9"/>
  <c r="BY146" i="9"/>
  <c r="BZ146" i="9"/>
  <c r="CA146" i="9"/>
  <c r="CB146" i="9"/>
  <c r="CC146" i="9"/>
  <c r="CD146" i="9"/>
  <c r="CE146" i="9"/>
  <c r="CF146" i="9"/>
  <c r="CG146" i="9"/>
  <c r="CH146" i="9"/>
  <c r="CI146" i="9"/>
  <c r="CM146" i="9"/>
  <c r="CN146" i="9"/>
  <c r="CO146" i="9"/>
  <c r="CP146" i="9"/>
  <c r="CQ146" i="9"/>
  <c r="CR146" i="9"/>
  <c r="C150" i="9"/>
  <c r="D150" i="9"/>
  <c r="E150" i="9"/>
  <c r="F150" i="9"/>
  <c r="G150" i="9"/>
  <c r="H150" i="9"/>
  <c r="I150" i="9"/>
  <c r="J150" i="9"/>
  <c r="K150" i="9"/>
  <c r="L150" i="9"/>
  <c r="M150" i="9"/>
  <c r="N150" i="9"/>
  <c r="O150" i="9"/>
  <c r="P150" i="9"/>
  <c r="Q150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G150" i="9"/>
  <c r="AH150" i="9"/>
  <c r="AI150" i="9"/>
  <c r="AJ150" i="9"/>
  <c r="BF150" i="9"/>
  <c r="BG150" i="9"/>
  <c r="BH150" i="9"/>
  <c r="BI150" i="9"/>
  <c r="BJ150" i="9"/>
  <c r="BK150" i="9"/>
  <c r="BL150" i="9"/>
  <c r="BM150" i="9"/>
  <c r="BN150" i="9"/>
  <c r="BO150" i="9"/>
  <c r="BP150" i="9"/>
  <c r="BQ150" i="9"/>
  <c r="BR150" i="9"/>
  <c r="BS150" i="9"/>
  <c r="BT150" i="9"/>
  <c r="BU150" i="9"/>
  <c r="BV150" i="9"/>
  <c r="BW150" i="9"/>
  <c r="BX150" i="9"/>
  <c r="BY150" i="9"/>
  <c r="BZ150" i="9"/>
  <c r="CA150" i="9"/>
  <c r="CB150" i="9"/>
  <c r="CC150" i="9"/>
  <c r="CD150" i="9"/>
  <c r="CE150" i="9"/>
  <c r="CF150" i="9"/>
  <c r="CG150" i="9"/>
  <c r="CH150" i="9"/>
  <c r="CI150" i="9"/>
  <c r="CM150" i="9"/>
  <c r="CN150" i="9"/>
  <c r="CO150" i="9"/>
  <c r="CP150" i="9"/>
  <c r="CQ150" i="9"/>
  <c r="CR150" i="9"/>
  <c r="C154" i="9"/>
  <c r="D154" i="9"/>
  <c r="E154" i="9"/>
  <c r="F154" i="9"/>
  <c r="G154" i="9"/>
  <c r="H154" i="9"/>
  <c r="I154" i="9"/>
  <c r="J154" i="9"/>
  <c r="K154" i="9"/>
  <c r="L154" i="9"/>
  <c r="M154" i="9"/>
  <c r="N154" i="9"/>
  <c r="O154" i="9"/>
  <c r="P154" i="9"/>
  <c r="Q154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G154" i="9"/>
  <c r="AH154" i="9"/>
  <c r="AI154" i="9"/>
  <c r="AJ154" i="9"/>
  <c r="BF154" i="9"/>
  <c r="BG154" i="9"/>
  <c r="BH154" i="9"/>
  <c r="BI154" i="9"/>
  <c r="BJ154" i="9"/>
  <c r="BK154" i="9"/>
  <c r="BL154" i="9"/>
  <c r="BM154" i="9"/>
  <c r="BN154" i="9"/>
  <c r="BO154" i="9"/>
  <c r="BP154" i="9"/>
  <c r="BQ154" i="9"/>
  <c r="BR154" i="9"/>
  <c r="BS154" i="9"/>
  <c r="BT154" i="9"/>
  <c r="BU154" i="9"/>
  <c r="BV154" i="9"/>
  <c r="BW154" i="9"/>
  <c r="BX154" i="9"/>
  <c r="BY154" i="9"/>
  <c r="BZ154" i="9"/>
  <c r="CA154" i="9"/>
  <c r="CB154" i="9"/>
  <c r="CC154" i="9"/>
  <c r="CD154" i="9"/>
  <c r="CE154" i="9"/>
  <c r="CF154" i="9"/>
  <c r="CG154" i="9"/>
  <c r="CH154" i="9"/>
  <c r="CI154" i="9"/>
  <c r="CM154" i="9"/>
  <c r="CN154" i="9"/>
  <c r="CO154" i="9"/>
  <c r="CP154" i="9"/>
  <c r="CQ154" i="9"/>
  <c r="CR154" i="9"/>
  <c r="C158" i="9"/>
  <c r="D158" i="9"/>
  <c r="E158" i="9"/>
  <c r="F158" i="9"/>
  <c r="G158" i="9"/>
  <c r="H158" i="9"/>
  <c r="I158" i="9"/>
  <c r="J158" i="9"/>
  <c r="K158" i="9"/>
  <c r="L158" i="9"/>
  <c r="M158" i="9"/>
  <c r="N158" i="9"/>
  <c r="O158" i="9"/>
  <c r="P158" i="9"/>
  <c r="Q158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G158" i="9"/>
  <c r="AH158" i="9"/>
  <c r="AI158" i="9"/>
  <c r="AJ158" i="9"/>
  <c r="BF158" i="9"/>
  <c r="BG158" i="9"/>
  <c r="BH158" i="9"/>
  <c r="BI158" i="9"/>
  <c r="BJ158" i="9"/>
  <c r="BK158" i="9"/>
  <c r="BL158" i="9"/>
  <c r="BM158" i="9"/>
  <c r="BN158" i="9"/>
  <c r="BO158" i="9"/>
  <c r="BP158" i="9"/>
  <c r="BQ158" i="9"/>
  <c r="BR158" i="9"/>
  <c r="BS158" i="9"/>
  <c r="BT158" i="9"/>
  <c r="BU158" i="9"/>
  <c r="BV158" i="9"/>
  <c r="BW158" i="9"/>
  <c r="BX158" i="9"/>
  <c r="BY158" i="9"/>
  <c r="BZ158" i="9"/>
  <c r="CA158" i="9"/>
  <c r="CB158" i="9"/>
  <c r="CC158" i="9"/>
  <c r="CD158" i="9"/>
  <c r="CE158" i="9"/>
  <c r="CF158" i="9"/>
  <c r="CG158" i="9"/>
  <c r="CH158" i="9"/>
  <c r="CI158" i="9"/>
  <c r="CM158" i="9"/>
  <c r="CN158" i="9"/>
  <c r="CO158" i="9"/>
  <c r="CP158" i="9"/>
  <c r="CQ158" i="9"/>
  <c r="CR158" i="9"/>
  <c r="C162" i="9"/>
  <c r="D162" i="9"/>
  <c r="E162" i="9"/>
  <c r="F162" i="9"/>
  <c r="G162" i="9"/>
  <c r="H162" i="9"/>
  <c r="I162" i="9"/>
  <c r="J162" i="9"/>
  <c r="K162" i="9"/>
  <c r="L162" i="9"/>
  <c r="M162" i="9"/>
  <c r="N162" i="9"/>
  <c r="O162" i="9"/>
  <c r="P162" i="9"/>
  <c r="Q162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G162" i="9"/>
  <c r="AH162" i="9"/>
  <c r="AI162" i="9"/>
  <c r="AJ162" i="9"/>
  <c r="BF162" i="9"/>
  <c r="BG162" i="9"/>
  <c r="BH162" i="9"/>
  <c r="BI162" i="9"/>
  <c r="BJ162" i="9"/>
  <c r="BK162" i="9"/>
  <c r="BL162" i="9"/>
  <c r="BM162" i="9"/>
  <c r="BN162" i="9"/>
  <c r="BO162" i="9"/>
  <c r="BP162" i="9"/>
  <c r="BQ162" i="9"/>
  <c r="BR162" i="9"/>
  <c r="BS162" i="9"/>
  <c r="BT162" i="9"/>
  <c r="BU162" i="9"/>
  <c r="BV162" i="9"/>
  <c r="BW162" i="9"/>
  <c r="BX162" i="9"/>
  <c r="BY162" i="9"/>
  <c r="BZ162" i="9"/>
  <c r="CA162" i="9"/>
  <c r="CB162" i="9"/>
  <c r="CC162" i="9"/>
  <c r="CD162" i="9"/>
  <c r="CE162" i="9"/>
  <c r="CF162" i="9"/>
  <c r="CG162" i="9"/>
  <c r="CH162" i="9"/>
  <c r="CI162" i="9"/>
  <c r="CM162" i="9"/>
  <c r="CN162" i="9"/>
  <c r="CO162" i="9"/>
  <c r="CP162" i="9"/>
  <c r="CQ162" i="9"/>
  <c r="CR162" i="9"/>
  <c r="C345" i="9"/>
  <c r="D345" i="9"/>
  <c r="E345" i="9"/>
  <c r="F345" i="9"/>
  <c r="G345" i="9"/>
  <c r="H345" i="9"/>
  <c r="I345" i="9"/>
  <c r="J345" i="9"/>
  <c r="K345" i="9"/>
  <c r="L345" i="9"/>
  <c r="M345" i="9"/>
  <c r="N345" i="9"/>
  <c r="O345" i="9"/>
  <c r="P345" i="9"/>
  <c r="Q345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G345" i="9"/>
  <c r="AH345" i="9"/>
  <c r="AI345" i="9"/>
  <c r="AJ345" i="9"/>
  <c r="BF345" i="9"/>
  <c r="BG345" i="9"/>
  <c r="BH345" i="9"/>
  <c r="BI345" i="9"/>
  <c r="BJ345" i="9"/>
  <c r="BK345" i="9"/>
  <c r="BL345" i="9"/>
  <c r="BM345" i="9"/>
  <c r="BN345" i="9"/>
  <c r="BO345" i="9"/>
  <c r="BP345" i="9"/>
  <c r="BQ345" i="9"/>
  <c r="BR345" i="9"/>
  <c r="BS345" i="9"/>
  <c r="BT345" i="9"/>
  <c r="BU345" i="9"/>
  <c r="BV345" i="9"/>
  <c r="BW345" i="9"/>
  <c r="BX345" i="9"/>
  <c r="BY345" i="9"/>
  <c r="BZ345" i="9"/>
  <c r="CA345" i="9"/>
  <c r="CB345" i="9"/>
  <c r="CC345" i="9"/>
  <c r="CD345" i="9"/>
  <c r="CE345" i="9"/>
  <c r="CF345" i="9"/>
  <c r="CG345" i="9"/>
  <c r="CH345" i="9"/>
  <c r="CI345" i="9"/>
  <c r="CM345" i="9"/>
  <c r="CN345" i="9"/>
  <c r="CO345" i="9"/>
  <c r="CP345" i="9"/>
  <c r="CQ345" i="9"/>
  <c r="CR345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G11" i="9"/>
  <c r="AH11" i="9"/>
  <c r="AI11" i="9"/>
  <c r="AJ11" i="9"/>
  <c r="BF11" i="9"/>
  <c r="BG11" i="9"/>
  <c r="BH11" i="9"/>
  <c r="BI11" i="9"/>
  <c r="BJ11" i="9"/>
  <c r="BK11" i="9"/>
  <c r="BL11" i="9"/>
  <c r="BM11" i="9"/>
  <c r="BN11" i="9"/>
  <c r="BO11" i="9"/>
  <c r="BP11" i="9"/>
  <c r="BQ11" i="9"/>
  <c r="BR11" i="9"/>
  <c r="BS11" i="9"/>
  <c r="BT11" i="9"/>
  <c r="BU11" i="9"/>
  <c r="BV11" i="9"/>
  <c r="BW11" i="9"/>
  <c r="BX11" i="9"/>
  <c r="BY11" i="9"/>
  <c r="BZ11" i="9"/>
  <c r="CA11" i="9"/>
  <c r="CB11" i="9"/>
  <c r="CC11" i="9"/>
  <c r="CD11" i="9"/>
  <c r="CE11" i="9"/>
  <c r="CF11" i="9"/>
  <c r="CG11" i="9"/>
  <c r="CH11" i="9"/>
  <c r="CI11" i="9"/>
  <c r="CM11" i="9"/>
  <c r="CN11" i="9"/>
  <c r="CO11" i="9"/>
  <c r="CP11" i="9"/>
  <c r="CQ11" i="9"/>
  <c r="CR11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G15" i="9"/>
  <c r="AH15" i="9"/>
  <c r="AI15" i="9"/>
  <c r="AJ15" i="9"/>
  <c r="BF15" i="9"/>
  <c r="BG15" i="9"/>
  <c r="BH15" i="9"/>
  <c r="BI15" i="9"/>
  <c r="BJ15" i="9"/>
  <c r="BK15" i="9"/>
  <c r="BL15" i="9"/>
  <c r="BM15" i="9"/>
  <c r="BN15" i="9"/>
  <c r="BO15" i="9"/>
  <c r="BP15" i="9"/>
  <c r="BQ15" i="9"/>
  <c r="BR15" i="9"/>
  <c r="BS15" i="9"/>
  <c r="BT15" i="9"/>
  <c r="BU15" i="9"/>
  <c r="BV15" i="9"/>
  <c r="BW15" i="9"/>
  <c r="BX15" i="9"/>
  <c r="BY15" i="9"/>
  <c r="BZ15" i="9"/>
  <c r="CA15" i="9"/>
  <c r="CB15" i="9"/>
  <c r="CC15" i="9"/>
  <c r="CD15" i="9"/>
  <c r="CE15" i="9"/>
  <c r="CF15" i="9"/>
  <c r="CG15" i="9"/>
  <c r="CH15" i="9"/>
  <c r="CI15" i="9"/>
  <c r="CM15" i="9"/>
  <c r="CN15" i="9"/>
  <c r="CO15" i="9"/>
  <c r="CP15" i="9"/>
  <c r="CQ15" i="9"/>
  <c r="CR15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G19" i="9"/>
  <c r="BD19" i="9" s="1"/>
  <c r="AH19" i="9"/>
  <c r="AI19" i="9"/>
  <c r="AJ19" i="9"/>
  <c r="BF19" i="9"/>
  <c r="BG19" i="9"/>
  <c r="BH19" i="9"/>
  <c r="BI19" i="9"/>
  <c r="BJ19" i="9"/>
  <c r="BK19" i="9"/>
  <c r="BL19" i="9"/>
  <c r="BM19" i="9"/>
  <c r="BN19" i="9"/>
  <c r="BO19" i="9"/>
  <c r="BP19" i="9"/>
  <c r="BQ19" i="9"/>
  <c r="BR19" i="9"/>
  <c r="BS19" i="9"/>
  <c r="BT19" i="9"/>
  <c r="BU19" i="9"/>
  <c r="BV19" i="9"/>
  <c r="BW19" i="9"/>
  <c r="BX19" i="9"/>
  <c r="BY19" i="9"/>
  <c r="BZ19" i="9"/>
  <c r="CA19" i="9"/>
  <c r="CB19" i="9"/>
  <c r="CC19" i="9"/>
  <c r="CD19" i="9"/>
  <c r="CE19" i="9"/>
  <c r="CF19" i="9"/>
  <c r="CG19" i="9"/>
  <c r="CH19" i="9"/>
  <c r="CI19" i="9"/>
  <c r="CM19" i="9"/>
  <c r="CN19" i="9"/>
  <c r="CO19" i="9"/>
  <c r="CP19" i="9"/>
  <c r="CQ19" i="9"/>
  <c r="CR19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G23" i="9"/>
  <c r="AH23" i="9"/>
  <c r="AI23" i="9"/>
  <c r="AJ23" i="9"/>
  <c r="BF23" i="9"/>
  <c r="BG23" i="9"/>
  <c r="BH23" i="9"/>
  <c r="BI23" i="9"/>
  <c r="BJ23" i="9"/>
  <c r="BK23" i="9"/>
  <c r="BL23" i="9"/>
  <c r="BM23" i="9"/>
  <c r="BN23" i="9"/>
  <c r="BO23" i="9"/>
  <c r="BP23" i="9"/>
  <c r="BQ23" i="9"/>
  <c r="BR23" i="9"/>
  <c r="BS23" i="9"/>
  <c r="BT23" i="9"/>
  <c r="BU23" i="9"/>
  <c r="BV23" i="9"/>
  <c r="BW23" i="9"/>
  <c r="BX23" i="9"/>
  <c r="BY23" i="9"/>
  <c r="BZ23" i="9"/>
  <c r="CA23" i="9"/>
  <c r="CB23" i="9"/>
  <c r="CC23" i="9"/>
  <c r="CD23" i="9"/>
  <c r="CE23" i="9"/>
  <c r="CF23" i="9"/>
  <c r="CG23" i="9"/>
  <c r="CH23" i="9"/>
  <c r="CI23" i="9"/>
  <c r="CM23" i="9"/>
  <c r="CN23" i="9"/>
  <c r="CO23" i="9"/>
  <c r="CP23" i="9"/>
  <c r="CQ23" i="9"/>
  <c r="CR23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G26" i="9"/>
  <c r="AH26" i="9"/>
  <c r="AI26" i="9"/>
  <c r="AJ26" i="9"/>
  <c r="BF26" i="9"/>
  <c r="BG26" i="9"/>
  <c r="BH26" i="9"/>
  <c r="BI26" i="9"/>
  <c r="BJ26" i="9"/>
  <c r="BK26" i="9"/>
  <c r="BL26" i="9"/>
  <c r="BM26" i="9"/>
  <c r="BN26" i="9"/>
  <c r="BO26" i="9"/>
  <c r="BP26" i="9"/>
  <c r="BQ26" i="9"/>
  <c r="BR26" i="9"/>
  <c r="BS26" i="9"/>
  <c r="BT26" i="9"/>
  <c r="BU26" i="9"/>
  <c r="BV26" i="9"/>
  <c r="BW26" i="9"/>
  <c r="BX26" i="9"/>
  <c r="BY26" i="9"/>
  <c r="BZ26" i="9"/>
  <c r="CA26" i="9"/>
  <c r="CB26" i="9"/>
  <c r="CC26" i="9"/>
  <c r="CD26" i="9"/>
  <c r="CE26" i="9"/>
  <c r="CF26" i="9"/>
  <c r="CG26" i="9"/>
  <c r="CH26" i="9"/>
  <c r="CI26" i="9"/>
  <c r="CM26" i="9"/>
  <c r="CN26" i="9"/>
  <c r="CO26" i="9"/>
  <c r="CP26" i="9"/>
  <c r="CQ26" i="9"/>
  <c r="CR26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G32" i="9"/>
  <c r="AH32" i="9"/>
  <c r="AI32" i="9"/>
  <c r="AJ32" i="9"/>
  <c r="BF32" i="9"/>
  <c r="BG32" i="9"/>
  <c r="BH32" i="9"/>
  <c r="BI32" i="9"/>
  <c r="BJ32" i="9"/>
  <c r="BK32" i="9"/>
  <c r="BL32" i="9"/>
  <c r="BM32" i="9"/>
  <c r="BN32" i="9"/>
  <c r="BO32" i="9"/>
  <c r="BP32" i="9"/>
  <c r="BQ32" i="9"/>
  <c r="BR32" i="9"/>
  <c r="BS32" i="9"/>
  <c r="BT32" i="9"/>
  <c r="BU32" i="9"/>
  <c r="BV32" i="9"/>
  <c r="BW32" i="9"/>
  <c r="BX32" i="9"/>
  <c r="BY32" i="9"/>
  <c r="BZ32" i="9"/>
  <c r="CA32" i="9"/>
  <c r="CB32" i="9"/>
  <c r="CC32" i="9"/>
  <c r="CD32" i="9"/>
  <c r="CE32" i="9"/>
  <c r="CF32" i="9"/>
  <c r="CG32" i="9"/>
  <c r="CH32" i="9"/>
  <c r="CI32" i="9"/>
  <c r="CM32" i="9"/>
  <c r="CN32" i="9"/>
  <c r="CO32" i="9"/>
  <c r="CP32" i="9"/>
  <c r="CQ32" i="9"/>
  <c r="CR32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G36" i="9"/>
  <c r="BD36" i="9" s="1"/>
  <c r="AH36" i="9"/>
  <c r="AI36" i="9"/>
  <c r="AJ36" i="9"/>
  <c r="BF36" i="9"/>
  <c r="BG36" i="9"/>
  <c r="BH36" i="9"/>
  <c r="BI36" i="9"/>
  <c r="BJ36" i="9"/>
  <c r="BK36" i="9"/>
  <c r="BL36" i="9"/>
  <c r="BM36" i="9"/>
  <c r="BN36" i="9"/>
  <c r="BO36" i="9"/>
  <c r="BP36" i="9"/>
  <c r="BQ36" i="9"/>
  <c r="BR36" i="9"/>
  <c r="BS36" i="9"/>
  <c r="BT36" i="9"/>
  <c r="BU36" i="9"/>
  <c r="BV36" i="9"/>
  <c r="BW36" i="9"/>
  <c r="BX36" i="9"/>
  <c r="BY36" i="9"/>
  <c r="BZ36" i="9"/>
  <c r="CA36" i="9"/>
  <c r="CB36" i="9"/>
  <c r="CC36" i="9"/>
  <c r="CD36" i="9"/>
  <c r="CE36" i="9"/>
  <c r="CF36" i="9"/>
  <c r="CG36" i="9"/>
  <c r="CH36" i="9"/>
  <c r="CI36" i="9"/>
  <c r="CM36" i="9"/>
  <c r="CN36" i="9"/>
  <c r="CO36" i="9"/>
  <c r="CP36" i="9"/>
  <c r="CQ36" i="9"/>
  <c r="CR36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G40" i="9"/>
  <c r="AH40" i="9"/>
  <c r="AI40" i="9"/>
  <c r="AJ40" i="9"/>
  <c r="BF40" i="9"/>
  <c r="BG40" i="9"/>
  <c r="BH40" i="9"/>
  <c r="BI40" i="9"/>
  <c r="BJ40" i="9"/>
  <c r="BK40" i="9"/>
  <c r="BL40" i="9"/>
  <c r="BM40" i="9"/>
  <c r="BN40" i="9"/>
  <c r="BO40" i="9"/>
  <c r="BP40" i="9"/>
  <c r="BQ40" i="9"/>
  <c r="BR40" i="9"/>
  <c r="BS40" i="9"/>
  <c r="BT40" i="9"/>
  <c r="BU40" i="9"/>
  <c r="BV40" i="9"/>
  <c r="BW40" i="9"/>
  <c r="BX40" i="9"/>
  <c r="BY40" i="9"/>
  <c r="BZ40" i="9"/>
  <c r="CA40" i="9"/>
  <c r="CB40" i="9"/>
  <c r="CC40" i="9"/>
  <c r="CD40" i="9"/>
  <c r="CE40" i="9"/>
  <c r="CF40" i="9"/>
  <c r="CG40" i="9"/>
  <c r="CH40" i="9"/>
  <c r="CI40" i="9"/>
  <c r="CM40" i="9"/>
  <c r="CN40" i="9"/>
  <c r="CO40" i="9"/>
  <c r="CP40" i="9"/>
  <c r="CQ40" i="9"/>
  <c r="CR40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G44" i="9"/>
  <c r="AH44" i="9"/>
  <c r="AI44" i="9"/>
  <c r="AJ44" i="9"/>
  <c r="BF44" i="9"/>
  <c r="BG44" i="9"/>
  <c r="BH44" i="9"/>
  <c r="BI44" i="9"/>
  <c r="BJ44" i="9"/>
  <c r="BK44" i="9"/>
  <c r="BL44" i="9"/>
  <c r="BM44" i="9"/>
  <c r="BN44" i="9"/>
  <c r="BO44" i="9"/>
  <c r="BP44" i="9"/>
  <c r="BQ44" i="9"/>
  <c r="BR44" i="9"/>
  <c r="BS44" i="9"/>
  <c r="BT44" i="9"/>
  <c r="BU44" i="9"/>
  <c r="BV44" i="9"/>
  <c r="BW44" i="9"/>
  <c r="BX44" i="9"/>
  <c r="BY44" i="9"/>
  <c r="BZ44" i="9"/>
  <c r="CA44" i="9"/>
  <c r="CB44" i="9"/>
  <c r="CC44" i="9"/>
  <c r="CD44" i="9"/>
  <c r="CE44" i="9"/>
  <c r="CF44" i="9"/>
  <c r="CG44" i="9"/>
  <c r="CH44" i="9"/>
  <c r="CI44" i="9"/>
  <c r="CM44" i="9"/>
  <c r="CN44" i="9"/>
  <c r="CO44" i="9"/>
  <c r="CP44" i="9"/>
  <c r="CQ44" i="9"/>
  <c r="CR44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G48" i="9"/>
  <c r="AH48" i="9"/>
  <c r="AI48" i="9"/>
  <c r="AJ48" i="9"/>
  <c r="BF48" i="9"/>
  <c r="BG48" i="9"/>
  <c r="BH48" i="9"/>
  <c r="BI48" i="9"/>
  <c r="BJ48" i="9"/>
  <c r="BK48" i="9"/>
  <c r="BL48" i="9"/>
  <c r="BM48" i="9"/>
  <c r="BN48" i="9"/>
  <c r="BO48" i="9"/>
  <c r="BP48" i="9"/>
  <c r="BQ48" i="9"/>
  <c r="BR48" i="9"/>
  <c r="BS48" i="9"/>
  <c r="BT48" i="9"/>
  <c r="BU48" i="9"/>
  <c r="BV48" i="9"/>
  <c r="BW48" i="9"/>
  <c r="BX48" i="9"/>
  <c r="BY48" i="9"/>
  <c r="BZ48" i="9"/>
  <c r="CA48" i="9"/>
  <c r="CB48" i="9"/>
  <c r="CC48" i="9"/>
  <c r="CD48" i="9"/>
  <c r="CE48" i="9"/>
  <c r="CF48" i="9"/>
  <c r="CG48" i="9"/>
  <c r="CH48" i="9"/>
  <c r="CI48" i="9"/>
  <c r="CM48" i="9"/>
  <c r="CN48" i="9"/>
  <c r="CO48" i="9"/>
  <c r="CP48" i="9"/>
  <c r="CQ48" i="9"/>
  <c r="CR48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G52" i="9"/>
  <c r="BD52" i="9" s="1"/>
  <c r="AH52" i="9"/>
  <c r="AI52" i="9"/>
  <c r="AJ52" i="9"/>
  <c r="BF52" i="9"/>
  <c r="BG52" i="9"/>
  <c r="BH52" i="9"/>
  <c r="BI52" i="9"/>
  <c r="BJ52" i="9"/>
  <c r="BK52" i="9"/>
  <c r="BL52" i="9"/>
  <c r="BM52" i="9"/>
  <c r="BN52" i="9"/>
  <c r="BO52" i="9"/>
  <c r="BP52" i="9"/>
  <c r="BQ52" i="9"/>
  <c r="BR52" i="9"/>
  <c r="BS52" i="9"/>
  <c r="BT52" i="9"/>
  <c r="BU52" i="9"/>
  <c r="BV52" i="9"/>
  <c r="BW52" i="9"/>
  <c r="BX52" i="9"/>
  <c r="BY52" i="9"/>
  <c r="BZ52" i="9"/>
  <c r="CA52" i="9"/>
  <c r="CB52" i="9"/>
  <c r="CC52" i="9"/>
  <c r="CD52" i="9"/>
  <c r="CE52" i="9"/>
  <c r="CF52" i="9"/>
  <c r="CG52" i="9"/>
  <c r="CH52" i="9"/>
  <c r="CI52" i="9"/>
  <c r="CM52" i="9"/>
  <c r="CN52" i="9"/>
  <c r="CO52" i="9"/>
  <c r="CP52" i="9"/>
  <c r="CQ52" i="9"/>
  <c r="CR52" i="9"/>
  <c r="C210" i="9"/>
  <c r="D210" i="9"/>
  <c r="E210" i="9"/>
  <c r="F210" i="9"/>
  <c r="G210" i="9"/>
  <c r="H210" i="9"/>
  <c r="I210" i="9"/>
  <c r="J210" i="9"/>
  <c r="K210" i="9"/>
  <c r="L210" i="9"/>
  <c r="M210" i="9"/>
  <c r="N210" i="9"/>
  <c r="O210" i="9"/>
  <c r="P210" i="9"/>
  <c r="Q210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G210" i="9"/>
  <c r="AH210" i="9"/>
  <c r="AI210" i="9"/>
  <c r="AJ210" i="9"/>
  <c r="BF210" i="9"/>
  <c r="BG210" i="9"/>
  <c r="BH210" i="9"/>
  <c r="BI210" i="9"/>
  <c r="BJ210" i="9"/>
  <c r="BK210" i="9"/>
  <c r="BL210" i="9"/>
  <c r="BM210" i="9"/>
  <c r="BN210" i="9"/>
  <c r="BO210" i="9"/>
  <c r="BP210" i="9"/>
  <c r="BQ210" i="9"/>
  <c r="BR210" i="9"/>
  <c r="BS210" i="9"/>
  <c r="BT210" i="9"/>
  <c r="BU210" i="9"/>
  <c r="BV210" i="9"/>
  <c r="BW210" i="9"/>
  <c r="BX210" i="9"/>
  <c r="BY210" i="9"/>
  <c r="BZ210" i="9"/>
  <c r="CA210" i="9"/>
  <c r="CB210" i="9"/>
  <c r="CC210" i="9"/>
  <c r="CD210" i="9"/>
  <c r="CE210" i="9"/>
  <c r="CF210" i="9"/>
  <c r="CG210" i="9"/>
  <c r="CH210" i="9"/>
  <c r="CI210" i="9"/>
  <c r="CM210" i="9"/>
  <c r="CN210" i="9"/>
  <c r="CO210" i="9"/>
  <c r="CP210" i="9"/>
  <c r="CQ210" i="9"/>
  <c r="CR210" i="9"/>
  <c r="C267" i="9"/>
  <c r="D267" i="9"/>
  <c r="E267" i="9"/>
  <c r="F267" i="9"/>
  <c r="G267" i="9"/>
  <c r="H267" i="9"/>
  <c r="I267" i="9"/>
  <c r="J267" i="9"/>
  <c r="K267" i="9"/>
  <c r="L267" i="9"/>
  <c r="M267" i="9"/>
  <c r="N267" i="9"/>
  <c r="O267" i="9"/>
  <c r="P267" i="9"/>
  <c r="Q267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G267" i="9"/>
  <c r="AH267" i="9"/>
  <c r="AI267" i="9"/>
  <c r="AJ267" i="9"/>
  <c r="BF267" i="9"/>
  <c r="BG267" i="9"/>
  <c r="BH267" i="9"/>
  <c r="BI267" i="9"/>
  <c r="BJ267" i="9"/>
  <c r="BK267" i="9"/>
  <c r="BL267" i="9"/>
  <c r="BM267" i="9"/>
  <c r="BN267" i="9"/>
  <c r="BO267" i="9"/>
  <c r="BP267" i="9"/>
  <c r="BQ267" i="9"/>
  <c r="BR267" i="9"/>
  <c r="BS267" i="9"/>
  <c r="BT267" i="9"/>
  <c r="BU267" i="9"/>
  <c r="BV267" i="9"/>
  <c r="BW267" i="9"/>
  <c r="BX267" i="9"/>
  <c r="BY267" i="9"/>
  <c r="BZ267" i="9"/>
  <c r="CA267" i="9"/>
  <c r="CB267" i="9"/>
  <c r="CC267" i="9"/>
  <c r="CD267" i="9"/>
  <c r="CE267" i="9"/>
  <c r="CF267" i="9"/>
  <c r="CG267" i="9"/>
  <c r="CH267" i="9"/>
  <c r="CI267" i="9"/>
  <c r="CM267" i="9"/>
  <c r="CN267" i="9"/>
  <c r="CO267" i="9"/>
  <c r="CP267" i="9"/>
  <c r="CQ267" i="9"/>
  <c r="CR267" i="9"/>
  <c r="C271" i="9"/>
  <c r="D271" i="9"/>
  <c r="E271" i="9"/>
  <c r="F271" i="9"/>
  <c r="G271" i="9"/>
  <c r="H271" i="9"/>
  <c r="I271" i="9"/>
  <c r="J271" i="9"/>
  <c r="K271" i="9"/>
  <c r="L271" i="9"/>
  <c r="M271" i="9"/>
  <c r="N271" i="9"/>
  <c r="O271" i="9"/>
  <c r="P271" i="9"/>
  <c r="Q271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G271" i="9"/>
  <c r="AH271" i="9"/>
  <c r="AI271" i="9"/>
  <c r="AJ271" i="9"/>
  <c r="BF271" i="9"/>
  <c r="BG271" i="9"/>
  <c r="BH271" i="9"/>
  <c r="BI271" i="9"/>
  <c r="BJ271" i="9"/>
  <c r="BK271" i="9"/>
  <c r="BL271" i="9"/>
  <c r="BM271" i="9"/>
  <c r="BN271" i="9"/>
  <c r="BO271" i="9"/>
  <c r="BP271" i="9"/>
  <c r="BQ271" i="9"/>
  <c r="BR271" i="9"/>
  <c r="BS271" i="9"/>
  <c r="BT271" i="9"/>
  <c r="BU271" i="9"/>
  <c r="BV271" i="9"/>
  <c r="BW271" i="9"/>
  <c r="BX271" i="9"/>
  <c r="BY271" i="9"/>
  <c r="BZ271" i="9"/>
  <c r="CA271" i="9"/>
  <c r="CB271" i="9"/>
  <c r="CC271" i="9"/>
  <c r="CD271" i="9"/>
  <c r="CE271" i="9"/>
  <c r="CF271" i="9"/>
  <c r="CG271" i="9"/>
  <c r="CH271" i="9"/>
  <c r="CI271" i="9"/>
  <c r="CM271" i="9"/>
  <c r="CN271" i="9"/>
  <c r="CO271" i="9"/>
  <c r="CP271" i="9"/>
  <c r="CQ271" i="9"/>
  <c r="CR271" i="9"/>
  <c r="C276" i="9"/>
  <c r="D276" i="9"/>
  <c r="E276" i="9"/>
  <c r="F276" i="9"/>
  <c r="G276" i="9"/>
  <c r="H276" i="9"/>
  <c r="I276" i="9"/>
  <c r="J276" i="9"/>
  <c r="K276" i="9"/>
  <c r="L276" i="9"/>
  <c r="M276" i="9"/>
  <c r="N276" i="9"/>
  <c r="O276" i="9"/>
  <c r="P276" i="9"/>
  <c r="Q276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G276" i="9"/>
  <c r="BD276" i="9" s="1"/>
  <c r="AH276" i="9"/>
  <c r="AI276" i="9"/>
  <c r="AJ276" i="9"/>
  <c r="BF276" i="9"/>
  <c r="BG276" i="9"/>
  <c r="BH276" i="9"/>
  <c r="BI276" i="9"/>
  <c r="BJ276" i="9"/>
  <c r="BK276" i="9"/>
  <c r="BL276" i="9"/>
  <c r="BM276" i="9"/>
  <c r="BN276" i="9"/>
  <c r="BO276" i="9"/>
  <c r="BP276" i="9"/>
  <c r="BQ276" i="9"/>
  <c r="BR276" i="9"/>
  <c r="BS276" i="9"/>
  <c r="BT276" i="9"/>
  <c r="BU276" i="9"/>
  <c r="BV276" i="9"/>
  <c r="BW276" i="9"/>
  <c r="BX276" i="9"/>
  <c r="BY276" i="9"/>
  <c r="BZ276" i="9"/>
  <c r="CA276" i="9"/>
  <c r="CB276" i="9"/>
  <c r="CC276" i="9"/>
  <c r="CD276" i="9"/>
  <c r="CE276" i="9"/>
  <c r="CF276" i="9"/>
  <c r="CG276" i="9"/>
  <c r="CH276" i="9"/>
  <c r="CI276" i="9"/>
  <c r="CM276" i="9"/>
  <c r="CN276" i="9"/>
  <c r="CO276" i="9"/>
  <c r="CP276" i="9"/>
  <c r="CQ276" i="9"/>
  <c r="CR276" i="9"/>
  <c r="C277" i="9"/>
  <c r="D277" i="9"/>
  <c r="E277" i="9"/>
  <c r="F277" i="9"/>
  <c r="G277" i="9"/>
  <c r="H277" i="9"/>
  <c r="I277" i="9"/>
  <c r="J277" i="9"/>
  <c r="K277" i="9"/>
  <c r="L277" i="9"/>
  <c r="M277" i="9"/>
  <c r="N277" i="9"/>
  <c r="O277" i="9"/>
  <c r="P277" i="9"/>
  <c r="Q277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G277" i="9"/>
  <c r="AH277" i="9"/>
  <c r="AI277" i="9"/>
  <c r="AJ277" i="9"/>
  <c r="BF277" i="9"/>
  <c r="BG277" i="9"/>
  <c r="BH277" i="9"/>
  <c r="BI277" i="9"/>
  <c r="BJ277" i="9"/>
  <c r="BK277" i="9"/>
  <c r="BL277" i="9"/>
  <c r="BM277" i="9"/>
  <c r="BN277" i="9"/>
  <c r="BO277" i="9"/>
  <c r="BP277" i="9"/>
  <c r="BQ277" i="9"/>
  <c r="BR277" i="9"/>
  <c r="BS277" i="9"/>
  <c r="BT277" i="9"/>
  <c r="BU277" i="9"/>
  <c r="BV277" i="9"/>
  <c r="BW277" i="9"/>
  <c r="BX277" i="9"/>
  <c r="BY277" i="9"/>
  <c r="BZ277" i="9"/>
  <c r="CA277" i="9"/>
  <c r="CB277" i="9"/>
  <c r="CC277" i="9"/>
  <c r="CD277" i="9"/>
  <c r="CE277" i="9"/>
  <c r="CF277" i="9"/>
  <c r="CG277" i="9"/>
  <c r="CH277" i="9"/>
  <c r="CI277" i="9"/>
  <c r="CM277" i="9"/>
  <c r="CN277" i="9"/>
  <c r="CO277" i="9"/>
  <c r="CP277" i="9"/>
  <c r="CQ277" i="9"/>
  <c r="CR277" i="9"/>
  <c r="C282" i="9"/>
  <c r="D282" i="9"/>
  <c r="E282" i="9"/>
  <c r="F282" i="9"/>
  <c r="G282" i="9"/>
  <c r="H282" i="9"/>
  <c r="I282" i="9"/>
  <c r="J282" i="9"/>
  <c r="K282" i="9"/>
  <c r="L282" i="9"/>
  <c r="M282" i="9"/>
  <c r="N282" i="9"/>
  <c r="O282" i="9"/>
  <c r="P282" i="9"/>
  <c r="Q282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G282" i="9"/>
  <c r="AH282" i="9"/>
  <c r="AI282" i="9"/>
  <c r="AJ282" i="9"/>
  <c r="BF282" i="9"/>
  <c r="BG282" i="9"/>
  <c r="BH282" i="9"/>
  <c r="BI282" i="9"/>
  <c r="BJ282" i="9"/>
  <c r="BK282" i="9"/>
  <c r="BL282" i="9"/>
  <c r="BM282" i="9"/>
  <c r="BN282" i="9"/>
  <c r="BO282" i="9"/>
  <c r="BP282" i="9"/>
  <c r="BQ282" i="9"/>
  <c r="BR282" i="9"/>
  <c r="BS282" i="9"/>
  <c r="BT282" i="9"/>
  <c r="BU282" i="9"/>
  <c r="BV282" i="9"/>
  <c r="BW282" i="9"/>
  <c r="BX282" i="9"/>
  <c r="BY282" i="9"/>
  <c r="BZ282" i="9"/>
  <c r="CA282" i="9"/>
  <c r="CB282" i="9"/>
  <c r="CC282" i="9"/>
  <c r="CD282" i="9"/>
  <c r="CE282" i="9"/>
  <c r="CF282" i="9"/>
  <c r="CG282" i="9"/>
  <c r="CH282" i="9"/>
  <c r="CI282" i="9"/>
  <c r="CM282" i="9"/>
  <c r="CN282" i="9"/>
  <c r="CO282" i="9"/>
  <c r="CP282" i="9"/>
  <c r="CQ282" i="9"/>
  <c r="CR282" i="9"/>
  <c r="C287" i="9"/>
  <c r="D287" i="9"/>
  <c r="E287" i="9"/>
  <c r="F287" i="9"/>
  <c r="G287" i="9"/>
  <c r="H287" i="9"/>
  <c r="I287" i="9"/>
  <c r="J287" i="9"/>
  <c r="K287" i="9"/>
  <c r="L287" i="9"/>
  <c r="M287" i="9"/>
  <c r="N287" i="9"/>
  <c r="O287" i="9"/>
  <c r="P287" i="9"/>
  <c r="Q287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G287" i="9"/>
  <c r="AH287" i="9"/>
  <c r="AI287" i="9"/>
  <c r="AJ287" i="9"/>
  <c r="BF287" i="9"/>
  <c r="BG287" i="9"/>
  <c r="BH287" i="9"/>
  <c r="BI287" i="9"/>
  <c r="BJ287" i="9"/>
  <c r="BK287" i="9"/>
  <c r="BL287" i="9"/>
  <c r="BM287" i="9"/>
  <c r="BN287" i="9"/>
  <c r="BO287" i="9"/>
  <c r="BP287" i="9"/>
  <c r="BQ287" i="9"/>
  <c r="BR287" i="9"/>
  <c r="BS287" i="9"/>
  <c r="BT287" i="9"/>
  <c r="BU287" i="9"/>
  <c r="BV287" i="9"/>
  <c r="BW287" i="9"/>
  <c r="BX287" i="9"/>
  <c r="BY287" i="9"/>
  <c r="BZ287" i="9"/>
  <c r="CA287" i="9"/>
  <c r="CB287" i="9"/>
  <c r="CC287" i="9"/>
  <c r="CD287" i="9"/>
  <c r="CE287" i="9"/>
  <c r="CF287" i="9"/>
  <c r="CG287" i="9"/>
  <c r="CH287" i="9"/>
  <c r="CI287" i="9"/>
  <c r="CM287" i="9"/>
  <c r="CN287" i="9"/>
  <c r="CO287" i="9"/>
  <c r="CP287" i="9"/>
  <c r="CQ287" i="9"/>
  <c r="CR287" i="9"/>
  <c r="C288" i="9"/>
  <c r="D288" i="9"/>
  <c r="E288" i="9"/>
  <c r="F288" i="9"/>
  <c r="G288" i="9"/>
  <c r="H288" i="9"/>
  <c r="I288" i="9"/>
  <c r="J288" i="9"/>
  <c r="K288" i="9"/>
  <c r="L288" i="9"/>
  <c r="M288" i="9"/>
  <c r="N288" i="9"/>
  <c r="O288" i="9"/>
  <c r="P288" i="9"/>
  <c r="Q288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G288" i="9"/>
  <c r="BD288" i="9" s="1"/>
  <c r="AH288" i="9"/>
  <c r="AI288" i="9"/>
  <c r="AJ288" i="9"/>
  <c r="BF288" i="9"/>
  <c r="BG288" i="9"/>
  <c r="BH288" i="9"/>
  <c r="BI288" i="9"/>
  <c r="BJ288" i="9"/>
  <c r="BK288" i="9"/>
  <c r="BL288" i="9"/>
  <c r="BM288" i="9"/>
  <c r="BN288" i="9"/>
  <c r="BO288" i="9"/>
  <c r="BP288" i="9"/>
  <c r="BQ288" i="9"/>
  <c r="BR288" i="9"/>
  <c r="BS288" i="9"/>
  <c r="BT288" i="9"/>
  <c r="BU288" i="9"/>
  <c r="BV288" i="9"/>
  <c r="BW288" i="9"/>
  <c r="BX288" i="9"/>
  <c r="BY288" i="9"/>
  <c r="BZ288" i="9"/>
  <c r="CA288" i="9"/>
  <c r="CB288" i="9"/>
  <c r="CC288" i="9"/>
  <c r="CD288" i="9"/>
  <c r="CE288" i="9"/>
  <c r="CF288" i="9"/>
  <c r="CG288" i="9"/>
  <c r="CH288" i="9"/>
  <c r="CI288" i="9"/>
  <c r="CM288" i="9"/>
  <c r="CN288" i="9"/>
  <c r="CO288" i="9"/>
  <c r="CP288" i="9"/>
  <c r="CQ288" i="9"/>
  <c r="CR288" i="9"/>
  <c r="C289" i="9"/>
  <c r="D289" i="9"/>
  <c r="E289" i="9"/>
  <c r="F289" i="9"/>
  <c r="G289" i="9"/>
  <c r="H289" i="9"/>
  <c r="I289" i="9"/>
  <c r="J289" i="9"/>
  <c r="K289" i="9"/>
  <c r="L289" i="9"/>
  <c r="M289" i="9"/>
  <c r="N289" i="9"/>
  <c r="O289" i="9"/>
  <c r="P289" i="9"/>
  <c r="Q289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G289" i="9"/>
  <c r="AH289" i="9"/>
  <c r="AI289" i="9"/>
  <c r="AJ289" i="9"/>
  <c r="BF289" i="9"/>
  <c r="BG289" i="9"/>
  <c r="BH289" i="9"/>
  <c r="BI289" i="9"/>
  <c r="BJ289" i="9"/>
  <c r="BK289" i="9"/>
  <c r="BL289" i="9"/>
  <c r="BM289" i="9"/>
  <c r="BN289" i="9"/>
  <c r="BO289" i="9"/>
  <c r="BP289" i="9"/>
  <c r="BQ289" i="9"/>
  <c r="BR289" i="9"/>
  <c r="BS289" i="9"/>
  <c r="BT289" i="9"/>
  <c r="BU289" i="9"/>
  <c r="BV289" i="9"/>
  <c r="BW289" i="9"/>
  <c r="BX289" i="9"/>
  <c r="BY289" i="9"/>
  <c r="BZ289" i="9"/>
  <c r="CA289" i="9"/>
  <c r="CB289" i="9"/>
  <c r="CC289" i="9"/>
  <c r="CD289" i="9"/>
  <c r="CE289" i="9"/>
  <c r="CF289" i="9"/>
  <c r="CG289" i="9"/>
  <c r="CH289" i="9"/>
  <c r="CI289" i="9"/>
  <c r="CM289" i="9"/>
  <c r="CN289" i="9"/>
  <c r="CO289" i="9"/>
  <c r="CP289" i="9"/>
  <c r="CQ289" i="9"/>
  <c r="CR289" i="9"/>
  <c r="C290" i="9"/>
  <c r="D290" i="9"/>
  <c r="E290" i="9"/>
  <c r="F290" i="9"/>
  <c r="G290" i="9"/>
  <c r="H290" i="9"/>
  <c r="I290" i="9"/>
  <c r="J290" i="9"/>
  <c r="K290" i="9"/>
  <c r="L290" i="9"/>
  <c r="M290" i="9"/>
  <c r="N290" i="9"/>
  <c r="O290" i="9"/>
  <c r="P290" i="9"/>
  <c r="Q290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G290" i="9"/>
  <c r="AH290" i="9"/>
  <c r="AI290" i="9"/>
  <c r="AJ290" i="9"/>
  <c r="BF290" i="9"/>
  <c r="BG290" i="9"/>
  <c r="BH290" i="9"/>
  <c r="BI290" i="9"/>
  <c r="BJ290" i="9"/>
  <c r="BK290" i="9"/>
  <c r="BL290" i="9"/>
  <c r="BM290" i="9"/>
  <c r="BN290" i="9"/>
  <c r="BO290" i="9"/>
  <c r="BP290" i="9"/>
  <c r="BQ290" i="9"/>
  <c r="BR290" i="9"/>
  <c r="BS290" i="9"/>
  <c r="BT290" i="9"/>
  <c r="BU290" i="9"/>
  <c r="BV290" i="9"/>
  <c r="BW290" i="9"/>
  <c r="BX290" i="9"/>
  <c r="BY290" i="9"/>
  <c r="BZ290" i="9"/>
  <c r="CA290" i="9"/>
  <c r="CB290" i="9"/>
  <c r="CC290" i="9"/>
  <c r="CD290" i="9"/>
  <c r="CE290" i="9"/>
  <c r="CF290" i="9"/>
  <c r="CG290" i="9"/>
  <c r="CH290" i="9"/>
  <c r="CI290" i="9"/>
  <c r="CM290" i="9"/>
  <c r="CN290" i="9"/>
  <c r="CO290" i="9"/>
  <c r="CP290" i="9"/>
  <c r="CQ290" i="9"/>
  <c r="CR290" i="9"/>
  <c r="C294" i="9"/>
  <c r="D294" i="9"/>
  <c r="E294" i="9"/>
  <c r="F294" i="9"/>
  <c r="G294" i="9"/>
  <c r="H294" i="9"/>
  <c r="I294" i="9"/>
  <c r="J294" i="9"/>
  <c r="K294" i="9"/>
  <c r="L294" i="9"/>
  <c r="M294" i="9"/>
  <c r="N294" i="9"/>
  <c r="O294" i="9"/>
  <c r="P294" i="9"/>
  <c r="Q294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G294" i="9"/>
  <c r="AH294" i="9"/>
  <c r="AI294" i="9"/>
  <c r="AJ294" i="9"/>
  <c r="BF294" i="9"/>
  <c r="BG294" i="9"/>
  <c r="BH294" i="9"/>
  <c r="BI294" i="9"/>
  <c r="BJ294" i="9"/>
  <c r="BK294" i="9"/>
  <c r="BL294" i="9"/>
  <c r="BM294" i="9"/>
  <c r="BN294" i="9"/>
  <c r="BO294" i="9"/>
  <c r="BP294" i="9"/>
  <c r="BQ294" i="9"/>
  <c r="BR294" i="9"/>
  <c r="BS294" i="9"/>
  <c r="BT294" i="9"/>
  <c r="BU294" i="9"/>
  <c r="BV294" i="9"/>
  <c r="BW294" i="9"/>
  <c r="BX294" i="9"/>
  <c r="BY294" i="9"/>
  <c r="BZ294" i="9"/>
  <c r="CA294" i="9"/>
  <c r="CB294" i="9"/>
  <c r="CC294" i="9"/>
  <c r="CD294" i="9"/>
  <c r="CE294" i="9"/>
  <c r="CF294" i="9"/>
  <c r="CG294" i="9"/>
  <c r="CH294" i="9"/>
  <c r="CI294" i="9"/>
  <c r="CM294" i="9"/>
  <c r="CN294" i="9"/>
  <c r="CO294" i="9"/>
  <c r="CP294" i="9"/>
  <c r="CQ294" i="9"/>
  <c r="CR294" i="9"/>
  <c r="C295" i="9"/>
  <c r="D295" i="9"/>
  <c r="E295" i="9"/>
  <c r="F295" i="9"/>
  <c r="G295" i="9"/>
  <c r="H295" i="9"/>
  <c r="I295" i="9"/>
  <c r="J295" i="9"/>
  <c r="K295" i="9"/>
  <c r="L295" i="9"/>
  <c r="M295" i="9"/>
  <c r="N295" i="9"/>
  <c r="O295" i="9"/>
  <c r="P295" i="9"/>
  <c r="Q295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G295" i="9"/>
  <c r="BD295" i="9" s="1"/>
  <c r="AH295" i="9"/>
  <c r="AI295" i="9"/>
  <c r="AJ295" i="9"/>
  <c r="BF295" i="9"/>
  <c r="BG295" i="9"/>
  <c r="BH295" i="9"/>
  <c r="BI295" i="9"/>
  <c r="BJ295" i="9"/>
  <c r="BK295" i="9"/>
  <c r="BL295" i="9"/>
  <c r="BM295" i="9"/>
  <c r="BN295" i="9"/>
  <c r="BO295" i="9"/>
  <c r="BP295" i="9"/>
  <c r="BQ295" i="9"/>
  <c r="BR295" i="9"/>
  <c r="BS295" i="9"/>
  <c r="BT295" i="9"/>
  <c r="BU295" i="9"/>
  <c r="BV295" i="9"/>
  <c r="BW295" i="9"/>
  <c r="BX295" i="9"/>
  <c r="BY295" i="9"/>
  <c r="BZ295" i="9"/>
  <c r="CA295" i="9"/>
  <c r="CB295" i="9"/>
  <c r="CC295" i="9"/>
  <c r="CD295" i="9"/>
  <c r="CE295" i="9"/>
  <c r="CF295" i="9"/>
  <c r="CG295" i="9"/>
  <c r="CH295" i="9"/>
  <c r="CI295" i="9"/>
  <c r="CM295" i="9"/>
  <c r="CN295" i="9"/>
  <c r="CO295" i="9"/>
  <c r="CP295" i="9"/>
  <c r="CQ295" i="9"/>
  <c r="CR295" i="9"/>
  <c r="C166" i="9"/>
  <c r="D166" i="9"/>
  <c r="E166" i="9"/>
  <c r="F166" i="9"/>
  <c r="G166" i="9"/>
  <c r="H166" i="9"/>
  <c r="I166" i="9"/>
  <c r="J166" i="9"/>
  <c r="K166" i="9"/>
  <c r="L166" i="9"/>
  <c r="M166" i="9"/>
  <c r="N166" i="9"/>
  <c r="O166" i="9"/>
  <c r="P166" i="9"/>
  <c r="Q166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G166" i="9"/>
  <c r="AH166" i="9"/>
  <c r="AI166" i="9"/>
  <c r="AJ166" i="9"/>
  <c r="BF166" i="9"/>
  <c r="BG166" i="9"/>
  <c r="BH166" i="9"/>
  <c r="BI166" i="9"/>
  <c r="BJ166" i="9"/>
  <c r="BK166" i="9"/>
  <c r="BL166" i="9"/>
  <c r="BM166" i="9"/>
  <c r="BN166" i="9"/>
  <c r="BO166" i="9"/>
  <c r="BP166" i="9"/>
  <c r="BQ166" i="9"/>
  <c r="BR166" i="9"/>
  <c r="BS166" i="9"/>
  <c r="BT166" i="9"/>
  <c r="BU166" i="9"/>
  <c r="BV166" i="9"/>
  <c r="BW166" i="9"/>
  <c r="BX166" i="9"/>
  <c r="BY166" i="9"/>
  <c r="BZ166" i="9"/>
  <c r="CA166" i="9"/>
  <c r="CB166" i="9"/>
  <c r="CC166" i="9"/>
  <c r="CD166" i="9"/>
  <c r="CE166" i="9"/>
  <c r="CF166" i="9"/>
  <c r="CG166" i="9"/>
  <c r="CH166" i="9"/>
  <c r="CI166" i="9"/>
  <c r="CM166" i="9"/>
  <c r="CN166" i="9"/>
  <c r="CO166" i="9"/>
  <c r="CP166" i="9"/>
  <c r="CQ166" i="9"/>
  <c r="CR166" i="9"/>
  <c r="C168" i="9"/>
  <c r="D168" i="9"/>
  <c r="E168" i="9"/>
  <c r="F168" i="9"/>
  <c r="G168" i="9"/>
  <c r="H168" i="9"/>
  <c r="I168" i="9"/>
  <c r="J168" i="9"/>
  <c r="K168" i="9"/>
  <c r="L168" i="9"/>
  <c r="M168" i="9"/>
  <c r="N168" i="9"/>
  <c r="O168" i="9"/>
  <c r="P168" i="9"/>
  <c r="Q168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G168" i="9"/>
  <c r="AH168" i="9"/>
  <c r="AI168" i="9"/>
  <c r="AJ168" i="9"/>
  <c r="BF168" i="9"/>
  <c r="BG168" i="9"/>
  <c r="BH168" i="9"/>
  <c r="BI168" i="9"/>
  <c r="BJ168" i="9"/>
  <c r="BK168" i="9"/>
  <c r="BL168" i="9"/>
  <c r="BM168" i="9"/>
  <c r="BN168" i="9"/>
  <c r="BO168" i="9"/>
  <c r="BP168" i="9"/>
  <c r="BQ168" i="9"/>
  <c r="BR168" i="9"/>
  <c r="BS168" i="9"/>
  <c r="BT168" i="9"/>
  <c r="BU168" i="9"/>
  <c r="BV168" i="9"/>
  <c r="BW168" i="9"/>
  <c r="BX168" i="9"/>
  <c r="BY168" i="9"/>
  <c r="BZ168" i="9"/>
  <c r="CA168" i="9"/>
  <c r="CB168" i="9"/>
  <c r="CC168" i="9"/>
  <c r="CD168" i="9"/>
  <c r="CE168" i="9"/>
  <c r="CF168" i="9"/>
  <c r="CG168" i="9"/>
  <c r="CH168" i="9"/>
  <c r="CI168" i="9"/>
  <c r="CM168" i="9"/>
  <c r="CN168" i="9"/>
  <c r="CO168" i="9"/>
  <c r="CP168" i="9"/>
  <c r="CQ168" i="9"/>
  <c r="CR168" i="9"/>
  <c r="C172" i="9"/>
  <c r="D172" i="9"/>
  <c r="E172" i="9"/>
  <c r="F172" i="9"/>
  <c r="G172" i="9"/>
  <c r="H172" i="9"/>
  <c r="I172" i="9"/>
  <c r="J172" i="9"/>
  <c r="K172" i="9"/>
  <c r="L172" i="9"/>
  <c r="M172" i="9"/>
  <c r="N172" i="9"/>
  <c r="O172" i="9"/>
  <c r="P172" i="9"/>
  <c r="Q172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G172" i="9"/>
  <c r="AH172" i="9"/>
  <c r="AI172" i="9"/>
  <c r="AJ172" i="9"/>
  <c r="BF172" i="9"/>
  <c r="BG172" i="9"/>
  <c r="BH172" i="9"/>
  <c r="BI172" i="9"/>
  <c r="BJ172" i="9"/>
  <c r="BK172" i="9"/>
  <c r="BL172" i="9"/>
  <c r="BM172" i="9"/>
  <c r="BN172" i="9"/>
  <c r="BO172" i="9"/>
  <c r="BP172" i="9"/>
  <c r="BQ172" i="9"/>
  <c r="BR172" i="9"/>
  <c r="BS172" i="9"/>
  <c r="BT172" i="9"/>
  <c r="BU172" i="9"/>
  <c r="BV172" i="9"/>
  <c r="BW172" i="9"/>
  <c r="BX172" i="9"/>
  <c r="BY172" i="9"/>
  <c r="BZ172" i="9"/>
  <c r="CA172" i="9"/>
  <c r="CB172" i="9"/>
  <c r="CC172" i="9"/>
  <c r="CD172" i="9"/>
  <c r="CE172" i="9"/>
  <c r="CF172" i="9"/>
  <c r="CG172" i="9"/>
  <c r="CH172" i="9"/>
  <c r="CI172" i="9"/>
  <c r="CM172" i="9"/>
  <c r="CN172" i="9"/>
  <c r="CO172" i="9"/>
  <c r="CP172" i="9"/>
  <c r="CQ172" i="9"/>
  <c r="CR172" i="9"/>
  <c r="C176" i="9"/>
  <c r="D176" i="9"/>
  <c r="E176" i="9"/>
  <c r="F176" i="9"/>
  <c r="G176" i="9"/>
  <c r="H176" i="9"/>
  <c r="I176" i="9"/>
  <c r="J176" i="9"/>
  <c r="K176" i="9"/>
  <c r="L176" i="9"/>
  <c r="M176" i="9"/>
  <c r="N176" i="9"/>
  <c r="O176" i="9"/>
  <c r="P176" i="9"/>
  <c r="Q176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G176" i="9"/>
  <c r="BD176" i="9" s="1"/>
  <c r="AH176" i="9"/>
  <c r="AI176" i="9"/>
  <c r="AJ176" i="9"/>
  <c r="BF176" i="9"/>
  <c r="BG176" i="9"/>
  <c r="BH176" i="9"/>
  <c r="BI176" i="9"/>
  <c r="BJ176" i="9"/>
  <c r="BK176" i="9"/>
  <c r="BL176" i="9"/>
  <c r="BM176" i="9"/>
  <c r="BN176" i="9"/>
  <c r="BO176" i="9"/>
  <c r="BP176" i="9"/>
  <c r="BQ176" i="9"/>
  <c r="BR176" i="9"/>
  <c r="BS176" i="9"/>
  <c r="BT176" i="9"/>
  <c r="BU176" i="9"/>
  <c r="BV176" i="9"/>
  <c r="BW176" i="9"/>
  <c r="BX176" i="9"/>
  <c r="BY176" i="9"/>
  <c r="BZ176" i="9"/>
  <c r="CA176" i="9"/>
  <c r="CB176" i="9"/>
  <c r="CC176" i="9"/>
  <c r="CD176" i="9"/>
  <c r="CE176" i="9"/>
  <c r="CF176" i="9"/>
  <c r="CG176" i="9"/>
  <c r="CH176" i="9"/>
  <c r="CI176" i="9"/>
  <c r="CM176" i="9"/>
  <c r="CN176" i="9"/>
  <c r="CO176" i="9"/>
  <c r="CP176" i="9"/>
  <c r="CQ176" i="9"/>
  <c r="CR176" i="9"/>
  <c r="C180" i="9"/>
  <c r="D180" i="9"/>
  <c r="E180" i="9"/>
  <c r="F180" i="9"/>
  <c r="G180" i="9"/>
  <c r="H180" i="9"/>
  <c r="I180" i="9"/>
  <c r="J180" i="9"/>
  <c r="K180" i="9"/>
  <c r="L180" i="9"/>
  <c r="M180" i="9"/>
  <c r="N180" i="9"/>
  <c r="O180" i="9"/>
  <c r="P180" i="9"/>
  <c r="Q180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G180" i="9"/>
  <c r="AH180" i="9"/>
  <c r="AI180" i="9"/>
  <c r="AJ180" i="9"/>
  <c r="BF180" i="9"/>
  <c r="BG180" i="9"/>
  <c r="BH180" i="9"/>
  <c r="BI180" i="9"/>
  <c r="BJ180" i="9"/>
  <c r="BK180" i="9"/>
  <c r="BL180" i="9"/>
  <c r="BM180" i="9"/>
  <c r="BN180" i="9"/>
  <c r="BO180" i="9"/>
  <c r="BP180" i="9"/>
  <c r="BQ180" i="9"/>
  <c r="BR180" i="9"/>
  <c r="BS180" i="9"/>
  <c r="BT180" i="9"/>
  <c r="BU180" i="9"/>
  <c r="BV180" i="9"/>
  <c r="BW180" i="9"/>
  <c r="BX180" i="9"/>
  <c r="BY180" i="9"/>
  <c r="BZ180" i="9"/>
  <c r="CA180" i="9"/>
  <c r="CB180" i="9"/>
  <c r="CC180" i="9"/>
  <c r="CD180" i="9"/>
  <c r="CE180" i="9"/>
  <c r="CF180" i="9"/>
  <c r="CG180" i="9"/>
  <c r="CH180" i="9"/>
  <c r="CI180" i="9"/>
  <c r="CM180" i="9"/>
  <c r="CN180" i="9"/>
  <c r="CO180" i="9"/>
  <c r="CP180" i="9"/>
  <c r="CQ180" i="9"/>
  <c r="CR180" i="9"/>
  <c r="C184" i="9"/>
  <c r="D184" i="9"/>
  <c r="E184" i="9"/>
  <c r="F184" i="9"/>
  <c r="G184" i="9"/>
  <c r="H184" i="9"/>
  <c r="I184" i="9"/>
  <c r="J184" i="9"/>
  <c r="K184" i="9"/>
  <c r="L184" i="9"/>
  <c r="M184" i="9"/>
  <c r="N184" i="9"/>
  <c r="O184" i="9"/>
  <c r="P184" i="9"/>
  <c r="Q184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G184" i="9"/>
  <c r="AH184" i="9"/>
  <c r="AI184" i="9"/>
  <c r="AJ184" i="9"/>
  <c r="BF184" i="9"/>
  <c r="BG184" i="9"/>
  <c r="BH184" i="9"/>
  <c r="BI184" i="9"/>
  <c r="BJ184" i="9"/>
  <c r="BK184" i="9"/>
  <c r="BL184" i="9"/>
  <c r="BM184" i="9"/>
  <c r="BN184" i="9"/>
  <c r="BO184" i="9"/>
  <c r="BP184" i="9"/>
  <c r="BQ184" i="9"/>
  <c r="BR184" i="9"/>
  <c r="BS184" i="9"/>
  <c r="BT184" i="9"/>
  <c r="BU184" i="9"/>
  <c r="BV184" i="9"/>
  <c r="BW184" i="9"/>
  <c r="BX184" i="9"/>
  <c r="BY184" i="9"/>
  <c r="BZ184" i="9"/>
  <c r="CA184" i="9"/>
  <c r="CB184" i="9"/>
  <c r="CC184" i="9"/>
  <c r="CD184" i="9"/>
  <c r="CE184" i="9"/>
  <c r="CF184" i="9"/>
  <c r="CG184" i="9"/>
  <c r="CH184" i="9"/>
  <c r="CI184" i="9"/>
  <c r="CM184" i="9"/>
  <c r="CN184" i="9"/>
  <c r="CO184" i="9"/>
  <c r="CP184" i="9"/>
  <c r="CQ184" i="9"/>
  <c r="CR184" i="9"/>
  <c r="C188" i="9"/>
  <c r="D188" i="9"/>
  <c r="E188" i="9"/>
  <c r="F188" i="9"/>
  <c r="G188" i="9"/>
  <c r="H188" i="9"/>
  <c r="I188" i="9"/>
  <c r="J188" i="9"/>
  <c r="K188" i="9"/>
  <c r="L188" i="9"/>
  <c r="M188" i="9"/>
  <c r="N188" i="9"/>
  <c r="O188" i="9"/>
  <c r="P188" i="9"/>
  <c r="Q188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G188" i="9"/>
  <c r="AH188" i="9"/>
  <c r="AI188" i="9"/>
  <c r="AJ188" i="9"/>
  <c r="BF188" i="9"/>
  <c r="BG188" i="9"/>
  <c r="BH188" i="9"/>
  <c r="BI188" i="9"/>
  <c r="BJ188" i="9"/>
  <c r="BK188" i="9"/>
  <c r="BL188" i="9"/>
  <c r="BM188" i="9"/>
  <c r="BN188" i="9"/>
  <c r="BO188" i="9"/>
  <c r="BP188" i="9"/>
  <c r="BQ188" i="9"/>
  <c r="BR188" i="9"/>
  <c r="BS188" i="9"/>
  <c r="BT188" i="9"/>
  <c r="BU188" i="9"/>
  <c r="BV188" i="9"/>
  <c r="BW188" i="9"/>
  <c r="BX188" i="9"/>
  <c r="BY188" i="9"/>
  <c r="BZ188" i="9"/>
  <c r="CA188" i="9"/>
  <c r="CB188" i="9"/>
  <c r="CC188" i="9"/>
  <c r="CD188" i="9"/>
  <c r="CE188" i="9"/>
  <c r="CF188" i="9"/>
  <c r="CG188" i="9"/>
  <c r="CH188" i="9"/>
  <c r="CI188" i="9"/>
  <c r="CM188" i="9"/>
  <c r="CN188" i="9"/>
  <c r="CO188" i="9"/>
  <c r="CP188" i="9"/>
  <c r="CQ188" i="9"/>
  <c r="CR188" i="9"/>
  <c r="C192" i="9"/>
  <c r="D192" i="9"/>
  <c r="E192" i="9"/>
  <c r="F192" i="9"/>
  <c r="G192" i="9"/>
  <c r="H192" i="9"/>
  <c r="I192" i="9"/>
  <c r="J192" i="9"/>
  <c r="K192" i="9"/>
  <c r="L192" i="9"/>
  <c r="M192" i="9"/>
  <c r="N192" i="9"/>
  <c r="O192" i="9"/>
  <c r="P192" i="9"/>
  <c r="Q192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G192" i="9"/>
  <c r="BD192" i="9" s="1"/>
  <c r="AH192" i="9"/>
  <c r="AI192" i="9"/>
  <c r="AJ192" i="9"/>
  <c r="BF192" i="9"/>
  <c r="BG192" i="9"/>
  <c r="BH192" i="9"/>
  <c r="BI192" i="9"/>
  <c r="BJ192" i="9"/>
  <c r="BK192" i="9"/>
  <c r="BL192" i="9"/>
  <c r="BM192" i="9"/>
  <c r="BN192" i="9"/>
  <c r="BO192" i="9"/>
  <c r="BP192" i="9"/>
  <c r="BQ192" i="9"/>
  <c r="BR192" i="9"/>
  <c r="BS192" i="9"/>
  <c r="BT192" i="9"/>
  <c r="BU192" i="9"/>
  <c r="BV192" i="9"/>
  <c r="BW192" i="9"/>
  <c r="BX192" i="9"/>
  <c r="BY192" i="9"/>
  <c r="BZ192" i="9"/>
  <c r="CA192" i="9"/>
  <c r="CB192" i="9"/>
  <c r="CC192" i="9"/>
  <c r="CD192" i="9"/>
  <c r="CE192" i="9"/>
  <c r="CF192" i="9"/>
  <c r="CG192" i="9"/>
  <c r="CH192" i="9"/>
  <c r="CI192" i="9"/>
  <c r="CM192" i="9"/>
  <c r="CN192" i="9"/>
  <c r="CO192" i="9"/>
  <c r="CP192" i="9"/>
  <c r="CQ192" i="9"/>
  <c r="CR192" i="9"/>
  <c r="C196" i="9"/>
  <c r="D196" i="9"/>
  <c r="E196" i="9"/>
  <c r="F196" i="9"/>
  <c r="G196" i="9"/>
  <c r="H196" i="9"/>
  <c r="I196" i="9"/>
  <c r="J196" i="9"/>
  <c r="K196" i="9"/>
  <c r="L196" i="9"/>
  <c r="M196" i="9"/>
  <c r="N196" i="9"/>
  <c r="O196" i="9"/>
  <c r="P196" i="9"/>
  <c r="Q196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G196" i="9"/>
  <c r="AH196" i="9"/>
  <c r="AI196" i="9"/>
  <c r="AJ196" i="9"/>
  <c r="BF196" i="9"/>
  <c r="BG196" i="9"/>
  <c r="BH196" i="9"/>
  <c r="BI196" i="9"/>
  <c r="BJ196" i="9"/>
  <c r="BK196" i="9"/>
  <c r="BL196" i="9"/>
  <c r="BM196" i="9"/>
  <c r="BN196" i="9"/>
  <c r="BO196" i="9"/>
  <c r="BP196" i="9"/>
  <c r="BQ196" i="9"/>
  <c r="BR196" i="9"/>
  <c r="BS196" i="9"/>
  <c r="BT196" i="9"/>
  <c r="BU196" i="9"/>
  <c r="BV196" i="9"/>
  <c r="BW196" i="9"/>
  <c r="BX196" i="9"/>
  <c r="BY196" i="9"/>
  <c r="BZ196" i="9"/>
  <c r="CA196" i="9"/>
  <c r="CB196" i="9"/>
  <c r="CC196" i="9"/>
  <c r="CD196" i="9"/>
  <c r="CE196" i="9"/>
  <c r="CF196" i="9"/>
  <c r="CG196" i="9"/>
  <c r="CH196" i="9"/>
  <c r="CI196" i="9"/>
  <c r="CM196" i="9"/>
  <c r="CN196" i="9"/>
  <c r="CO196" i="9"/>
  <c r="CP196" i="9"/>
  <c r="CQ196" i="9"/>
  <c r="CR196" i="9"/>
  <c r="C198" i="9"/>
  <c r="D198" i="9"/>
  <c r="E198" i="9"/>
  <c r="F198" i="9"/>
  <c r="G198" i="9"/>
  <c r="H198" i="9"/>
  <c r="I198" i="9"/>
  <c r="J198" i="9"/>
  <c r="K198" i="9"/>
  <c r="L198" i="9"/>
  <c r="M198" i="9"/>
  <c r="N198" i="9"/>
  <c r="O198" i="9"/>
  <c r="P198" i="9"/>
  <c r="Q198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G198" i="9"/>
  <c r="AH198" i="9"/>
  <c r="AI198" i="9"/>
  <c r="AJ198" i="9"/>
  <c r="BF198" i="9"/>
  <c r="BG198" i="9"/>
  <c r="BH198" i="9"/>
  <c r="BI198" i="9"/>
  <c r="BJ198" i="9"/>
  <c r="BK198" i="9"/>
  <c r="BL198" i="9"/>
  <c r="BM198" i="9"/>
  <c r="BN198" i="9"/>
  <c r="BO198" i="9"/>
  <c r="BP198" i="9"/>
  <c r="BQ198" i="9"/>
  <c r="BR198" i="9"/>
  <c r="BS198" i="9"/>
  <c r="BT198" i="9"/>
  <c r="BU198" i="9"/>
  <c r="BV198" i="9"/>
  <c r="BW198" i="9"/>
  <c r="BX198" i="9"/>
  <c r="BY198" i="9"/>
  <c r="BZ198" i="9"/>
  <c r="CA198" i="9"/>
  <c r="CB198" i="9"/>
  <c r="CC198" i="9"/>
  <c r="CD198" i="9"/>
  <c r="CE198" i="9"/>
  <c r="CF198" i="9"/>
  <c r="CG198" i="9"/>
  <c r="CH198" i="9"/>
  <c r="CI198" i="9"/>
  <c r="CM198" i="9"/>
  <c r="CN198" i="9"/>
  <c r="CO198" i="9"/>
  <c r="CP198" i="9"/>
  <c r="CQ198" i="9"/>
  <c r="CR198" i="9"/>
  <c r="C202" i="9"/>
  <c r="D202" i="9"/>
  <c r="E202" i="9"/>
  <c r="F202" i="9"/>
  <c r="G202" i="9"/>
  <c r="H202" i="9"/>
  <c r="I202" i="9"/>
  <c r="J202" i="9"/>
  <c r="K202" i="9"/>
  <c r="L202" i="9"/>
  <c r="M202" i="9"/>
  <c r="N202" i="9"/>
  <c r="O202" i="9"/>
  <c r="P202" i="9"/>
  <c r="Q202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G202" i="9"/>
  <c r="AH202" i="9"/>
  <c r="AI202" i="9"/>
  <c r="AJ202" i="9"/>
  <c r="BF202" i="9"/>
  <c r="BG202" i="9"/>
  <c r="BH202" i="9"/>
  <c r="BI202" i="9"/>
  <c r="BJ202" i="9"/>
  <c r="BK202" i="9"/>
  <c r="BL202" i="9"/>
  <c r="BM202" i="9"/>
  <c r="BN202" i="9"/>
  <c r="BO202" i="9"/>
  <c r="BP202" i="9"/>
  <c r="BQ202" i="9"/>
  <c r="BR202" i="9"/>
  <c r="BS202" i="9"/>
  <c r="BT202" i="9"/>
  <c r="BU202" i="9"/>
  <c r="BV202" i="9"/>
  <c r="BW202" i="9"/>
  <c r="BX202" i="9"/>
  <c r="BY202" i="9"/>
  <c r="BZ202" i="9"/>
  <c r="CA202" i="9"/>
  <c r="CB202" i="9"/>
  <c r="CC202" i="9"/>
  <c r="CD202" i="9"/>
  <c r="CE202" i="9"/>
  <c r="CF202" i="9"/>
  <c r="CG202" i="9"/>
  <c r="CH202" i="9"/>
  <c r="CI202" i="9"/>
  <c r="CM202" i="9"/>
  <c r="CN202" i="9"/>
  <c r="CO202" i="9"/>
  <c r="CP202" i="9"/>
  <c r="CQ202" i="9"/>
  <c r="CR202" i="9"/>
  <c r="C206" i="9"/>
  <c r="D206" i="9"/>
  <c r="E206" i="9"/>
  <c r="F206" i="9"/>
  <c r="G206" i="9"/>
  <c r="H206" i="9"/>
  <c r="I206" i="9"/>
  <c r="J206" i="9"/>
  <c r="K206" i="9"/>
  <c r="L206" i="9"/>
  <c r="M206" i="9"/>
  <c r="N206" i="9"/>
  <c r="O206" i="9"/>
  <c r="P206" i="9"/>
  <c r="Q206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G206" i="9"/>
  <c r="BD206" i="9" s="1"/>
  <c r="AH206" i="9"/>
  <c r="AI206" i="9"/>
  <c r="AJ206" i="9"/>
  <c r="BF206" i="9"/>
  <c r="BG206" i="9"/>
  <c r="BH206" i="9"/>
  <c r="BI206" i="9"/>
  <c r="BJ206" i="9"/>
  <c r="BK206" i="9"/>
  <c r="BL206" i="9"/>
  <c r="BM206" i="9"/>
  <c r="BN206" i="9"/>
  <c r="BO206" i="9"/>
  <c r="BP206" i="9"/>
  <c r="BQ206" i="9"/>
  <c r="BR206" i="9"/>
  <c r="BS206" i="9"/>
  <c r="BT206" i="9"/>
  <c r="BU206" i="9"/>
  <c r="BV206" i="9"/>
  <c r="BW206" i="9"/>
  <c r="BX206" i="9"/>
  <c r="BY206" i="9"/>
  <c r="BZ206" i="9"/>
  <c r="CA206" i="9"/>
  <c r="CB206" i="9"/>
  <c r="CC206" i="9"/>
  <c r="CD206" i="9"/>
  <c r="CE206" i="9"/>
  <c r="CF206" i="9"/>
  <c r="CG206" i="9"/>
  <c r="CH206" i="9"/>
  <c r="CI206" i="9"/>
  <c r="CM206" i="9"/>
  <c r="CN206" i="9"/>
  <c r="CO206" i="9"/>
  <c r="CP206" i="9"/>
  <c r="CQ206" i="9"/>
  <c r="CR206" i="9"/>
  <c r="C263" i="9"/>
  <c r="D263" i="9"/>
  <c r="E263" i="9"/>
  <c r="F263" i="9"/>
  <c r="G263" i="9"/>
  <c r="H263" i="9"/>
  <c r="I263" i="9"/>
  <c r="J263" i="9"/>
  <c r="K263" i="9"/>
  <c r="L263" i="9"/>
  <c r="M263" i="9"/>
  <c r="N263" i="9"/>
  <c r="O263" i="9"/>
  <c r="P263" i="9"/>
  <c r="Q263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G263" i="9"/>
  <c r="AH263" i="9"/>
  <c r="AI263" i="9"/>
  <c r="AJ263" i="9"/>
  <c r="BF263" i="9"/>
  <c r="BG263" i="9"/>
  <c r="BH263" i="9"/>
  <c r="BI263" i="9"/>
  <c r="BJ263" i="9"/>
  <c r="BK263" i="9"/>
  <c r="BL263" i="9"/>
  <c r="BM263" i="9"/>
  <c r="BN263" i="9"/>
  <c r="BO263" i="9"/>
  <c r="BP263" i="9"/>
  <c r="BQ263" i="9"/>
  <c r="BR263" i="9"/>
  <c r="BS263" i="9"/>
  <c r="BT263" i="9"/>
  <c r="BU263" i="9"/>
  <c r="BV263" i="9"/>
  <c r="BW263" i="9"/>
  <c r="BX263" i="9"/>
  <c r="BY263" i="9"/>
  <c r="BZ263" i="9"/>
  <c r="CA263" i="9"/>
  <c r="CB263" i="9"/>
  <c r="CC263" i="9"/>
  <c r="CD263" i="9"/>
  <c r="CE263" i="9"/>
  <c r="CF263" i="9"/>
  <c r="CG263" i="9"/>
  <c r="CH263" i="9"/>
  <c r="CI263" i="9"/>
  <c r="CM263" i="9"/>
  <c r="CN263" i="9"/>
  <c r="CO263" i="9"/>
  <c r="CP263" i="9"/>
  <c r="CQ263" i="9"/>
  <c r="CR263" i="9"/>
  <c r="C272" i="9"/>
  <c r="D272" i="9"/>
  <c r="E272" i="9"/>
  <c r="F272" i="9"/>
  <c r="G272" i="9"/>
  <c r="H272" i="9"/>
  <c r="I272" i="9"/>
  <c r="J272" i="9"/>
  <c r="K272" i="9"/>
  <c r="L272" i="9"/>
  <c r="M272" i="9"/>
  <c r="N272" i="9"/>
  <c r="O272" i="9"/>
  <c r="P272" i="9"/>
  <c r="Q272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G272" i="9"/>
  <c r="AH272" i="9"/>
  <c r="AI272" i="9"/>
  <c r="AJ272" i="9"/>
  <c r="BF272" i="9"/>
  <c r="BG272" i="9"/>
  <c r="BH272" i="9"/>
  <c r="BI272" i="9"/>
  <c r="BJ272" i="9"/>
  <c r="BK272" i="9"/>
  <c r="BL272" i="9"/>
  <c r="BM272" i="9"/>
  <c r="BN272" i="9"/>
  <c r="BO272" i="9"/>
  <c r="BP272" i="9"/>
  <c r="BQ272" i="9"/>
  <c r="BR272" i="9"/>
  <c r="BS272" i="9"/>
  <c r="BT272" i="9"/>
  <c r="BU272" i="9"/>
  <c r="BV272" i="9"/>
  <c r="BW272" i="9"/>
  <c r="BX272" i="9"/>
  <c r="BY272" i="9"/>
  <c r="BZ272" i="9"/>
  <c r="CA272" i="9"/>
  <c r="CB272" i="9"/>
  <c r="CC272" i="9"/>
  <c r="CD272" i="9"/>
  <c r="CE272" i="9"/>
  <c r="CF272" i="9"/>
  <c r="CG272" i="9"/>
  <c r="CH272" i="9"/>
  <c r="CI272" i="9"/>
  <c r="CM272" i="9"/>
  <c r="CN272" i="9"/>
  <c r="CO272" i="9"/>
  <c r="CP272" i="9"/>
  <c r="CQ272" i="9"/>
  <c r="CR272" i="9"/>
  <c r="C278" i="9"/>
  <c r="D278" i="9"/>
  <c r="E278" i="9"/>
  <c r="F278" i="9"/>
  <c r="G278" i="9"/>
  <c r="H278" i="9"/>
  <c r="I278" i="9"/>
  <c r="J278" i="9"/>
  <c r="K278" i="9"/>
  <c r="L278" i="9"/>
  <c r="M278" i="9"/>
  <c r="N278" i="9"/>
  <c r="O278" i="9"/>
  <c r="P278" i="9"/>
  <c r="Q278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G278" i="9"/>
  <c r="AH278" i="9"/>
  <c r="AI278" i="9"/>
  <c r="AJ278" i="9"/>
  <c r="BF278" i="9"/>
  <c r="BG278" i="9"/>
  <c r="BH278" i="9"/>
  <c r="BI278" i="9"/>
  <c r="BJ278" i="9"/>
  <c r="BK278" i="9"/>
  <c r="BL278" i="9"/>
  <c r="BM278" i="9"/>
  <c r="BN278" i="9"/>
  <c r="BO278" i="9"/>
  <c r="BP278" i="9"/>
  <c r="BQ278" i="9"/>
  <c r="BR278" i="9"/>
  <c r="BS278" i="9"/>
  <c r="BT278" i="9"/>
  <c r="BU278" i="9"/>
  <c r="BV278" i="9"/>
  <c r="BW278" i="9"/>
  <c r="BX278" i="9"/>
  <c r="BY278" i="9"/>
  <c r="BZ278" i="9"/>
  <c r="CA278" i="9"/>
  <c r="CB278" i="9"/>
  <c r="CC278" i="9"/>
  <c r="CD278" i="9"/>
  <c r="CE278" i="9"/>
  <c r="CF278" i="9"/>
  <c r="CG278" i="9"/>
  <c r="CH278" i="9"/>
  <c r="CI278" i="9"/>
  <c r="CM278" i="9"/>
  <c r="CN278" i="9"/>
  <c r="CO278" i="9"/>
  <c r="CP278" i="9"/>
  <c r="CQ278" i="9"/>
  <c r="CR278" i="9"/>
  <c r="C283" i="9"/>
  <c r="D283" i="9"/>
  <c r="E283" i="9"/>
  <c r="F283" i="9"/>
  <c r="G283" i="9"/>
  <c r="H283" i="9"/>
  <c r="I283" i="9"/>
  <c r="J283" i="9"/>
  <c r="K283" i="9"/>
  <c r="L283" i="9"/>
  <c r="M283" i="9"/>
  <c r="N283" i="9"/>
  <c r="O283" i="9"/>
  <c r="P283" i="9"/>
  <c r="Q283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G283" i="9"/>
  <c r="BD283" i="9" s="1"/>
  <c r="AH283" i="9"/>
  <c r="AI283" i="9"/>
  <c r="AJ283" i="9"/>
  <c r="BF283" i="9"/>
  <c r="BG283" i="9"/>
  <c r="BH283" i="9"/>
  <c r="BI283" i="9"/>
  <c r="BJ283" i="9"/>
  <c r="BK283" i="9"/>
  <c r="BL283" i="9"/>
  <c r="BM283" i="9"/>
  <c r="BN283" i="9"/>
  <c r="BO283" i="9"/>
  <c r="BP283" i="9"/>
  <c r="BQ283" i="9"/>
  <c r="BR283" i="9"/>
  <c r="BS283" i="9"/>
  <c r="BT283" i="9"/>
  <c r="BU283" i="9"/>
  <c r="BV283" i="9"/>
  <c r="BW283" i="9"/>
  <c r="BX283" i="9"/>
  <c r="BY283" i="9"/>
  <c r="BZ283" i="9"/>
  <c r="CA283" i="9"/>
  <c r="CB283" i="9"/>
  <c r="CC283" i="9"/>
  <c r="CD283" i="9"/>
  <c r="CE283" i="9"/>
  <c r="CF283" i="9"/>
  <c r="CG283" i="9"/>
  <c r="CH283" i="9"/>
  <c r="CI283" i="9"/>
  <c r="CM283" i="9"/>
  <c r="CN283" i="9"/>
  <c r="CO283" i="9"/>
  <c r="CP283" i="9"/>
  <c r="CQ283" i="9"/>
  <c r="CR283" i="9"/>
  <c r="C291" i="9"/>
  <c r="D291" i="9"/>
  <c r="E291" i="9"/>
  <c r="F291" i="9"/>
  <c r="G291" i="9"/>
  <c r="H291" i="9"/>
  <c r="I291" i="9"/>
  <c r="J291" i="9"/>
  <c r="K291" i="9"/>
  <c r="L291" i="9"/>
  <c r="M291" i="9"/>
  <c r="N291" i="9"/>
  <c r="O291" i="9"/>
  <c r="P291" i="9"/>
  <c r="Q291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G291" i="9"/>
  <c r="AH291" i="9"/>
  <c r="AI291" i="9"/>
  <c r="AJ291" i="9"/>
  <c r="BF291" i="9"/>
  <c r="BG291" i="9"/>
  <c r="BH291" i="9"/>
  <c r="BI291" i="9"/>
  <c r="BJ291" i="9"/>
  <c r="BK291" i="9"/>
  <c r="BL291" i="9"/>
  <c r="BM291" i="9"/>
  <c r="BN291" i="9"/>
  <c r="BO291" i="9"/>
  <c r="BP291" i="9"/>
  <c r="BQ291" i="9"/>
  <c r="BR291" i="9"/>
  <c r="BS291" i="9"/>
  <c r="BT291" i="9"/>
  <c r="BU291" i="9"/>
  <c r="BV291" i="9"/>
  <c r="BW291" i="9"/>
  <c r="BX291" i="9"/>
  <c r="BY291" i="9"/>
  <c r="BZ291" i="9"/>
  <c r="CA291" i="9"/>
  <c r="CB291" i="9"/>
  <c r="CC291" i="9"/>
  <c r="CD291" i="9"/>
  <c r="CE291" i="9"/>
  <c r="CF291" i="9"/>
  <c r="CG291" i="9"/>
  <c r="CH291" i="9"/>
  <c r="CI291" i="9"/>
  <c r="CM291" i="9"/>
  <c r="CN291" i="9"/>
  <c r="CO291" i="9"/>
  <c r="CP291" i="9"/>
  <c r="CQ291" i="9"/>
  <c r="CR291" i="9"/>
  <c r="C296" i="9"/>
  <c r="D296" i="9"/>
  <c r="E296" i="9"/>
  <c r="F296" i="9"/>
  <c r="G296" i="9"/>
  <c r="H296" i="9"/>
  <c r="I296" i="9"/>
  <c r="J296" i="9"/>
  <c r="K296" i="9"/>
  <c r="L296" i="9"/>
  <c r="M296" i="9"/>
  <c r="N296" i="9"/>
  <c r="O296" i="9"/>
  <c r="P296" i="9"/>
  <c r="Q296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G296" i="9"/>
  <c r="AH296" i="9"/>
  <c r="AI296" i="9"/>
  <c r="AJ296" i="9"/>
  <c r="BF296" i="9"/>
  <c r="BG296" i="9"/>
  <c r="BH296" i="9"/>
  <c r="BI296" i="9"/>
  <c r="BJ296" i="9"/>
  <c r="BK296" i="9"/>
  <c r="BL296" i="9"/>
  <c r="BM296" i="9"/>
  <c r="BN296" i="9"/>
  <c r="BO296" i="9"/>
  <c r="BP296" i="9"/>
  <c r="BQ296" i="9"/>
  <c r="BR296" i="9"/>
  <c r="BS296" i="9"/>
  <c r="BT296" i="9"/>
  <c r="BU296" i="9"/>
  <c r="BV296" i="9"/>
  <c r="BW296" i="9"/>
  <c r="BX296" i="9"/>
  <c r="BY296" i="9"/>
  <c r="BZ296" i="9"/>
  <c r="CA296" i="9"/>
  <c r="CB296" i="9"/>
  <c r="CC296" i="9"/>
  <c r="CD296" i="9"/>
  <c r="CE296" i="9"/>
  <c r="CF296" i="9"/>
  <c r="CG296" i="9"/>
  <c r="CH296" i="9"/>
  <c r="CI296" i="9"/>
  <c r="CM296" i="9"/>
  <c r="CN296" i="9"/>
  <c r="CO296" i="9"/>
  <c r="CP296" i="9"/>
  <c r="CQ296" i="9"/>
  <c r="CR296" i="9"/>
  <c r="C167" i="9"/>
  <c r="D167" i="9"/>
  <c r="E167" i="9"/>
  <c r="F167" i="9"/>
  <c r="G167" i="9"/>
  <c r="H167" i="9"/>
  <c r="I167" i="9"/>
  <c r="J167" i="9"/>
  <c r="K167" i="9"/>
  <c r="L167" i="9"/>
  <c r="M167" i="9"/>
  <c r="N167" i="9"/>
  <c r="O167" i="9"/>
  <c r="P167" i="9"/>
  <c r="Q167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G167" i="9"/>
  <c r="AH167" i="9"/>
  <c r="AI167" i="9"/>
  <c r="AJ167" i="9"/>
  <c r="BF167" i="9"/>
  <c r="BG167" i="9"/>
  <c r="BH167" i="9"/>
  <c r="BI167" i="9"/>
  <c r="BJ167" i="9"/>
  <c r="BK167" i="9"/>
  <c r="BL167" i="9"/>
  <c r="BM167" i="9"/>
  <c r="BN167" i="9"/>
  <c r="BO167" i="9"/>
  <c r="BP167" i="9"/>
  <c r="BQ167" i="9"/>
  <c r="BR167" i="9"/>
  <c r="BS167" i="9"/>
  <c r="BT167" i="9"/>
  <c r="BU167" i="9"/>
  <c r="BV167" i="9"/>
  <c r="BW167" i="9"/>
  <c r="BX167" i="9"/>
  <c r="BY167" i="9"/>
  <c r="BZ167" i="9"/>
  <c r="CA167" i="9"/>
  <c r="CB167" i="9"/>
  <c r="CC167" i="9"/>
  <c r="CD167" i="9"/>
  <c r="CE167" i="9"/>
  <c r="CF167" i="9"/>
  <c r="CG167" i="9"/>
  <c r="CH167" i="9"/>
  <c r="CI167" i="9"/>
  <c r="CM167" i="9"/>
  <c r="CN167" i="9"/>
  <c r="CO167" i="9"/>
  <c r="CP167" i="9"/>
  <c r="CQ167" i="9"/>
  <c r="CR167" i="9"/>
  <c r="C169" i="9"/>
  <c r="D169" i="9"/>
  <c r="E169" i="9"/>
  <c r="F169" i="9"/>
  <c r="G169" i="9"/>
  <c r="H169" i="9"/>
  <c r="I169" i="9"/>
  <c r="J169" i="9"/>
  <c r="K169" i="9"/>
  <c r="L169" i="9"/>
  <c r="M169" i="9"/>
  <c r="N169" i="9"/>
  <c r="O169" i="9"/>
  <c r="P169" i="9"/>
  <c r="Q169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G169" i="9"/>
  <c r="BD169" i="9" s="1"/>
  <c r="AH169" i="9"/>
  <c r="AI169" i="9"/>
  <c r="AJ169" i="9"/>
  <c r="BF169" i="9"/>
  <c r="BG169" i="9"/>
  <c r="BH169" i="9"/>
  <c r="BI169" i="9"/>
  <c r="BJ169" i="9"/>
  <c r="BK169" i="9"/>
  <c r="BL169" i="9"/>
  <c r="BM169" i="9"/>
  <c r="BN169" i="9"/>
  <c r="BO169" i="9"/>
  <c r="BP169" i="9"/>
  <c r="BQ169" i="9"/>
  <c r="BR169" i="9"/>
  <c r="BS169" i="9"/>
  <c r="BT169" i="9"/>
  <c r="BU169" i="9"/>
  <c r="BV169" i="9"/>
  <c r="BW169" i="9"/>
  <c r="BX169" i="9"/>
  <c r="BY169" i="9"/>
  <c r="BZ169" i="9"/>
  <c r="CA169" i="9"/>
  <c r="CB169" i="9"/>
  <c r="CC169" i="9"/>
  <c r="CD169" i="9"/>
  <c r="CE169" i="9"/>
  <c r="CF169" i="9"/>
  <c r="CG169" i="9"/>
  <c r="CH169" i="9"/>
  <c r="CI169" i="9"/>
  <c r="CM169" i="9"/>
  <c r="CN169" i="9"/>
  <c r="CO169" i="9"/>
  <c r="CP169" i="9"/>
  <c r="CQ169" i="9"/>
  <c r="CR169" i="9"/>
  <c r="C173" i="9"/>
  <c r="D173" i="9"/>
  <c r="E173" i="9"/>
  <c r="F173" i="9"/>
  <c r="G173" i="9"/>
  <c r="H173" i="9"/>
  <c r="I173" i="9"/>
  <c r="J173" i="9"/>
  <c r="K173" i="9"/>
  <c r="L173" i="9"/>
  <c r="M173" i="9"/>
  <c r="N173" i="9"/>
  <c r="O173" i="9"/>
  <c r="P173" i="9"/>
  <c r="Q173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G173" i="9"/>
  <c r="AH173" i="9"/>
  <c r="AI173" i="9"/>
  <c r="AJ173" i="9"/>
  <c r="BF173" i="9"/>
  <c r="BG173" i="9"/>
  <c r="BH173" i="9"/>
  <c r="BI173" i="9"/>
  <c r="BJ173" i="9"/>
  <c r="BK173" i="9"/>
  <c r="BL173" i="9"/>
  <c r="BM173" i="9"/>
  <c r="BN173" i="9"/>
  <c r="BO173" i="9"/>
  <c r="BP173" i="9"/>
  <c r="BQ173" i="9"/>
  <c r="BR173" i="9"/>
  <c r="BS173" i="9"/>
  <c r="BT173" i="9"/>
  <c r="BU173" i="9"/>
  <c r="BV173" i="9"/>
  <c r="BW173" i="9"/>
  <c r="BX173" i="9"/>
  <c r="BY173" i="9"/>
  <c r="BZ173" i="9"/>
  <c r="CA173" i="9"/>
  <c r="CB173" i="9"/>
  <c r="CC173" i="9"/>
  <c r="CD173" i="9"/>
  <c r="CE173" i="9"/>
  <c r="CF173" i="9"/>
  <c r="CG173" i="9"/>
  <c r="CH173" i="9"/>
  <c r="CI173" i="9"/>
  <c r="CM173" i="9"/>
  <c r="CN173" i="9"/>
  <c r="CO173" i="9"/>
  <c r="CP173" i="9"/>
  <c r="CQ173" i="9"/>
  <c r="CR173" i="9"/>
  <c r="C177" i="9"/>
  <c r="D177" i="9"/>
  <c r="E177" i="9"/>
  <c r="F177" i="9"/>
  <c r="G177" i="9"/>
  <c r="H177" i="9"/>
  <c r="I177" i="9"/>
  <c r="J177" i="9"/>
  <c r="K177" i="9"/>
  <c r="L177" i="9"/>
  <c r="M177" i="9"/>
  <c r="N177" i="9"/>
  <c r="O177" i="9"/>
  <c r="P177" i="9"/>
  <c r="Q177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G177" i="9"/>
  <c r="AH177" i="9"/>
  <c r="AI177" i="9"/>
  <c r="AJ177" i="9"/>
  <c r="BF177" i="9"/>
  <c r="BG177" i="9"/>
  <c r="BH177" i="9"/>
  <c r="BI177" i="9"/>
  <c r="BJ177" i="9"/>
  <c r="BK177" i="9"/>
  <c r="BL177" i="9"/>
  <c r="BM177" i="9"/>
  <c r="BN177" i="9"/>
  <c r="BO177" i="9"/>
  <c r="BP177" i="9"/>
  <c r="BQ177" i="9"/>
  <c r="BR177" i="9"/>
  <c r="BS177" i="9"/>
  <c r="BT177" i="9"/>
  <c r="BU177" i="9"/>
  <c r="BV177" i="9"/>
  <c r="BW177" i="9"/>
  <c r="BX177" i="9"/>
  <c r="BY177" i="9"/>
  <c r="BZ177" i="9"/>
  <c r="CA177" i="9"/>
  <c r="CB177" i="9"/>
  <c r="CC177" i="9"/>
  <c r="CD177" i="9"/>
  <c r="CE177" i="9"/>
  <c r="CF177" i="9"/>
  <c r="CG177" i="9"/>
  <c r="CH177" i="9"/>
  <c r="CI177" i="9"/>
  <c r="CM177" i="9"/>
  <c r="CN177" i="9"/>
  <c r="CO177" i="9"/>
  <c r="CP177" i="9"/>
  <c r="CQ177" i="9"/>
  <c r="CR177" i="9"/>
  <c r="C181" i="9"/>
  <c r="D181" i="9"/>
  <c r="E181" i="9"/>
  <c r="F181" i="9"/>
  <c r="G181" i="9"/>
  <c r="H181" i="9"/>
  <c r="I181" i="9"/>
  <c r="J181" i="9"/>
  <c r="K181" i="9"/>
  <c r="L181" i="9"/>
  <c r="M181" i="9"/>
  <c r="N181" i="9"/>
  <c r="O181" i="9"/>
  <c r="P181" i="9"/>
  <c r="Q181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G181" i="9"/>
  <c r="AH181" i="9"/>
  <c r="AI181" i="9"/>
  <c r="AJ181" i="9"/>
  <c r="BF181" i="9"/>
  <c r="BG181" i="9"/>
  <c r="BH181" i="9"/>
  <c r="BI181" i="9"/>
  <c r="BJ181" i="9"/>
  <c r="BK181" i="9"/>
  <c r="BL181" i="9"/>
  <c r="BM181" i="9"/>
  <c r="BN181" i="9"/>
  <c r="BO181" i="9"/>
  <c r="BP181" i="9"/>
  <c r="BQ181" i="9"/>
  <c r="BR181" i="9"/>
  <c r="BS181" i="9"/>
  <c r="BT181" i="9"/>
  <c r="BU181" i="9"/>
  <c r="BV181" i="9"/>
  <c r="BW181" i="9"/>
  <c r="BX181" i="9"/>
  <c r="BY181" i="9"/>
  <c r="BZ181" i="9"/>
  <c r="CA181" i="9"/>
  <c r="CB181" i="9"/>
  <c r="CC181" i="9"/>
  <c r="CD181" i="9"/>
  <c r="CE181" i="9"/>
  <c r="CF181" i="9"/>
  <c r="CG181" i="9"/>
  <c r="CH181" i="9"/>
  <c r="CI181" i="9"/>
  <c r="CM181" i="9"/>
  <c r="CN181" i="9"/>
  <c r="CO181" i="9"/>
  <c r="CP181" i="9"/>
  <c r="CQ181" i="9"/>
  <c r="CR181" i="9"/>
  <c r="C185" i="9"/>
  <c r="D185" i="9"/>
  <c r="E185" i="9"/>
  <c r="F185" i="9"/>
  <c r="G185" i="9"/>
  <c r="H185" i="9"/>
  <c r="I185" i="9"/>
  <c r="J185" i="9"/>
  <c r="K185" i="9"/>
  <c r="L185" i="9"/>
  <c r="M185" i="9"/>
  <c r="N185" i="9"/>
  <c r="O185" i="9"/>
  <c r="P185" i="9"/>
  <c r="Q185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G185" i="9"/>
  <c r="BD185" i="9" s="1"/>
  <c r="AH185" i="9"/>
  <c r="AI185" i="9"/>
  <c r="AJ185" i="9"/>
  <c r="BF185" i="9"/>
  <c r="BG185" i="9"/>
  <c r="BH185" i="9"/>
  <c r="BI185" i="9"/>
  <c r="BJ185" i="9"/>
  <c r="BK185" i="9"/>
  <c r="BL185" i="9"/>
  <c r="BM185" i="9"/>
  <c r="BN185" i="9"/>
  <c r="BO185" i="9"/>
  <c r="BP185" i="9"/>
  <c r="BQ185" i="9"/>
  <c r="BR185" i="9"/>
  <c r="BS185" i="9"/>
  <c r="BT185" i="9"/>
  <c r="BU185" i="9"/>
  <c r="BV185" i="9"/>
  <c r="BW185" i="9"/>
  <c r="BX185" i="9"/>
  <c r="BY185" i="9"/>
  <c r="BZ185" i="9"/>
  <c r="CA185" i="9"/>
  <c r="CB185" i="9"/>
  <c r="CC185" i="9"/>
  <c r="CD185" i="9"/>
  <c r="CE185" i="9"/>
  <c r="CF185" i="9"/>
  <c r="CG185" i="9"/>
  <c r="CH185" i="9"/>
  <c r="CI185" i="9"/>
  <c r="CM185" i="9"/>
  <c r="CN185" i="9"/>
  <c r="CO185" i="9"/>
  <c r="CP185" i="9"/>
  <c r="CQ185" i="9"/>
  <c r="CR185" i="9"/>
  <c r="C189" i="9"/>
  <c r="D189" i="9"/>
  <c r="E189" i="9"/>
  <c r="F189" i="9"/>
  <c r="G189" i="9"/>
  <c r="H189" i="9"/>
  <c r="I189" i="9"/>
  <c r="J189" i="9"/>
  <c r="K189" i="9"/>
  <c r="L189" i="9"/>
  <c r="M189" i="9"/>
  <c r="N189" i="9"/>
  <c r="O189" i="9"/>
  <c r="P189" i="9"/>
  <c r="Q189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G189" i="9"/>
  <c r="AH189" i="9"/>
  <c r="AI189" i="9"/>
  <c r="AJ189" i="9"/>
  <c r="BF189" i="9"/>
  <c r="BG189" i="9"/>
  <c r="BH189" i="9"/>
  <c r="BI189" i="9"/>
  <c r="BJ189" i="9"/>
  <c r="BK189" i="9"/>
  <c r="BL189" i="9"/>
  <c r="BM189" i="9"/>
  <c r="BN189" i="9"/>
  <c r="BO189" i="9"/>
  <c r="BP189" i="9"/>
  <c r="BQ189" i="9"/>
  <c r="BR189" i="9"/>
  <c r="BS189" i="9"/>
  <c r="BT189" i="9"/>
  <c r="BU189" i="9"/>
  <c r="BV189" i="9"/>
  <c r="BW189" i="9"/>
  <c r="BX189" i="9"/>
  <c r="BY189" i="9"/>
  <c r="BZ189" i="9"/>
  <c r="CA189" i="9"/>
  <c r="CB189" i="9"/>
  <c r="CC189" i="9"/>
  <c r="CD189" i="9"/>
  <c r="CE189" i="9"/>
  <c r="CF189" i="9"/>
  <c r="CG189" i="9"/>
  <c r="CH189" i="9"/>
  <c r="CI189" i="9"/>
  <c r="CM189" i="9"/>
  <c r="CN189" i="9"/>
  <c r="CO189" i="9"/>
  <c r="CP189" i="9"/>
  <c r="CQ189" i="9"/>
  <c r="CR189" i="9"/>
  <c r="C193" i="9"/>
  <c r="D193" i="9"/>
  <c r="E193" i="9"/>
  <c r="F193" i="9"/>
  <c r="G193" i="9"/>
  <c r="H193" i="9"/>
  <c r="I193" i="9"/>
  <c r="J193" i="9"/>
  <c r="K193" i="9"/>
  <c r="L193" i="9"/>
  <c r="M193" i="9"/>
  <c r="N193" i="9"/>
  <c r="O193" i="9"/>
  <c r="P193" i="9"/>
  <c r="Q193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G193" i="9"/>
  <c r="AH193" i="9"/>
  <c r="AI193" i="9"/>
  <c r="AJ193" i="9"/>
  <c r="BF193" i="9"/>
  <c r="BG193" i="9"/>
  <c r="BH193" i="9"/>
  <c r="BI193" i="9"/>
  <c r="BJ193" i="9"/>
  <c r="BK193" i="9"/>
  <c r="BL193" i="9"/>
  <c r="BM193" i="9"/>
  <c r="BN193" i="9"/>
  <c r="BO193" i="9"/>
  <c r="BP193" i="9"/>
  <c r="BQ193" i="9"/>
  <c r="BR193" i="9"/>
  <c r="BS193" i="9"/>
  <c r="BT193" i="9"/>
  <c r="BU193" i="9"/>
  <c r="BV193" i="9"/>
  <c r="BW193" i="9"/>
  <c r="BX193" i="9"/>
  <c r="BY193" i="9"/>
  <c r="BZ193" i="9"/>
  <c r="CA193" i="9"/>
  <c r="CB193" i="9"/>
  <c r="CC193" i="9"/>
  <c r="CD193" i="9"/>
  <c r="CE193" i="9"/>
  <c r="CF193" i="9"/>
  <c r="CG193" i="9"/>
  <c r="CH193" i="9"/>
  <c r="CI193" i="9"/>
  <c r="CM193" i="9"/>
  <c r="CN193" i="9"/>
  <c r="CO193" i="9"/>
  <c r="CP193" i="9"/>
  <c r="CQ193" i="9"/>
  <c r="CR193" i="9"/>
  <c r="C197" i="9"/>
  <c r="D197" i="9"/>
  <c r="E197" i="9"/>
  <c r="F197" i="9"/>
  <c r="G197" i="9"/>
  <c r="H197" i="9"/>
  <c r="I197" i="9"/>
  <c r="J197" i="9"/>
  <c r="K197" i="9"/>
  <c r="L197" i="9"/>
  <c r="M197" i="9"/>
  <c r="N197" i="9"/>
  <c r="O197" i="9"/>
  <c r="P197" i="9"/>
  <c r="Q197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G197" i="9"/>
  <c r="AH197" i="9"/>
  <c r="AI197" i="9"/>
  <c r="AJ197" i="9"/>
  <c r="BF197" i="9"/>
  <c r="BG197" i="9"/>
  <c r="BH197" i="9"/>
  <c r="BI197" i="9"/>
  <c r="BJ197" i="9"/>
  <c r="BK197" i="9"/>
  <c r="BL197" i="9"/>
  <c r="BM197" i="9"/>
  <c r="BN197" i="9"/>
  <c r="BO197" i="9"/>
  <c r="BP197" i="9"/>
  <c r="BQ197" i="9"/>
  <c r="BR197" i="9"/>
  <c r="BS197" i="9"/>
  <c r="BT197" i="9"/>
  <c r="BU197" i="9"/>
  <c r="BV197" i="9"/>
  <c r="BW197" i="9"/>
  <c r="BX197" i="9"/>
  <c r="BY197" i="9"/>
  <c r="BZ197" i="9"/>
  <c r="CA197" i="9"/>
  <c r="CB197" i="9"/>
  <c r="CC197" i="9"/>
  <c r="CD197" i="9"/>
  <c r="CE197" i="9"/>
  <c r="CF197" i="9"/>
  <c r="CG197" i="9"/>
  <c r="CH197" i="9"/>
  <c r="CI197" i="9"/>
  <c r="CM197" i="9"/>
  <c r="CN197" i="9"/>
  <c r="CO197" i="9"/>
  <c r="CP197" i="9"/>
  <c r="CQ197" i="9"/>
  <c r="CR197" i="9"/>
  <c r="C199" i="9"/>
  <c r="D199" i="9"/>
  <c r="E199" i="9"/>
  <c r="F199" i="9"/>
  <c r="G199" i="9"/>
  <c r="H199" i="9"/>
  <c r="I199" i="9"/>
  <c r="J199" i="9"/>
  <c r="K199" i="9"/>
  <c r="L199" i="9"/>
  <c r="M199" i="9"/>
  <c r="N199" i="9"/>
  <c r="O199" i="9"/>
  <c r="P199" i="9"/>
  <c r="Q199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G199" i="9"/>
  <c r="BD199" i="9" s="1"/>
  <c r="AH199" i="9"/>
  <c r="AI199" i="9"/>
  <c r="AJ199" i="9"/>
  <c r="BF199" i="9"/>
  <c r="BG199" i="9"/>
  <c r="BH199" i="9"/>
  <c r="BI199" i="9"/>
  <c r="BJ199" i="9"/>
  <c r="BK199" i="9"/>
  <c r="BL199" i="9"/>
  <c r="BM199" i="9"/>
  <c r="BN199" i="9"/>
  <c r="BO199" i="9"/>
  <c r="BP199" i="9"/>
  <c r="BQ199" i="9"/>
  <c r="BR199" i="9"/>
  <c r="BS199" i="9"/>
  <c r="BT199" i="9"/>
  <c r="BU199" i="9"/>
  <c r="BV199" i="9"/>
  <c r="BW199" i="9"/>
  <c r="BX199" i="9"/>
  <c r="BY199" i="9"/>
  <c r="BZ199" i="9"/>
  <c r="CA199" i="9"/>
  <c r="CB199" i="9"/>
  <c r="CC199" i="9"/>
  <c r="CD199" i="9"/>
  <c r="CE199" i="9"/>
  <c r="CF199" i="9"/>
  <c r="CG199" i="9"/>
  <c r="CH199" i="9"/>
  <c r="CI199" i="9"/>
  <c r="CM199" i="9"/>
  <c r="CN199" i="9"/>
  <c r="CO199" i="9"/>
  <c r="CP199" i="9"/>
  <c r="CQ199" i="9"/>
  <c r="CR199" i="9"/>
  <c r="C203" i="9"/>
  <c r="D203" i="9"/>
  <c r="E203" i="9"/>
  <c r="F203" i="9"/>
  <c r="G203" i="9"/>
  <c r="H203" i="9"/>
  <c r="I203" i="9"/>
  <c r="J203" i="9"/>
  <c r="K203" i="9"/>
  <c r="L203" i="9"/>
  <c r="M203" i="9"/>
  <c r="N203" i="9"/>
  <c r="O203" i="9"/>
  <c r="P203" i="9"/>
  <c r="Q203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G203" i="9"/>
  <c r="AH203" i="9"/>
  <c r="AI203" i="9"/>
  <c r="AJ203" i="9"/>
  <c r="BF203" i="9"/>
  <c r="BG203" i="9"/>
  <c r="BH203" i="9"/>
  <c r="BI203" i="9"/>
  <c r="BJ203" i="9"/>
  <c r="BK203" i="9"/>
  <c r="BL203" i="9"/>
  <c r="BM203" i="9"/>
  <c r="BN203" i="9"/>
  <c r="BO203" i="9"/>
  <c r="BP203" i="9"/>
  <c r="BQ203" i="9"/>
  <c r="BR203" i="9"/>
  <c r="BS203" i="9"/>
  <c r="BT203" i="9"/>
  <c r="BU203" i="9"/>
  <c r="BV203" i="9"/>
  <c r="BW203" i="9"/>
  <c r="BX203" i="9"/>
  <c r="BY203" i="9"/>
  <c r="BZ203" i="9"/>
  <c r="CA203" i="9"/>
  <c r="CB203" i="9"/>
  <c r="CC203" i="9"/>
  <c r="CD203" i="9"/>
  <c r="CE203" i="9"/>
  <c r="CF203" i="9"/>
  <c r="CG203" i="9"/>
  <c r="CH203" i="9"/>
  <c r="CI203" i="9"/>
  <c r="CM203" i="9"/>
  <c r="CN203" i="9"/>
  <c r="CO203" i="9"/>
  <c r="CP203" i="9"/>
  <c r="CQ203" i="9"/>
  <c r="CR203" i="9"/>
  <c r="C207" i="9"/>
  <c r="D207" i="9"/>
  <c r="E207" i="9"/>
  <c r="F207" i="9"/>
  <c r="G207" i="9"/>
  <c r="H207" i="9"/>
  <c r="I207" i="9"/>
  <c r="J207" i="9"/>
  <c r="K207" i="9"/>
  <c r="L207" i="9"/>
  <c r="M207" i="9"/>
  <c r="N207" i="9"/>
  <c r="O207" i="9"/>
  <c r="P207" i="9"/>
  <c r="Q207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G207" i="9"/>
  <c r="AH207" i="9"/>
  <c r="AI207" i="9"/>
  <c r="AJ207" i="9"/>
  <c r="BF207" i="9"/>
  <c r="BG207" i="9"/>
  <c r="BH207" i="9"/>
  <c r="BI207" i="9"/>
  <c r="BJ207" i="9"/>
  <c r="BK207" i="9"/>
  <c r="BL207" i="9"/>
  <c r="BM207" i="9"/>
  <c r="BN207" i="9"/>
  <c r="BO207" i="9"/>
  <c r="BP207" i="9"/>
  <c r="BQ207" i="9"/>
  <c r="BR207" i="9"/>
  <c r="BS207" i="9"/>
  <c r="BT207" i="9"/>
  <c r="BU207" i="9"/>
  <c r="BV207" i="9"/>
  <c r="BW207" i="9"/>
  <c r="BX207" i="9"/>
  <c r="BY207" i="9"/>
  <c r="BZ207" i="9"/>
  <c r="CA207" i="9"/>
  <c r="CB207" i="9"/>
  <c r="CC207" i="9"/>
  <c r="CD207" i="9"/>
  <c r="CE207" i="9"/>
  <c r="CF207" i="9"/>
  <c r="CG207" i="9"/>
  <c r="CH207" i="9"/>
  <c r="CI207" i="9"/>
  <c r="CM207" i="9"/>
  <c r="CN207" i="9"/>
  <c r="CO207" i="9"/>
  <c r="CP207" i="9"/>
  <c r="CQ207" i="9"/>
  <c r="CR207" i="9"/>
  <c r="C264" i="9"/>
  <c r="D264" i="9"/>
  <c r="E264" i="9"/>
  <c r="F264" i="9"/>
  <c r="G264" i="9"/>
  <c r="H264" i="9"/>
  <c r="I264" i="9"/>
  <c r="J264" i="9"/>
  <c r="K264" i="9"/>
  <c r="L264" i="9"/>
  <c r="M264" i="9"/>
  <c r="N264" i="9"/>
  <c r="O264" i="9"/>
  <c r="P264" i="9"/>
  <c r="Q264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G264" i="9"/>
  <c r="AH264" i="9"/>
  <c r="AI264" i="9"/>
  <c r="AJ264" i="9"/>
  <c r="BF264" i="9"/>
  <c r="BG264" i="9"/>
  <c r="BH264" i="9"/>
  <c r="BI264" i="9"/>
  <c r="BJ264" i="9"/>
  <c r="BK264" i="9"/>
  <c r="BL264" i="9"/>
  <c r="BM264" i="9"/>
  <c r="BN264" i="9"/>
  <c r="BO264" i="9"/>
  <c r="BP264" i="9"/>
  <c r="BQ264" i="9"/>
  <c r="BR264" i="9"/>
  <c r="BS264" i="9"/>
  <c r="BT264" i="9"/>
  <c r="BU264" i="9"/>
  <c r="BV264" i="9"/>
  <c r="BW264" i="9"/>
  <c r="BX264" i="9"/>
  <c r="BY264" i="9"/>
  <c r="BZ264" i="9"/>
  <c r="CA264" i="9"/>
  <c r="CB264" i="9"/>
  <c r="CC264" i="9"/>
  <c r="CD264" i="9"/>
  <c r="CE264" i="9"/>
  <c r="CF264" i="9"/>
  <c r="CG264" i="9"/>
  <c r="CH264" i="9"/>
  <c r="CI264" i="9"/>
  <c r="CM264" i="9"/>
  <c r="CN264" i="9"/>
  <c r="CO264" i="9"/>
  <c r="CP264" i="9"/>
  <c r="CQ264" i="9"/>
  <c r="CR264" i="9"/>
  <c r="C268" i="9"/>
  <c r="D268" i="9"/>
  <c r="E268" i="9"/>
  <c r="F268" i="9"/>
  <c r="G268" i="9"/>
  <c r="H268" i="9"/>
  <c r="I268" i="9"/>
  <c r="J268" i="9"/>
  <c r="K268" i="9"/>
  <c r="L268" i="9"/>
  <c r="M268" i="9"/>
  <c r="N268" i="9"/>
  <c r="O268" i="9"/>
  <c r="P268" i="9"/>
  <c r="Q268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G268" i="9"/>
  <c r="BD268" i="9" s="1"/>
  <c r="AH268" i="9"/>
  <c r="AI268" i="9"/>
  <c r="AJ268" i="9"/>
  <c r="BF268" i="9"/>
  <c r="BG268" i="9"/>
  <c r="BH268" i="9"/>
  <c r="BI268" i="9"/>
  <c r="BJ268" i="9"/>
  <c r="BK268" i="9"/>
  <c r="BL268" i="9"/>
  <c r="BM268" i="9"/>
  <c r="BN268" i="9"/>
  <c r="BO268" i="9"/>
  <c r="BP268" i="9"/>
  <c r="BQ268" i="9"/>
  <c r="BR268" i="9"/>
  <c r="BS268" i="9"/>
  <c r="BT268" i="9"/>
  <c r="BU268" i="9"/>
  <c r="BV268" i="9"/>
  <c r="BW268" i="9"/>
  <c r="BX268" i="9"/>
  <c r="BY268" i="9"/>
  <c r="BZ268" i="9"/>
  <c r="CA268" i="9"/>
  <c r="CB268" i="9"/>
  <c r="CC268" i="9"/>
  <c r="CD268" i="9"/>
  <c r="CE268" i="9"/>
  <c r="CF268" i="9"/>
  <c r="CG268" i="9"/>
  <c r="CH268" i="9"/>
  <c r="CI268" i="9"/>
  <c r="CM268" i="9"/>
  <c r="CN268" i="9"/>
  <c r="CO268" i="9"/>
  <c r="CP268" i="9"/>
  <c r="CQ268" i="9"/>
  <c r="CR268" i="9"/>
  <c r="C273" i="9"/>
  <c r="D273" i="9"/>
  <c r="E273" i="9"/>
  <c r="F273" i="9"/>
  <c r="G273" i="9"/>
  <c r="H273" i="9"/>
  <c r="I273" i="9"/>
  <c r="J273" i="9"/>
  <c r="K273" i="9"/>
  <c r="L273" i="9"/>
  <c r="M273" i="9"/>
  <c r="N273" i="9"/>
  <c r="O273" i="9"/>
  <c r="P273" i="9"/>
  <c r="Q273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G273" i="9"/>
  <c r="AH273" i="9"/>
  <c r="AI273" i="9"/>
  <c r="AJ273" i="9"/>
  <c r="BF273" i="9"/>
  <c r="BG273" i="9"/>
  <c r="BH273" i="9"/>
  <c r="BI273" i="9"/>
  <c r="BJ273" i="9"/>
  <c r="BK273" i="9"/>
  <c r="BL273" i="9"/>
  <c r="BM273" i="9"/>
  <c r="BN273" i="9"/>
  <c r="BO273" i="9"/>
  <c r="BP273" i="9"/>
  <c r="BQ273" i="9"/>
  <c r="BR273" i="9"/>
  <c r="BS273" i="9"/>
  <c r="BT273" i="9"/>
  <c r="BU273" i="9"/>
  <c r="BV273" i="9"/>
  <c r="BW273" i="9"/>
  <c r="BX273" i="9"/>
  <c r="BY273" i="9"/>
  <c r="BZ273" i="9"/>
  <c r="CA273" i="9"/>
  <c r="CB273" i="9"/>
  <c r="CC273" i="9"/>
  <c r="CD273" i="9"/>
  <c r="CE273" i="9"/>
  <c r="CF273" i="9"/>
  <c r="CG273" i="9"/>
  <c r="CH273" i="9"/>
  <c r="CI273" i="9"/>
  <c r="CM273" i="9"/>
  <c r="CN273" i="9"/>
  <c r="CO273" i="9"/>
  <c r="CP273" i="9"/>
  <c r="CQ273" i="9"/>
  <c r="CR273" i="9"/>
  <c r="C279" i="9"/>
  <c r="D279" i="9"/>
  <c r="E279" i="9"/>
  <c r="F279" i="9"/>
  <c r="G279" i="9"/>
  <c r="H279" i="9"/>
  <c r="I279" i="9"/>
  <c r="J279" i="9"/>
  <c r="K279" i="9"/>
  <c r="L279" i="9"/>
  <c r="M279" i="9"/>
  <c r="N279" i="9"/>
  <c r="O279" i="9"/>
  <c r="P279" i="9"/>
  <c r="Q279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G279" i="9"/>
  <c r="AH279" i="9"/>
  <c r="AI279" i="9"/>
  <c r="AJ279" i="9"/>
  <c r="BF279" i="9"/>
  <c r="BG279" i="9"/>
  <c r="BH279" i="9"/>
  <c r="BI279" i="9"/>
  <c r="BJ279" i="9"/>
  <c r="BK279" i="9"/>
  <c r="BL279" i="9"/>
  <c r="BM279" i="9"/>
  <c r="BN279" i="9"/>
  <c r="BO279" i="9"/>
  <c r="BP279" i="9"/>
  <c r="BQ279" i="9"/>
  <c r="BR279" i="9"/>
  <c r="BS279" i="9"/>
  <c r="BT279" i="9"/>
  <c r="BU279" i="9"/>
  <c r="BV279" i="9"/>
  <c r="BW279" i="9"/>
  <c r="BX279" i="9"/>
  <c r="BY279" i="9"/>
  <c r="BZ279" i="9"/>
  <c r="CA279" i="9"/>
  <c r="CB279" i="9"/>
  <c r="CC279" i="9"/>
  <c r="CD279" i="9"/>
  <c r="CE279" i="9"/>
  <c r="CF279" i="9"/>
  <c r="CG279" i="9"/>
  <c r="CH279" i="9"/>
  <c r="CI279" i="9"/>
  <c r="CM279" i="9"/>
  <c r="CN279" i="9"/>
  <c r="CO279" i="9"/>
  <c r="CP279" i="9"/>
  <c r="CQ279" i="9"/>
  <c r="CR279" i="9"/>
  <c r="C284" i="9"/>
  <c r="D284" i="9"/>
  <c r="E284" i="9"/>
  <c r="F284" i="9"/>
  <c r="G284" i="9"/>
  <c r="H284" i="9"/>
  <c r="I284" i="9"/>
  <c r="J284" i="9"/>
  <c r="K284" i="9"/>
  <c r="L284" i="9"/>
  <c r="M284" i="9"/>
  <c r="N284" i="9"/>
  <c r="O284" i="9"/>
  <c r="P284" i="9"/>
  <c r="Q284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G284" i="9"/>
  <c r="AH284" i="9"/>
  <c r="AI284" i="9"/>
  <c r="AJ284" i="9"/>
  <c r="BF284" i="9"/>
  <c r="BG284" i="9"/>
  <c r="BH284" i="9"/>
  <c r="BI284" i="9"/>
  <c r="BJ284" i="9"/>
  <c r="BK284" i="9"/>
  <c r="BL284" i="9"/>
  <c r="BM284" i="9"/>
  <c r="BN284" i="9"/>
  <c r="BO284" i="9"/>
  <c r="BP284" i="9"/>
  <c r="BQ284" i="9"/>
  <c r="BR284" i="9"/>
  <c r="BS284" i="9"/>
  <c r="BT284" i="9"/>
  <c r="BU284" i="9"/>
  <c r="BV284" i="9"/>
  <c r="BW284" i="9"/>
  <c r="BX284" i="9"/>
  <c r="BY284" i="9"/>
  <c r="BZ284" i="9"/>
  <c r="CA284" i="9"/>
  <c r="CB284" i="9"/>
  <c r="CC284" i="9"/>
  <c r="CD284" i="9"/>
  <c r="CE284" i="9"/>
  <c r="CF284" i="9"/>
  <c r="CG284" i="9"/>
  <c r="CH284" i="9"/>
  <c r="CI284" i="9"/>
  <c r="CM284" i="9"/>
  <c r="CN284" i="9"/>
  <c r="CO284" i="9"/>
  <c r="CP284" i="9"/>
  <c r="CQ284" i="9"/>
  <c r="CR284" i="9"/>
  <c r="C292" i="9"/>
  <c r="D292" i="9"/>
  <c r="E292" i="9"/>
  <c r="F292" i="9"/>
  <c r="G292" i="9"/>
  <c r="H292" i="9"/>
  <c r="I292" i="9"/>
  <c r="J292" i="9"/>
  <c r="K292" i="9"/>
  <c r="L292" i="9"/>
  <c r="M292" i="9"/>
  <c r="N292" i="9"/>
  <c r="O292" i="9"/>
  <c r="P292" i="9"/>
  <c r="Q292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G292" i="9"/>
  <c r="BD292" i="9" s="1"/>
  <c r="AH292" i="9"/>
  <c r="AI292" i="9"/>
  <c r="AJ292" i="9"/>
  <c r="BF292" i="9"/>
  <c r="BG292" i="9"/>
  <c r="BH292" i="9"/>
  <c r="BI292" i="9"/>
  <c r="BJ292" i="9"/>
  <c r="BK292" i="9"/>
  <c r="BL292" i="9"/>
  <c r="BM292" i="9"/>
  <c r="BN292" i="9"/>
  <c r="BO292" i="9"/>
  <c r="BP292" i="9"/>
  <c r="BQ292" i="9"/>
  <c r="BR292" i="9"/>
  <c r="BS292" i="9"/>
  <c r="BT292" i="9"/>
  <c r="BU292" i="9"/>
  <c r="BV292" i="9"/>
  <c r="BW292" i="9"/>
  <c r="BX292" i="9"/>
  <c r="BY292" i="9"/>
  <c r="BZ292" i="9"/>
  <c r="CA292" i="9"/>
  <c r="CB292" i="9"/>
  <c r="CC292" i="9"/>
  <c r="CD292" i="9"/>
  <c r="CE292" i="9"/>
  <c r="CF292" i="9"/>
  <c r="CG292" i="9"/>
  <c r="CH292" i="9"/>
  <c r="CI292" i="9"/>
  <c r="CM292" i="9"/>
  <c r="CN292" i="9"/>
  <c r="CO292" i="9"/>
  <c r="CP292" i="9"/>
  <c r="CQ292" i="9"/>
  <c r="CR292" i="9"/>
  <c r="C297" i="9"/>
  <c r="D297" i="9"/>
  <c r="E297" i="9"/>
  <c r="F297" i="9"/>
  <c r="G297" i="9"/>
  <c r="H297" i="9"/>
  <c r="I297" i="9"/>
  <c r="J297" i="9"/>
  <c r="K297" i="9"/>
  <c r="L297" i="9"/>
  <c r="M297" i="9"/>
  <c r="N297" i="9"/>
  <c r="O297" i="9"/>
  <c r="P297" i="9"/>
  <c r="Q297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G297" i="9"/>
  <c r="AH297" i="9"/>
  <c r="AI297" i="9"/>
  <c r="AJ297" i="9"/>
  <c r="BF297" i="9"/>
  <c r="BG297" i="9"/>
  <c r="BH297" i="9"/>
  <c r="BI297" i="9"/>
  <c r="BJ297" i="9"/>
  <c r="BK297" i="9"/>
  <c r="BL297" i="9"/>
  <c r="BM297" i="9"/>
  <c r="BN297" i="9"/>
  <c r="BO297" i="9"/>
  <c r="BP297" i="9"/>
  <c r="BQ297" i="9"/>
  <c r="BR297" i="9"/>
  <c r="BS297" i="9"/>
  <c r="BT297" i="9"/>
  <c r="BU297" i="9"/>
  <c r="BV297" i="9"/>
  <c r="BW297" i="9"/>
  <c r="BX297" i="9"/>
  <c r="BY297" i="9"/>
  <c r="BZ297" i="9"/>
  <c r="CA297" i="9"/>
  <c r="CB297" i="9"/>
  <c r="CC297" i="9"/>
  <c r="CD297" i="9"/>
  <c r="CE297" i="9"/>
  <c r="CF297" i="9"/>
  <c r="CG297" i="9"/>
  <c r="CH297" i="9"/>
  <c r="CI297" i="9"/>
  <c r="CM297" i="9"/>
  <c r="CN297" i="9"/>
  <c r="CO297" i="9"/>
  <c r="CP297" i="9"/>
  <c r="CQ297" i="9"/>
  <c r="CR297" i="9"/>
  <c r="C170" i="9"/>
  <c r="D170" i="9"/>
  <c r="E170" i="9"/>
  <c r="F170" i="9"/>
  <c r="G170" i="9"/>
  <c r="H170" i="9"/>
  <c r="I170" i="9"/>
  <c r="J170" i="9"/>
  <c r="K170" i="9"/>
  <c r="L170" i="9"/>
  <c r="M170" i="9"/>
  <c r="N170" i="9"/>
  <c r="O170" i="9"/>
  <c r="P170" i="9"/>
  <c r="Q170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G170" i="9"/>
  <c r="AH170" i="9"/>
  <c r="AI170" i="9"/>
  <c r="AJ170" i="9"/>
  <c r="BF170" i="9"/>
  <c r="BG170" i="9"/>
  <c r="BH170" i="9"/>
  <c r="BI170" i="9"/>
  <c r="BJ170" i="9"/>
  <c r="BK170" i="9"/>
  <c r="BL170" i="9"/>
  <c r="BM170" i="9"/>
  <c r="BN170" i="9"/>
  <c r="BO170" i="9"/>
  <c r="BP170" i="9"/>
  <c r="BQ170" i="9"/>
  <c r="BR170" i="9"/>
  <c r="BS170" i="9"/>
  <c r="BT170" i="9"/>
  <c r="BU170" i="9"/>
  <c r="BV170" i="9"/>
  <c r="BW170" i="9"/>
  <c r="BX170" i="9"/>
  <c r="BY170" i="9"/>
  <c r="BZ170" i="9"/>
  <c r="CA170" i="9"/>
  <c r="CB170" i="9"/>
  <c r="CC170" i="9"/>
  <c r="CD170" i="9"/>
  <c r="CE170" i="9"/>
  <c r="CF170" i="9"/>
  <c r="CG170" i="9"/>
  <c r="CH170" i="9"/>
  <c r="CI170" i="9"/>
  <c r="CM170" i="9"/>
  <c r="CN170" i="9"/>
  <c r="CO170" i="9"/>
  <c r="CP170" i="9"/>
  <c r="CQ170" i="9"/>
  <c r="CR170" i="9"/>
  <c r="C174" i="9"/>
  <c r="D174" i="9"/>
  <c r="E174" i="9"/>
  <c r="F174" i="9"/>
  <c r="G174" i="9"/>
  <c r="H174" i="9"/>
  <c r="I174" i="9"/>
  <c r="J174" i="9"/>
  <c r="K174" i="9"/>
  <c r="L174" i="9"/>
  <c r="M174" i="9"/>
  <c r="N174" i="9"/>
  <c r="O174" i="9"/>
  <c r="P174" i="9"/>
  <c r="Q174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G174" i="9"/>
  <c r="AH174" i="9"/>
  <c r="AI174" i="9"/>
  <c r="AJ174" i="9"/>
  <c r="BF174" i="9"/>
  <c r="BG174" i="9"/>
  <c r="BH174" i="9"/>
  <c r="BI174" i="9"/>
  <c r="BJ174" i="9"/>
  <c r="BK174" i="9"/>
  <c r="BL174" i="9"/>
  <c r="BM174" i="9"/>
  <c r="BN174" i="9"/>
  <c r="BO174" i="9"/>
  <c r="BP174" i="9"/>
  <c r="BQ174" i="9"/>
  <c r="BR174" i="9"/>
  <c r="BS174" i="9"/>
  <c r="BT174" i="9"/>
  <c r="BU174" i="9"/>
  <c r="BV174" i="9"/>
  <c r="BW174" i="9"/>
  <c r="BX174" i="9"/>
  <c r="BY174" i="9"/>
  <c r="BZ174" i="9"/>
  <c r="CA174" i="9"/>
  <c r="CB174" i="9"/>
  <c r="CC174" i="9"/>
  <c r="CD174" i="9"/>
  <c r="CE174" i="9"/>
  <c r="CF174" i="9"/>
  <c r="CG174" i="9"/>
  <c r="CH174" i="9"/>
  <c r="CI174" i="9"/>
  <c r="CM174" i="9"/>
  <c r="CN174" i="9"/>
  <c r="CO174" i="9"/>
  <c r="CP174" i="9"/>
  <c r="CQ174" i="9"/>
  <c r="CR174" i="9"/>
  <c r="C178" i="9"/>
  <c r="D178" i="9"/>
  <c r="E178" i="9"/>
  <c r="F178" i="9"/>
  <c r="G178" i="9"/>
  <c r="H178" i="9"/>
  <c r="I178" i="9"/>
  <c r="J178" i="9"/>
  <c r="K178" i="9"/>
  <c r="L178" i="9"/>
  <c r="M178" i="9"/>
  <c r="N178" i="9"/>
  <c r="O178" i="9"/>
  <c r="P178" i="9"/>
  <c r="Q178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G178" i="9"/>
  <c r="BD178" i="9" s="1"/>
  <c r="AH178" i="9"/>
  <c r="AI178" i="9"/>
  <c r="AJ178" i="9"/>
  <c r="BF178" i="9"/>
  <c r="BG178" i="9"/>
  <c r="BH178" i="9"/>
  <c r="BI178" i="9"/>
  <c r="BJ178" i="9"/>
  <c r="BK178" i="9"/>
  <c r="BL178" i="9"/>
  <c r="BM178" i="9"/>
  <c r="BN178" i="9"/>
  <c r="BO178" i="9"/>
  <c r="BP178" i="9"/>
  <c r="BQ178" i="9"/>
  <c r="BR178" i="9"/>
  <c r="BS178" i="9"/>
  <c r="BT178" i="9"/>
  <c r="BU178" i="9"/>
  <c r="BV178" i="9"/>
  <c r="BW178" i="9"/>
  <c r="BX178" i="9"/>
  <c r="BY178" i="9"/>
  <c r="BZ178" i="9"/>
  <c r="CA178" i="9"/>
  <c r="CB178" i="9"/>
  <c r="CC178" i="9"/>
  <c r="CD178" i="9"/>
  <c r="CE178" i="9"/>
  <c r="CF178" i="9"/>
  <c r="CG178" i="9"/>
  <c r="CH178" i="9"/>
  <c r="CI178" i="9"/>
  <c r="CM178" i="9"/>
  <c r="CN178" i="9"/>
  <c r="CO178" i="9"/>
  <c r="CP178" i="9"/>
  <c r="CQ178" i="9"/>
  <c r="CR178" i="9"/>
  <c r="C182" i="9"/>
  <c r="D182" i="9"/>
  <c r="E182" i="9"/>
  <c r="F182" i="9"/>
  <c r="G182" i="9"/>
  <c r="H182" i="9"/>
  <c r="I182" i="9"/>
  <c r="J182" i="9"/>
  <c r="K182" i="9"/>
  <c r="L182" i="9"/>
  <c r="M182" i="9"/>
  <c r="N182" i="9"/>
  <c r="O182" i="9"/>
  <c r="P182" i="9"/>
  <c r="Q182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G182" i="9"/>
  <c r="AH182" i="9"/>
  <c r="AI182" i="9"/>
  <c r="AJ182" i="9"/>
  <c r="BF182" i="9"/>
  <c r="BG182" i="9"/>
  <c r="BH182" i="9"/>
  <c r="BI182" i="9"/>
  <c r="BJ182" i="9"/>
  <c r="BK182" i="9"/>
  <c r="BL182" i="9"/>
  <c r="BM182" i="9"/>
  <c r="BN182" i="9"/>
  <c r="BO182" i="9"/>
  <c r="BP182" i="9"/>
  <c r="BQ182" i="9"/>
  <c r="BR182" i="9"/>
  <c r="BS182" i="9"/>
  <c r="BT182" i="9"/>
  <c r="BU182" i="9"/>
  <c r="BV182" i="9"/>
  <c r="BW182" i="9"/>
  <c r="BX182" i="9"/>
  <c r="BY182" i="9"/>
  <c r="BZ182" i="9"/>
  <c r="CA182" i="9"/>
  <c r="CB182" i="9"/>
  <c r="CC182" i="9"/>
  <c r="CD182" i="9"/>
  <c r="CE182" i="9"/>
  <c r="CF182" i="9"/>
  <c r="CG182" i="9"/>
  <c r="CH182" i="9"/>
  <c r="CI182" i="9"/>
  <c r="CM182" i="9"/>
  <c r="CN182" i="9"/>
  <c r="CO182" i="9"/>
  <c r="CP182" i="9"/>
  <c r="CQ182" i="9"/>
  <c r="CR182" i="9"/>
  <c r="C186" i="9"/>
  <c r="D186" i="9"/>
  <c r="E186" i="9"/>
  <c r="F186" i="9"/>
  <c r="G186" i="9"/>
  <c r="H186" i="9"/>
  <c r="I186" i="9"/>
  <c r="J186" i="9"/>
  <c r="K186" i="9"/>
  <c r="L186" i="9"/>
  <c r="M186" i="9"/>
  <c r="N186" i="9"/>
  <c r="O186" i="9"/>
  <c r="P186" i="9"/>
  <c r="Q186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G186" i="9"/>
  <c r="AH186" i="9"/>
  <c r="AI186" i="9"/>
  <c r="AJ186" i="9"/>
  <c r="BF186" i="9"/>
  <c r="BG186" i="9"/>
  <c r="BH186" i="9"/>
  <c r="BI186" i="9"/>
  <c r="BJ186" i="9"/>
  <c r="BK186" i="9"/>
  <c r="BL186" i="9"/>
  <c r="BM186" i="9"/>
  <c r="BN186" i="9"/>
  <c r="BO186" i="9"/>
  <c r="BP186" i="9"/>
  <c r="BQ186" i="9"/>
  <c r="BR186" i="9"/>
  <c r="BS186" i="9"/>
  <c r="BT186" i="9"/>
  <c r="BU186" i="9"/>
  <c r="BV186" i="9"/>
  <c r="BW186" i="9"/>
  <c r="BX186" i="9"/>
  <c r="BY186" i="9"/>
  <c r="BZ186" i="9"/>
  <c r="CA186" i="9"/>
  <c r="CB186" i="9"/>
  <c r="CC186" i="9"/>
  <c r="CD186" i="9"/>
  <c r="CE186" i="9"/>
  <c r="CF186" i="9"/>
  <c r="CG186" i="9"/>
  <c r="CH186" i="9"/>
  <c r="CI186" i="9"/>
  <c r="CM186" i="9"/>
  <c r="CN186" i="9"/>
  <c r="CO186" i="9"/>
  <c r="CP186" i="9"/>
  <c r="CQ186" i="9"/>
  <c r="CR186" i="9"/>
  <c r="C190" i="9"/>
  <c r="D190" i="9"/>
  <c r="E190" i="9"/>
  <c r="F190" i="9"/>
  <c r="G190" i="9"/>
  <c r="H190" i="9"/>
  <c r="I190" i="9"/>
  <c r="J190" i="9"/>
  <c r="K190" i="9"/>
  <c r="L190" i="9"/>
  <c r="M190" i="9"/>
  <c r="N190" i="9"/>
  <c r="O190" i="9"/>
  <c r="P190" i="9"/>
  <c r="Q190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G190" i="9"/>
  <c r="AH190" i="9"/>
  <c r="AI190" i="9"/>
  <c r="AJ190" i="9"/>
  <c r="BF190" i="9"/>
  <c r="BG190" i="9"/>
  <c r="BH190" i="9"/>
  <c r="BI190" i="9"/>
  <c r="BJ190" i="9"/>
  <c r="BK190" i="9"/>
  <c r="BL190" i="9"/>
  <c r="BM190" i="9"/>
  <c r="BN190" i="9"/>
  <c r="BO190" i="9"/>
  <c r="BP190" i="9"/>
  <c r="BQ190" i="9"/>
  <c r="BR190" i="9"/>
  <c r="BS190" i="9"/>
  <c r="BT190" i="9"/>
  <c r="BU190" i="9"/>
  <c r="BV190" i="9"/>
  <c r="BW190" i="9"/>
  <c r="BX190" i="9"/>
  <c r="BY190" i="9"/>
  <c r="BZ190" i="9"/>
  <c r="CA190" i="9"/>
  <c r="CB190" i="9"/>
  <c r="CC190" i="9"/>
  <c r="CD190" i="9"/>
  <c r="CE190" i="9"/>
  <c r="CF190" i="9"/>
  <c r="CG190" i="9"/>
  <c r="CH190" i="9"/>
  <c r="CI190" i="9"/>
  <c r="CM190" i="9"/>
  <c r="CN190" i="9"/>
  <c r="CO190" i="9"/>
  <c r="CP190" i="9"/>
  <c r="CQ190" i="9"/>
  <c r="CR190" i="9"/>
  <c r="C194" i="9"/>
  <c r="D194" i="9"/>
  <c r="E194" i="9"/>
  <c r="F194" i="9"/>
  <c r="G194" i="9"/>
  <c r="H194" i="9"/>
  <c r="I194" i="9"/>
  <c r="J194" i="9"/>
  <c r="K194" i="9"/>
  <c r="L194" i="9"/>
  <c r="M194" i="9"/>
  <c r="N194" i="9"/>
  <c r="O194" i="9"/>
  <c r="P194" i="9"/>
  <c r="Q194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G194" i="9"/>
  <c r="BD194" i="9" s="1"/>
  <c r="AH194" i="9"/>
  <c r="AI194" i="9"/>
  <c r="AJ194" i="9"/>
  <c r="BF194" i="9"/>
  <c r="BG194" i="9"/>
  <c r="BH194" i="9"/>
  <c r="BI194" i="9"/>
  <c r="BJ194" i="9"/>
  <c r="BK194" i="9"/>
  <c r="BL194" i="9"/>
  <c r="BM194" i="9"/>
  <c r="BN194" i="9"/>
  <c r="BO194" i="9"/>
  <c r="BP194" i="9"/>
  <c r="BQ194" i="9"/>
  <c r="BR194" i="9"/>
  <c r="BS194" i="9"/>
  <c r="BT194" i="9"/>
  <c r="BU194" i="9"/>
  <c r="BV194" i="9"/>
  <c r="BW194" i="9"/>
  <c r="BX194" i="9"/>
  <c r="BY194" i="9"/>
  <c r="BZ194" i="9"/>
  <c r="CA194" i="9"/>
  <c r="CB194" i="9"/>
  <c r="CC194" i="9"/>
  <c r="CD194" i="9"/>
  <c r="CE194" i="9"/>
  <c r="CF194" i="9"/>
  <c r="CG194" i="9"/>
  <c r="CH194" i="9"/>
  <c r="CI194" i="9"/>
  <c r="CM194" i="9"/>
  <c r="CN194" i="9"/>
  <c r="CO194" i="9"/>
  <c r="CP194" i="9"/>
  <c r="CQ194" i="9"/>
  <c r="CR194" i="9"/>
  <c r="C200" i="9"/>
  <c r="D200" i="9"/>
  <c r="E200" i="9"/>
  <c r="F200" i="9"/>
  <c r="G200" i="9"/>
  <c r="H200" i="9"/>
  <c r="I200" i="9"/>
  <c r="J200" i="9"/>
  <c r="K200" i="9"/>
  <c r="L200" i="9"/>
  <c r="M200" i="9"/>
  <c r="N200" i="9"/>
  <c r="O200" i="9"/>
  <c r="P200" i="9"/>
  <c r="Q200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G200" i="9"/>
  <c r="AH200" i="9"/>
  <c r="AI200" i="9"/>
  <c r="AJ200" i="9"/>
  <c r="BF200" i="9"/>
  <c r="BG200" i="9"/>
  <c r="BH200" i="9"/>
  <c r="BI200" i="9"/>
  <c r="BJ200" i="9"/>
  <c r="BK200" i="9"/>
  <c r="BL200" i="9"/>
  <c r="BM200" i="9"/>
  <c r="BN200" i="9"/>
  <c r="BO200" i="9"/>
  <c r="BP200" i="9"/>
  <c r="BQ200" i="9"/>
  <c r="BR200" i="9"/>
  <c r="BS200" i="9"/>
  <c r="BT200" i="9"/>
  <c r="BU200" i="9"/>
  <c r="BV200" i="9"/>
  <c r="BW200" i="9"/>
  <c r="BX200" i="9"/>
  <c r="BY200" i="9"/>
  <c r="BZ200" i="9"/>
  <c r="CA200" i="9"/>
  <c r="CB200" i="9"/>
  <c r="CC200" i="9"/>
  <c r="CD200" i="9"/>
  <c r="CE200" i="9"/>
  <c r="CF200" i="9"/>
  <c r="CG200" i="9"/>
  <c r="CH200" i="9"/>
  <c r="CI200" i="9"/>
  <c r="CM200" i="9"/>
  <c r="CN200" i="9"/>
  <c r="CO200" i="9"/>
  <c r="CP200" i="9"/>
  <c r="CQ200" i="9"/>
  <c r="CR200" i="9"/>
  <c r="C204" i="9"/>
  <c r="D204" i="9"/>
  <c r="E204" i="9"/>
  <c r="F204" i="9"/>
  <c r="G204" i="9"/>
  <c r="H204" i="9"/>
  <c r="I204" i="9"/>
  <c r="J204" i="9"/>
  <c r="K204" i="9"/>
  <c r="L204" i="9"/>
  <c r="M204" i="9"/>
  <c r="N204" i="9"/>
  <c r="O204" i="9"/>
  <c r="P204" i="9"/>
  <c r="Q204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G204" i="9"/>
  <c r="AH204" i="9"/>
  <c r="AI204" i="9"/>
  <c r="AJ204" i="9"/>
  <c r="BF204" i="9"/>
  <c r="BG204" i="9"/>
  <c r="BH204" i="9"/>
  <c r="BI204" i="9"/>
  <c r="BJ204" i="9"/>
  <c r="BK204" i="9"/>
  <c r="BL204" i="9"/>
  <c r="BM204" i="9"/>
  <c r="BN204" i="9"/>
  <c r="BO204" i="9"/>
  <c r="BP204" i="9"/>
  <c r="BQ204" i="9"/>
  <c r="BR204" i="9"/>
  <c r="BS204" i="9"/>
  <c r="BT204" i="9"/>
  <c r="BU204" i="9"/>
  <c r="BV204" i="9"/>
  <c r="BW204" i="9"/>
  <c r="BX204" i="9"/>
  <c r="BY204" i="9"/>
  <c r="BZ204" i="9"/>
  <c r="CA204" i="9"/>
  <c r="CB204" i="9"/>
  <c r="CC204" i="9"/>
  <c r="CD204" i="9"/>
  <c r="CE204" i="9"/>
  <c r="CF204" i="9"/>
  <c r="CG204" i="9"/>
  <c r="CH204" i="9"/>
  <c r="CI204" i="9"/>
  <c r="CM204" i="9"/>
  <c r="CN204" i="9"/>
  <c r="CO204" i="9"/>
  <c r="CP204" i="9"/>
  <c r="CQ204" i="9"/>
  <c r="CR204" i="9"/>
  <c r="C208" i="9"/>
  <c r="D208" i="9"/>
  <c r="E208" i="9"/>
  <c r="F208" i="9"/>
  <c r="G208" i="9"/>
  <c r="H208" i="9"/>
  <c r="I208" i="9"/>
  <c r="J208" i="9"/>
  <c r="K208" i="9"/>
  <c r="L208" i="9"/>
  <c r="M208" i="9"/>
  <c r="N208" i="9"/>
  <c r="O208" i="9"/>
  <c r="P208" i="9"/>
  <c r="Q208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G208" i="9"/>
  <c r="AH208" i="9"/>
  <c r="AI208" i="9"/>
  <c r="AJ208" i="9"/>
  <c r="BF208" i="9"/>
  <c r="BG208" i="9"/>
  <c r="BH208" i="9"/>
  <c r="BI208" i="9"/>
  <c r="BJ208" i="9"/>
  <c r="BK208" i="9"/>
  <c r="BL208" i="9"/>
  <c r="BM208" i="9"/>
  <c r="BN208" i="9"/>
  <c r="BO208" i="9"/>
  <c r="BP208" i="9"/>
  <c r="BQ208" i="9"/>
  <c r="BR208" i="9"/>
  <c r="BS208" i="9"/>
  <c r="BT208" i="9"/>
  <c r="BU208" i="9"/>
  <c r="BV208" i="9"/>
  <c r="BW208" i="9"/>
  <c r="BX208" i="9"/>
  <c r="BY208" i="9"/>
  <c r="BZ208" i="9"/>
  <c r="CA208" i="9"/>
  <c r="CB208" i="9"/>
  <c r="CC208" i="9"/>
  <c r="CD208" i="9"/>
  <c r="CE208" i="9"/>
  <c r="CF208" i="9"/>
  <c r="CG208" i="9"/>
  <c r="CH208" i="9"/>
  <c r="CI208" i="9"/>
  <c r="CM208" i="9"/>
  <c r="CN208" i="9"/>
  <c r="CO208" i="9"/>
  <c r="CP208" i="9"/>
  <c r="CQ208" i="9"/>
  <c r="CR208" i="9"/>
  <c r="C265" i="9"/>
  <c r="D265" i="9"/>
  <c r="E265" i="9"/>
  <c r="F265" i="9"/>
  <c r="G265" i="9"/>
  <c r="H265" i="9"/>
  <c r="I265" i="9"/>
  <c r="J265" i="9"/>
  <c r="K265" i="9"/>
  <c r="L265" i="9"/>
  <c r="M265" i="9"/>
  <c r="N265" i="9"/>
  <c r="O265" i="9"/>
  <c r="P265" i="9"/>
  <c r="Q265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G265" i="9"/>
  <c r="BD265" i="9" s="1"/>
  <c r="AH265" i="9"/>
  <c r="AI265" i="9"/>
  <c r="AJ265" i="9"/>
  <c r="BF265" i="9"/>
  <c r="BG265" i="9"/>
  <c r="BH265" i="9"/>
  <c r="BI265" i="9"/>
  <c r="BJ265" i="9"/>
  <c r="BK265" i="9"/>
  <c r="BL265" i="9"/>
  <c r="BM265" i="9"/>
  <c r="BN265" i="9"/>
  <c r="BO265" i="9"/>
  <c r="BP265" i="9"/>
  <c r="BQ265" i="9"/>
  <c r="BR265" i="9"/>
  <c r="BS265" i="9"/>
  <c r="BT265" i="9"/>
  <c r="BU265" i="9"/>
  <c r="BV265" i="9"/>
  <c r="BW265" i="9"/>
  <c r="BX265" i="9"/>
  <c r="BY265" i="9"/>
  <c r="BZ265" i="9"/>
  <c r="CA265" i="9"/>
  <c r="CB265" i="9"/>
  <c r="CC265" i="9"/>
  <c r="CD265" i="9"/>
  <c r="CE265" i="9"/>
  <c r="CF265" i="9"/>
  <c r="CG265" i="9"/>
  <c r="CH265" i="9"/>
  <c r="CI265" i="9"/>
  <c r="CM265" i="9"/>
  <c r="CN265" i="9"/>
  <c r="CO265" i="9"/>
  <c r="CP265" i="9"/>
  <c r="CQ265" i="9"/>
  <c r="CR265" i="9"/>
  <c r="C269" i="9"/>
  <c r="D269" i="9"/>
  <c r="E269" i="9"/>
  <c r="F269" i="9"/>
  <c r="G269" i="9"/>
  <c r="H269" i="9"/>
  <c r="I269" i="9"/>
  <c r="J269" i="9"/>
  <c r="K269" i="9"/>
  <c r="L269" i="9"/>
  <c r="M269" i="9"/>
  <c r="N269" i="9"/>
  <c r="O269" i="9"/>
  <c r="P269" i="9"/>
  <c r="Q269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G269" i="9"/>
  <c r="AH269" i="9"/>
  <c r="AI269" i="9"/>
  <c r="AJ269" i="9"/>
  <c r="BF269" i="9"/>
  <c r="BG269" i="9"/>
  <c r="BH269" i="9"/>
  <c r="BI269" i="9"/>
  <c r="BJ269" i="9"/>
  <c r="BK269" i="9"/>
  <c r="BL269" i="9"/>
  <c r="BM269" i="9"/>
  <c r="BN269" i="9"/>
  <c r="BO269" i="9"/>
  <c r="BP269" i="9"/>
  <c r="BQ269" i="9"/>
  <c r="BR269" i="9"/>
  <c r="BS269" i="9"/>
  <c r="BT269" i="9"/>
  <c r="BU269" i="9"/>
  <c r="BV269" i="9"/>
  <c r="BW269" i="9"/>
  <c r="BX269" i="9"/>
  <c r="BY269" i="9"/>
  <c r="BZ269" i="9"/>
  <c r="CA269" i="9"/>
  <c r="CB269" i="9"/>
  <c r="CC269" i="9"/>
  <c r="CD269" i="9"/>
  <c r="CE269" i="9"/>
  <c r="CF269" i="9"/>
  <c r="CG269" i="9"/>
  <c r="CH269" i="9"/>
  <c r="CI269" i="9"/>
  <c r="CM269" i="9"/>
  <c r="CN269" i="9"/>
  <c r="CO269" i="9"/>
  <c r="CP269" i="9"/>
  <c r="CQ269" i="9"/>
  <c r="CR269" i="9"/>
  <c r="C274" i="9"/>
  <c r="D274" i="9"/>
  <c r="E274" i="9"/>
  <c r="F274" i="9"/>
  <c r="G274" i="9"/>
  <c r="H274" i="9"/>
  <c r="I274" i="9"/>
  <c r="J274" i="9"/>
  <c r="K274" i="9"/>
  <c r="L274" i="9"/>
  <c r="M274" i="9"/>
  <c r="N274" i="9"/>
  <c r="O274" i="9"/>
  <c r="P274" i="9"/>
  <c r="Q274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G274" i="9"/>
  <c r="AH274" i="9"/>
  <c r="AI274" i="9"/>
  <c r="AJ274" i="9"/>
  <c r="BF274" i="9"/>
  <c r="BG274" i="9"/>
  <c r="BH274" i="9"/>
  <c r="BI274" i="9"/>
  <c r="BJ274" i="9"/>
  <c r="BK274" i="9"/>
  <c r="BL274" i="9"/>
  <c r="BM274" i="9"/>
  <c r="BN274" i="9"/>
  <c r="BO274" i="9"/>
  <c r="BP274" i="9"/>
  <c r="BQ274" i="9"/>
  <c r="BR274" i="9"/>
  <c r="BS274" i="9"/>
  <c r="BT274" i="9"/>
  <c r="BU274" i="9"/>
  <c r="BV274" i="9"/>
  <c r="BW274" i="9"/>
  <c r="BX274" i="9"/>
  <c r="BY274" i="9"/>
  <c r="BZ274" i="9"/>
  <c r="CA274" i="9"/>
  <c r="CB274" i="9"/>
  <c r="CC274" i="9"/>
  <c r="CD274" i="9"/>
  <c r="CE274" i="9"/>
  <c r="CF274" i="9"/>
  <c r="CG274" i="9"/>
  <c r="CH274" i="9"/>
  <c r="CI274" i="9"/>
  <c r="CM274" i="9"/>
  <c r="CN274" i="9"/>
  <c r="CO274" i="9"/>
  <c r="CP274" i="9"/>
  <c r="CQ274" i="9"/>
  <c r="CR274" i="9"/>
  <c r="C280" i="9"/>
  <c r="D280" i="9"/>
  <c r="E280" i="9"/>
  <c r="F280" i="9"/>
  <c r="G280" i="9"/>
  <c r="H280" i="9"/>
  <c r="I280" i="9"/>
  <c r="J280" i="9"/>
  <c r="K280" i="9"/>
  <c r="L280" i="9"/>
  <c r="M280" i="9"/>
  <c r="N280" i="9"/>
  <c r="O280" i="9"/>
  <c r="P280" i="9"/>
  <c r="Q280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G280" i="9"/>
  <c r="AH280" i="9"/>
  <c r="AI280" i="9"/>
  <c r="AJ280" i="9"/>
  <c r="BF280" i="9"/>
  <c r="BG280" i="9"/>
  <c r="BH280" i="9"/>
  <c r="BI280" i="9"/>
  <c r="BJ280" i="9"/>
  <c r="BK280" i="9"/>
  <c r="BL280" i="9"/>
  <c r="BM280" i="9"/>
  <c r="BN280" i="9"/>
  <c r="BO280" i="9"/>
  <c r="BP280" i="9"/>
  <c r="BQ280" i="9"/>
  <c r="BR280" i="9"/>
  <c r="BS280" i="9"/>
  <c r="BT280" i="9"/>
  <c r="BU280" i="9"/>
  <c r="BV280" i="9"/>
  <c r="BW280" i="9"/>
  <c r="BX280" i="9"/>
  <c r="BY280" i="9"/>
  <c r="BZ280" i="9"/>
  <c r="CA280" i="9"/>
  <c r="CB280" i="9"/>
  <c r="CC280" i="9"/>
  <c r="CD280" i="9"/>
  <c r="CE280" i="9"/>
  <c r="CF280" i="9"/>
  <c r="CG280" i="9"/>
  <c r="CH280" i="9"/>
  <c r="CI280" i="9"/>
  <c r="CM280" i="9"/>
  <c r="CN280" i="9"/>
  <c r="CO280" i="9"/>
  <c r="CP280" i="9"/>
  <c r="CQ280" i="9"/>
  <c r="CR280" i="9"/>
  <c r="C285" i="9"/>
  <c r="D285" i="9"/>
  <c r="E285" i="9"/>
  <c r="F285" i="9"/>
  <c r="G285" i="9"/>
  <c r="H285" i="9"/>
  <c r="I285" i="9"/>
  <c r="J285" i="9"/>
  <c r="K285" i="9"/>
  <c r="L285" i="9"/>
  <c r="M285" i="9"/>
  <c r="N285" i="9"/>
  <c r="O285" i="9"/>
  <c r="P285" i="9"/>
  <c r="Q285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G285" i="9"/>
  <c r="BD285" i="9" s="1"/>
  <c r="AH285" i="9"/>
  <c r="AI285" i="9"/>
  <c r="AJ285" i="9"/>
  <c r="BF285" i="9"/>
  <c r="BG285" i="9"/>
  <c r="BH285" i="9"/>
  <c r="BI285" i="9"/>
  <c r="BJ285" i="9"/>
  <c r="BK285" i="9"/>
  <c r="BL285" i="9"/>
  <c r="BM285" i="9"/>
  <c r="BN285" i="9"/>
  <c r="BO285" i="9"/>
  <c r="BP285" i="9"/>
  <c r="BQ285" i="9"/>
  <c r="BR285" i="9"/>
  <c r="BS285" i="9"/>
  <c r="BT285" i="9"/>
  <c r="BU285" i="9"/>
  <c r="BV285" i="9"/>
  <c r="BW285" i="9"/>
  <c r="BX285" i="9"/>
  <c r="BY285" i="9"/>
  <c r="BZ285" i="9"/>
  <c r="CA285" i="9"/>
  <c r="CB285" i="9"/>
  <c r="CC285" i="9"/>
  <c r="CD285" i="9"/>
  <c r="CE285" i="9"/>
  <c r="CF285" i="9"/>
  <c r="CG285" i="9"/>
  <c r="CH285" i="9"/>
  <c r="CI285" i="9"/>
  <c r="CM285" i="9"/>
  <c r="CN285" i="9"/>
  <c r="CO285" i="9"/>
  <c r="CP285" i="9"/>
  <c r="CQ285" i="9"/>
  <c r="CR285" i="9"/>
  <c r="C293" i="9"/>
  <c r="D293" i="9"/>
  <c r="E293" i="9"/>
  <c r="F293" i="9"/>
  <c r="G293" i="9"/>
  <c r="H293" i="9"/>
  <c r="I293" i="9"/>
  <c r="J293" i="9"/>
  <c r="K293" i="9"/>
  <c r="L293" i="9"/>
  <c r="M293" i="9"/>
  <c r="N293" i="9"/>
  <c r="O293" i="9"/>
  <c r="P293" i="9"/>
  <c r="Q293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G293" i="9"/>
  <c r="AH293" i="9"/>
  <c r="AI293" i="9"/>
  <c r="AJ293" i="9"/>
  <c r="BF293" i="9"/>
  <c r="BG293" i="9"/>
  <c r="BH293" i="9"/>
  <c r="BI293" i="9"/>
  <c r="BJ293" i="9"/>
  <c r="BK293" i="9"/>
  <c r="BL293" i="9"/>
  <c r="BM293" i="9"/>
  <c r="BN293" i="9"/>
  <c r="BO293" i="9"/>
  <c r="BP293" i="9"/>
  <c r="BQ293" i="9"/>
  <c r="BR293" i="9"/>
  <c r="BS293" i="9"/>
  <c r="BT293" i="9"/>
  <c r="BU293" i="9"/>
  <c r="BV293" i="9"/>
  <c r="BW293" i="9"/>
  <c r="BX293" i="9"/>
  <c r="BY293" i="9"/>
  <c r="BZ293" i="9"/>
  <c r="CA293" i="9"/>
  <c r="CB293" i="9"/>
  <c r="CC293" i="9"/>
  <c r="CD293" i="9"/>
  <c r="CE293" i="9"/>
  <c r="CF293" i="9"/>
  <c r="CG293" i="9"/>
  <c r="CH293" i="9"/>
  <c r="CI293" i="9"/>
  <c r="CM293" i="9"/>
  <c r="CN293" i="9"/>
  <c r="CO293" i="9"/>
  <c r="CP293" i="9"/>
  <c r="CQ293" i="9"/>
  <c r="CR293" i="9"/>
  <c r="C298" i="9"/>
  <c r="D298" i="9"/>
  <c r="E298" i="9"/>
  <c r="F298" i="9"/>
  <c r="G298" i="9"/>
  <c r="H298" i="9"/>
  <c r="I298" i="9"/>
  <c r="J298" i="9"/>
  <c r="K298" i="9"/>
  <c r="L298" i="9"/>
  <c r="M298" i="9"/>
  <c r="N298" i="9"/>
  <c r="O298" i="9"/>
  <c r="P298" i="9"/>
  <c r="Q298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G298" i="9"/>
  <c r="AH298" i="9"/>
  <c r="AI298" i="9"/>
  <c r="AJ298" i="9"/>
  <c r="BF298" i="9"/>
  <c r="BG298" i="9"/>
  <c r="BH298" i="9"/>
  <c r="BI298" i="9"/>
  <c r="BJ298" i="9"/>
  <c r="BK298" i="9"/>
  <c r="BL298" i="9"/>
  <c r="BM298" i="9"/>
  <c r="BN298" i="9"/>
  <c r="BO298" i="9"/>
  <c r="BP298" i="9"/>
  <c r="BQ298" i="9"/>
  <c r="BR298" i="9"/>
  <c r="BS298" i="9"/>
  <c r="BT298" i="9"/>
  <c r="BU298" i="9"/>
  <c r="BV298" i="9"/>
  <c r="BW298" i="9"/>
  <c r="BX298" i="9"/>
  <c r="BY298" i="9"/>
  <c r="BZ298" i="9"/>
  <c r="CA298" i="9"/>
  <c r="CB298" i="9"/>
  <c r="CC298" i="9"/>
  <c r="CD298" i="9"/>
  <c r="CE298" i="9"/>
  <c r="CF298" i="9"/>
  <c r="CG298" i="9"/>
  <c r="CH298" i="9"/>
  <c r="CI298" i="9"/>
  <c r="CM298" i="9"/>
  <c r="CN298" i="9"/>
  <c r="CO298" i="9"/>
  <c r="CP298" i="9"/>
  <c r="CQ298" i="9"/>
  <c r="CR298" i="9"/>
  <c r="C171" i="9"/>
  <c r="D171" i="9"/>
  <c r="E171" i="9"/>
  <c r="F171" i="9"/>
  <c r="G171" i="9"/>
  <c r="H171" i="9"/>
  <c r="I171" i="9"/>
  <c r="J171" i="9"/>
  <c r="K171" i="9"/>
  <c r="L171" i="9"/>
  <c r="M171" i="9"/>
  <c r="N171" i="9"/>
  <c r="O171" i="9"/>
  <c r="P171" i="9"/>
  <c r="Q171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G171" i="9"/>
  <c r="BD171" i="9" s="1"/>
  <c r="AH171" i="9"/>
  <c r="AI171" i="9"/>
  <c r="AJ171" i="9"/>
  <c r="BF171" i="9"/>
  <c r="BG171" i="9"/>
  <c r="BH171" i="9"/>
  <c r="BI171" i="9"/>
  <c r="BJ171" i="9"/>
  <c r="BK171" i="9"/>
  <c r="BL171" i="9"/>
  <c r="BM171" i="9"/>
  <c r="BN171" i="9"/>
  <c r="BO171" i="9"/>
  <c r="BP171" i="9"/>
  <c r="BQ171" i="9"/>
  <c r="BR171" i="9"/>
  <c r="BS171" i="9"/>
  <c r="BT171" i="9"/>
  <c r="BU171" i="9"/>
  <c r="BV171" i="9"/>
  <c r="BW171" i="9"/>
  <c r="BX171" i="9"/>
  <c r="BY171" i="9"/>
  <c r="BZ171" i="9"/>
  <c r="CA171" i="9"/>
  <c r="CB171" i="9"/>
  <c r="CC171" i="9"/>
  <c r="CD171" i="9"/>
  <c r="CE171" i="9"/>
  <c r="CF171" i="9"/>
  <c r="CG171" i="9"/>
  <c r="CH171" i="9"/>
  <c r="CI171" i="9"/>
  <c r="CM171" i="9"/>
  <c r="CN171" i="9"/>
  <c r="CO171" i="9"/>
  <c r="CP171" i="9"/>
  <c r="CQ171" i="9"/>
  <c r="CR171" i="9"/>
  <c r="C175" i="9"/>
  <c r="D175" i="9"/>
  <c r="E175" i="9"/>
  <c r="F175" i="9"/>
  <c r="G175" i="9"/>
  <c r="H175" i="9"/>
  <c r="I175" i="9"/>
  <c r="J175" i="9"/>
  <c r="K175" i="9"/>
  <c r="L175" i="9"/>
  <c r="M175" i="9"/>
  <c r="N175" i="9"/>
  <c r="O175" i="9"/>
  <c r="P175" i="9"/>
  <c r="Q175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G175" i="9"/>
  <c r="BD175" i="9" s="1"/>
  <c r="AH175" i="9"/>
  <c r="AI175" i="9"/>
  <c r="AJ175" i="9"/>
  <c r="BF175" i="9"/>
  <c r="BG175" i="9"/>
  <c r="BH175" i="9"/>
  <c r="BI175" i="9"/>
  <c r="BJ175" i="9"/>
  <c r="BK175" i="9"/>
  <c r="BL175" i="9"/>
  <c r="BM175" i="9"/>
  <c r="BN175" i="9"/>
  <c r="BO175" i="9"/>
  <c r="BP175" i="9"/>
  <c r="BQ175" i="9"/>
  <c r="BR175" i="9"/>
  <c r="BS175" i="9"/>
  <c r="BT175" i="9"/>
  <c r="BU175" i="9"/>
  <c r="BV175" i="9"/>
  <c r="BW175" i="9"/>
  <c r="BX175" i="9"/>
  <c r="BY175" i="9"/>
  <c r="BZ175" i="9"/>
  <c r="CA175" i="9"/>
  <c r="CB175" i="9"/>
  <c r="CC175" i="9"/>
  <c r="CD175" i="9"/>
  <c r="CE175" i="9"/>
  <c r="CF175" i="9"/>
  <c r="CG175" i="9"/>
  <c r="CH175" i="9"/>
  <c r="CI175" i="9"/>
  <c r="CM175" i="9"/>
  <c r="CN175" i="9"/>
  <c r="CO175" i="9"/>
  <c r="CP175" i="9"/>
  <c r="CQ175" i="9"/>
  <c r="CR175" i="9"/>
  <c r="C179" i="9"/>
  <c r="D179" i="9"/>
  <c r="E179" i="9"/>
  <c r="F179" i="9"/>
  <c r="G179" i="9"/>
  <c r="H179" i="9"/>
  <c r="I179" i="9"/>
  <c r="J179" i="9"/>
  <c r="K179" i="9"/>
  <c r="L179" i="9"/>
  <c r="M179" i="9"/>
  <c r="N179" i="9"/>
  <c r="O179" i="9"/>
  <c r="P179" i="9"/>
  <c r="Q179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G179" i="9"/>
  <c r="AH179" i="9"/>
  <c r="AI179" i="9"/>
  <c r="AJ179" i="9"/>
  <c r="BF179" i="9"/>
  <c r="BG179" i="9"/>
  <c r="BH179" i="9"/>
  <c r="BI179" i="9"/>
  <c r="BJ179" i="9"/>
  <c r="BK179" i="9"/>
  <c r="BL179" i="9"/>
  <c r="BM179" i="9"/>
  <c r="BN179" i="9"/>
  <c r="BO179" i="9"/>
  <c r="BP179" i="9"/>
  <c r="BQ179" i="9"/>
  <c r="BR179" i="9"/>
  <c r="BS179" i="9"/>
  <c r="BT179" i="9"/>
  <c r="BU179" i="9"/>
  <c r="BV179" i="9"/>
  <c r="BW179" i="9"/>
  <c r="BX179" i="9"/>
  <c r="BY179" i="9"/>
  <c r="BZ179" i="9"/>
  <c r="CA179" i="9"/>
  <c r="CB179" i="9"/>
  <c r="CC179" i="9"/>
  <c r="CD179" i="9"/>
  <c r="CE179" i="9"/>
  <c r="CF179" i="9"/>
  <c r="CG179" i="9"/>
  <c r="CH179" i="9"/>
  <c r="CI179" i="9"/>
  <c r="CM179" i="9"/>
  <c r="CN179" i="9"/>
  <c r="CO179" i="9"/>
  <c r="CP179" i="9"/>
  <c r="CQ179" i="9"/>
  <c r="CR179" i="9"/>
  <c r="C183" i="9"/>
  <c r="D183" i="9"/>
  <c r="E183" i="9"/>
  <c r="F183" i="9"/>
  <c r="G183" i="9"/>
  <c r="H183" i="9"/>
  <c r="I183" i="9"/>
  <c r="J183" i="9"/>
  <c r="K183" i="9"/>
  <c r="L183" i="9"/>
  <c r="M183" i="9"/>
  <c r="N183" i="9"/>
  <c r="O183" i="9"/>
  <c r="P183" i="9"/>
  <c r="Q183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G183" i="9"/>
  <c r="AH183" i="9"/>
  <c r="AI183" i="9"/>
  <c r="AJ183" i="9"/>
  <c r="BF183" i="9"/>
  <c r="BG183" i="9"/>
  <c r="BH183" i="9"/>
  <c r="BI183" i="9"/>
  <c r="BJ183" i="9"/>
  <c r="BK183" i="9"/>
  <c r="BL183" i="9"/>
  <c r="BM183" i="9"/>
  <c r="BN183" i="9"/>
  <c r="BO183" i="9"/>
  <c r="BP183" i="9"/>
  <c r="BQ183" i="9"/>
  <c r="BR183" i="9"/>
  <c r="BS183" i="9"/>
  <c r="BT183" i="9"/>
  <c r="BU183" i="9"/>
  <c r="BV183" i="9"/>
  <c r="BW183" i="9"/>
  <c r="BX183" i="9"/>
  <c r="BY183" i="9"/>
  <c r="BZ183" i="9"/>
  <c r="CA183" i="9"/>
  <c r="CB183" i="9"/>
  <c r="CC183" i="9"/>
  <c r="CD183" i="9"/>
  <c r="CE183" i="9"/>
  <c r="CF183" i="9"/>
  <c r="CG183" i="9"/>
  <c r="CH183" i="9"/>
  <c r="CI183" i="9"/>
  <c r="CM183" i="9"/>
  <c r="CN183" i="9"/>
  <c r="CO183" i="9"/>
  <c r="CP183" i="9"/>
  <c r="CQ183" i="9"/>
  <c r="CR183" i="9"/>
  <c r="C187" i="9"/>
  <c r="D187" i="9"/>
  <c r="E187" i="9"/>
  <c r="F187" i="9"/>
  <c r="G187" i="9"/>
  <c r="H187" i="9"/>
  <c r="I187" i="9"/>
  <c r="J187" i="9"/>
  <c r="K187" i="9"/>
  <c r="L187" i="9"/>
  <c r="M187" i="9"/>
  <c r="N187" i="9"/>
  <c r="O187" i="9"/>
  <c r="P187" i="9"/>
  <c r="Q187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G187" i="9"/>
  <c r="BD187" i="9" s="1"/>
  <c r="AH187" i="9"/>
  <c r="AI187" i="9"/>
  <c r="AJ187" i="9"/>
  <c r="BF187" i="9"/>
  <c r="BG187" i="9"/>
  <c r="BH187" i="9"/>
  <c r="BI187" i="9"/>
  <c r="BJ187" i="9"/>
  <c r="BK187" i="9"/>
  <c r="BL187" i="9"/>
  <c r="BM187" i="9"/>
  <c r="BN187" i="9"/>
  <c r="BO187" i="9"/>
  <c r="BP187" i="9"/>
  <c r="BQ187" i="9"/>
  <c r="BR187" i="9"/>
  <c r="BS187" i="9"/>
  <c r="BT187" i="9"/>
  <c r="BU187" i="9"/>
  <c r="BV187" i="9"/>
  <c r="BW187" i="9"/>
  <c r="BX187" i="9"/>
  <c r="BY187" i="9"/>
  <c r="BZ187" i="9"/>
  <c r="CA187" i="9"/>
  <c r="CB187" i="9"/>
  <c r="CC187" i="9"/>
  <c r="CD187" i="9"/>
  <c r="CE187" i="9"/>
  <c r="CF187" i="9"/>
  <c r="CG187" i="9"/>
  <c r="CH187" i="9"/>
  <c r="CI187" i="9"/>
  <c r="CM187" i="9"/>
  <c r="CN187" i="9"/>
  <c r="CO187" i="9"/>
  <c r="CP187" i="9"/>
  <c r="CQ187" i="9"/>
  <c r="CR187" i="9"/>
  <c r="C191" i="9"/>
  <c r="D191" i="9"/>
  <c r="E191" i="9"/>
  <c r="F191" i="9"/>
  <c r="G191" i="9"/>
  <c r="H191" i="9"/>
  <c r="I191" i="9"/>
  <c r="J191" i="9"/>
  <c r="K191" i="9"/>
  <c r="L191" i="9"/>
  <c r="M191" i="9"/>
  <c r="N191" i="9"/>
  <c r="O191" i="9"/>
  <c r="P191" i="9"/>
  <c r="Q191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G191" i="9"/>
  <c r="BD191" i="9" s="1"/>
  <c r="AH191" i="9"/>
  <c r="AI191" i="9"/>
  <c r="AJ191" i="9"/>
  <c r="BF191" i="9"/>
  <c r="BG191" i="9"/>
  <c r="BH191" i="9"/>
  <c r="BI191" i="9"/>
  <c r="BJ191" i="9"/>
  <c r="BK191" i="9"/>
  <c r="BL191" i="9"/>
  <c r="BM191" i="9"/>
  <c r="BN191" i="9"/>
  <c r="BO191" i="9"/>
  <c r="BP191" i="9"/>
  <c r="BQ191" i="9"/>
  <c r="BR191" i="9"/>
  <c r="BS191" i="9"/>
  <c r="BT191" i="9"/>
  <c r="BU191" i="9"/>
  <c r="BV191" i="9"/>
  <c r="BW191" i="9"/>
  <c r="BX191" i="9"/>
  <c r="BY191" i="9"/>
  <c r="BZ191" i="9"/>
  <c r="CA191" i="9"/>
  <c r="CB191" i="9"/>
  <c r="CC191" i="9"/>
  <c r="CD191" i="9"/>
  <c r="CE191" i="9"/>
  <c r="CF191" i="9"/>
  <c r="CG191" i="9"/>
  <c r="CH191" i="9"/>
  <c r="CI191" i="9"/>
  <c r="CM191" i="9"/>
  <c r="CN191" i="9"/>
  <c r="CO191" i="9"/>
  <c r="CP191" i="9"/>
  <c r="CQ191" i="9"/>
  <c r="CR191" i="9"/>
  <c r="C195" i="9"/>
  <c r="D195" i="9"/>
  <c r="E195" i="9"/>
  <c r="F195" i="9"/>
  <c r="G195" i="9"/>
  <c r="H195" i="9"/>
  <c r="I195" i="9"/>
  <c r="J195" i="9"/>
  <c r="K195" i="9"/>
  <c r="L195" i="9"/>
  <c r="M195" i="9"/>
  <c r="N195" i="9"/>
  <c r="O195" i="9"/>
  <c r="P195" i="9"/>
  <c r="Q195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G195" i="9"/>
  <c r="AH195" i="9"/>
  <c r="AI195" i="9"/>
  <c r="AJ195" i="9"/>
  <c r="BF195" i="9"/>
  <c r="BG195" i="9"/>
  <c r="BH195" i="9"/>
  <c r="BI195" i="9"/>
  <c r="BJ195" i="9"/>
  <c r="BK195" i="9"/>
  <c r="BL195" i="9"/>
  <c r="BM195" i="9"/>
  <c r="BN195" i="9"/>
  <c r="BO195" i="9"/>
  <c r="BP195" i="9"/>
  <c r="BQ195" i="9"/>
  <c r="BR195" i="9"/>
  <c r="BS195" i="9"/>
  <c r="BT195" i="9"/>
  <c r="BU195" i="9"/>
  <c r="BV195" i="9"/>
  <c r="BW195" i="9"/>
  <c r="BX195" i="9"/>
  <c r="BY195" i="9"/>
  <c r="BZ195" i="9"/>
  <c r="CA195" i="9"/>
  <c r="CB195" i="9"/>
  <c r="CC195" i="9"/>
  <c r="CD195" i="9"/>
  <c r="CE195" i="9"/>
  <c r="CF195" i="9"/>
  <c r="CG195" i="9"/>
  <c r="CH195" i="9"/>
  <c r="CI195" i="9"/>
  <c r="CM195" i="9"/>
  <c r="CN195" i="9"/>
  <c r="CO195" i="9"/>
  <c r="CP195" i="9"/>
  <c r="CQ195" i="9"/>
  <c r="CR195" i="9"/>
  <c r="C201" i="9"/>
  <c r="D201" i="9"/>
  <c r="E201" i="9"/>
  <c r="F201" i="9"/>
  <c r="G201" i="9"/>
  <c r="H201" i="9"/>
  <c r="I201" i="9"/>
  <c r="J201" i="9"/>
  <c r="K201" i="9"/>
  <c r="L201" i="9"/>
  <c r="M201" i="9"/>
  <c r="N201" i="9"/>
  <c r="O201" i="9"/>
  <c r="P201" i="9"/>
  <c r="Q201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G201" i="9"/>
  <c r="AH201" i="9"/>
  <c r="AI201" i="9"/>
  <c r="AJ201" i="9"/>
  <c r="BF201" i="9"/>
  <c r="BG201" i="9"/>
  <c r="BH201" i="9"/>
  <c r="BI201" i="9"/>
  <c r="BJ201" i="9"/>
  <c r="BK201" i="9"/>
  <c r="BL201" i="9"/>
  <c r="BM201" i="9"/>
  <c r="BN201" i="9"/>
  <c r="BO201" i="9"/>
  <c r="BP201" i="9"/>
  <c r="BQ201" i="9"/>
  <c r="BR201" i="9"/>
  <c r="BS201" i="9"/>
  <c r="BT201" i="9"/>
  <c r="BU201" i="9"/>
  <c r="BV201" i="9"/>
  <c r="BW201" i="9"/>
  <c r="BX201" i="9"/>
  <c r="BY201" i="9"/>
  <c r="BZ201" i="9"/>
  <c r="CA201" i="9"/>
  <c r="CB201" i="9"/>
  <c r="CC201" i="9"/>
  <c r="CD201" i="9"/>
  <c r="CE201" i="9"/>
  <c r="CF201" i="9"/>
  <c r="CG201" i="9"/>
  <c r="CH201" i="9"/>
  <c r="CI201" i="9"/>
  <c r="CM201" i="9"/>
  <c r="CN201" i="9"/>
  <c r="CO201" i="9"/>
  <c r="CP201" i="9"/>
  <c r="CQ201" i="9"/>
  <c r="CR201" i="9"/>
  <c r="C205" i="9"/>
  <c r="D205" i="9"/>
  <c r="E205" i="9"/>
  <c r="F205" i="9"/>
  <c r="G205" i="9"/>
  <c r="H205" i="9"/>
  <c r="I205" i="9"/>
  <c r="J205" i="9"/>
  <c r="K205" i="9"/>
  <c r="L205" i="9"/>
  <c r="M205" i="9"/>
  <c r="N205" i="9"/>
  <c r="O205" i="9"/>
  <c r="P205" i="9"/>
  <c r="Q205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G205" i="9"/>
  <c r="BD205" i="9" s="1"/>
  <c r="AH205" i="9"/>
  <c r="AI205" i="9"/>
  <c r="AJ205" i="9"/>
  <c r="BF205" i="9"/>
  <c r="BG205" i="9"/>
  <c r="BH205" i="9"/>
  <c r="BI205" i="9"/>
  <c r="BJ205" i="9"/>
  <c r="BK205" i="9"/>
  <c r="BL205" i="9"/>
  <c r="BM205" i="9"/>
  <c r="BN205" i="9"/>
  <c r="BO205" i="9"/>
  <c r="BP205" i="9"/>
  <c r="BQ205" i="9"/>
  <c r="BR205" i="9"/>
  <c r="BS205" i="9"/>
  <c r="BT205" i="9"/>
  <c r="BU205" i="9"/>
  <c r="BV205" i="9"/>
  <c r="BW205" i="9"/>
  <c r="BX205" i="9"/>
  <c r="BY205" i="9"/>
  <c r="BZ205" i="9"/>
  <c r="CA205" i="9"/>
  <c r="CB205" i="9"/>
  <c r="CC205" i="9"/>
  <c r="CD205" i="9"/>
  <c r="CE205" i="9"/>
  <c r="CF205" i="9"/>
  <c r="CG205" i="9"/>
  <c r="CH205" i="9"/>
  <c r="CI205" i="9"/>
  <c r="CM205" i="9"/>
  <c r="CN205" i="9"/>
  <c r="CO205" i="9"/>
  <c r="CP205" i="9"/>
  <c r="CQ205" i="9"/>
  <c r="CR205" i="9"/>
  <c r="C209" i="9"/>
  <c r="D209" i="9"/>
  <c r="E209" i="9"/>
  <c r="F209" i="9"/>
  <c r="G209" i="9"/>
  <c r="H209" i="9"/>
  <c r="I209" i="9"/>
  <c r="J209" i="9"/>
  <c r="K209" i="9"/>
  <c r="L209" i="9"/>
  <c r="M209" i="9"/>
  <c r="N209" i="9"/>
  <c r="O209" i="9"/>
  <c r="P209" i="9"/>
  <c r="Q209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G209" i="9"/>
  <c r="BD209" i="9" s="1"/>
  <c r="AH209" i="9"/>
  <c r="AI209" i="9"/>
  <c r="AJ209" i="9"/>
  <c r="BF209" i="9"/>
  <c r="BG209" i="9"/>
  <c r="BH209" i="9"/>
  <c r="BI209" i="9"/>
  <c r="BJ209" i="9"/>
  <c r="BK209" i="9"/>
  <c r="BL209" i="9"/>
  <c r="BM209" i="9"/>
  <c r="BN209" i="9"/>
  <c r="BO209" i="9"/>
  <c r="BP209" i="9"/>
  <c r="BQ209" i="9"/>
  <c r="BR209" i="9"/>
  <c r="BS209" i="9"/>
  <c r="BT209" i="9"/>
  <c r="BU209" i="9"/>
  <c r="BV209" i="9"/>
  <c r="BW209" i="9"/>
  <c r="BX209" i="9"/>
  <c r="BY209" i="9"/>
  <c r="BZ209" i="9"/>
  <c r="CA209" i="9"/>
  <c r="CB209" i="9"/>
  <c r="CC209" i="9"/>
  <c r="CD209" i="9"/>
  <c r="CE209" i="9"/>
  <c r="CF209" i="9"/>
  <c r="CG209" i="9"/>
  <c r="CH209" i="9"/>
  <c r="CI209" i="9"/>
  <c r="CM209" i="9"/>
  <c r="CN209" i="9"/>
  <c r="CO209" i="9"/>
  <c r="CP209" i="9"/>
  <c r="CQ209" i="9"/>
  <c r="CR209" i="9"/>
  <c r="C266" i="9"/>
  <c r="D266" i="9"/>
  <c r="E266" i="9"/>
  <c r="F266" i="9"/>
  <c r="G266" i="9"/>
  <c r="H266" i="9"/>
  <c r="I266" i="9"/>
  <c r="J266" i="9"/>
  <c r="K266" i="9"/>
  <c r="L266" i="9"/>
  <c r="M266" i="9"/>
  <c r="N266" i="9"/>
  <c r="O266" i="9"/>
  <c r="P266" i="9"/>
  <c r="Q266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G266" i="9"/>
  <c r="AH266" i="9"/>
  <c r="AI266" i="9"/>
  <c r="AJ266" i="9"/>
  <c r="BF266" i="9"/>
  <c r="BG266" i="9"/>
  <c r="BH266" i="9"/>
  <c r="BI266" i="9"/>
  <c r="BJ266" i="9"/>
  <c r="BK266" i="9"/>
  <c r="BL266" i="9"/>
  <c r="BM266" i="9"/>
  <c r="BN266" i="9"/>
  <c r="BO266" i="9"/>
  <c r="BP266" i="9"/>
  <c r="BQ266" i="9"/>
  <c r="BR266" i="9"/>
  <c r="BS266" i="9"/>
  <c r="BT266" i="9"/>
  <c r="BU266" i="9"/>
  <c r="BV266" i="9"/>
  <c r="BW266" i="9"/>
  <c r="BX266" i="9"/>
  <c r="BY266" i="9"/>
  <c r="BZ266" i="9"/>
  <c r="CA266" i="9"/>
  <c r="CB266" i="9"/>
  <c r="CC266" i="9"/>
  <c r="CD266" i="9"/>
  <c r="CE266" i="9"/>
  <c r="CF266" i="9"/>
  <c r="CG266" i="9"/>
  <c r="CH266" i="9"/>
  <c r="CI266" i="9"/>
  <c r="CM266" i="9"/>
  <c r="CN266" i="9"/>
  <c r="CO266" i="9"/>
  <c r="CP266" i="9"/>
  <c r="CQ266" i="9"/>
  <c r="CR266" i="9"/>
  <c r="C270" i="9"/>
  <c r="D270" i="9"/>
  <c r="E270" i="9"/>
  <c r="F270" i="9"/>
  <c r="G270" i="9"/>
  <c r="H270" i="9"/>
  <c r="I270" i="9"/>
  <c r="J270" i="9"/>
  <c r="K270" i="9"/>
  <c r="L270" i="9"/>
  <c r="M270" i="9"/>
  <c r="N270" i="9"/>
  <c r="O270" i="9"/>
  <c r="P270" i="9"/>
  <c r="Q270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G270" i="9"/>
  <c r="AH270" i="9"/>
  <c r="AI270" i="9"/>
  <c r="AJ270" i="9"/>
  <c r="BF270" i="9"/>
  <c r="BG270" i="9"/>
  <c r="BH270" i="9"/>
  <c r="BI270" i="9"/>
  <c r="BJ270" i="9"/>
  <c r="BK270" i="9"/>
  <c r="BL270" i="9"/>
  <c r="BM270" i="9"/>
  <c r="BN270" i="9"/>
  <c r="BO270" i="9"/>
  <c r="BP270" i="9"/>
  <c r="BQ270" i="9"/>
  <c r="BR270" i="9"/>
  <c r="BS270" i="9"/>
  <c r="BT270" i="9"/>
  <c r="BU270" i="9"/>
  <c r="BV270" i="9"/>
  <c r="BW270" i="9"/>
  <c r="BX270" i="9"/>
  <c r="BY270" i="9"/>
  <c r="BZ270" i="9"/>
  <c r="CA270" i="9"/>
  <c r="CB270" i="9"/>
  <c r="CC270" i="9"/>
  <c r="CD270" i="9"/>
  <c r="CE270" i="9"/>
  <c r="CF270" i="9"/>
  <c r="CG270" i="9"/>
  <c r="CH270" i="9"/>
  <c r="CI270" i="9"/>
  <c r="CM270" i="9"/>
  <c r="CN270" i="9"/>
  <c r="CO270" i="9"/>
  <c r="CP270" i="9"/>
  <c r="CQ270" i="9"/>
  <c r="CR270" i="9"/>
  <c r="C275" i="9"/>
  <c r="D275" i="9"/>
  <c r="E275" i="9"/>
  <c r="F275" i="9"/>
  <c r="G275" i="9"/>
  <c r="H275" i="9"/>
  <c r="I275" i="9"/>
  <c r="J275" i="9"/>
  <c r="K275" i="9"/>
  <c r="L275" i="9"/>
  <c r="M275" i="9"/>
  <c r="N275" i="9"/>
  <c r="O275" i="9"/>
  <c r="P275" i="9"/>
  <c r="Q275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G275" i="9"/>
  <c r="BD275" i="9" s="1"/>
  <c r="AH275" i="9"/>
  <c r="AI275" i="9"/>
  <c r="AJ275" i="9"/>
  <c r="BF275" i="9"/>
  <c r="BG275" i="9"/>
  <c r="BH275" i="9"/>
  <c r="BI275" i="9"/>
  <c r="BJ275" i="9"/>
  <c r="BK275" i="9"/>
  <c r="BL275" i="9"/>
  <c r="BM275" i="9"/>
  <c r="BN275" i="9"/>
  <c r="BO275" i="9"/>
  <c r="BP275" i="9"/>
  <c r="BQ275" i="9"/>
  <c r="BR275" i="9"/>
  <c r="BS275" i="9"/>
  <c r="BT275" i="9"/>
  <c r="BU275" i="9"/>
  <c r="BV275" i="9"/>
  <c r="BW275" i="9"/>
  <c r="BX275" i="9"/>
  <c r="BY275" i="9"/>
  <c r="BZ275" i="9"/>
  <c r="CA275" i="9"/>
  <c r="CB275" i="9"/>
  <c r="CC275" i="9"/>
  <c r="CD275" i="9"/>
  <c r="CE275" i="9"/>
  <c r="CF275" i="9"/>
  <c r="CG275" i="9"/>
  <c r="CH275" i="9"/>
  <c r="CI275" i="9"/>
  <c r="CM275" i="9"/>
  <c r="CN275" i="9"/>
  <c r="CO275" i="9"/>
  <c r="CP275" i="9"/>
  <c r="CQ275" i="9"/>
  <c r="CR275" i="9"/>
  <c r="C281" i="9"/>
  <c r="D281" i="9"/>
  <c r="E281" i="9"/>
  <c r="F281" i="9"/>
  <c r="G281" i="9"/>
  <c r="H281" i="9"/>
  <c r="I281" i="9"/>
  <c r="J281" i="9"/>
  <c r="K281" i="9"/>
  <c r="L281" i="9"/>
  <c r="M281" i="9"/>
  <c r="N281" i="9"/>
  <c r="O281" i="9"/>
  <c r="P281" i="9"/>
  <c r="Q281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G281" i="9"/>
  <c r="BD281" i="9" s="1"/>
  <c r="AH281" i="9"/>
  <c r="AI281" i="9"/>
  <c r="AJ281" i="9"/>
  <c r="BF281" i="9"/>
  <c r="BG281" i="9"/>
  <c r="BH281" i="9"/>
  <c r="BI281" i="9"/>
  <c r="BJ281" i="9"/>
  <c r="BK281" i="9"/>
  <c r="BL281" i="9"/>
  <c r="BM281" i="9"/>
  <c r="BN281" i="9"/>
  <c r="BO281" i="9"/>
  <c r="BP281" i="9"/>
  <c r="BQ281" i="9"/>
  <c r="BR281" i="9"/>
  <c r="BS281" i="9"/>
  <c r="BT281" i="9"/>
  <c r="BU281" i="9"/>
  <c r="BV281" i="9"/>
  <c r="BW281" i="9"/>
  <c r="BX281" i="9"/>
  <c r="BY281" i="9"/>
  <c r="BZ281" i="9"/>
  <c r="CA281" i="9"/>
  <c r="CB281" i="9"/>
  <c r="CC281" i="9"/>
  <c r="CD281" i="9"/>
  <c r="CE281" i="9"/>
  <c r="CF281" i="9"/>
  <c r="CG281" i="9"/>
  <c r="CH281" i="9"/>
  <c r="CI281" i="9"/>
  <c r="CM281" i="9"/>
  <c r="CN281" i="9"/>
  <c r="CO281" i="9"/>
  <c r="CP281" i="9"/>
  <c r="CQ281" i="9"/>
  <c r="CR281" i="9"/>
  <c r="C286" i="9"/>
  <c r="D286" i="9"/>
  <c r="E286" i="9"/>
  <c r="F286" i="9"/>
  <c r="G286" i="9"/>
  <c r="H286" i="9"/>
  <c r="I286" i="9"/>
  <c r="J286" i="9"/>
  <c r="K286" i="9"/>
  <c r="L286" i="9"/>
  <c r="M286" i="9"/>
  <c r="N286" i="9"/>
  <c r="O286" i="9"/>
  <c r="P286" i="9"/>
  <c r="Q286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G286" i="9"/>
  <c r="AH286" i="9"/>
  <c r="AI286" i="9"/>
  <c r="AJ286" i="9"/>
  <c r="BF286" i="9"/>
  <c r="BG286" i="9"/>
  <c r="BH286" i="9"/>
  <c r="BI286" i="9"/>
  <c r="BJ286" i="9"/>
  <c r="BK286" i="9"/>
  <c r="BL286" i="9"/>
  <c r="BM286" i="9"/>
  <c r="BN286" i="9"/>
  <c r="BO286" i="9"/>
  <c r="BP286" i="9"/>
  <c r="BQ286" i="9"/>
  <c r="BR286" i="9"/>
  <c r="BS286" i="9"/>
  <c r="BT286" i="9"/>
  <c r="BU286" i="9"/>
  <c r="BV286" i="9"/>
  <c r="BW286" i="9"/>
  <c r="BX286" i="9"/>
  <c r="BY286" i="9"/>
  <c r="BZ286" i="9"/>
  <c r="CA286" i="9"/>
  <c r="CB286" i="9"/>
  <c r="CC286" i="9"/>
  <c r="CD286" i="9"/>
  <c r="CE286" i="9"/>
  <c r="CF286" i="9"/>
  <c r="CG286" i="9"/>
  <c r="CH286" i="9"/>
  <c r="CI286" i="9"/>
  <c r="CM286" i="9"/>
  <c r="CN286" i="9"/>
  <c r="CO286" i="9"/>
  <c r="CP286" i="9"/>
  <c r="CQ286" i="9"/>
  <c r="CR286" i="9"/>
  <c r="C299" i="9"/>
  <c r="D299" i="9"/>
  <c r="E299" i="9"/>
  <c r="F299" i="9"/>
  <c r="G299" i="9"/>
  <c r="H299" i="9"/>
  <c r="I299" i="9"/>
  <c r="J299" i="9"/>
  <c r="K299" i="9"/>
  <c r="L299" i="9"/>
  <c r="M299" i="9"/>
  <c r="N299" i="9"/>
  <c r="O299" i="9"/>
  <c r="P299" i="9"/>
  <c r="Q299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G299" i="9"/>
  <c r="AH299" i="9"/>
  <c r="AI299" i="9"/>
  <c r="AJ299" i="9"/>
  <c r="BF299" i="9"/>
  <c r="BG299" i="9"/>
  <c r="BH299" i="9"/>
  <c r="BI299" i="9"/>
  <c r="BJ299" i="9"/>
  <c r="BK299" i="9"/>
  <c r="BL299" i="9"/>
  <c r="BM299" i="9"/>
  <c r="BN299" i="9"/>
  <c r="BO299" i="9"/>
  <c r="BP299" i="9"/>
  <c r="BQ299" i="9"/>
  <c r="BR299" i="9"/>
  <c r="BS299" i="9"/>
  <c r="BT299" i="9"/>
  <c r="BU299" i="9"/>
  <c r="BV299" i="9"/>
  <c r="BW299" i="9"/>
  <c r="BX299" i="9"/>
  <c r="BY299" i="9"/>
  <c r="BZ299" i="9"/>
  <c r="CA299" i="9"/>
  <c r="CB299" i="9"/>
  <c r="CC299" i="9"/>
  <c r="CD299" i="9"/>
  <c r="CE299" i="9"/>
  <c r="CF299" i="9"/>
  <c r="CG299" i="9"/>
  <c r="CH299" i="9"/>
  <c r="CI299" i="9"/>
  <c r="CM299" i="9"/>
  <c r="CN299" i="9"/>
  <c r="CO299" i="9"/>
  <c r="CP299" i="9"/>
  <c r="CQ299" i="9"/>
  <c r="CR299" i="9"/>
  <c r="C262" i="9"/>
  <c r="D262" i="9"/>
  <c r="E262" i="9"/>
  <c r="F262" i="9"/>
  <c r="G262" i="9"/>
  <c r="H262" i="9"/>
  <c r="I262" i="9"/>
  <c r="J262" i="9"/>
  <c r="K262" i="9"/>
  <c r="L262" i="9"/>
  <c r="M262" i="9"/>
  <c r="N262" i="9"/>
  <c r="O262" i="9"/>
  <c r="P262" i="9"/>
  <c r="Q262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G262" i="9"/>
  <c r="BD262" i="9" s="1"/>
  <c r="AH262" i="9"/>
  <c r="AI262" i="9"/>
  <c r="AJ262" i="9"/>
  <c r="BF262" i="9"/>
  <c r="BG262" i="9"/>
  <c r="BH262" i="9"/>
  <c r="BI262" i="9"/>
  <c r="BJ262" i="9"/>
  <c r="BK262" i="9"/>
  <c r="BL262" i="9"/>
  <c r="BM262" i="9"/>
  <c r="BN262" i="9"/>
  <c r="BO262" i="9"/>
  <c r="BP262" i="9"/>
  <c r="BQ262" i="9"/>
  <c r="BR262" i="9"/>
  <c r="BS262" i="9"/>
  <c r="BT262" i="9"/>
  <c r="BU262" i="9"/>
  <c r="BV262" i="9"/>
  <c r="BW262" i="9"/>
  <c r="BX262" i="9"/>
  <c r="BY262" i="9"/>
  <c r="BZ262" i="9"/>
  <c r="CA262" i="9"/>
  <c r="CB262" i="9"/>
  <c r="CC262" i="9"/>
  <c r="CD262" i="9"/>
  <c r="CE262" i="9"/>
  <c r="CF262" i="9"/>
  <c r="CG262" i="9"/>
  <c r="CH262" i="9"/>
  <c r="CI262" i="9"/>
  <c r="CM262" i="9"/>
  <c r="CN262" i="9"/>
  <c r="CO262" i="9"/>
  <c r="CP262" i="9"/>
  <c r="CQ262" i="9"/>
  <c r="CR262" i="9"/>
  <c r="C89" i="9"/>
  <c r="D89" i="9"/>
  <c r="E89" i="9"/>
  <c r="F89" i="9"/>
  <c r="G89" i="9"/>
  <c r="H89" i="9"/>
  <c r="I89" i="9"/>
  <c r="J89" i="9"/>
  <c r="K89" i="9"/>
  <c r="L89" i="9"/>
  <c r="M89" i="9"/>
  <c r="N89" i="9"/>
  <c r="O89" i="9"/>
  <c r="P89" i="9"/>
  <c r="Q89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G89" i="9"/>
  <c r="BD89" i="9" s="1"/>
  <c r="AH89" i="9"/>
  <c r="AI89" i="9"/>
  <c r="AJ89" i="9"/>
  <c r="BF89" i="9"/>
  <c r="BG89" i="9"/>
  <c r="BH89" i="9"/>
  <c r="BI89" i="9"/>
  <c r="BJ89" i="9"/>
  <c r="BK89" i="9"/>
  <c r="BL89" i="9"/>
  <c r="BM89" i="9"/>
  <c r="BN89" i="9"/>
  <c r="BO89" i="9"/>
  <c r="BP89" i="9"/>
  <c r="BQ89" i="9"/>
  <c r="BR89" i="9"/>
  <c r="BS89" i="9"/>
  <c r="BT89" i="9"/>
  <c r="BU89" i="9"/>
  <c r="BV89" i="9"/>
  <c r="BW89" i="9"/>
  <c r="BX89" i="9"/>
  <c r="BY89" i="9"/>
  <c r="BZ89" i="9"/>
  <c r="CA89" i="9"/>
  <c r="CB89" i="9"/>
  <c r="CC89" i="9"/>
  <c r="CD89" i="9"/>
  <c r="CE89" i="9"/>
  <c r="CF89" i="9"/>
  <c r="CG89" i="9"/>
  <c r="CH89" i="9"/>
  <c r="CI89" i="9"/>
  <c r="CM89" i="9"/>
  <c r="CN89" i="9"/>
  <c r="CO89" i="9"/>
  <c r="CP89" i="9"/>
  <c r="CQ89" i="9"/>
  <c r="CR89" i="9"/>
  <c r="C95" i="9"/>
  <c r="D95" i="9"/>
  <c r="E95" i="9"/>
  <c r="F95" i="9"/>
  <c r="G95" i="9"/>
  <c r="H95" i="9"/>
  <c r="I95" i="9"/>
  <c r="J95" i="9"/>
  <c r="K95" i="9"/>
  <c r="L95" i="9"/>
  <c r="M95" i="9"/>
  <c r="N95" i="9"/>
  <c r="O95" i="9"/>
  <c r="P95" i="9"/>
  <c r="Q95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G95" i="9"/>
  <c r="AH95" i="9"/>
  <c r="AI95" i="9"/>
  <c r="AJ95" i="9"/>
  <c r="BF95" i="9"/>
  <c r="BG95" i="9"/>
  <c r="BH95" i="9"/>
  <c r="BI95" i="9"/>
  <c r="BJ95" i="9"/>
  <c r="BK95" i="9"/>
  <c r="BL95" i="9"/>
  <c r="BM95" i="9"/>
  <c r="BN95" i="9"/>
  <c r="BO95" i="9"/>
  <c r="BP95" i="9"/>
  <c r="BQ95" i="9"/>
  <c r="BR95" i="9"/>
  <c r="BS95" i="9"/>
  <c r="BT95" i="9"/>
  <c r="BU95" i="9"/>
  <c r="BV95" i="9"/>
  <c r="BW95" i="9"/>
  <c r="BX95" i="9"/>
  <c r="BY95" i="9"/>
  <c r="BZ95" i="9"/>
  <c r="CA95" i="9"/>
  <c r="CB95" i="9"/>
  <c r="CC95" i="9"/>
  <c r="CD95" i="9"/>
  <c r="CE95" i="9"/>
  <c r="CF95" i="9"/>
  <c r="CG95" i="9"/>
  <c r="CH95" i="9"/>
  <c r="CI95" i="9"/>
  <c r="CM95" i="9"/>
  <c r="CN95" i="9"/>
  <c r="CO95" i="9"/>
  <c r="CP95" i="9"/>
  <c r="CQ95" i="9"/>
  <c r="CR95" i="9"/>
  <c r="C100" i="9"/>
  <c r="D100" i="9"/>
  <c r="E100" i="9"/>
  <c r="F100" i="9"/>
  <c r="G100" i="9"/>
  <c r="H100" i="9"/>
  <c r="I100" i="9"/>
  <c r="J100" i="9"/>
  <c r="K100" i="9"/>
  <c r="L100" i="9"/>
  <c r="M100" i="9"/>
  <c r="N100" i="9"/>
  <c r="O100" i="9"/>
  <c r="P100" i="9"/>
  <c r="Q100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G100" i="9"/>
  <c r="AH100" i="9"/>
  <c r="AI100" i="9"/>
  <c r="AJ100" i="9"/>
  <c r="BF100" i="9"/>
  <c r="BG100" i="9"/>
  <c r="BH100" i="9"/>
  <c r="BI100" i="9"/>
  <c r="BJ100" i="9"/>
  <c r="BK100" i="9"/>
  <c r="BL100" i="9"/>
  <c r="BM100" i="9"/>
  <c r="BN100" i="9"/>
  <c r="BO100" i="9"/>
  <c r="BP100" i="9"/>
  <c r="BQ100" i="9"/>
  <c r="BR100" i="9"/>
  <c r="BS100" i="9"/>
  <c r="BT100" i="9"/>
  <c r="BU100" i="9"/>
  <c r="BV100" i="9"/>
  <c r="BW100" i="9"/>
  <c r="BX100" i="9"/>
  <c r="BY100" i="9"/>
  <c r="BZ100" i="9"/>
  <c r="CA100" i="9"/>
  <c r="CB100" i="9"/>
  <c r="CC100" i="9"/>
  <c r="CD100" i="9"/>
  <c r="CE100" i="9"/>
  <c r="CF100" i="9"/>
  <c r="CG100" i="9"/>
  <c r="CH100" i="9"/>
  <c r="CI100" i="9"/>
  <c r="CM100" i="9"/>
  <c r="CN100" i="9"/>
  <c r="CO100" i="9"/>
  <c r="CP100" i="9"/>
  <c r="CQ100" i="9"/>
  <c r="CR100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O106" i="9"/>
  <c r="P106" i="9"/>
  <c r="Q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G106" i="9"/>
  <c r="BD106" i="9" s="1"/>
  <c r="AH106" i="9"/>
  <c r="AI106" i="9"/>
  <c r="AJ106" i="9"/>
  <c r="BF106" i="9"/>
  <c r="BG106" i="9"/>
  <c r="BH106" i="9"/>
  <c r="BI106" i="9"/>
  <c r="BJ106" i="9"/>
  <c r="BK106" i="9"/>
  <c r="BL106" i="9"/>
  <c r="BM106" i="9"/>
  <c r="BN106" i="9"/>
  <c r="BO106" i="9"/>
  <c r="BP106" i="9"/>
  <c r="BQ106" i="9"/>
  <c r="BR106" i="9"/>
  <c r="BS106" i="9"/>
  <c r="BT106" i="9"/>
  <c r="BU106" i="9"/>
  <c r="BV106" i="9"/>
  <c r="BW106" i="9"/>
  <c r="BX106" i="9"/>
  <c r="BY106" i="9"/>
  <c r="BZ106" i="9"/>
  <c r="CA106" i="9"/>
  <c r="CB106" i="9"/>
  <c r="CC106" i="9"/>
  <c r="CD106" i="9"/>
  <c r="CE106" i="9"/>
  <c r="CF106" i="9"/>
  <c r="CG106" i="9"/>
  <c r="CH106" i="9"/>
  <c r="CI106" i="9"/>
  <c r="CM106" i="9"/>
  <c r="CN106" i="9"/>
  <c r="CO106" i="9"/>
  <c r="CP106" i="9"/>
  <c r="CQ106" i="9"/>
  <c r="CR106" i="9"/>
  <c r="C108" i="9"/>
  <c r="D108" i="9"/>
  <c r="E108" i="9"/>
  <c r="F108" i="9"/>
  <c r="G108" i="9"/>
  <c r="H108" i="9"/>
  <c r="I108" i="9"/>
  <c r="J108" i="9"/>
  <c r="K108" i="9"/>
  <c r="L108" i="9"/>
  <c r="M108" i="9"/>
  <c r="N108" i="9"/>
  <c r="O108" i="9"/>
  <c r="P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G108" i="9"/>
  <c r="BD108" i="9" s="1"/>
  <c r="AH108" i="9"/>
  <c r="AI108" i="9"/>
  <c r="AJ108" i="9"/>
  <c r="BF108" i="9"/>
  <c r="BG108" i="9"/>
  <c r="BH108" i="9"/>
  <c r="BI108" i="9"/>
  <c r="BJ108" i="9"/>
  <c r="BK108" i="9"/>
  <c r="BL108" i="9"/>
  <c r="BM108" i="9"/>
  <c r="BN108" i="9"/>
  <c r="BO108" i="9"/>
  <c r="BP108" i="9"/>
  <c r="BQ108" i="9"/>
  <c r="BR108" i="9"/>
  <c r="BS108" i="9"/>
  <c r="BT108" i="9"/>
  <c r="BU108" i="9"/>
  <c r="BV108" i="9"/>
  <c r="BW108" i="9"/>
  <c r="BX108" i="9"/>
  <c r="BY108" i="9"/>
  <c r="BZ108" i="9"/>
  <c r="CA108" i="9"/>
  <c r="CB108" i="9"/>
  <c r="CC108" i="9"/>
  <c r="CD108" i="9"/>
  <c r="CE108" i="9"/>
  <c r="CF108" i="9"/>
  <c r="CG108" i="9"/>
  <c r="CH108" i="9"/>
  <c r="CI108" i="9"/>
  <c r="CM108" i="9"/>
  <c r="CN108" i="9"/>
  <c r="CO108" i="9"/>
  <c r="CP108" i="9"/>
  <c r="CQ108" i="9"/>
  <c r="CR108" i="9"/>
  <c r="C112" i="9"/>
  <c r="D112" i="9"/>
  <c r="E112" i="9"/>
  <c r="F112" i="9"/>
  <c r="G112" i="9"/>
  <c r="H112" i="9"/>
  <c r="I112" i="9"/>
  <c r="J112" i="9"/>
  <c r="K112" i="9"/>
  <c r="L112" i="9"/>
  <c r="M112" i="9"/>
  <c r="N112" i="9"/>
  <c r="O112" i="9"/>
  <c r="P112" i="9"/>
  <c r="Q112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G112" i="9"/>
  <c r="AH112" i="9"/>
  <c r="AI112" i="9"/>
  <c r="AJ112" i="9"/>
  <c r="BF112" i="9"/>
  <c r="BG112" i="9"/>
  <c r="BH112" i="9"/>
  <c r="BI112" i="9"/>
  <c r="BJ112" i="9"/>
  <c r="BK112" i="9"/>
  <c r="BL112" i="9"/>
  <c r="BM112" i="9"/>
  <c r="BN112" i="9"/>
  <c r="BO112" i="9"/>
  <c r="BP112" i="9"/>
  <c r="BQ112" i="9"/>
  <c r="BR112" i="9"/>
  <c r="BS112" i="9"/>
  <c r="BT112" i="9"/>
  <c r="BU112" i="9"/>
  <c r="BV112" i="9"/>
  <c r="BW112" i="9"/>
  <c r="BX112" i="9"/>
  <c r="BY112" i="9"/>
  <c r="BZ112" i="9"/>
  <c r="CA112" i="9"/>
  <c r="CB112" i="9"/>
  <c r="CC112" i="9"/>
  <c r="CD112" i="9"/>
  <c r="CE112" i="9"/>
  <c r="CF112" i="9"/>
  <c r="CG112" i="9"/>
  <c r="CH112" i="9"/>
  <c r="CI112" i="9"/>
  <c r="CM112" i="9"/>
  <c r="CN112" i="9"/>
  <c r="CO112" i="9"/>
  <c r="CP112" i="9"/>
  <c r="CQ112" i="9"/>
  <c r="CR112" i="9"/>
  <c r="C116" i="9"/>
  <c r="D116" i="9"/>
  <c r="E116" i="9"/>
  <c r="F116" i="9"/>
  <c r="G116" i="9"/>
  <c r="H116" i="9"/>
  <c r="I116" i="9"/>
  <c r="J116" i="9"/>
  <c r="K116" i="9"/>
  <c r="L116" i="9"/>
  <c r="M116" i="9"/>
  <c r="N116" i="9"/>
  <c r="O116" i="9"/>
  <c r="P116" i="9"/>
  <c r="Q116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G116" i="9"/>
  <c r="AH116" i="9"/>
  <c r="AI116" i="9"/>
  <c r="AJ116" i="9"/>
  <c r="BF116" i="9"/>
  <c r="BG116" i="9"/>
  <c r="BH116" i="9"/>
  <c r="BI116" i="9"/>
  <c r="BJ116" i="9"/>
  <c r="BK116" i="9"/>
  <c r="BL116" i="9"/>
  <c r="BM116" i="9"/>
  <c r="BN116" i="9"/>
  <c r="BO116" i="9"/>
  <c r="BP116" i="9"/>
  <c r="BQ116" i="9"/>
  <c r="BR116" i="9"/>
  <c r="BS116" i="9"/>
  <c r="BT116" i="9"/>
  <c r="BU116" i="9"/>
  <c r="BV116" i="9"/>
  <c r="BW116" i="9"/>
  <c r="BX116" i="9"/>
  <c r="BY116" i="9"/>
  <c r="BZ116" i="9"/>
  <c r="CA116" i="9"/>
  <c r="CB116" i="9"/>
  <c r="CC116" i="9"/>
  <c r="CD116" i="9"/>
  <c r="CE116" i="9"/>
  <c r="CF116" i="9"/>
  <c r="CG116" i="9"/>
  <c r="CH116" i="9"/>
  <c r="CI116" i="9"/>
  <c r="CM116" i="9"/>
  <c r="CN116" i="9"/>
  <c r="CO116" i="9"/>
  <c r="CP116" i="9"/>
  <c r="CQ116" i="9"/>
  <c r="CR116" i="9"/>
  <c r="C120" i="9"/>
  <c r="D120" i="9"/>
  <c r="E120" i="9"/>
  <c r="F120" i="9"/>
  <c r="G120" i="9"/>
  <c r="H120" i="9"/>
  <c r="I120" i="9"/>
  <c r="J120" i="9"/>
  <c r="K120" i="9"/>
  <c r="L120" i="9"/>
  <c r="M120" i="9"/>
  <c r="N120" i="9"/>
  <c r="O120" i="9"/>
  <c r="P120" i="9"/>
  <c r="Q120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G120" i="9"/>
  <c r="BD120" i="9" s="1"/>
  <c r="AH120" i="9"/>
  <c r="AI120" i="9"/>
  <c r="AJ120" i="9"/>
  <c r="BF120" i="9"/>
  <c r="BG120" i="9"/>
  <c r="BH120" i="9"/>
  <c r="BI120" i="9"/>
  <c r="BJ120" i="9"/>
  <c r="BK120" i="9"/>
  <c r="BL120" i="9"/>
  <c r="BM120" i="9"/>
  <c r="BN120" i="9"/>
  <c r="BO120" i="9"/>
  <c r="BP120" i="9"/>
  <c r="BQ120" i="9"/>
  <c r="BR120" i="9"/>
  <c r="BS120" i="9"/>
  <c r="BT120" i="9"/>
  <c r="BU120" i="9"/>
  <c r="BV120" i="9"/>
  <c r="BW120" i="9"/>
  <c r="BX120" i="9"/>
  <c r="BY120" i="9"/>
  <c r="BZ120" i="9"/>
  <c r="CA120" i="9"/>
  <c r="CB120" i="9"/>
  <c r="CC120" i="9"/>
  <c r="CD120" i="9"/>
  <c r="CE120" i="9"/>
  <c r="CF120" i="9"/>
  <c r="CG120" i="9"/>
  <c r="CH120" i="9"/>
  <c r="CI120" i="9"/>
  <c r="CM120" i="9"/>
  <c r="CN120" i="9"/>
  <c r="CO120" i="9"/>
  <c r="CP120" i="9"/>
  <c r="CQ120" i="9"/>
  <c r="CR120" i="9"/>
  <c r="C121" i="9"/>
  <c r="D121" i="9"/>
  <c r="E121" i="9"/>
  <c r="F121" i="9"/>
  <c r="G121" i="9"/>
  <c r="H121" i="9"/>
  <c r="I121" i="9"/>
  <c r="J121" i="9"/>
  <c r="K121" i="9"/>
  <c r="L121" i="9"/>
  <c r="M121" i="9"/>
  <c r="N121" i="9"/>
  <c r="O121" i="9"/>
  <c r="P121" i="9"/>
  <c r="Q121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G121" i="9"/>
  <c r="BD121" i="9" s="1"/>
  <c r="AH121" i="9"/>
  <c r="AI121" i="9"/>
  <c r="AJ121" i="9"/>
  <c r="BF121" i="9"/>
  <c r="BG121" i="9"/>
  <c r="BH121" i="9"/>
  <c r="BI121" i="9"/>
  <c r="BJ121" i="9"/>
  <c r="BK121" i="9"/>
  <c r="BL121" i="9"/>
  <c r="BM121" i="9"/>
  <c r="BN121" i="9"/>
  <c r="BO121" i="9"/>
  <c r="BP121" i="9"/>
  <c r="BQ121" i="9"/>
  <c r="BR121" i="9"/>
  <c r="BS121" i="9"/>
  <c r="BT121" i="9"/>
  <c r="BU121" i="9"/>
  <c r="BV121" i="9"/>
  <c r="BW121" i="9"/>
  <c r="BX121" i="9"/>
  <c r="BY121" i="9"/>
  <c r="BZ121" i="9"/>
  <c r="CA121" i="9"/>
  <c r="CB121" i="9"/>
  <c r="CC121" i="9"/>
  <c r="CD121" i="9"/>
  <c r="CE121" i="9"/>
  <c r="CF121" i="9"/>
  <c r="CG121" i="9"/>
  <c r="CH121" i="9"/>
  <c r="CI121" i="9"/>
  <c r="CM121" i="9"/>
  <c r="CN121" i="9"/>
  <c r="CO121" i="9"/>
  <c r="CP121" i="9"/>
  <c r="CQ121" i="9"/>
  <c r="CR121" i="9"/>
  <c r="C122" i="9"/>
  <c r="D122" i="9"/>
  <c r="E122" i="9"/>
  <c r="F122" i="9"/>
  <c r="G122" i="9"/>
  <c r="H122" i="9"/>
  <c r="I122" i="9"/>
  <c r="J122" i="9"/>
  <c r="K122" i="9"/>
  <c r="L122" i="9"/>
  <c r="M122" i="9"/>
  <c r="N122" i="9"/>
  <c r="O122" i="9"/>
  <c r="P122" i="9"/>
  <c r="Q122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G122" i="9"/>
  <c r="AH122" i="9"/>
  <c r="AI122" i="9"/>
  <c r="AJ122" i="9"/>
  <c r="BF122" i="9"/>
  <c r="BG122" i="9"/>
  <c r="BH122" i="9"/>
  <c r="BI122" i="9"/>
  <c r="BJ122" i="9"/>
  <c r="BK122" i="9"/>
  <c r="BL122" i="9"/>
  <c r="BM122" i="9"/>
  <c r="BN122" i="9"/>
  <c r="BO122" i="9"/>
  <c r="BP122" i="9"/>
  <c r="BQ122" i="9"/>
  <c r="BR122" i="9"/>
  <c r="BS122" i="9"/>
  <c r="BT122" i="9"/>
  <c r="BU122" i="9"/>
  <c r="BV122" i="9"/>
  <c r="BW122" i="9"/>
  <c r="BX122" i="9"/>
  <c r="BY122" i="9"/>
  <c r="BZ122" i="9"/>
  <c r="CA122" i="9"/>
  <c r="CB122" i="9"/>
  <c r="CC122" i="9"/>
  <c r="CD122" i="9"/>
  <c r="CE122" i="9"/>
  <c r="CF122" i="9"/>
  <c r="CG122" i="9"/>
  <c r="CH122" i="9"/>
  <c r="CI122" i="9"/>
  <c r="CM122" i="9"/>
  <c r="CN122" i="9"/>
  <c r="CO122" i="9"/>
  <c r="CP122" i="9"/>
  <c r="CQ122" i="9"/>
  <c r="CR122" i="9"/>
  <c r="C128" i="9"/>
  <c r="D128" i="9"/>
  <c r="E128" i="9"/>
  <c r="F128" i="9"/>
  <c r="G128" i="9"/>
  <c r="H128" i="9"/>
  <c r="I128" i="9"/>
  <c r="J128" i="9"/>
  <c r="K128" i="9"/>
  <c r="L128" i="9"/>
  <c r="M128" i="9"/>
  <c r="N128" i="9"/>
  <c r="O128" i="9"/>
  <c r="P128" i="9"/>
  <c r="Q128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G128" i="9"/>
  <c r="AH128" i="9"/>
  <c r="AI128" i="9"/>
  <c r="AJ128" i="9"/>
  <c r="BF128" i="9"/>
  <c r="BG128" i="9"/>
  <c r="BH128" i="9"/>
  <c r="BI128" i="9"/>
  <c r="BJ128" i="9"/>
  <c r="BK128" i="9"/>
  <c r="BL128" i="9"/>
  <c r="BM128" i="9"/>
  <c r="BN128" i="9"/>
  <c r="BO128" i="9"/>
  <c r="BP128" i="9"/>
  <c r="BQ128" i="9"/>
  <c r="BR128" i="9"/>
  <c r="BS128" i="9"/>
  <c r="BT128" i="9"/>
  <c r="BU128" i="9"/>
  <c r="BV128" i="9"/>
  <c r="BW128" i="9"/>
  <c r="BX128" i="9"/>
  <c r="BY128" i="9"/>
  <c r="BZ128" i="9"/>
  <c r="CA128" i="9"/>
  <c r="CB128" i="9"/>
  <c r="CC128" i="9"/>
  <c r="CD128" i="9"/>
  <c r="CE128" i="9"/>
  <c r="CF128" i="9"/>
  <c r="CG128" i="9"/>
  <c r="CH128" i="9"/>
  <c r="CI128" i="9"/>
  <c r="CM128" i="9"/>
  <c r="CN128" i="9"/>
  <c r="CO128" i="9"/>
  <c r="CP128" i="9"/>
  <c r="CQ128" i="9"/>
  <c r="CR128" i="9"/>
  <c r="C129" i="9"/>
  <c r="D129" i="9"/>
  <c r="E129" i="9"/>
  <c r="F129" i="9"/>
  <c r="G129" i="9"/>
  <c r="H129" i="9"/>
  <c r="I129" i="9"/>
  <c r="J129" i="9"/>
  <c r="K129" i="9"/>
  <c r="L129" i="9"/>
  <c r="M129" i="9"/>
  <c r="N129" i="9"/>
  <c r="O129" i="9"/>
  <c r="P129" i="9"/>
  <c r="Q129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G129" i="9"/>
  <c r="BD129" i="9" s="1"/>
  <c r="AH129" i="9"/>
  <c r="AI129" i="9"/>
  <c r="AJ129" i="9"/>
  <c r="BF129" i="9"/>
  <c r="BG129" i="9"/>
  <c r="BH129" i="9"/>
  <c r="BI129" i="9"/>
  <c r="BJ129" i="9"/>
  <c r="BK129" i="9"/>
  <c r="BL129" i="9"/>
  <c r="BM129" i="9"/>
  <c r="BN129" i="9"/>
  <c r="BO129" i="9"/>
  <c r="BP129" i="9"/>
  <c r="BQ129" i="9"/>
  <c r="BR129" i="9"/>
  <c r="BS129" i="9"/>
  <c r="BT129" i="9"/>
  <c r="BU129" i="9"/>
  <c r="BV129" i="9"/>
  <c r="BW129" i="9"/>
  <c r="BX129" i="9"/>
  <c r="BY129" i="9"/>
  <c r="BZ129" i="9"/>
  <c r="CA129" i="9"/>
  <c r="CB129" i="9"/>
  <c r="CC129" i="9"/>
  <c r="CD129" i="9"/>
  <c r="CE129" i="9"/>
  <c r="CF129" i="9"/>
  <c r="CG129" i="9"/>
  <c r="CH129" i="9"/>
  <c r="CI129" i="9"/>
  <c r="CM129" i="9"/>
  <c r="CN129" i="9"/>
  <c r="CO129" i="9"/>
  <c r="CP129" i="9"/>
  <c r="CQ129" i="9"/>
  <c r="CR129" i="9"/>
  <c r="C84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G84" i="9"/>
  <c r="BD84" i="9" s="1"/>
  <c r="AH84" i="9"/>
  <c r="AI84" i="9"/>
  <c r="AJ84" i="9"/>
  <c r="BF84" i="9"/>
  <c r="BG84" i="9"/>
  <c r="BH84" i="9"/>
  <c r="BI84" i="9"/>
  <c r="BJ84" i="9"/>
  <c r="BK84" i="9"/>
  <c r="BL84" i="9"/>
  <c r="BM84" i="9"/>
  <c r="BN84" i="9"/>
  <c r="BO84" i="9"/>
  <c r="BP84" i="9"/>
  <c r="BQ84" i="9"/>
  <c r="BR84" i="9"/>
  <c r="BS84" i="9"/>
  <c r="BT84" i="9"/>
  <c r="BU84" i="9"/>
  <c r="BV84" i="9"/>
  <c r="BW84" i="9"/>
  <c r="BX84" i="9"/>
  <c r="BY84" i="9"/>
  <c r="BZ84" i="9"/>
  <c r="CA84" i="9"/>
  <c r="CB84" i="9"/>
  <c r="CC84" i="9"/>
  <c r="CD84" i="9"/>
  <c r="CE84" i="9"/>
  <c r="CF84" i="9"/>
  <c r="CG84" i="9"/>
  <c r="CH84" i="9"/>
  <c r="CI84" i="9"/>
  <c r="CM84" i="9"/>
  <c r="CN84" i="9"/>
  <c r="CO84" i="9"/>
  <c r="CP84" i="9"/>
  <c r="CQ84" i="9"/>
  <c r="CR84" i="9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G90" i="9"/>
  <c r="AH90" i="9"/>
  <c r="AI90" i="9"/>
  <c r="AJ90" i="9"/>
  <c r="BF90" i="9"/>
  <c r="BG90" i="9"/>
  <c r="BH90" i="9"/>
  <c r="BI90" i="9"/>
  <c r="BJ90" i="9"/>
  <c r="BK90" i="9"/>
  <c r="BL90" i="9"/>
  <c r="BM90" i="9"/>
  <c r="BN90" i="9"/>
  <c r="BO90" i="9"/>
  <c r="BP90" i="9"/>
  <c r="BQ90" i="9"/>
  <c r="BR90" i="9"/>
  <c r="BS90" i="9"/>
  <c r="BT90" i="9"/>
  <c r="BU90" i="9"/>
  <c r="BV90" i="9"/>
  <c r="BW90" i="9"/>
  <c r="BX90" i="9"/>
  <c r="BY90" i="9"/>
  <c r="BZ90" i="9"/>
  <c r="CA90" i="9"/>
  <c r="CB90" i="9"/>
  <c r="CC90" i="9"/>
  <c r="CD90" i="9"/>
  <c r="CE90" i="9"/>
  <c r="CF90" i="9"/>
  <c r="CG90" i="9"/>
  <c r="CH90" i="9"/>
  <c r="CI90" i="9"/>
  <c r="CM90" i="9"/>
  <c r="CN90" i="9"/>
  <c r="CO90" i="9"/>
  <c r="CP90" i="9"/>
  <c r="CQ90" i="9"/>
  <c r="CR90" i="9"/>
  <c r="C96" i="9"/>
  <c r="D96" i="9"/>
  <c r="E96" i="9"/>
  <c r="F96" i="9"/>
  <c r="G96" i="9"/>
  <c r="H96" i="9"/>
  <c r="I96" i="9"/>
  <c r="J96" i="9"/>
  <c r="K96" i="9"/>
  <c r="L96" i="9"/>
  <c r="M96" i="9"/>
  <c r="N96" i="9"/>
  <c r="O96" i="9"/>
  <c r="P96" i="9"/>
  <c r="Q96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G96" i="9"/>
  <c r="AH96" i="9"/>
  <c r="AI96" i="9"/>
  <c r="AJ96" i="9"/>
  <c r="BF96" i="9"/>
  <c r="BG96" i="9"/>
  <c r="BH96" i="9"/>
  <c r="BI96" i="9"/>
  <c r="BJ96" i="9"/>
  <c r="BK96" i="9"/>
  <c r="BL96" i="9"/>
  <c r="BM96" i="9"/>
  <c r="BN96" i="9"/>
  <c r="BO96" i="9"/>
  <c r="BP96" i="9"/>
  <c r="BQ96" i="9"/>
  <c r="BR96" i="9"/>
  <c r="BS96" i="9"/>
  <c r="BT96" i="9"/>
  <c r="BU96" i="9"/>
  <c r="BV96" i="9"/>
  <c r="BW96" i="9"/>
  <c r="BX96" i="9"/>
  <c r="BY96" i="9"/>
  <c r="BZ96" i="9"/>
  <c r="CA96" i="9"/>
  <c r="CB96" i="9"/>
  <c r="CC96" i="9"/>
  <c r="CD96" i="9"/>
  <c r="CE96" i="9"/>
  <c r="CF96" i="9"/>
  <c r="CG96" i="9"/>
  <c r="CH96" i="9"/>
  <c r="CI96" i="9"/>
  <c r="CM96" i="9"/>
  <c r="CN96" i="9"/>
  <c r="CO96" i="9"/>
  <c r="CP96" i="9"/>
  <c r="CQ96" i="9"/>
  <c r="CR96" i="9"/>
  <c r="C101" i="9"/>
  <c r="D101" i="9"/>
  <c r="E101" i="9"/>
  <c r="F101" i="9"/>
  <c r="G101" i="9"/>
  <c r="H101" i="9"/>
  <c r="I101" i="9"/>
  <c r="J101" i="9"/>
  <c r="K101" i="9"/>
  <c r="L101" i="9"/>
  <c r="M101" i="9"/>
  <c r="N101" i="9"/>
  <c r="O101" i="9"/>
  <c r="P101" i="9"/>
  <c r="Q101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G101" i="9"/>
  <c r="BD101" i="9" s="1"/>
  <c r="AH101" i="9"/>
  <c r="AI101" i="9"/>
  <c r="AJ101" i="9"/>
  <c r="BF101" i="9"/>
  <c r="BG101" i="9"/>
  <c r="BH101" i="9"/>
  <c r="BI101" i="9"/>
  <c r="BJ101" i="9"/>
  <c r="BK101" i="9"/>
  <c r="BL101" i="9"/>
  <c r="BM101" i="9"/>
  <c r="BN101" i="9"/>
  <c r="BO101" i="9"/>
  <c r="BP101" i="9"/>
  <c r="BQ101" i="9"/>
  <c r="BR101" i="9"/>
  <c r="BS101" i="9"/>
  <c r="BT101" i="9"/>
  <c r="BU101" i="9"/>
  <c r="BV101" i="9"/>
  <c r="BW101" i="9"/>
  <c r="BX101" i="9"/>
  <c r="BY101" i="9"/>
  <c r="BZ101" i="9"/>
  <c r="CA101" i="9"/>
  <c r="CB101" i="9"/>
  <c r="CC101" i="9"/>
  <c r="CD101" i="9"/>
  <c r="CE101" i="9"/>
  <c r="CF101" i="9"/>
  <c r="CG101" i="9"/>
  <c r="CH101" i="9"/>
  <c r="CI101" i="9"/>
  <c r="CM101" i="9"/>
  <c r="CN101" i="9"/>
  <c r="CO101" i="9"/>
  <c r="CP101" i="9"/>
  <c r="CQ101" i="9"/>
  <c r="CR101" i="9"/>
  <c r="C107" i="9"/>
  <c r="D107" i="9"/>
  <c r="E107" i="9"/>
  <c r="F107" i="9"/>
  <c r="G107" i="9"/>
  <c r="H107" i="9"/>
  <c r="I107" i="9"/>
  <c r="J107" i="9"/>
  <c r="K107" i="9"/>
  <c r="L107" i="9"/>
  <c r="M107" i="9"/>
  <c r="N107" i="9"/>
  <c r="O107" i="9"/>
  <c r="P107" i="9"/>
  <c r="Q107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G107" i="9"/>
  <c r="BD107" i="9" s="1"/>
  <c r="AH107" i="9"/>
  <c r="AI107" i="9"/>
  <c r="AJ107" i="9"/>
  <c r="BF107" i="9"/>
  <c r="BG107" i="9"/>
  <c r="BH107" i="9"/>
  <c r="BI107" i="9"/>
  <c r="BJ107" i="9"/>
  <c r="BK107" i="9"/>
  <c r="BL107" i="9"/>
  <c r="BM107" i="9"/>
  <c r="BN107" i="9"/>
  <c r="BO107" i="9"/>
  <c r="BP107" i="9"/>
  <c r="BQ107" i="9"/>
  <c r="BR107" i="9"/>
  <c r="BS107" i="9"/>
  <c r="BT107" i="9"/>
  <c r="BU107" i="9"/>
  <c r="BV107" i="9"/>
  <c r="BW107" i="9"/>
  <c r="BX107" i="9"/>
  <c r="BY107" i="9"/>
  <c r="BZ107" i="9"/>
  <c r="CA107" i="9"/>
  <c r="CB107" i="9"/>
  <c r="CC107" i="9"/>
  <c r="CD107" i="9"/>
  <c r="CE107" i="9"/>
  <c r="CF107" i="9"/>
  <c r="CG107" i="9"/>
  <c r="CH107" i="9"/>
  <c r="CI107" i="9"/>
  <c r="CM107" i="9"/>
  <c r="CN107" i="9"/>
  <c r="CO107" i="9"/>
  <c r="CP107" i="9"/>
  <c r="CQ107" i="9"/>
  <c r="CR107" i="9"/>
  <c r="C109" i="9"/>
  <c r="D109" i="9"/>
  <c r="E109" i="9"/>
  <c r="F109" i="9"/>
  <c r="G109" i="9"/>
  <c r="H109" i="9"/>
  <c r="I109" i="9"/>
  <c r="J109" i="9"/>
  <c r="K109" i="9"/>
  <c r="L109" i="9"/>
  <c r="M109" i="9"/>
  <c r="N109" i="9"/>
  <c r="O109" i="9"/>
  <c r="P109" i="9"/>
  <c r="Q109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G109" i="9"/>
  <c r="AH109" i="9"/>
  <c r="AI109" i="9"/>
  <c r="AJ109" i="9"/>
  <c r="BF109" i="9"/>
  <c r="BG109" i="9"/>
  <c r="BH109" i="9"/>
  <c r="BI109" i="9"/>
  <c r="BJ109" i="9"/>
  <c r="BK109" i="9"/>
  <c r="BL109" i="9"/>
  <c r="BM109" i="9"/>
  <c r="BN109" i="9"/>
  <c r="BO109" i="9"/>
  <c r="BP109" i="9"/>
  <c r="BQ109" i="9"/>
  <c r="BR109" i="9"/>
  <c r="BS109" i="9"/>
  <c r="BT109" i="9"/>
  <c r="BU109" i="9"/>
  <c r="BV109" i="9"/>
  <c r="BW109" i="9"/>
  <c r="BX109" i="9"/>
  <c r="BY109" i="9"/>
  <c r="BZ109" i="9"/>
  <c r="CA109" i="9"/>
  <c r="CB109" i="9"/>
  <c r="CC109" i="9"/>
  <c r="CD109" i="9"/>
  <c r="CE109" i="9"/>
  <c r="CF109" i="9"/>
  <c r="CG109" i="9"/>
  <c r="CH109" i="9"/>
  <c r="CI109" i="9"/>
  <c r="CM109" i="9"/>
  <c r="CN109" i="9"/>
  <c r="CO109" i="9"/>
  <c r="CP109" i="9"/>
  <c r="CQ109" i="9"/>
  <c r="CR109" i="9"/>
  <c r="C113" i="9"/>
  <c r="D113" i="9"/>
  <c r="E113" i="9"/>
  <c r="F113" i="9"/>
  <c r="G113" i="9"/>
  <c r="H113" i="9"/>
  <c r="I113" i="9"/>
  <c r="J113" i="9"/>
  <c r="K113" i="9"/>
  <c r="L113" i="9"/>
  <c r="M113" i="9"/>
  <c r="N113" i="9"/>
  <c r="O113" i="9"/>
  <c r="P113" i="9"/>
  <c r="Q113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G113" i="9"/>
  <c r="AH113" i="9"/>
  <c r="AI113" i="9"/>
  <c r="AJ113" i="9"/>
  <c r="BF113" i="9"/>
  <c r="BG113" i="9"/>
  <c r="BH113" i="9"/>
  <c r="BI113" i="9"/>
  <c r="BJ113" i="9"/>
  <c r="BK113" i="9"/>
  <c r="BL113" i="9"/>
  <c r="BM113" i="9"/>
  <c r="BN113" i="9"/>
  <c r="BO113" i="9"/>
  <c r="BP113" i="9"/>
  <c r="BQ113" i="9"/>
  <c r="BR113" i="9"/>
  <c r="BS113" i="9"/>
  <c r="BT113" i="9"/>
  <c r="BU113" i="9"/>
  <c r="BV113" i="9"/>
  <c r="BW113" i="9"/>
  <c r="BX113" i="9"/>
  <c r="BY113" i="9"/>
  <c r="BZ113" i="9"/>
  <c r="CA113" i="9"/>
  <c r="CB113" i="9"/>
  <c r="CC113" i="9"/>
  <c r="CD113" i="9"/>
  <c r="CE113" i="9"/>
  <c r="CF113" i="9"/>
  <c r="CG113" i="9"/>
  <c r="CH113" i="9"/>
  <c r="CI113" i="9"/>
  <c r="CM113" i="9"/>
  <c r="CN113" i="9"/>
  <c r="CO113" i="9"/>
  <c r="CP113" i="9"/>
  <c r="CQ113" i="9"/>
  <c r="CR113" i="9"/>
  <c r="C117" i="9"/>
  <c r="D117" i="9"/>
  <c r="E117" i="9"/>
  <c r="F117" i="9"/>
  <c r="G117" i="9"/>
  <c r="H117" i="9"/>
  <c r="I117" i="9"/>
  <c r="J117" i="9"/>
  <c r="K117" i="9"/>
  <c r="L117" i="9"/>
  <c r="M117" i="9"/>
  <c r="N117" i="9"/>
  <c r="O117" i="9"/>
  <c r="P117" i="9"/>
  <c r="Q117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G117" i="9"/>
  <c r="BD117" i="9" s="1"/>
  <c r="AH117" i="9"/>
  <c r="AI117" i="9"/>
  <c r="AJ117" i="9"/>
  <c r="BF117" i="9"/>
  <c r="BG117" i="9"/>
  <c r="BH117" i="9"/>
  <c r="BI117" i="9"/>
  <c r="BJ117" i="9"/>
  <c r="BK117" i="9"/>
  <c r="BL117" i="9"/>
  <c r="BM117" i="9"/>
  <c r="BN117" i="9"/>
  <c r="BO117" i="9"/>
  <c r="BP117" i="9"/>
  <c r="BQ117" i="9"/>
  <c r="BR117" i="9"/>
  <c r="BS117" i="9"/>
  <c r="BT117" i="9"/>
  <c r="BU117" i="9"/>
  <c r="BV117" i="9"/>
  <c r="BW117" i="9"/>
  <c r="BX117" i="9"/>
  <c r="BY117" i="9"/>
  <c r="BZ117" i="9"/>
  <c r="CA117" i="9"/>
  <c r="CB117" i="9"/>
  <c r="CC117" i="9"/>
  <c r="CD117" i="9"/>
  <c r="CE117" i="9"/>
  <c r="CF117" i="9"/>
  <c r="CG117" i="9"/>
  <c r="CH117" i="9"/>
  <c r="CI117" i="9"/>
  <c r="CM117" i="9"/>
  <c r="CN117" i="9"/>
  <c r="CO117" i="9"/>
  <c r="CP117" i="9"/>
  <c r="CQ117" i="9"/>
  <c r="CR117" i="9"/>
  <c r="C123" i="9"/>
  <c r="D123" i="9"/>
  <c r="E123" i="9"/>
  <c r="F123" i="9"/>
  <c r="G123" i="9"/>
  <c r="H123" i="9"/>
  <c r="I123" i="9"/>
  <c r="J123" i="9"/>
  <c r="K123" i="9"/>
  <c r="L123" i="9"/>
  <c r="M123" i="9"/>
  <c r="N123" i="9"/>
  <c r="O123" i="9"/>
  <c r="P123" i="9"/>
  <c r="Q123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G123" i="9"/>
  <c r="BD123" i="9" s="1"/>
  <c r="AH123" i="9"/>
  <c r="AI123" i="9"/>
  <c r="AJ123" i="9"/>
  <c r="BF123" i="9"/>
  <c r="BG123" i="9"/>
  <c r="BH123" i="9"/>
  <c r="BI123" i="9"/>
  <c r="BJ123" i="9"/>
  <c r="BK123" i="9"/>
  <c r="BL123" i="9"/>
  <c r="BM123" i="9"/>
  <c r="BN123" i="9"/>
  <c r="BO123" i="9"/>
  <c r="BP123" i="9"/>
  <c r="BQ123" i="9"/>
  <c r="BR123" i="9"/>
  <c r="BS123" i="9"/>
  <c r="BT123" i="9"/>
  <c r="BU123" i="9"/>
  <c r="BV123" i="9"/>
  <c r="BW123" i="9"/>
  <c r="BX123" i="9"/>
  <c r="BY123" i="9"/>
  <c r="BZ123" i="9"/>
  <c r="CA123" i="9"/>
  <c r="CB123" i="9"/>
  <c r="CC123" i="9"/>
  <c r="CD123" i="9"/>
  <c r="CE123" i="9"/>
  <c r="CF123" i="9"/>
  <c r="CG123" i="9"/>
  <c r="CH123" i="9"/>
  <c r="CI123" i="9"/>
  <c r="CM123" i="9"/>
  <c r="CN123" i="9"/>
  <c r="CO123" i="9"/>
  <c r="CP123" i="9"/>
  <c r="CQ123" i="9"/>
  <c r="CR123" i="9"/>
  <c r="C130" i="9"/>
  <c r="D130" i="9"/>
  <c r="E130" i="9"/>
  <c r="F130" i="9"/>
  <c r="G130" i="9"/>
  <c r="H130" i="9"/>
  <c r="I130" i="9"/>
  <c r="J130" i="9"/>
  <c r="K130" i="9"/>
  <c r="L130" i="9"/>
  <c r="M130" i="9"/>
  <c r="N130" i="9"/>
  <c r="O130" i="9"/>
  <c r="P130" i="9"/>
  <c r="Q130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G130" i="9"/>
  <c r="AH130" i="9"/>
  <c r="AI130" i="9"/>
  <c r="AJ130" i="9"/>
  <c r="BF130" i="9"/>
  <c r="BG130" i="9"/>
  <c r="BH130" i="9"/>
  <c r="BI130" i="9"/>
  <c r="BJ130" i="9"/>
  <c r="BK130" i="9"/>
  <c r="BL130" i="9"/>
  <c r="BM130" i="9"/>
  <c r="BN130" i="9"/>
  <c r="BO130" i="9"/>
  <c r="BP130" i="9"/>
  <c r="BQ130" i="9"/>
  <c r="BR130" i="9"/>
  <c r="BS130" i="9"/>
  <c r="BT130" i="9"/>
  <c r="BU130" i="9"/>
  <c r="BV130" i="9"/>
  <c r="BW130" i="9"/>
  <c r="BX130" i="9"/>
  <c r="BY130" i="9"/>
  <c r="BZ130" i="9"/>
  <c r="CA130" i="9"/>
  <c r="CB130" i="9"/>
  <c r="CC130" i="9"/>
  <c r="CD130" i="9"/>
  <c r="CE130" i="9"/>
  <c r="CF130" i="9"/>
  <c r="CG130" i="9"/>
  <c r="CH130" i="9"/>
  <c r="CI130" i="9"/>
  <c r="CM130" i="9"/>
  <c r="CN130" i="9"/>
  <c r="CO130" i="9"/>
  <c r="CP130" i="9"/>
  <c r="CQ130" i="9"/>
  <c r="CR130" i="9"/>
  <c r="C85" i="9"/>
  <c r="D85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G85" i="9"/>
  <c r="AH85" i="9"/>
  <c r="AI85" i="9"/>
  <c r="AJ85" i="9"/>
  <c r="BF85" i="9"/>
  <c r="BG85" i="9"/>
  <c r="BH85" i="9"/>
  <c r="BI85" i="9"/>
  <c r="BJ85" i="9"/>
  <c r="BK85" i="9"/>
  <c r="BL85" i="9"/>
  <c r="BM85" i="9"/>
  <c r="BN85" i="9"/>
  <c r="BO85" i="9"/>
  <c r="BP85" i="9"/>
  <c r="BQ85" i="9"/>
  <c r="BR85" i="9"/>
  <c r="BS85" i="9"/>
  <c r="BT85" i="9"/>
  <c r="BU85" i="9"/>
  <c r="BV85" i="9"/>
  <c r="BW85" i="9"/>
  <c r="BX85" i="9"/>
  <c r="BY85" i="9"/>
  <c r="BZ85" i="9"/>
  <c r="CA85" i="9"/>
  <c r="CB85" i="9"/>
  <c r="CC85" i="9"/>
  <c r="CD85" i="9"/>
  <c r="CE85" i="9"/>
  <c r="CF85" i="9"/>
  <c r="CG85" i="9"/>
  <c r="CH85" i="9"/>
  <c r="CI85" i="9"/>
  <c r="CM85" i="9"/>
  <c r="CN85" i="9"/>
  <c r="CO85" i="9"/>
  <c r="CP85" i="9"/>
  <c r="CQ85" i="9"/>
  <c r="CR85" i="9"/>
  <c r="C91" i="9"/>
  <c r="D91" i="9"/>
  <c r="E91" i="9"/>
  <c r="F91" i="9"/>
  <c r="G91" i="9"/>
  <c r="H91" i="9"/>
  <c r="I91" i="9"/>
  <c r="J91" i="9"/>
  <c r="K91" i="9"/>
  <c r="L91" i="9"/>
  <c r="M91" i="9"/>
  <c r="N91" i="9"/>
  <c r="O91" i="9"/>
  <c r="P91" i="9"/>
  <c r="Q91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G91" i="9"/>
  <c r="BD91" i="9" s="1"/>
  <c r="AH91" i="9"/>
  <c r="AI91" i="9"/>
  <c r="AJ91" i="9"/>
  <c r="BF91" i="9"/>
  <c r="BG91" i="9"/>
  <c r="BH91" i="9"/>
  <c r="BI91" i="9"/>
  <c r="BJ91" i="9"/>
  <c r="BK91" i="9"/>
  <c r="BL91" i="9"/>
  <c r="BM91" i="9"/>
  <c r="BN91" i="9"/>
  <c r="BO91" i="9"/>
  <c r="BP91" i="9"/>
  <c r="BQ91" i="9"/>
  <c r="BR91" i="9"/>
  <c r="BS91" i="9"/>
  <c r="BT91" i="9"/>
  <c r="BU91" i="9"/>
  <c r="BV91" i="9"/>
  <c r="BW91" i="9"/>
  <c r="BX91" i="9"/>
  <c r="BY91" i="9"/>
  <c r="BZ91" i="9"/>
  <c r="CA91" i="9"/>
  <c r="CB91" i="9"/>
  <c r="CC91" i="9"/>
  <c r="CD91" i="9"/>
  <c r="CE91" i="9"/>
  <c r="CF91" i="9"/>
  <c r="CG91" i="9"/>
  <c r="CH91" i="9"/>
  <c r="CI91" i="9"/>
  <c r="CM91" i="9"/>
  <c r="CN91" i="9"/>
  <c r="CO91" i="9"/>
  <c r="CP91" i="9"/>
  <c r="CQ91" i="9"/>
  <c r="CR91" i="9"/>
  <c r="C97" i="9"/>
  <c r="D97" i="9"/>
  <c r="E97" i="9"/>
  <c r="F97" i="9"/>
  <c r="G97" i="9"/>
  <c r="H97" i="9"/>
  <c r="I97" i="9"/>
  <c r="J97" i="9"/>
  <c r="K97" i="9"/>
  <c r="L97" i="9"/>
  <c r="M97" i="9"/>
  <c r="N97" i="9"/>
  <c r="O97" i="9"/>
  <c r="P97" i="9"/>
  <c r="Q97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G97" i="9"/>
  <c r="BD97" i="9" s="1"/>
  <c r="AH97" i="9"/>
  <c r="AI97" i="9"/>
  <c r="AJ97" i="9"/>
  <c r="BF97" i="9"/>
  <c r="BG97" i="9"/>
  <c r="BH97" i="9"/>
  <c r="BI97" i="9"/>
  <c r="BJ97" i="9"/>
  <c r="BK97" i="9"/>
  <c r="BL97" i="9"/>
  <c r="BM97" i="9"/>
  <c r="BN97" i="9"/>
  <c r="BO97" i="9"/>
  <c r="BP97" i="9"/>
  <c r="BQ97" i="9"/>
  <c r="BR97" i="9"/>
  <c r="BS97" i="9"/>
  <c r="BT97" i="9"/>
  <c r="BU97" i="9"/>
  <c r="BV97" i="9"/>
  <c r="BW97" i="9"/>
  <c r="BX97" i="9"/>
  <c r="BY97" i="9"/>
  <c r="BZ97" i="9"/>
  <c r="CA97" i="9"/>
  <c r="CB97" i="9"/>
  <c r="CC97" i="9"/>
  <c r="CD97" i="9"/>
  <c r="CE97" i="9"/>
  <c r="CF97" i="9"/>
  <c r="CG97" i="9"/>
  <c r="CH97" i="9"/>
  <c r="CI97" i="9"/>
  <c r="CM97" i="9"/>
  <c r="CN97" i="9"/>
  <c r="CO97" i="9"/>
  <c r="CP97" i="9"/>
  <c r="CQ97" i="9"/>
  <c r="CR97" i="9"/>
  <c r="C102" i="9"/>
  <c r="D102" i="9"/>
  <c r="E102" i="9"/>
  <c r="F102" i="9"/>
  <c r="G102" i="9"/>
  <c r="H102" i="9"/>
  <c r="I102" i="9"/>
  <c r="J102" i="9"/>
  <c r="K102" i="9"/>
  <c r="L102" i="9"/>
  <c r="M102" i="9"/>
  <c r="N102" i="9"/>
  <c r="O102" i="9"/>
  <c r="P102" i="9"/>
  <c r="Q102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G102" i="9"/>
  <c r="AH102" i="9"/>
  <c r="AI102" i="9"/>
  <c r="AJ102" i="9"/>
  <c r="BF102" i="9"/>
  <c r="BG102" i="9"/>
  <c r="BH102" i="9"/>
  <c r="BI102" i="9"/>
  <c r="BJ102" i="9"/>
  <c r="BK102" i="9"/>
  <c r="BL102" i="9"/>
  <c r="BM102" i="9"/>
  <c r="BN102" i="9"/>
  <c r="BO102" i="9"/>
  <c r="BP102" i="9"/>
  <c r="BQ102" i="9"/>
  <c r="BR102" i="9"/>
  <c r="BS102" i="9"/>
  <c r="BT102" i="9"/>
  <c r="BU102" i="9"/>
  <c r="BV102" i="9"/>
  <c r="BW102" i="9"/>
  <c r="BX102" i="9"/>
  <c r="BY102" i="9"/>
  <c r="BZ102" i="9"/>
  <c r="CA102" i="9"/>
  <c r="CB102" i="9"/>
  <c r="CC102" i="9"/>
  <c r="CD102" i="9"/>
  <c r="CE102" i="9"/>
  <c r="CF102" i="9"/>
  <c r="CG102" i="9"/>
  <c r="CH102" i="9"/>
  <c r="CI102" i="9"/>
  <c r="CM102" i="9"/>
  <c r="CN102" i="9"/>
  <c r="CO102" i="9"/>
  <c r="CP102" i="9"/>
  <c r="CQ102" i="9"/>
  <c r="CR102" i="9"/>
  <c r="C110" i="9"/>
  <c r="D110" i="9"/>
  <c r="E110" i="9"/>
  <c r="F110" i="9"/>
  <c r="G110" i="9"/>
  <c r="H110" i="9"/>
  <c r="I110" i="9"/>
  <c r="J110" i="9"/>
  <c r="K110" i="9"/>
  <c r="L110" i="9"/>
  <c r="M110" i="9"/>
  <c r="N110" i="9"/>
  <c r="O110" i="9"/>
  <c r="P110" i="9"/>
  <c r="Q110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G110" i="9"/>
  <c r="AH110" i="9"/>
  <c r="AI110" i="9"/>
  <c r="AJ110" i="9"/>
  <c r="BF110" i="9"/>
  <c r="BG110" i="9"/>
  <c r="BH110" i="9"/>
  <c r="BI110" i="9"/>
  <c r="BJ110" i="9"/>
  <c r="BK110" i="9"/>
  <c r="BL110" i="9"/>
  <c r="BM110" i="9"/>
  <c r="BN110" i="9"/>
  <c r="BO110" i="9"/>
  <c r="BP110" i="9"/>
  <c r="BQ110" i="9"/>
  <c r="BR110" i="9"/>
  <c r="BS110" i="9"/>
  <c r="BT110" i="9"/>
  <c r="BU110" i="9"/>
  <c r="BV110" i="9"/>
  <c r="BW110" i="9"/>
  <c r="BX110" i="9"/>
  <c r="BY110" i="9"/>
  <c r="BZ110" i="9"/>
  <c r="CA110" i="9"/>
  <c r="CB110" i="9"/>
  <c r="CC110" i="9"/>
  <c r="CD110" i="9"/>
  <c r="CE110" i="9"/>
  <c r="CF110" i="9"/>
  <c r="CG110" i="9"/>
  <c r="CH110" i="9"/>
  <c r="CI110" i="9"/>
  <c r="CM110" i="9"/>
  <c r="CN110" i="9"/>
  <c r="CO110" i="9"/>
  <c r="CP110" i="9"/>
  <c r="CQ110" i="9"/>
  <c r="CR110" i="9"/>
  <c r="C114" i="9"/>
  <c r="D114" i="9"/>
  <c r="E114" i="9"/>
  <c r="F114" i="9"/>
  <c r="G114" i="9"/>
  <c r="H114" i="9"/>
  <c r="I114" i="9"/>
  <c r="J114" i="9"/>
  <c r="K114" i="9"/>
  <c r="L114" i="9"/>
  <c r="M114" i="9"/>
  <c r="N114" i="9"/>
  <c r="O114" i="9"/>
  <c r="P114" i="9"/>
  <c r="Q114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G114" i="9"/>
  <c r="BD114" i="9" s="1"/>
  <c r="AH114" i="9"/>
  <c r="AI114" i="9"/>
  <c r="AJ114" i="9"/>
  <c r="BF114" i="9"/>
  <c r="BG114" i="9"/>
  <c r="BH114" i="9"/>
  <c r="BI114" i="9"/>
  <c r="BJ114" i="9"/>
  <c r="BK114" i="9"/>
  <c r="BL114" i="9"/>
  <c r="BM114" i="9"/>
  <c r="BN114" i="9"/>
  <c r="BO114" i="9"/>
  <c r="BP114" i="9"/>
  <c r="BQ114" i="9"/>
  <c r="BR114" i="9"/>
  <c r="BS114" i="9"/>
  <c r="BT114" i="9"/>
  <c r="BU114" i="9"/>
  <c r="BV114" i="9"/>
  <c r="BW114" i="9"/>
  <c r="BX114" i="9"/>
  <c r="BY114" i="9"/>
  <c r="BZ114" i="9"/>
  <c r="CA114" i="9"/>
  <c r="CB114" i="9"/>
  <c r="CC114" i="9"/>
  <c r="CD114" i="9"/>
  <c r="CE114" i="9"/>
  <c r="CF114" i="9"/>
  <c r="CG114" i="9"/>
  <c r="CH114" i="9"/>
  <c r="CI114" i="9"/>
  <c r="CM114" i="9"/>
  <c r="CN114" i="9"/>
  <c r="CO114" i="9"/>
  <c r="CP114" i="9"/>
  <c r="CQ114" i="9"/>
  <c r="CR114" i="9"/>
  <c r="C118" i="9"/>
  <c r="D118" i="9"/>
  <c r="E118" i="9"/>
  <c r="F118" i="9"/>
  <c r="G118" i="9"/>
  <c r="H118" i="9"/>
  <c r="I118" i="9"/>
  <c r="J118" i="9"/>
  <c r="K118" i="9"/>
  <c r="L118" i="9"/>
  <c r="M118" i="9"/>
  <c r="N118" i="9"/>
  <c r="O118" i="9"/>
  <c r="P118" i="9"/>
  <c r="Q118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G118" i="9"/>
  <c r="BD118" i="9" s="1"/>
  <c r="AH118" i="9"/>
  <c r="AI118" i="9"/>
  <c r="AJ118" i="9"/>
  <c r="BF118" i="9"/>
  <c r="BG118" i="9"/>
  <c r="BH118" i="9"/>
  <c r="BI118" i="9"/>
  <c r="BJ118" i="9"/>
  <c r="BK118" i="9"/>
  <c r="BL118" i="9"/>
  <c r="BM118" i="9"/>
  <c r="BN118" i="9"/>
  <c r="BO118" i="9"/>
  <c r="BP118" i="9"/>
  <c r="BQ118" i="9"/>
  <c r="BR118" i="9"/>
  <c r="BS118" i="9"/>
  <c r="BT118" i="9"/>
  <c r="BU118" i="9"/>
  <c r="BV118" i="9"/>
  <c r="BW118" i="9"/>
  <c r="BX118" i="9"/>
  <c r="BY118" i="9"/>
  <c r="BZ118" i="9"/>
  <c r="CA118" i="9"/>
  <c r="CB118" i="9"/>
  <c r="CC118" i="9"/>
  <c r="CD118" i="9"/>
  <c r="CE118" i="9"/>
  <c r="CF118" i="9"/>
  <c r="CG118" i="9"/>
  <c r="CH118" i="9"/>
  <c r="CI118" i="9"/>
  <c r="CM118" i="9"/>
  <c r="CN118" i="9"/>
  <c r="CO118" i="9"/>
  <c r="CP118" i="9"/>
  <c r="CQ118" i="9"/>
  <c r="CR118" i="9"/>
  <c r="C124" i="9"/>
  <c r="D124" i="9"/>
  <c r="E124" i="9"/>
  <c r="F124" i="9"/>
  <c r="G124" i="9"/>
  <c r="H124" i="9"/>
  <c r="I124" i="9"/>
  <c r="J124" i="9"/>
  <c r="K124" i="9"/>
  <c r="L124" i="9"/>
  <c r="M124" i="9"/>
  <c r="N124" i="9"/>
  <c r="O124" i="9"/>
  <c r="P124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G124" i="9"/>
  <c r="AH124" i="9"/>
  <c r="AI124" i="9"/>
  <c r="AJ124" i="9"/>
  <c r="BF124" i="9"/>
  <c r="BG124" i="9"/>
  <c r="BH124" i="9"/>
  <c r="BI124" i="9"/>
  <c r="BJ124" i="9"/>
  <c r="BK124" i="9"/>
  <c r="BL124" i="9"/>
  <c r="BM124" i="9"/>
  <c r="BN124" i="9"/>
  <c r="BO124" i="9"/>
  <c r="BP124" i="9"/>
  <c r="BQ124" i="9"/>
  <c r="BR124" i="9"/>
  <c r="BS124" i="9"/>
  <c r="BT124" i="9"/>
  <c r="BU124" i="9"/>
  <c r="BV124" i="9"/>
  <c r="BW124" i="9"/>
  <c r="BX124" i="9"/>
  <c r="BY124" i="9"/>
  <c r="BZ124" i="9"/>
  <c r="CA124" i="9"/>
  <c r="CB124" i="9"/>
  <c r="CC124" i="9"/>
  <c r="CD124" i="9"/>
  <c r="CE124" i="9"/>
  <c r="CF124" i="9"/>
  <c r="CG124" i="9"/>
  <c r="CH124" i="9"/>
  <c r="CI124" i="9"/>
  <c r="CM124" i="9"/>
  <c r="CN124" i="9"/>
  <c r="CO124" i="9"/>
  <c r="CP124" i="9"/>
  <c r="CQ124" i="9"/>
  <c r="CR124" i="9"/>
  <c r="C131" i="9"/>
  <c r="D131" i="9"/>
  <c r="E131" i="9"/>
  <c r="F131" i="9"/>
  <c r="G131" i="9"/>
  <c r="H131" i="9"/>
  <c r="I131" i="9"/>
  <c r="J131" i="9"/>
  <c r="K131" i="9"/>
  <c r="L131" i="9"/>
  <c r="M131" i="9"/>
  <c r="N131" i="9"/>
  <c r="O131" i="9"/>
  <c r="P131" i="9"/>
  <c r="Q131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G131" i="9"/>
  <c r="AH131" i="9"/>
  <c r="AI131" i="9"/>
  <c r="AJ131" i="9"/>
  <c r="BF131" i="9"/>
  <c r="BG131" i="9"/>
  <c r="BH131" i="9"/>
  <c r="BI131" i="9"/>
  <c r="BJ131" i="9"/>
  <c r="BK131" i="9"/>
  <c r="BL131" i="9"/>
  <c r="BM131" i="9"/>
  <c r="BN131" i="9"/>
  <c r="BO131" i="9"/>
  <c r="BP131" i="9"/>
  <c r="BQ131" i="9"/>
  <c r="BR131" i="9"/>
  <c r="BS131" i="9"/>
  <c r="BT131" i="9"/>
  <c r="BU131" i="9"/>
  <c r="BV131" i="9"/>
  <c r="BW131" i="9"/>
  <c r="BX131" i="9"/>
  <c r="BY131" i="9"/>
  <c r="BZ131" i="9"/>
  <c r="CA131" i="9"/>
  <c r="CB131" i="9"/>
  <c r="CC131" i="9"/>
  <c r="CD131" i="9"/>
  <c r="CE131" i="9"/>
  <c r="CF131" i="9"/>
  <c r="CG131" i="9"/>
  <c r="CH131" i="9"/>
  <c r="CI131" i="9"/>
  <c r="CM131" i="9"/>
  <c r="CN131" i="9"/>
  <c r="CO131" i="9"/>
  <c r="CP131" i="9"/>
  <c r="CQ131" i="9"/>
  <c r="CR131" i="9"/>
  <c r="C86" i="9"/>
  <c r="D86" i="9"/>
  <c r="E86" i="9"/>
  <c r="F86" i="9"/>
  <c r="G86" i="9"/>
  <c r="H86" i="9"/>
  <c r="I86" i="9"/>
  <c r="J86" i="9"/>
  <c r="K86" i="9"/>
  <c r="L86" i="9"/>
  <c r="M86" i="9"/>
  <c r="N86" i="9"/>
  <c r="O86" i="9"/>
  <c r="P86" i="9"/>
  <c r="Q86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G86" i="9"/>
  <c r="BD86" i="9" s="1"/>
  <c r="AH86" i="9"/>
  <c r="AI86" i="9"/>
  <c r="AJ86" i="9"/>
  <c r="BF86" i="9"/>
  <c r="BG86" i="9"/>
  <c r="BH86" i="9"/>
  <c r="BI86" i="9"/>
  <c r="BJ86" i="9"/>
  <c r="BK86" i="9"/>
  <c r="BL86" i="9"/>
  <c r="BM86" i="9"/>
  <c r="BN86" i="9"/>
  <c r="BO86" i="9"/>
  <c r="BP86" i="9"/>
  <c r="BQ86" i="9"/>
  <c r="BR86" i="9"/>
  <c r="BS86" i="9"/>
  <c r="BT86" i="9"/>
  <c r="BU86" i="9"/>
  <c r="BV86" i="9"/>
  <c r="BW86" i="9"/>
  <c r="BX86" i="9"/>
  <c r="BY86" i="9"/>
  <c r="BZ86" i="9"/>
  <c r="CA86" i="9"/>
  <c r="CB86" i="9"/>
  <c r="CC86" i="9"/>
  <c r="CD86" i="9"/>
  <c r="CE86" i="9"/>
  <c r="CF86" i="9"/>
  <c r="CG86" i="9"/>
  <c r="CH86" i="9"/>
  <c r="CI86" i="9"/>
  <c r="CM86" i="9"/>
  <c r="CN86" i="9"/>
  <c r="CO86" i="9"/>
  <c r="CP86" i="9"/>
  <c r="CQ86" i="9"/>
  <c r="CR86" i="9"/>
  <c r="C92" i="9"/>
  <c r="D92" i="9"/>
  <c r="E92" i="9"/>
  <c r="F92" i="9"/>
  <c r="G92" i="9"/>
  <c r="H92" i="9"/>
  <c r="I92" i="9"/>
  <c r="J92" i="9"/>
  <c r="K92" i="9"/>
  <c r="L92" i="9"/>
  <c r="M92" i="9"/>
  <c r="N92" i="9"/>
  <c r="O92" i="9"/>
  <c r="P92" i="9"/>
  <c r="Q92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G92" i="9"/>
  <c r="BD92" i="9" s="1"/>
  <c r="AH92" i="9"/>
  <c r="AI92" i="9"/>
  <c r="AJ92" i="9"/>
  <c r="BF92" i="9"/>
  <c r="BG92" i="9"/>
  <c r="BH92" i="9"/>
  <c r="BI92" i="9"/>
  <c r="BJ92" i="9"/>
  <c r="BK92" i="9"/>
  <c r="BL92" i="9"/>
  <c r="BM92" i="9"/>
  <c r="BN92" i="9"/>
  <c r="BO92" i="9"/>
  <c r="BP92" i="9"/>
  <c r="BQ92" i="9"/>
  <c r="BR92" i="9"/>
  <c r="BS92" i="9"/>
  <c r="BT92" i="9"/>
  <c r="BU92" i="9"/>
  <c r="BV92" i="9"/>
  <c r="BW92" i="9"/>
  <c r="BX92" i="9"/>
  <c r="BY92" i="9"/>
  <c r="BZ92" i="9"/>
  <c r="CA92" i="9"/>
  <c r="CB92" i="9"/>
  <c r="CC92" i="9"/>
  <c r="CD92" i="9"/>
  <c r="CE92" i="9"/>
  <c r="CF92" i="9"/>
  <c r="CG92" i="9"/>
  <c r="CH92" i="9"/>
  <c r="CI92" i="9"/>
  <c r="CM92" i="9"/>
  <c r="CN92" i="9"/>
  <c r="CO92" i="9"/>
  <c r="CP92" i="9"/>
  <c r="CQ92" i="9"/>
  <c r="CR92" i="9"/>
  <c r="C98" i="9"/>
  <c r="D98" i="9"/>
  <c r="E98" i="9"/>
  <c r="F98" i="9"/>
  <c r="G98" i="9"/>
  <c r="H98" i="9"/>
  <c r="I98" i="9"/>
  <c r="J98" i="9"/>
  <c r="K98" i="9"/>
  <c r="L98" i="9"/>
  <c r="M98" i="9"/>
  <c r="N98" i="9"/>
  <c r="O98" i="9"/>
  <c r="P98" i="9"/>
  <c r="Q98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G98" i="9"/>
  <c r="AH98" i="9"/>
  <c r="AI98" i="9"/>
  <c r="AJ98" i="9"/>
  <c r="BF98" i="9"/>
  <c r="BG98" i="9"/>
  <c r="BH98" i="9"/>
  <c r="BI98" i="9"/>
  <c r="BJ98" i="9"/>
  <c r="BK98" i="9"/>
  <c r="BL98" i="9"/>
  <c r="BM98" i="9"/>
  <c r="BN98" i="9"/>
  <c r="BO98" i="9"/>
  <c r="BP98" i="9"/>
  <c r="BQ98" i="9"/>
  <c r="BR98" i="9"/>
  <c r="BS98" i="9"/>
  <c r="BT98" i="9"/>
  <c r="BU98" i="9"/>
  <c r="BV98" i="9"/>
  <c r="BW98" i="9"/>
  <c r="BX98" i="9"/>
  <c r="BY98" i="9"/>
  <c r="BZ98" i="9"/>
  <c r="CA98" i="9"/>
  <c r="CB98" i="9"/>
  <c r="CC98" i="9"/>
  <c r="CD98" i="9"/>
  <c r="CE98" i="9"/>
  <c r="CF98" i="9"/>
  <c r="CG98" i="9"/>
  <c r="CH98" i="9"/>
  <c r="CI98" i="9"/>
  <c r="CM98" i="9"/>
  <c r="CN98" i="9"/>
  <c r="CO98" i="9"/>
  <c r="CP98" i="9"/>
  <c r="CQ98" i="9"/>
  <c r="CR98" i="9"/>
  <c r="C103" i="9"/>
  <c r="D103" i="9"/>
  <c r="E103" i="9"/>
  <c r="F103" i="9"/>
  <c r="G103" i="9"/>
  <c r="H103" i="9"/>
  <c r="I103" i="9"/>
  <c r="J103" i="9"/>
  <c r="K103" i="9"/>
  <c r="L103" i="9"/>
  <c r="M103" i="9"/>
  <c r="N103" i="9"/>
  <c r="O103" i="9"/>
  <c r="P103" i="9"/>
  <c r="Q103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G103" i="9"/>
  <c r="AH103" i="9"/>
  <c r="AI103" i="9"/>
  <c r="AJ103" i="9"/>
  <c r="BF103" i="9"/>
  <c r="BG103" i="9"/>
  <c r="BH103" i="9"/>
  <c r="BI103" i="9"/>
  <c r="BJ103" i="9"/>
  <c r="BK103" i="9"/>
  <c r="BL103" i="9"/>
  <c r="BM103" i="9"/>
  <c r="BN103" i="9"/>
  <c r="BO103" i="9"/>
  <c r="BP103" i="9"/>
  <c r="BQ103" i="9"/>
  <c r="BR103" i="9"/>
  <c r="BS103" i="9"/>
  <c r="BT103" i="9"/>
  <c r="BU103" i="9"/>
  <c r="BV103" i="9"/>
  <c r="BW103" i="9"/>
  <c r="BX103" i="9"/>
  <c r="BY103" i="9"/>
  <c r="BZ103" i="9"/>
  <c r="CA103" i="9"/>
  <c r="CB103" i="9"/>
  <c r="CC103" i="9"/>
  <c r="CD103" i="9"/>
  <c r="CE103" i="9"/>
  <c r="CF103" i="9"/>
  <c r="CG103" i="9"/>
  <c r="CH103" i="9"/>
  <c r="CI103" i="9"/>
  <c r="CM103" i="9"/>
  <c r="CN103" i="9"/>
  <c r="CO103" i="9"/>
  <c r="CP103" i="9"/>
  <c r="CQ103" i="9"/>
  <c r="CR103" i="9"/>
  <c r="C111" i="9"/>
  <c r="D111" i="9"/>
  <c r="E111" i="9"/>
  <c r="F111" i="9"/>
  <c r="G111" i="9"/>
  <c r="H111" i="9"/>
  <c r="I111" i="9"/>
  <c r="J111" i="9"/>
  <c r="K111" i="9"/>
  <c r="L111" i="9"/>
  <c r="M111" i="9"/>
  <c r="N111" i="9"/>
  <c r="O111" i="9"/>
  <c r="P111" i="9"/>
  <c r="Q111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G111" i="9"/>
  <c r="BD111" i="9" s="1"/>
  <c r="AH111" i="9"/>
  <c r="AI111" i="9"/>
  <c r="AJ111" i="9"/>
  <c r="BF111" i="9"/>
  <c r="BG111" i="9"/>
  <c r="BH111" i="9"/>
  <c r="BI111" i="9"/>
  <c r="BJ111" i="9"/>
  <c r="BK111" i="9"/>
  <c r="BL111" i="9"/>
  <c r="BM111" i="9"/>
  <c r="BN111" i="9"/>
  <c r="BO111" i="9"/>
  <c r="BP111" i="9"/>
  <c r="BQ111" i="9"/>
  <c r="BR111" i="9"/>
  <c r="BS111" i="9"/>
  <c r="BT111" i="9"/>
  <c r="BU111" i="9"/>
  <c r="BV111" i="9"/>
  <c r="BW111" i="9"/>
  <c r="BX111" i="9"/>
  <c r="BY111" i="9"/>
  <c r="BZ111" i="9"/>
  <c r="CA111" i="9"/>
  <c r="CB111" i="9"/>
  <c r="CC111" i="9"/>
  <c r="CD111" i="9"/>
  <c r="CE111" i="9"/>
  <c r="CF111" i="9"/>
  <c r="CG111" i="9"/>
  <c r="CH111" i="9"/>
  <c r="CI111" i="9"/>
  <c r="CM111" i="9"/>
  <c r="CN111" i="9"/>
  <c r="CO111" i="9"/>
  <c r="CP111" i="9"/>
  <c r="CQ111" i="9"/>
  <c r="CR111" i="9"/>
  <c r="C115" i="9"/>
  <c r="D115" i="9"/>
  <c r="E115" i="9"/>
  <c r="F115" i="9"/>
  <c r="G115" i="9"/>
  <c r="H115" i="9"/>
  <c r="I115" i="9"/>
  <c r="J115" i="9"/>
  <c r="K115" i="9"/>
  <c r="L115" i="9"/>
  <c r="M115" i="9"/>
  <c r="N115" i="9"/>
  <c r="O115" i="9"/>
  <c r="P115" i="9"/>
  <c r="Q115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G115" i="9"/>
  <c r="BD115" i="9" s="1"/>
  <c r="AH115" i="9"/>
  <c r="AI115" i="9"/>
  <c r="AJ115" i="9"/>
  <c r="BF115" i="9"/>
  <c r="BG115" i="9"/>
  <c r="BH115" i="9"/>
  <c r="BI115" i="9"/>
  <c r="BJ115" i="9"/>
  <c r="BK115" i="9"/>
  <c r="BL115" i="9"/>
  <c r="BM115" i="9"/>
  <c r="BN115" i="9"/>
  <c r="BO115" i="9"/>
  <c r="BP115" i="9"/>
  <c r="BQ115" i="9"/>
  <c r="BR115" i="9"/>
  <c r="BS115" i="9"/>
  <c r="BT115" i="9"/>
  <c r="BU115" i="9"/>
  <c r="BV115" i="9"/>
  <c r="BW115" i="9"/>
  <c r="BX115" i="9"/>
  <c r="BY115" i="9"/>
  <c r="BZ115" i="9"/>
  <c r="CA115" i="9"/>
  <c r="CB115" i="9"/>
  <c r="CC115" i="9"/>
  <c r="CD115" i="9"/>
  <c r="CE115" i="9"/>
  <c r="CF115" i="9"/>
  <c r="CG115" i="9"/>
  <c r="CH115" i="9"/>
  <c r="CI115" i="9"/>
  <c r="CM115" i="9"/>
  <c r="CN115" i="9"/>
  <c r="CO115" i="9"/>
  <c r="CP115" i="9"/>
  <c r="CQ115" i="9"/>
  <c r="CR115" i="9"/>
  <c r="C119" i="9"/>
  <c r="D119" i="9"/>
  <c r="E119" i="9"/>
  <c r="F119" i="9"/>
  <c r="G119" i="9"/>
  <c r="H119" i="9"/>
  <c r="I119" i="9"/>
  <c r="J119" i="9"/>
  <c r="K119" i="9"/>
  <c r="L119" i="9"/>
  <c r="M119" i="9"/>
  <c r="N119" i="9"/>
  <c r="O119" i="9"/>
  <c r="P119" i="9"/>
  <c r="Q119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G119" i="9"/>
  <c r="AH119" i="9"/>
  <c r="AI119" i="9"/>
  <c r="AJ119" i="9"/>
  <c r="BF119" i="9"/>
  <c r="BG119" i="9"/>
  <c r="BH119" i="9"/>
  <c r="BI119" i="9"/>
  <c r="BJ119" i="9"/>
  <c r="BK119" i="9"/>
  <c r="BL119" i="9"/>
  <c r="BM119" i="9"/>
  <c r="BN119" i="9"/>
  <c r="BO119" i="9"/>
  <c r="BP119" i="9"/>
  <c r="BQ119" i="9"/>
  <c r="BR119" i="9"/>
  <c r="BS119" i="9"/>
  <c r="BT119" i="9"/>
  <c r="BU119" i="9"/>
  <c r="BV119" i="9"/>
  <c r="BW119" i="9"/>
  <c r="BX119" i="9"/>
  <c r="BY119" i="9"/>
  <c r="BZ119" i="9"/>
  <c r="CA119" i="9"/>
  <c r="CB119" i="9"/>
  <c r="CC119" i="9"/>
  <c r="CD119" i="9"/>
  <c r="CE119" i="9"/>
  <c r="CF119" i="9"/>
  <c r="CG119" i="9"/>
  <c r="CH119" i="9"/>
  <c r="CI119" i="9"/>
  <c r="CM119" i="9"/>
  <c r="CN119" i="9"/>
  <c r="CO119" i="9"/>
  <c r="CP119" i="9"/>
  <c r="CQ119" i="9"/>
  <c r="CR119" i="9"/>
  <c r="C125" i="9"/>
  <c r="D125" i="9"/>
  <c r="E125" i="9"/>
  <c r="F125" i="9"/>
  <c r="G125" i="9"/>
  <c r="H125" i="9"/>
  <c r="I125" i="9"/>
  <c r="J125" i="9"/>
  <c r="K125" i="9"/>
  <c r="L125" i="9"/>
  <c r="M125" i="9"/>
  <c r="N125" i="9"/>
  <c r="O125" i="9"/>
  <c r="P125" i="9"/>
  <c r="Q125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G125" i="9"/>
  <c r="AH125" i="9"/>
  <c r="AI125" i="9"/>
  <c r="AJ125" i="9"/>
  <c r="BF125" i="9"/>
  <c r="BG125" i="9"/>
  <c r="BH125" i="9"/>
  <c r="BI125" i="9"/>
  <c r="BJ125" i="9"/>
  <c r="BK125" i="9"/>
  <c r="BL125" i="9"/>
  <c r="BM125" i="9"/>
  <c r="BN125" i="9"/>
  <c r="BO125" i="9"/>
  <c r="BP125" i="9"/>
  <c r="BQ125" i="9"/>
  <c r="BR125" i="9"/>
  <c r="BS125" i="9"/>
  <c r="BT125" i="9"/>
  <c r="BU125" i="9"/>
  <c r="BV125" i="9"/>
  <c r="BW125" i="9"/>
  <c r="BX125" i="9"/>
  <c r="BY125" i="9"/>
  <c r="BZ125" i="9"/>
  <c r="CA125" i="9"/>
  <c r="CB125" i="9"/>
  <c r="CC125" i="9"/>
  <c r="CD125" i="9"/>
  <c r="CE125" i="9"/>
  <c r="CF125" i="9"/>
  <c r="CG125" i="9"/>
  <c r="CH125" i="9"/>
  <c r="CI125" i="9"/>
  <c r="CM125" i="9"/>
  <c r="CN125" i="9"/>
  <c r="CO125" i="9"/>
  <c r="CP125" i="9"/>
  <c r="CQ125" i="9"/>
  <c r="CR125" i="9"/>
  <c r="C132" i="9"/>
  <c r="D132" i="9"/>
  <c r="E132" i="9"/>
  <c r="F132" i="9"/>
  <c r="G132" i="9"/>
  <c r="H132" i="9"/>
  <c r="I132" i="9"/>
  <c r="J132" i="9"/>
  <c r="K132" i="9"/>
  <c r="L132" i="9"/>
  <c r="M132" i="9"/>
  <c r="N132" i="9"/>
  <c r="O132" i="9"/>
  <c r="P132" i="9"/>
  <c r="Q132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G132" i="9"/>
  <c r="BD132" i="9" s="1"/>
  <c r="AH132" i="9"/>
  <c r="AI132" i="9"/>
  <c r="AJ132" i="9"/>
  <c r="BF132" i="9"/>
  <c r="BG132" i="9"/>
  <c r="BH132" i="9"/>
  <c r="BI132" i="9"/>
  <c r="BJ132" i="9"/>
  <c r="BK132" i="9"/>
  <c r="BL132" i="9"/>
  <c r="BM132" i="9"/>
  <c r="BN132" i="9"/>
  <c r="BO132" i="9"/>
  <c r="BP132" i="9"/>
  <c r="BQ132" i="9"/>
  <c r="BR132" i="9"/>
  <c r="BS132" i="9"/>
  <c r="BT132" i="9"/>
  <c r="BU132" i="9"/>
  <c r="BV132" i="9"/>
  <c r="BW132" i="9"/>
  <c r="BX132" i="9"/>
  <c r="BY132" i="9"/>
  <c r="BZ132" i="9"/>
  <c r="CA132" i="9"/>
  <c r="CB132" i="9"/>
  <c r="CC132" i="9"/>
  <c r="CD132" i="9"/>
  <c r="CE132" i="9"/>
  <c r="CF132" i="9"/>
  <c r="CG132" i="9"/>
  <c r="CH132" i="9"/>
  <c r="CI132" i="9"/>
  <c r="CM132" i="9"/>
  <c r="CN132" i="9"/>
  <c r="CO132" i="9"/>
  <c r="CP132" i="9"/>
  <c r="CQ132" i="9"/>
  <c r="CR132" i="9"/>
  <c r="C87" i="9"/>
  <c r="D87" i="9"/>
  <c r="E87" i="9"/>
  <c r="F87" i="9"/>
  <c r="G87" i="9"/>
  <c r="H87" i="9"/>
  <c r="I87" i="9"/>
  <c r="J87" i="9"/>
  <c r="K87" i="9"/>
  <c r="L87" i="9"/>
  <c r="M87" i="9"/>
  <c r="N87" i="9"/>
  <c r="O87" i="9"/>
  <c r="P87" i="9"/>
  <c r="Q87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G87" i="9"/>
  <c r="BD87" i="9" s="1"/>
  <c r="AH87" i="9"/>
  <c r="AI87" i="9"/>
  <c r="AJ87" i="9"/>
  <c r="BF87" i="9"/>
  <c r="BG87" i="9"/>
  <c r="BH87" i="9"/>
  <c r="BI87" i="9"/>
  <c r="BJ87" i="9"/>
  <c r="BK87" i="9"/>
  <c r="BL87" i="9"/>
  <c r="BM87" i="9"/>
  <c r="BN87" i="9"/>
  <c r="BO87" i="9"/>
  <c r="BP87" i="9"/>
  <c r="BQ87" i="9"/>
  <c r="BR87" i="9"/>
  <c r="BS87" i="9"/>
  <c r="BT87" i="9"/>
  <c r="BU87" i="9"/>
  <c r="BV87" i="9"/>
  <c r="BW87" i="9"/>
  <c r="BX87" i="9"/>
  <c r="BY87" i="9"/>
  <c r="BZ87" i="9"/>
  <c r="CA87" i="9"/>
  <c r="CB87" i="9"/>
  <c r="CC87" i="9"/>
  <c r="CD87" i="9"/>
  <c r="CE87" i="9"/>
  <c r="CF87" i="9"/>
  <c r="CG87" i="9"/>
  <c r="CH87" i="9"/>
  <c r="CI87" i="9"/>
  <c r="CM87" i="9"/>
  <c r="CN87" i="9"/>
  <c r="CO87" i="9"/>
  <c r="CP87" i="9"/>
  <c r="CQ87" i="9"/>
  <c r="CR87" i="9"/>
  <c r="C93" i="9"/>
  <c r="D93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G93" i="9"/>
  <c r="AH93" i="9"/>
  <c r="AI93" i="9"/>
  <c r="AJ93" i="9"/>
  <c r="BF93" i="9"/>
  <c r="BG93" i="9"/>
  <c r="BH93" i="9"/>
  <c r="BI93" i="9"/>
  <c r="BJ93" i="9"/>
  <c r="BK93" i="9"/>
  <c r="BL93" i="9"/>
  <c r="BM93" i="9"/>
  <c r="BN93" i="9"/>
  <c r="BO93" i="9"/>
  <c r="BP93" i="9"/>
  <c r="BQ93" i="9"/>
  <c r="BR93" i="9"/>
  <c r="BS93" i="9"/>
  <c r="BT93" i="9"/>
  <c r="BU93" i="9"/>
  <c r="BV93" i="9"/>
  <c r="BW93" i="9"/>
  <c r="BX93" i="9"/>
  <c r="BY93" i="9"/>
  <c r="BZ93" i="9"/>
  <c r="CA93" i="9"/>
  <c r="CB93" i="9"/>
  <c r="CC93" i="9"/>
  <c r="CD93" i="9"/>
  <c r="CE93" i="9"/>
  <c r="CF93" i="9"/>
  <c r="CG93" i="9"/>
  <c r="CH93" i="9"/>
  <c r="CI93" i="9"/>
  <c r="CM93" i="9"/>
  <c r="CN93" i="9"/>
  <c r="CO93" i="9"/>
  <c r="CP93" i="9"/>
  <c r="CQ93" i="9"/>
  <c r="CR93" i="9"/>
  <c r="C99" i="9"/>
  <c r="D99" i="9"/>
  <c r="E99" i="9"/>
  <c r="F99" i="9"/>
  <c r="G99" i="9"/>
  <c r="H99" i="9"/>
  <c r="I99" i="9"/>
  <c r="J99" i="9"/>
  <c r="K99" i="9"/>
  <c r="L99" i="9"/>
  <c r="M99" i="9"/>
  <c r="N99" i="9"/>
  <c r="O99" i="9"/>
  <c r="P99" i="9"/>
  <c r="Q99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G99" i="9"/>
  <c r="AH99" i="9"/>
  <c r="AI99" i="9"/>
  <c r="AJ99" i="9"/>
  <c r="BF99" i="9"/>
  <c r="BG99" i="9"/>
  <c r="BH99" i="9"/>
  <c r="BI99" i="9"/>
  <c r="BJ99" i="9"/>
  <c r="BK99" i="9"/>
  <c r="BL99" i="9"/>
  <c r="BM99" i="9"/>
  <c r="BN99" i="9"/>
  <c r="BO99" i="9"/>
  <c r="BP99" i="9"/>
  <c r="BQ99" i="9"/>
  <c r="BR99" i="9"/>
  <c r="BS99" i="9"/>
  <c r="BT99" i="9"/>
  <c r="BU99" i="9"/>
  <c r="BV99" i="9"/>
  <c r="BW99" i="9"/>
  <c r="BX99" i="9"/>
  <c r="BY99" i="9"/>
  <c r="BZ99" i="9"/>
  <c r="CA99" i="9"/>
  <c r="CB99" i="9"/>
  <c r="CC99" i="9"/>
  <c r="CD99" i="9"/>
  <c r="CE99" i="9"/>
  <c r="CF99" i="9"/>
  <c r="CG99" i="9"/>
  <c r="CH99" i="9"/>
  <c r="CI99" i="9"/>
  <c r="CM99" i="9"/>
  <c r="CN99" i="9"/>
  <c r="CO99" i="9"/>
  <c r="CP99" i="9"/>
  <c r="CQ99" i="9"/>
  <c r="CR99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G104" i="9"/>
  <c r="BD104" i="9" s="1"/>
  <c r="AH104" i="9"/>
  <c r="AI104" i="9"/>
  <c r="AJ104" i="9"/>
  <c r="BF104" i="9"/>
  <c r="BG104" i="9"/>
  <c r="BH104" i="9"/>
  <c r="BI104" i="9"/>
  <c r="BJ104" i="9"/>
  <c r="BK104" i="9"/>
  <c r="BL104" i="9"/>
  <c r="BM104" i="9"/>
  <c r="BN104" i="9"/>
  <c r="BO104" i="9"/>
  <c r="BP104" i="9"/>
  <c r="BQ104" i="9"/>
  <c r="BR104" i="9"/>
  <c r="BS104" i="9"/>
  <c r="BT104" i="9"/>
  <c r="BU104" i="9"/>
  <c r="BV104" i="9"/>
  <c r="BW104" i="9"/>
  <c r="BX104" i="9"/>
  <c r="BY104" i="9"/>
  <c r="BZ104" i="9"/>
  <c r="CA104" i="9"/>
  <c r="CB104" i="9"/>
  <c r="CC104" i="9"/>
  <c r="CD104" i="9"/>
  <c r="CE104" i="9"/>
  <c r="CF104" i="9"/>
  <c r="CG104" i="9"/>
  <c r="CH104" i="9"/>
  <c r="CI104" i="9"/>
  <c r="CM104" i="9"/>
  <c r="CN104" i="9"/>
  <c r="CO104" i="9"/>
  <c r="CP104" i="9"/>
  <c r="CQ104" i="9"/>
  <c r="CR104" i="9"/>
  <c r="C126" i="9"/>
  <c r="D126" i="9"/>
  <c r="E126" i="9"/>
  <c r="F126" i="9"/>
  <c r="G126" i="9"/>
  <c r="H126" i="9"/>
  <c r="I126" i="9"/>
  <c r="J126" i="9"/>
  <c r="K126" i="9"/>
  <c r="L126" i="9"/>
  <c r="M126" i="9"/>
  <c r="N126" i="9"/>
  <c r="O126" i="9"/>
  <c r="P126" i="9"/>
  <c r="Q126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G126" i="9"/>
  <c r="BD126" i="9" s="1"/>
  <c r="AH126" i="9"/>
  <c r="AI126" i="9"/>
  <c r="AJ126" i="9"/>
  <c r="BF126" i="9"/>
  <c r="BG126" i="9"/>
  <c r="BH126" i="9"/>
  <c r="BI126" i="9"/>
  <c r="BJ126" i="9"/>
  <c r="BK126" i="9"/>
  <c r="BL126" i="9"/>
  <c r="BM126" i="9"/>
  <c r="BN126" i="9"/>
  <c r="BO126" i="9"/>
  <c r="BP126" i="9"/>
  <c r="BQ126" i="9"/>
  <c r="BR126" i="9"/>
  <c r="BS126" i="9"/>
  <c r="BT126" i="9"/>
  <c r="BU126" i="9"/>
  <c r="BV126" i="9"/>
  <c r="BW126" i="9"/>
  <c r="BX126" i="9"/>
  <c r="BY126" i="9"/>
  <c r="BZ126" i="9"/>
  <c r="CA126" i="9"/>
  <c r="CB126" i="9"/>
  <c r="CC126" i="9"/>
  <c r="CD126" i="9"/>
  <c r="CE126" i="9"/>
  <c r="CF126" i="9"/>
  <c r="CG126" i="9"/>
  <c r="CH126" i="9"/>
  <c r="CI126" i="9"/>
  <c r="CM126" i="9"/>
  <c r="CN126" i="9"/>
  <c r="CO126" i="9"/>
  <c r="CP126" i="9"/>
  <c r="CQ126" i="9"/>
  <c r="CR126" i="9"/>
  <c r="C133" i="9"/>
  <c r="D133" i="9"/>
  <c r="E133" i="9"/>
  <c r="F133" i="9"/>
  <c r="G133" i="9"/>
  <c r="H133" i="9"/>
  <c r="I133" i="9"/>
  <c r="J133" i="9"/>
  <c r="K133" i="9"/>
  <c r="L133" i="9"/>
  <c r="M133" i="9"/>
  <c r="N133" i="9"/>
  <c r="O133" i="9"/>
  <c r="P133" i="9"/>
  <c r="Q133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G133" i="9"/>
  <c r="AH133" i="9"/>
  <c r="AI133" i="9"/>
  <c r="AJ133" i="9"/>
  <c r="BF133" i="9"/>
  <c r="BG133" i="9"/>
  <c r="BH133" i="9"/>
  <c r="BI133" i="9"/>
  <c r="BJ133" i="9"/>
  <c r="BK133" i="9"/>
  <c r="BL133" i="9"/>
  <c r="BM133" i="9"/>
  <c r="BN133" i="9"/>
  <c r="BO133" i="9"/>
  <c r="BP133" i="9"/>
  <c r="BQ133" i="9"/>
  <c r="BR133" i="9"/>
  <c r="BS133" i="9"/>
  <c r="BT133" i="9"/>
  <c r="BU133" i="9"/>
  <c r="BV133" i="9"/>
  <c r="BW133" i="9"/>
  <c r="BX133" i="9"/>
  <c r="BY133" i="9"/>
  <c r="BZ133" i="9"/>
  <c r="CA133" i="9"/>
  <c r="CB133" i="9"/>
  <c r="CC133" i="9"/>
  <c r="CD133" i="9"/>
  <c r="CE133" i="9"/>
  <c r="CF133" i="9"/>
  <c r="CG133" i="9"/>
  <c r="CH133" i="9"/>
  <c r="CI133" i="9"/>
  <c r="CM133" i="9"/>
  <c r="CN133" i="9"/>
  <c r="CO133" i="9"/>
  <c r="CP133" i="9"/>
  <c r="CQ133" i="9"/>
  <c r="CR133" i="9"/>
  <c r="C88" i="9"/>
  <c r="D88" i="9"/>
  <c r="E88" i="9"/>
  <c r="F88" i="9"/>
  <c r="G88" i="9"/>
  <c r="H88" i="9"/>
  <c r="I88" i="9"/>
  <c r="J88" i="9"/>
  <c r="K88" i="9"/>
  <c r="L88" i="9"/>
  <c r="M88" i="9"/>
  <c r="N88" i="9"/>
  <c r="O88" i="9"/>
  <c r="P88" i="9"/>
  <c r="Q88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G88" i="9"/>
  <c r="AH88" i="9"/>
  <c r="AI88" i="9"/>
  <c r="AJ88" i="9"/>
  <c r="BF88" i="9"/>
  <c r="BG88" i="9"/>
  <c r="BH88" i="9"/>
  <c r="BI88" i="9"/>
  <c r="BJ88" i="9"/>
  <c r="BK88" i="9"/>
  <c r="BL88" i="9"/>
  <c r="BM88" i="9"/>
  <c r="BN88" i="9"/>
  <c r="BO88" i="9"/>
  <c r="BP88" i="9"/>
  <c r="BQ88" i="9"/>
  <c r="BR88" i="9"/>
  <c r="BS88" i="9"/>
  <c r="BT88" i="9"/>
  <c r="BU88" i="9"/>
  <c r="BV88" i="9"/>
  <c r="BW88" i="9"/>
  <c r="BX88" i="9"/>
  <c r="BY88" i="9"/>
  <c r="BZ88" i="9"/>
  <c r="CA88" i="9"/>
  <c r="CB88" i="9"/>
  <c r="CC88" i="9"/>
  <c r="CD88" i="9"/>
  <c r="CE88" i="9"/>
  <c r="CF88" i="9"/>
  <c r="CG88" i="9"/>
  <c r="CH88" i="9"/>
  <c r="CI88" i="9"/>
  <c r="CM88" i="9"/>
  <c r="CN88" i="9"/>
  <c r="CO88" i="9"/>
  <c r="CP88" i="9"/>
  <c r="CQ88" i="9"/>
  <c r="CR88" i="9"/>
  <c r="C94" i="9"/>
  <c r="D94" i="9"/>
  <c r="E94" i="9"/>
  <c r="F94" i="9"/>
  <c r="G94" i="9"/>
  <c r="H94" i="9"/>
  <c r="I94" i="9"/>
  <c r="J94" i="9"/>
  <c r="K94" i="9"/>
  <c r="L94" i="9"/>
  <c r="M94" i="9"/>
  <c r="N94" i="9"/>
  <c r="O94" i="9"/>
  <c r="P94" i="9"/>
  <c r="Q94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G94" i="9"/>
  <c r="BD94" i="9" s="1"/>
  <c r="AH94" i="9"/>
  <c r="AI94" i="9"/>
  <c r="AJ94" i="9"/>
  <c r="BF94" i="9"/>
  <c r="BG94" i="9"/>
  <c r="BH94" i="9"/>
  <c r="BI94" i="9"/>
  <c r="BJ94" i="9"/>
  <c r="BK94" i="9"/>
  <c r="BL94" i="9"/>
  <c r="BM94" i="9"/>
  <c r="BN94" i="9"/>
  <c r="BO94" i="9"/>
  <c r="BP94" i="9"/>
  <c r="BQ94" i="9"/>
  <c r="BR94" i="9"/>
  <c r="BS94" i="9"/>
  <c r="BT94" i="9"/>
  <c r="BU94" i="9"/>
  <c r="BV94" i="9"/>
  <c r="BW94" i="9"/>
  <c r="BX94" i="9"/>
  <c r="BY94" i="9"/>
  <c r="BZ94" i="9"/>
  <c r="CA94" i="9"/>
  <c r="CB94" i="9"/>
  <c r="CC94" i="9"/>
  <c r="CD94" i="9"/>
  <c r="CE94" i="9"/>
  <c r="CF94" i="9"/>
  <c r="CG94" i="9"/>
  <c r="CH94" i="9"/>
  <c r="CI94" i="9"/>
  <c r="CM94" i="9"/>
  <c r="CN94" i="9"/>
  <c r="CO94" i="9"/>
  <c r="CP94" i="9"/>
  <c r="CQ94" i="9"/>
  <c r="CR94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O105" i="9"/>
  <c r="P105" i="9"/>
  <c r="Q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G105" i="9"/>
  <c r="BD105" i="9" s="1"/>
  <c r="AH105" i="9"/>
  <c r="AI105" i="9"/>
  <c r="AJ105" i="9"/>
  <c r="BF105" i="9"/>
  <c r="BG105" i="9"/>
  <c r="BH105" i="9"/>
  <c r="BI105" i="9"/>
  <c r="BJ105" i="9"/>
  <c r="BK105" i="9"/>
  <c r="BL105" i="9"/>
  <c r="BM105" i="9"/>
  <c r="BN105" i="9"/>
  <c r="BO105" i="9"/>
  <c r="BP105" i="9"/>
  <c r="BQ105" i="9"/>
  <c r="BR105" i="9"/>
  <c r="BS105" i="9"/>
  <c r="BT105" i="9"/>
  <c r="BU105" i="9"/>
  <c r="BV105" i="9"/>
  <c r="BW105" i="9"/>
  <c r="BX105" i="9"/>
  <c r="BY105" i="9"/>
  <c r="BZ105" i="9"/>
  <c r="CA105" i="9"/>
  <c r="CB105" i="9"/>
  <c r="CC105" i="9"/>
  <c r="CD105" i="9"/>
  <c r="CE105" i="9"/>
  <c r="CF105" i="9"/>
  <c r="CG105" i="9"/>
  <c r="CH105" i="9"/>
  <c r="CI105" i="9"/>
  <c r="CM105" i="9"/>
  <c r="CN105" i="9"/>
  <c r="CO105" i="9"/>
  <c r="CP105" i="9"/>
  <c r="CQ105" i="9"/>
  <c r="CR105" i="9"/>
  <c r="C127" i="9"/>
  <c r="D127" i="9"/>
  <c r="E127" i="9"/>
  <c r="F127" i="9"/>
  <c r="G127" i="9"/>
  <c r="H127" i="9"/>
  <c r="I127" i="9"/>
  <c r="J127" i="9"/>
  <c r="K127" i="9"/>
  <c r="L127" i="9"/>
  <c r="M127" i="9"/>
  <c r="N127" i="9"/>
  <c r="O127" i="9"/>
  <c r="P127" i="9"/>
  <c r="Q127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G127" i="9"/>
  <c r="AH127" i="9"/>
  <c r="AI127" i="9"/>
  <c r="AJ127" i="9"/>
  <c r="BF127" i="9"/>
  <c r="BG127" i="9"/>
  <c r="BH127" i="9"/>
  <c r="BI127" i="9"/>
  <c r="BJ127" i="9"/>
  <c r="BK127" i="9"/>
  <c r="BL127" i="9"/>
  <c r="BM127" i="9"/>
  <c r="BN127" i="9"/>
  <c r="BO127" i="9"/>
  <c r="BP127" i="9"/>
  <c r="BQ127" i="9"/>
  <c r="BR127" i="9"/>
  <c r="BS127" i="9"/>
  <c r="BT127" i="9"/>
  <c r="BU127" i="9"/>
  <c r="BV127" i="9"/>
  <c r="BW127" i="9"/>
  <c r="BX127" i="9"/>
  <c r="BY127" i="9"/>
  <c r="BZ127" i="9"/>
  <c r="CA127" i="9"/>
  <c r="CB127" i="9"/>
  <c r="CC127" i="9"/>
  <c r="CD127" i="9"/>
  <c r="CE127" i="9"/>
  <c r="CF127" i="9"/>
  <c r="CG127" i="9"/>
  <c r="CH127" i="9"/>
  <c r="CI127" i="9"/>
  <c r="CM127" i="9"/>
  <c r="CN127" i="9"/>
  <c r="CO127" i="9"/>
  <c r="CP127" i="9"/>
  <c r="CQ127" i="9"/>
  <c r="CR127" i="9"/>
  <c r="C134" i="9"/>
  <c r="D134" i="9"/>
  <c r="E134" i="9"/>
  <c r="F134" i="9"/>
  <c r="G134" i="9"/>
  <c r="H134" i="9"/>
  <c r="I134" i="9"/>
  <c r="J134" i="9"/>
  <c r="K134" i="9"/>
  <c r="L134" i="9"/>
  <c r="M134" i="9"/>
  <c r="N134" i="9"/>
  <c r="O134" i="9"/>
  <c r="P134" i="9"/>
  <c r="Q134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G134" i="9"/>
  <c r="AH134" i="9"/>
  <c r="AI134" i="9"/>
  <c r="AJ134" i="9"/>
  <c r="BF134" i="9"/>
  <c r="BG134" i="9"/>
  <c r="BH134" i="9"/>
  <c r="BI134" i="9"/>
  <c r="BJ134" i="9"/>
  <c r="BK134" i="9"/>
  <c r="BL134" i="9"/>
  <c r="BM134" i="9"/>
  <c r="BN134" i="9"/>
  <c r="BO134" i="9"/>
  <c r="BP134" i="9"/>
  <c r="BQ134" i="9"/>
  <c r="BR134" i="9"/>
  <c r="BS134" i="9"/>
  <c r="BT134" i="9"/>
  <c r="BU134" i="9"/>
  <c r="BV134" i="9"/>
  <c r="BW134" i="9"/>
  <c r="BX134" i="9"/>
  <c r="BY134" i="9"/>
  <c r="BZ134" i="9"/>
  <c r="CA134" i="9"/>
  <c r="CB134" i="9"/>
  <c r="CC134" i="9"/>
  <c r="CD134" i="9"/>
  <c r="CE134" i="9"/>
  <c r="CF134" i="9"/>
  <c r="CG134" i="9"/>
  <c r="CH134" i="9"/>
  <c r="CI134" i="9"/>
  <c r="CM134" i="9"/>
  <c r="CN134" i="9"/>
  <c r="CO134" i="9"/>
  <c r="CP134" i="9"/>
  <c r="CQ134" i="9"/>
  <c r="CR134" i="9"/>
  <c r="C346" i="9"/>
  <c r="D346" i="9"/>
  <c r="E346" i="9"/>
  <c r="F346" i="9"/>
  <c r="G346" i="9"/>
  <c r="H346" i="9"/>
  <c r="I346" i="9"/>
  <c r="J346" i="9"/>
  <c r="K346" i="9"/>
  <c r="L346" i="9"/>
  <c r="M346" i="9"/>
  <c r="N346" i="9"/>
  <c r="O346" i="9"/>
  <c r="P346" i="9"/>
  <c r="Q346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G346" i="9"/>
  <c r="BD346" i="9" s="1"/>
  <c r="AH346" i="9"/>
  <c r="AI346" i="9"/>
  <c r="AJ346" i="9"/>
  <c r="BF346" i="9"/>
  <c r="BG346" i="9"/>
  <c r="BH346" i="9"/>
  <c r="BI346" i="9"/>
  <c r="BJ346" i="9"/>
  <c r="BK346" i="9"/>
  <c r="BL346" i="9"/>
  <c r="BM346" i="9"/>
  <c r="BN346" i="9"/>
  <c r="BO346" i="9"/>
  <c r="BP346" i="9"/>
  <c r="BQ346" i="9"/>
  <c r="BR346" i="9"/>
  <c r="BS346" i="9"/>
  <c r="BT346" i="9"/>
  <c r="BU346" i="9"/>
  <c r="BV346" i="9"/>
  <c r="BW346" i="9"/>
  <c r="BX346" i="9"/>
  <c r="BY346" i="9"/>
  <c r="BZ346" i="9"/>
  <c r="CA346" i="9"/>
  <c r="CB346" i="9"/>
  <c r="CC346" i="9"/>
  <c r="CD346" i="9"/>
  <c r="CE346" i="9"/>
  <c r="CF346" i="9"/>
  <c r="CG346" i="9"/>
  <c r="CH346" i="9"/>
  <c r="CI346" i="9"/>
  <c r="CM346" i="9"/>
  <c r="CN346" i="9"/>
  <c r="CO346" i="9"/>
  <c r="CP346" i="9"/>
  <c r="CQ346" i="9"/>
  <c r="CR346" i="9"/>
  <c r="C348" i="9"/>
  <c r="D348" i="9"/>
  <c r="E348" i="9"/>
  <c r="F348" i="9"/>
  <c r="G348" i="9"/>
  <c r="H348" i="9"/>
  <c r="I348" i="9"/>
  <c r="J348" i="9"/>
  <c r="K348" i="9"/>
  <c r="L348" i="9"/>
  <c r="M348" i="9"/>
  <c r="N348" i="9"/>
  <c r="O348" i="9"/>
  <c r="P348" i="9"/>
  <c r="Q348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G348" i="9"/>
  <c r="BD348" i="9" s="1"/>
  <c r="AH348" i="9"/>
  <c r="AI348" i="9"/>
  <c r="AJ348" i="9"/>
  <c r="BF348" i="9"/>
  <c r="BG348" i="9"/>
  <c r="BH348" i="9"/>
  <c r="BI348" i="9"/>
  <c r="BJ348" i="9"/>
  <c r="BK348" i="9"/>
  <c r="BL348" i="9"/>
  <c r="BM348" i="9"/>
  <c r="BN348" i="9"/>
  <c r="BO348" i="9"/>
  <c r="BP348" i="9"/>
  <c r="BQ348" i="9"/>
  <c r="BR348" i="9"/>
  <c r="BS348" i="9"/>
  <c r="BT348" i="9"/>
  <c r="BU348" i="9"/>
  <c r="BV348" i="9"/>
  <c r="BW348" i="9"/>
  <c r="BX348" i="9"/>
  <c r="BY348" i="9"/>
  <c r="BZ348" i="9"/>
  <c r="CA348" i="9"/>
  <c r="CB348" i="9"/>
  <c r="CC348" i="9"/>
  <c r="CD348" i="9"/>
  <c r="CE348" i="9"/>
  <c r="CF348" i="9"/>
  <c r="CG348" i="9"/>
  <c r="CH348" i="9"/>
  <c r="CI348" i="9"/>
  <c r="CM348" i="9"/>
  <c r="CN348" i="9"/>
  <c r="CO348" i="9"/>
  <c r="CP348" i="9"/>
  <c r="CQ348" i="9"/>
  <c r="CR348" i="9"/>
  <c r="C352" i="9"/>
  <c r="D352" i="9"/>
  <c r="E352" i="9"/>
  <c r="F352" i="9"/>
  <c r="G352" i="9"/>
  <c r="H352" i="9"/>
  <c r="I352" i="9"/>
  <c r="J352" i="9"/>
  <c r="K352" i="9"/>
  <c r="L352" i="9"/>
  <c r="M352" i="9"/>
  <c r="N352" i="9"/>
  <c r="O352" i="9"/>
  <c r="P352" i="9"/>
  <c r="Q352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G352" i="9"/>
  <c r="AH352" i="9"/>
  <c r="AI352" i="9"/>
  <c r="AJ352" i="9"/>
  <c r="BF352" i="9"/>
  <c r="BG352" i="9"/>
  <c r="BH352" i="9"/>
  <c r="BI352" i="9"/>
  <c r="BJ352" i="9"/>
  <c r="BK352" i="9"/>
  <c r="BL352" i="9"/>
  <c r="BM352" i="9"/>
  <c r="BN352" i="9"/>
  <c r="BO352" i="9"/>
  <c r="BP352" i="9"/>
  <c r="BQ352" i="9"/>
  <c r="BR352" i="9"/>
  <c r="BS352" i="9"/>
  <c r="BT352" i="9"/>
  <c r="BU352" i="9"/>
  <c r="BV352" i="9"/>
  <c r="BW352" i="9"/>
  <c r="BX352" i="9"/>
  <c r="BY352" i="9"/>
  <c r="BZ352" i="9"/>
  <c r="CA352" i="9"/>
  <c r="CB352" i="9"/>
  <c r="CC352" i="9"/>
  <c r="CD352" i="9"/>
  <c r="CE352" i="9"/>
  <c r="CF352" i="9"/>
  <c r="CG352" i="9"/>
  <c r="CH352" i="9"/>
  <c r="CI352" i="9"/>
  <c r="CM352" i="9"/>
  <c r="CN352" i="9"/>
  <c r="CO352" i="9"/>
  <c r="CP352" i="9"/>
  <c r="CQ352" i="9"/>
  <c r="CR352" i="9"/>
  <c r="C353" i="9"/>
  <c r="D353" i="9"/>
  <c r="E353" i="9"/>
  <c r="F353" i="9"/>
  <c r="G353" i="9"/>
  <c r="H353" i="9"/>
  <c r="I353" i="9"/>
  <c r="J353" i="9"/>
  <c r="K353" i="9"/>
  <c r="L353" i="9"/>
  <c r="M353" i="9"/>
  <c r="N353" i="9"/>
  <c r="O353" i="9"/>
  <c r="P353" i="9"/>
  <c r="Q353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G353" i="9"/>
  <c r="AH353" i="9"/>
  <c r="AI353" i="9"/>
  <c r="AJ353" i="9"/>
  <c r="BF353" i="9"/>
  <c r="BG353" i="9"/>
  <c r="BH353" i="9"/>
  <c r="BI353" i="9"/>
  <c r="BJ353" i="9"/>
  <c r="BK353" i="9"/>
  <c r="BL353" i="9"/>
  <c r="BM353" i="9"/>
  <c r="BN353" i="9"/>
  <c r="BO353" i="9"/>
  <c r="BP353" i="9"/>
  <c r="BQ353" i="9"/>
  <c r="BR353" i="9"/>
  <c r="BS353" i="9"/>
  <c r="BT353" i="9"/>
  <c r="BU353" i="9"/>
  <c r="BV353" i="9"/>
  <c r="BW353" i="9"/>
  <c r="BX353" i="9"/>
  <c r="BY353" i="9"/>
  <c r="BZ353" i="9"/>
  <c r="CA353" i="9"/>
  <c r="CB353" i="9"/>
  <c r="CC353" i="9"/>
  <c r="CD353" i="9"/>
  <c r="CE353" i="9"/>
  <c r="CF353" i="9"/>
  <c r="CG353" i="9"/>
  <c r="CH353" i="9"/>
  <c r="CI353" i="9"/>
  <c r="CM353" i="9"/>
  <c r="CN353" i="9"/>
  <c r="CO353" i="9"/>
  <c r="CP353" i="9"/>
  <c r="CQ353" i="9"/>
  <c r="CR353" i="9"/>
  <c r="C356" i="9"/>
  <c r="D356" i="9"/>
  <c r="F356" i="9"/>
  <c r="G356" i="9"/>
  <c r="H356" i="9"/>
  <c r="I356" i="9"/>
  <c r="J356" i="9"/>
  <c r="K356" i="9"/>
  <c r="L356" i="9"/>
  <c r="M356" i="9"/>
  <c r="N356" i="9"/>
  <c r="O356" i="9"/>
  <c r="P356" i="9"/>
  <c r="Q356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G356" i="9"/>
  <c r="BD356" i="9" s="1"/>
  <c r="AH356" i="9"/>
  <c r="AI356" i="9"/>
  <c r="AJ356" i="9"/>
  <c r="BF356" i="9"/>
  <c r="BG356" i="9"/>
  <c r="BH356" i="9"/>
  <c r="BI356" i="9"/>
  <c r="BJ356" i="9"/>
  <c r="BK356" i="9"/>
  <c r="BL356" i="9"/>
  <c r="BM356" i="9"/>
  <c r="BN356" i="9"/>
  <c r="BO356" i="9"/>
  <c r="BP356" i="9"/>
  <c r="BQ356" i="9"/>
  <c r="BR356" i="9"/>
  <c r="BS356" i="9"/>
  <c r="BT356" i="9"/>
  <c r="BU356" i="9"/>
  <c r="BV356" i="9"/>
  <c r="BW356" i="9"/>
  <c r="BX356" i="9"/>
  <c r="BY356" i="9"/>
  <c r="BZ356" i="9"/>
  <c r="CA356" i="9"/>
  <c r="CB356" i="9"/>
  <c r="CC356" i="9"/>
  <c r="CD356" i="9"/>
  <c r="CE356" i="9"/>
  <c r="CF356" i="9"/>
  <c r="CG356" i="9"/>
  <c r="CH356" i="9"/>
  <c r="CI356" i="9"/>
  <c r="CM356" i="9"/>
  <c r="CN356" i="9"/>
  <c r="CO356" i="9"/>
  <c r="CP356" i="9"/>
  <c r="CQ356" i="9"/>
  <c r="CR356" i="9"/>
  <c r="C358" i="9"/>
  <c r="D358" i="9"/>
  <c r="E358" i="9"/>
  <c r="F358" i="9"/>
  <c r="G358" i="9"/>
  <c r="H358" i="9"/>
  <c r="I358" i="9"/>
  <c r="J358" i="9"/>
  <c r="K358" i="9"/>
  <c r="L358" i="9"/>
  <c r="M358" i="9"/>
  <c r="N358" i="9"/>
  <c r="O358" i="9"/>
  <c r="P358" i="9"/>
  <c r="Q358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G358" i="9"/>
  <c r="BD358" i="9" s="1"/>
  <c r="AH358" i="9"/>
  <c r="AI358" i="9"/>
  <c r="AJ358" i="9"/>
  <c r="BF358" i="9"/>
  <c r="BG358" i="9"/>
  <c r="BH358" i="9"/>
  <c r="BI358" i="9"/>
  <c r="BJ358" i="9"/>
  <c r="BK358" i="9"/>
  <c r="BL358" i="9"/>
  <c r="BM358" i="9"/>
  <c r="BN358" i="9"/>
  <c r="BO358" i="9"/>
  <c r="BP358" i="9"/>
  <c r="BQ358" i="9"/>
  <c r="BR358" i="9"/>
  <c r="BS358" i="9"/>
  <c r="BT358" i="9"/>
  <c r="BU358" i="9"/>
  <c r="BV358" i="9"/>
  <c r="BW358" i="9"/>
  <c r="BX358" i="9"/>
  <c r="BY358" i="9"/>
  <c r="BZ358" i="9"/>
  <c r="CA358" i="9"/>
  <c r="CB358" i="9"/>
  <c r="CC358" i="9"/>
  <c r="CD358" i="9"/>
  <c r="CE358" i="9"/>
  <c r="CF358" i="9"/>
  <c r="CG358" i="9"/>
  <c r="CH358" i="9"/>
  <c r="CI358" i="9"/>
  <c r="CM358" i="9"/>
  <c r="CN358" i="9"/>
  <c r="CO358" i="9"/>
  <c r="CP358" i="9"/>
  <c r="CQ358" i="9"/>
  <c r="CR358" i="9"/>
  <c r="C361" i="9"/>
  <c r="D361" i="9"/>
  <c r="E361" i="9"/>
  <c r="F361" i="9"/>
  <c r="G361" i="9"/>
  <c r="H361" i="9"/>
  <c r="I361" i="9"/>
  <c r="J361" i="9"/>
  <c r="K361" i="9"/>
  <c r="L361" i="9"/>
  <c r="M361" i="9"/>
  <c r="N361" i="9"/>
  <c r="O361" i="9"/>
  <c r="P361" i="9"/>
  <c r="Q361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G361" i="9"/>
  <c r="AH361" i="9"/>
  <c r="AI361" i="9"/>
  <c r="AJ361" i="9"/>
  <c r="BF361" i="9"/>
  <c r="BG361" i="9"/>
  <c r="BH361" i="9"/>
  <c r="BI361" i="9"/>
  <c r="BJ361" i="9"/>
  <c r="BK361" i="9"/>
  <c r="BL361" i="9"/>
  <c r="BM361" i="9"/>
  <c r="BN361" i="9"/>
  <c r="BO361" i="9"/>
  <c r="BP361" i="9"/>
  <c r="BQ361" i="9"/>
  <c r="BR361" i="9"/>
  <c r="BS361" i="9"/>
  <c r="BT361" i="9"/>
  <c r="BU361" i="9"/>
  <c r="BV361" i="9"/>
  <c r="BW361" i="9"/>
  <c r="BX361" i="9"/>
  <c r="BY361" i="9"/>
  <c r="BZ361" i="9"/>
  <c r="CA361" i="9"/>
  <c r="CB361" i="9"/>
  <c r="CC361" i="9"/>
  <c r="CD361" i="9"/>
  <c r="CE361" i="9"/>
  <c r="CF361" i="9"/>
  <c r="CG361" i="9"/>
  <c r="CH361" i="9"/>
  <c r="CI361" i="9"/>
  <c r="CM361" i="9"/>
  <c r="CN361" i="9"/>
  <c r="CO361" i="9"/>
  <c r="CP361" i="9"/>
  <c r="CQ361" i="9"/>
  <c r="CR361" i="9"/>
  <c r="C362" i="9"/>
  <c r="D362" i="9"/>
  <c r="E362" i="9"/>
  <c r="F362" i="9"/>
  <c r="G362" i="9"/>
  <c r="H362" i="9"/>
  <c r="I362" i="9"/>
  <c r="J362" i="9"/>
  <c r="K362" i="9"/>
  <c r="L362" i="9"/>
  <c r="M362" i="9"/>
  <c r="N362" i="9"/>
  <c r="O362" i="9"/>
  <c r="P362" i="9"/>
  <c r="Q362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G362" i="9"/>
  <c r="AH362" i="9"/>
  <c r="AI362" i="9"/>
  <c r="AJ362" i="9"/>
  <c r="BF362" i="9"/>
  <c r="BG362" i="9"/>
  <c r="BH362" i="9"/>
  <c r="BI362" i="9"/>
  <c r="BJ362" i="9"/>
  <c r="BK362" i="9"/>
  <c r="BL362" i="9"/>
  <c r="BM362" i="9"/>
  <c r="BN362" i="9"/>
  <c r="BO362" i="9"/>
  <c r="BP362" i="9"/>
  <c r="BQ362" i="9"/>
  <c r="BR362" i="9"/>
  <c r="BS362" i="9"/>
  <c r="BT362" i="9"/>
  <c r="BU362" i="9"/>
  <c r="BV362" i="9"/>
  <c r="BW362" i="9"/>
  <c r="BX362" i="9"/>
  <c r="BY362" i="9"/>
  <c r="BZ362" i="9"/>
  <c r="CA362" i="9"/>
  <c r="CB362" i="9"/>
  <c r="CC362" i="9"/>
  <c r="CD362" i="9"/>
  <c r="CE362" i="9"/>
  <c r="CF362" i="9"/>
  <c r="CG362" i="9"/>
  <c r="CH362" i="9"/>
  <c r="CI362" i="9"/>
  <c r="CM362" i="9"/>
  <c r="CN362" i="9"/>
  <c r="CO362" i="9"/>
  <c r="CP362" i="9"/>
  <c r="CQ362" i="9"/>
  <c r="CR362" i="9"/>
  <c r="C365" i="9"/>
  <c r="D365" i="9"/>
  <c r="E365" i="9"/>
  <c r="F365" i="9"/>
  <c r="G365" i="9"/>
  <c r="H365" i="9"/>
  <c r="I365" i="9"/>
  <c r="J365" i="9"/>
  <c r="K365" i="9"/>
  <c r="L365" i="9"/>
  <c r="M365" i="9"/>
  <c r="N365" i="9"/>
  <c r="O365" i="9"/>
  <c r="P365" i="9"/>
  <c r="Q365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G365" i="9"/>
  <c r="BD365" i="9" s="1"/>
  <c r="AH365" i="9"/>
  <c r="AI365" i="9"/>
  <c r="AJ365" i="9"/>
  <c r="BF365" i="9"/>
  <c r="BG365" i="9"/>
  <c r="BH365" i="9"/>
  <c r="BI365" i="9"/>
  <c r="BJ365" i="9"/>
  <c r="BK365" i="9"/>
  <c r="BL365" i="9"/>
  <c r="BM365" i="9"/>
  <c r="BN365" i="9"/>
  <c r="BO365" i="9"/>
  <c r="BP365" i="9"/>
  <c r="BQ365" i="9"/>
  <c r="BR365" i="9"/>
  <c r="BS365" i="9"/>
  <c r="BT365" i="9"/>
  <c r="BU365" i="9"/>
  <c r="BV365" i="9"/>
  <c r="BW365" i="9"/>
  <c r="BX365" i="9"/>
  <c r="BY365" i="9"/>
  <c r="BZ365" i="9"/>
  <c r="CA365" i="9"/>
  <c r="CB365" i="9"/>
  <c r="CC365" i="9"/>
  <c r="CD365" i="9"/>
  <c r="CE365" i="9"/>
  <c r="CF365" i="9"/>
  <c r="CG365" i="9"/>
  <c r="CH365" i="9"/>
  <c r="CI365" i="9"/>
  <c r="CM365" i="9"/>
  <c r="CN365" i="9"/>
  <c r="CO365" i="9"/>
  <c r="CP365" i="9"/>
  <c r="CQ365" i="9"/>
  <c r="CR365" i="9"/>
  <c r="C368" i="9"/>
  <c r="D368" i="9"/>
  <c r="E368" i="9"/>
  <c r="F368" i="9"/>
  <c r="G368" i="9"/>
  <c r="H368" i="9"/>
  <c r="I368" i="9"/>
  <c r="J368" i="9"/>
  <c r="K368" i="9"/>
  <c r="L368" i="9"/>
  <c r="M368" i="9"/>
  <c r="N368" i="9"/>
  <c r="O368" i="9"/>
  <c r="P368" i="9"/>
  <c r="Q368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G368" i="9"/>
  <c r="BD368" i="9" s="1"/>
  <c r="AH368" i="9"/>
  <c r="AI368" i="9"/>
  <c r="AJ368" i="9"/>
  <c r="BF368" i="9"/>
  <c r="BG368" i="9"/>
  <c r="BH368" i="9"/>
  <c r="BI368" i="9"/>
  <c r="BJ368" i="9"/>
  <c r="BK368" i="9"/>
  <c r="BL368" i="9"/>
  <c r="BM368" i="9"/>
  <c r="BN368" i="9"/>
  <c r="BO368" i="9"/>
  <c r="BP368" i="9"/>
  <c r="BQ368" i="9"/>
  <c r="BR368" i="9"/>
  <c r="BS368" i="9"/>
  <c r="BT368" i="9"/>
  <c r="BU368" i="9"/>
  <c r="BV368" i="9"/>
  <c r="BW368" i="9"/>
  <c r="BX368" i="9"/>
  <c r="BY368" i="9"/>
  <c r="BZ368" i="9"/>
  <c r="CA368" i="9"/>
  <c r="CB368" i="9"/>
  <c r="CC368" i="9"/>
  <c r="CD368" i="9"/>
  <c r="CE368" i="9"/>
  <c r="CF368" i="9"/>
  <c r="CG368" i="9"/>
  <c r="CH368" i="9"/>
  <c r="CI368" i="9"/>
  <c r="CM368" i="9"/>
  <c r="CN368" i="9"/>
  <c r="CO368" i="9"/>
  <c r="CP368" i="9"/>
  <c r="CQ368" i="9"/>
  <c r="CR368" i="9"/>
  <c r="C371" i="9"/>
  <c r="D371" i="9"/>
  <c r="E371" i="9"/>
  <c r="F371" i="9"/>
  <c r="G371" i="9"/>
  <c r="H371" i="9"/>
  <c r="I371" i="9"/>
  <c r="J371" i="9"/>
  <c r="K371" i="9"/>
  <c r="L371" i="9"/>
  <c r="M371" i="9"/>
  <c r="N371" i="9"/>
  <c r="O371" i="9"/>
  <c r="P371" i="9"/>
  <c r="Q371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G371" i="9"/>
  <c r="AH371" i="9"/>
  <c r="AI371" i="9"/>
  <c r="AJ371" i="9"/>
  <c r="BF371" i="9"/>
  <c r="BG371" i="9"/>
  <c r="BH371" i="9"/>
  <c r="BI371" i="9"/>
  <c r="BJ371" i="9"/>
  <c r="BK371" i="9"/>
  <c r="BL371" i="9"/>
  <c r="BM371" i="9"/>
  <c r="BN371" i="9"/>
  <c r="BO371" i="9"/>
  <c r="BP371" i="9"/>
  <c r="BQ371" i="9"/>
  <c r="BR371" i="9"/>
  <c r="BS371" i="9"/>
  <c r="BT371" i="9"/>
  <c r="BU371" i="9"/>
  <c r="BV371" i="9"/>
  <c r="BW371" i="9"/>
  <c r="BX371" i="9"/>
  <c r="BY371" i="9"/>
  <c r="BZ371" i="9"/>
  <c r="CA371" i="9"/>
  <c r="CB371" i="9"/>
  <c r="CC371" i="9"/>
  <c r="CD371" i="9"/>
  <c r="CE371" i="9"/>
  <c r="CF371" i="9"/>
  <c r="CG371" i="9"/>
  <c r="CH371" i="9"/>
  <c r="CI371" i="9"/>
  <c r="CM371" i="9"/>
  <c r="CN371" i="9"/>
  <c r="CO371" i="9"/>
  <c r="CP371" i="9"/>
  <c r="CQ371" i="9"/>
  <c r="CR371" i="9"/>
  <c r="C374" i="9"/>
  <c r="D374" i="9"/>
  <c r="E374" i="9"/>
  <c r="F374" i="9"/>
  <c r="G374" i="9"/>
  <c r="H374" i="9"/>
  <c r="I374" i="9"/>
  <c r="J374" i="9"/>
  <c r="K374" i="9"/>
  <c r="L374" i="9"/>
  <c r="M374" i="9"/>
  <c r="N374" i="9"/>
  <c r="O374" i="9"/>
  <c r="P374" i="9"/>
  <c r="Q374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G374" i="9"/>
  <c r="AH374" i="9"/>
  <c r="AI374" i="9"/>
  <c r="AJ374" i="9"/>
  <c r="BF374" i="9"/>
  <c r="BG374" i="9"/>
  <c r="BH374" i="9"/>
  <c r="BI374" i="9"/>
  <c r="BJ374" i="9"/>
  <c r="BK374" i="9"/>
  <c r="BL374" i="9"/>
  <c r="BM374" i="9"/>
  <c r="BN374" i="9"/>
  <c r="BO374" i="9"/>
  <c r="BP374" i="9"/>
  <c r="BQ374" i="9"/>
  <c r="BR374" i="9"/>
  <c r="BS374" i="9"/>
  <c r="BT374" i="9"/>
  <c r="BU374" i="9"/>
  <c r="BV374" i="9"/>
  <c r="BW374" i="9"/>
  <c r="BX374" i="9"/>
  <c r="BY374" i="9"/>
  <c r="BZ374" i="9"/>
  <c r="CA374" i="9"/>
  <c r="CB374" i="9"/>
  <c r="CC374" i="9"/>
  <c r="CD374" i="9"/>
  <c r="CE374" i="9"/>
  <c r="CF374" i="9"/>
  <c r="CG374" i="9"/>
  <c r="CH374" i="9"/>
  <c r="CI374" i="9"/>
  <c r="CM374" i="9"/>
  <c r="CN374" i="9"/>
  <c r="CO374" i="9"/>
  <c r="CP374" i="9"/>
  <c r="CQ374" i="9"/>
  <c r="CR374" i="9"/>
  <c r="C376" i="9"/>
  <c r="D376" i="9"/>
  <c r="E376" i="9"/>
  <c r="F376" i="9"/>
  <c r="G376" i="9"/>
  <c r="H376" i="9"/>
  <c r="I376" i="9"/>
  <c r="J376" i="9"/>
  <c r="K376" i="9"/>
  <c r="L376" i="9"/>
  <c r="M376" i="9"/>
  <c r="N376" i="9"/>
  <c r="O376" i="9"/>
  <c r="P376" i="9"/>
  <c r="Q376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G376" i="9"/>
  <c r="BD376" i="9" s="1"/>
  <c r="AH376" i="9"/>
  <c r="AI376" i="9"/>
  <c r="AJ376" i="9"/>
  <c r="BF376" i="9"/>
  <c r="BG376" i="9"/>
  <c r="BH376" i="9"/>
  <c r="BI376" i="9"/>
  <c r="BJ376" i="9"/>
  <c r="BK376" i="9"/>
  <c r="BL376" i="9"/>
  <c r="BM376" i="9"/>
  <c r="BN376" i="9"/>
  <c r="BO376" i="9"/>
  <c r="BP376" i="9"/>
  <c r="BQ376" i="9"/>
  <c r="BR376" i="9"/>
  <c r="BS376" i="9"/>
  <c r="BT376" i="9"/>
  <c r="BU376" i="9"/>
  <c r="BV376" i="9"/>
  <c r="BW376" i="9"/>
  <c r="BX376" i="9"/>
  <c r="BY376" i="9"/>
  <c r="BZ376" i="9"/>
  <c r="CA376" i="9"/>
  <c r="CB376" i="9"/>
  <c r="CC376" i="9"/>
  <c r="CD376" i="9"/>
  <c r="CE376" i="9"/>
  <c r="CF376" i="9"/>
  <c r="CG376" i="9"/>
  <c r="CH376" i="9"/>
  <c r="CI376" i="9"/>
  <c r="CM376" i="9"/>
  <c r="CN376" i="9"/>
  <c r="CO376" i="9"/>
  <c r="CP376" i="9"/>
  <c r="CQ376" i="9"/>
  <c r="CR376" i="9"/>
  <c r="C377" i="9"/>
  <c r="D377" i="9"/>
  <c r="E377" i="9"/>
  <c r="F377" i="9"/>
  <c r="G377" i="9"/>
  <c r="H377" i="9"/>
  <c r="I377" i="9"/>
  <c r="J377" i="9"/>
  <c r="K377" i="9"/>
  <c r="L377" i="9"/>
  <c r="M377" i="9"/>
  <c r="N377" i="9"/>
  <c r="O377" i="9"/>
  <c r="P377" i="9"/>
  <c r="Q377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G377" i="9"/>
  <c r="BD377" i="9" s="1"/>
  <c r="AH377" i="9"/>
  <c r="AI377" i="9"/>
  <c r="AJ377" i="9"/>
  <c r="BF377" i="9"/>
  <c r="BG377" i="9"/>
  <c r="BH377" i="9"/>
  <c r="BI377" i="9"/>
  <c r="BJ377" i="9"/>
  <c r="BK377" i="9"/>
  <c r="BL377" i="9"/>
  <c r="BM377" i="9"/>
  <c r="BN377" i="9"/>
  <c r="BO377" i="9"/>
  <c r="BP377" i="9"/>
  <c r="BQ377" i="9"/>
  <c r="BR377" i="9"/>
  <c r="BS377" i="9"/>
  <c r="BT377" i="9"/>
  <c r="BU377" i="9"/>
  <c r="BV377" i="9"/>
  <c r="BW377" i="9"/>
  <c r="BX377" i="9"/>
  <c r="BY377" i="9"/>
  <c r="BZ377" i="9"/>
  <c r="CA377" i="9"/>
  <c r="CB377" i="9"/>
  <c r="CC377" i="9"/>
  <c r="CD377" i="9"/>
  <c r="CE377" i="9"/>
  <c r="CF377" i="9"/>
  <c r="CG377" i="9"/>
  <c r="CH377" i="9"/>
  <c r="CI377" i="9"/>
  <c r="CM377" i="9"/>
  <c r="CN377" i="9"/>
  <c r="CO377" i="9"/>
  <c r="CP377" i="9"/>
  <c r="CQ377" i="9"/>
  <c r="CR377" i="9"/>
  <c r="C380" i="9"/>
  <c r="D380" i="9"/>
  <c r="E380" i="9"/>
  <c r="F380" i="9"/>
  <c r="G380" i="9"/>
  <c r="H380" i="9"/>
  <c r="I380" i="9"/>
  <c r="J380" i="9"/>
  <c r="K380" i="9"/>
  <c r="L380" i="9"/>
  <c r="M380" i="9"/>
  <c r="N380" i="9"/>
  <c r="O380" i="9"/>
  <c r="P380" i="9"/>
  <c r="Q380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G380" i="9"/>
  <c r="AH380" i="9"/>
  <c r="AI380" i="9"/>
  <c r="AJ380" i="9"/>
  <c r="BF380" i="9"/>
  <c r="BG380" i="9"/>
  <c r="BH380" i="9"/>
  <c r="BI380" i="9"/>
  <c r="BJ380" i="9"/>
  <c r="BK380" i="9"/>
  <c r="BL380" i="9"/>
  <c r="BM380" i="9"/>
  <c r="BN380" i="9"/>
  <c r="BO380" i="9"/>
  <c r="BP380" i="9"/>
  <c r="BQ380" i="9"/>
  <c r="BR380" i="9"/>
  <c r="BS380" i="9"/>
  <c r="BT380" i="9"/>
  <c r="BU380" i="9"/>
  <c r="BV380" i="9"/>
  <c r="BW380" i="9"/>
  <c r="BX380" i="9"/>
  <c r="BY380" i="9"/>
  <c r="BZ380" i="9"/>
  <c r="CA380" i="9"/>
  <c r="CB380" i="9"/>
  <c r="CC380" i="9"/>
  <c r="CD380" i="9"/>
  <c r="CE380" i="9"/>
  <c r="CF380" i="9"/>
  <c r="CG380" i="9"/>
  <c r="CH380" i="9"/>
  <c r="CI380" i="9"/>
  <c r="CM380" i="9"/>
  <c r="CN380" i="9"/>
  <c r="CO380" i="9"/>
  <c r="CP380" i="9"/>
  <c r="CQ380" i="9"/>
  <c r="CR380" i="9"/>
  <c r="C383" i="9"/>
  <c r="D383" i="9"/>
  <c r="E383" i="9"/>
  <c r="F383" i="9"/>
  <c r="G383" i="9"/>
  <c r="H383" i="9"/>
  <c r="I383" i="9"/>
  <c r="J383" i="9"/>
  <c r="K383" i="9"/>
  <c r="L383" i="9"/>
  <c r="M383" i="9"/>
  <c r="N383" i="9"/>
  <c r="O383" i="9"/>
  <c r="P383" i="9"/>
  <c r="Q383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G383" i="9"/>
  <c r="AH383" i="9"/>
  <c r="AI383" i="9"/>
  <c r="AJ383" i="9"/>
  <c r="BF383" i="9"/>
  <c r="BG383" i="9"/>
  <c r="BH383" i="9"/>
  <c r="BI383" i="9"/>
  <c r="BJ383" i="9"/>
  <c r="BK383" i="9"/>
  <c r="BL383" i="9"/>
  <c r="BM383" i="9"/>
  <c r="BN383" i="9"/>
  <c r="BO383" i="9"/>
  <c r="BP383" i="9"/>
  <c r="BQ383" i="9"/>
  <c r="BR383" i="9"/>
  <c r="BS383" i="9"/>
  <c r="BT383" i="9"/>
  <c r="BU383" i="9"/>
  <c r="BV383" i="9"/>
  <c r="BW383" i="9"/>
  <c r="BX383" i="9"/>
  <c r="BY383" i="9"/>
  <c r="BZ383" i="9"/>
  <c r="CA383" i="9"/>
  <c r="CB383" i="9"/>
  <c r="CC383" i="9"/>
  <c r="CD383" i="9"/>
  <c r="CE383" i="9"/>
  <c r="CF383" i="9"/>
  <c r="CG383" i="9"/>
  <c r="CH383" i="9"/>
  <c r="CI383" i="9"/>
  <c r="CM383" i="9"/>
  <c r="CN383" i="9"/>
  <c r="CO383" i="9"/>
  <c r="CP383" i="9"/>
  <c r="CQ383" i="9"/>
  <c r="CR383" i="9"/>
  <c r="C384" i="9"/>
  <c r="D384" i="9"/>
  <c r="E384" i="9"/>
  <c r="F384" i="9"/>
  <c r="G384" i="9"/>
  <c r="H384" i="9"/>
  <c r="I384" i="9"/>
  <c r="J384" i="9"/>
  <c r="K384" i="9"/>
  <c r="L384" i="9"/>
  <c r="M384" i="9"/>
  <c r="N384" i="9"/>
  <c r="O384" i="9"/>
  <c r="P384" i="9"/>
  <c r="Q384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G384" i="9"/>
  <c r="BD384" i="9" s="1"/>
  <c r="AH384" i="9"/>
  <c r="AI384" i="9"/>
  <c r="AJ384" i="9"/>
  <c r="BF384" i="9"/>
  <c r="BG384" i="9"/>
  <c r="BH384" i="9"/>
  <c r="BI384" i="9"/>
  <c r="BJ384" i="9"/>
  <c r="BK384" i="9"/>
  <c r="BL384" i="9"/>
  <c r="BM384" i="9"/>
  <c r="BN384" i="9"/>
  <c r="BO384" i="9"/>
  <c r="BP384" i="9"/>
  <c r="BQ384" i="9"/>
  <c r="BR384" i="9"/>
  <c r="BS384" i="9"/>
  <c r="BT384" i="9"/>
  <c r="BU384" i="9"/>
  <c r="BV384" i="9"/>
  <c r="BW384" i="9"/>
  <c r="BX384" i="9"/>
  <c r="BY384" i="9"/>
  <c r="BZ384" i="9"/>
  <c r="CA384" i="9"/>
  <c r="CB384" i="9"/>
  <c r="CC384" i="9"/>
  <c r="CD384" i="9"/>
  <c r="CE384" i="9"/>
  <c r="CF384" i="9"/>
  <c r="CG384" i="9"/>
  <c r="CH384" i="9"/>
  <c r="CI384" i="9"/>
  <c r="CM384" i="9"/>
  <c r="CN384" i="9"/>
  <c r="CO384" i="9"/>
  <c r="CP384" i="9"/>
  <c r="CQ384" i="9"/>
  <c r="CR384" i="9"/>
  <c r="C386" i="9"/>
  <c r="D386" i="9"/>
  <c r="E386" i="9"/>
  <c r="F386" i="9"/>
  <c r="G386" i="9"/>
  <c r="H386" i="9"/>
  <c r="I386" i="9"/>
  <c r="J386" i="9"/>
  <c r="K386" i="9"/>
  <c r="L386" i="9"/>
  <c r="M386" i="9"/>
  <c r="N386" i="9"/>
  <c r="O386" i="9"/>
  <c r="P386" i="9"/>
  <c r="Q386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G386" i="9"/>
  <c r="BD386" i="9" s="1"/>
  <c r="AH386" i="9"/>
  <c r="AI386" i="9"/>
  <c r="AJ386" i="9"/>
  <c r="BF386" i="9"/>
  <c r="BG386" i="9"/>
  <c r="BH386" i="9"/>
  <c r="BI386" i="9"/>
  <c r="BJ386" i="9"/>
  <c r="BK386" i="9"/>
  <c r="BL386" i="9"/>
  <c r="BM386" i="9"/>
  <c r="BN386" i="9"/>
  <c r="BO386" i="9"/>
  <c r="BP386" i="9"/>
  <c r="BQ386" i="9"/>
  <c r="BR386" i="9"/>
  <c r="BS386" i="9"/>
  <c r="BT386" i="9"/>
  <c r="BU386" i="9"/>
  <c r="BV386" i="9"/>
  <c r="BW386" i="9"/>
  <c r="BX386" i="9"/>
  <c r="BY386" i="9"/>
  <c r="BZ386" i="9"/>
  <c r="CA386" i="9"/>
  <c r="CB386" i="9"/>
  <c r="CC386" i="9"/>
  <c r="CD386" i="9"/>
  <c r="CE386" i="9"/>
  <c r="CF386" i="9"/>
  <c r="CG386" i="9"/>
  <c r="CH386" i="9"/>
  <c r="CI386" i="9"/>
  <c r="CM386" i="9"/>
  <c r="CN386" i="9"/>
  <c r="CO386" i="9"/>
  <c r="CP386" i="9"/>
  <c r="CQ386" i="9"/>
  <c r="CR386" i="9"/>
  <c r="C387" i="9"/>
  <c r="D387" i="9"/>
  <c r="E387" i="9"/>
  <c r="F387" i="9"/>
  <c r="G387" i="9"/>
  <c r="H387" i="9"/>
  <c r="I387" i="9"/>
  <c r="J387" i="9"/>
  <c r="K387" i="9"/>
  <c r="L387" i="9"/>
  <c r="M387" i="9"/>
  <c r="N387" i="9"/>
  <c r="O387" i="9"/>
  <c r="P387" i="9"/>
  <c r="Q387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G387" i="9"/>
  <c r="AH387" i="9"/>
  <c r="AI387" i="9"/>
  <c r="AJ387" i="9"/>
  <c r="BF387" i="9"/>
  <c r="BG387" i="9"/>
  <c r="BH387" i="9"/>
  <c r="BI387" i="9"/>
  <c r="BJ387" i="9"/>
  <c r="BK387" i="9"/>
  <c r="BL387" i="9"/>
  <c r="BM387" i="9"/>
  <c r="BN387" i="9"/>
  <c r="BO387" i="9"/>
  <c r="BP387" i="9"/>
  <c r="BQ387" i="9"/>
  <c r="BR387" i="9"/>
  <c r="BS387" i="9"/>
  <c r="BT387" i="9"/>
  <c r="BU387" i="9"/>
  <c r="BV387" i="9"/>
  <c r="BW387" i="9"/>
  <c r="BX387" i="9"/>
  <c r="BY387" i="9"/>
  <c r="BZ387" i="9"/>
  <c r="CA387" i="9"/>
  <c r="CB387" i="9"/>
  <c r="CC387" i="9"/>
  <c r="CD387" i="9"/>
  <c r="CE387" i="9"/>
  <c r="CF387" i="9"/>
  <c r="CG387" i="9"/>
  <c r="CH387" i="9"/>
  <c r="CI387" i="9"/>
  <c r="CM387" i="9"/>
  <c r="CN387" i="9"/>
  <c r="CO387" i="9"/>
  <c r="CP387" i="9"/>
  <c r="CQ387" i="9"/>
  <c r="CR387" i="9"/>
  <c r="C390" i="9"/>
  <c r="D390" i="9"/>
  <c r="E390" i="9"/>
  <c r="F390" i="9"/>
  <c r="G390" i="9"/>
  <c r="H390" i="9"/>
  <c r="I390" i="9"/>
  <c r="J390" i="9"/>
  <c r="K390" i="9"/>
  <c r="L390" i="9"/>
  <c r="M390" i="9"/>
  <c r="N390" i="9"/>
  <c r="O390" i="9"/>
  <c r="P390" i="9"/>
  <c r="Q390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G390" i="9"/>
  <c r="AH390" i="9"/>
  <c r="AI390" i="9"/>
  <c r="AJ390" i="9"/>
  <c r="BF390" i="9"/>
  <c r="BG390" i="9"/>
  <c r="BH390" i="9"/>
  <c r="BI390" i="9"/>
  <c r="BJ390" i="9"/>
  <c r="BK390" i="9"/>
  <c r="BL390" i="9"/>
  <c r="BM390" i="9"/>
  <c r="BN390" i="9"/>
  <c r="BO390" i="9"/>
  <c r="BP390" i="9"/>
  <c r="BQ390" i="9"/>
  <c r="BR390" i="9"/>
  <c r="BS390" i="9"/>
  <c r="BT390" i="9"/>
  <c r="BU390" i="9"/>
  <c r="BV390" i="9"/>
  <c r="BW390" i="9"/>
  <c r="BX390" i="9"/>
  <c r="BY390" i="9"/>
  <c r="BZ390" i="9"/>
  <c r="CA390" i="9"/>
  <c r="CB390" i="9"/>
  <c r="CC390" i="9"/>
  <c r="CD390" i="9"/>
  <c r="CE390" i="9"/>
  <c r="CF390" i="9"/>
  <c r="CG390" i="9"/>
  <c r="CH390" i="9"/>
  <c r="CI390" i="9"/>
  <c r="CM390" i="9"/>
  <c r="CN390" i="9"/>
  <c r="CO390" i="9"/>
  <c r="CP390" i="9"/>
  <c r="CQ390" i="9"/>
  <c r="CR390" i="9"/>
  <c r="C393" i="9"/>
  <c r="D393" i="9"/>
  <c r="E393" i="9"/>
  <c r="F393" i="9"/>
  <c r="G393" i="9"/>
  <c r="H393" i="9"/>
  <c r="I393" i="9"/>
  <c r="J393" i="9"/>
  <c r="K393" i="9"/>
  <c r="L393" i="9"/>
  <c r="M393" i="9"/>
  <c r="N393" i="9"/>
  <c r="O393" i="9"/>
  <c r="P393" i="9"/>
  <c r="Q393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G393" i="9"/>
  <c r="BD393" i="9" s="1"/>
  <c r="AH393" i="9"/>
  <c r="AI393" i="9"/>
  <c r="AJ393" i="9"/>
  <c r="BF393" i="9"/>
  <c r="BG393" i="9"/>
  <c r="BH393" i="9"/>
  <c r="BI393" i="9"/>
  <c r="BJ393" i="9"/>
  <c r="BK393" i="9"/>
  <c r="BL393" i="9"/>
  <c r="BM393" i="9"/>
  <c r="BN393" i="9"/>
  <c r="BO393" i="9"/>
  <c r="BP393" i="9"/>
  <c r="BQ393" i="9"/>
  <c r="BR393" i="9"/>
  <c r="BS393" i="9"/>
  <c r="BT393" i="9"/>
  <c r="BU393" i="9"/>
  <c r="BV393" i="9"/>
  <c r="BW393" i="9"/>
  <c r="BX393" i="9"/>
  <c r="BY393" i="9"/>
  <c r="BZ393" i="9"/>
  <c r="CA393" i="9"/>
  <c r="CB393" i="9"/>
  <c r="CC393" i="9"/>
  <c r="CD393" i="9"/>
  <c r="CE393" i="9"/>
  <c r="CF393" i="9"/>
  <c r="CG393" i="9"/>
  <c r="CH393" i="9"/>
  <c r="CI393" i="9"/>
  <c r="CM393" i="9"/>
  <c r="CN393" i="9"/>
  <c r="CO393" i="9"/>
  <c r="CP393" i="9"/>
  <c r="CQ393" i="9"/>
  <c r="CR393" i="9"/>
  <c r="C398" i="9"/>
  <c r="D398" i="9"/>
  <c r="E398" i="9"/>
  <c r="F398" i="9"/>
  <c r="G398" i="9"/>
  <c r="H398" i="9"/>
  <c r="I398" i="9"/>
  <c r="J398" i="9"/>
  <c r="K398" i="9"/>
  <c r="L398" i="9"/>
  <c r="M398" i="9"/>
  <c r="N398" i="9"/>
  <c r="O398" i="9"/>
  <c r="P398" i="9"/>
  <c r="Q398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G398" i="9"/>
  <c r="BD398" i="9" s="1"/>
  <c r="AH398" i="9"/>
  <c r="AI398" i="9"/>
  <c r="AJ398" i="9"/>
  <c r="BF398" i="9"/>
  <c r="BG398" i="9"/>
  <c r="BH398" i="9"/>
  <c r="BI398" i="9"/>
  <c r="BJ398" i="9"/>
  <c r="BK398" i="9"/>
  <c r="BL398" i="9"/>
  <c r="BM398" i="9"/>
  <c r="BN398" i="9"/>
  <c r="BO398" i="9"/>
  <c r="BP398" i="9"/>
  <c r="BQ398" i="9"/>
  <c r="BR398" i="9"/>
  <c r="BS398" i="9"/>
  <c r="BT398" i="9"/>
  <c r="BU398" i="9"/>
  <c r="BV398" i="9"/>
  <c r="BW398" i="9"/>
  <c r="BX398" i="9"/>
  <c r="BY398" i="9"/>
  <c r="BZ398" i="9"/>
  <c r="CA398" i="9"/>
  <c r="CB398" i="9"/>
  <c r="CC398" i="9"/>
  <c r="CD398" i="9"/>
  <c r="CE398" i="9"/>
  <c r="CF398" i="9"/>
  <c r="CG398" i="9"/>
  <c r="CH398" i="9"/>
  <c r="CI398" i="9"/>
  <c r="CM398" i="9"/>
  <c r="CN398" i="9"/>
  <c r="CO398" i="9"/>
  <c r="CP398" i="9"/>
  <c r="CQ398" i="9"/>
  <c r="CR398" i="9"/>
  <c r="C401" i="9"/>
  <c r="D401" i="9"/>
  <c r="E401" i="9"/>
  <c r="F401" i="9"/>
  <c r="G401" i="9"/>
  <c r="H401" i="9"/>
  <c r="I401" i="9"/>
  <c r="J401" i="9"/>
  <c r="K401" i="9"/>
  <c r="L401" i="9"/>
  <c r="M401" i="9"/>
  <c r="N401" i="9"/>
  <c r="O401" i="9"/>
  <c r="P401" i="9"/>
  <c r="Q401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G401" i="9"/>
  <c r="AH401" i="9"/>
  <c r="AI401" i="9"/>
  <c r="AJ401" i="9"/>
  <c r="BF401" i="9"/>
  <c r="BG401" i="9"/>
  <c r="BH401" i="9"/>
  <c r="BI401" i="9"/>
  <c r="BJ401" i="9"/>
  <c r="BK401" i="9"/>
  <c r="BL401" i="9"/>
  <c r="BM401" i="9"/>
  <c r="BN401" i="9"/>
  <c r="BO401" i="9"/>
  <c r="BP401" i="9"/>
  <c r="BQ401" i="9"/>
  <c r="BR401" i="9"/>
  <c r="BS401" i="9"/>
  <c r="BT401" i="9"/>
  <c r="BU401" i="9"/>
  <c r="BV401" i="9"/>
  <c r="BW401" i="9"/>
  <c r="BX401" i="9"/>
  <c r="BY401" i="9"/>
  <c r="BZ401" i="9"/>
  <c r="CA401" i="9"/>
  <c r="CB401" i="9"/>
  <c r="CC401" i="9"/>
  <c r="CD401" i="9"/>
  <c r="CE401" i="9"/>
  <c r="CF401" i="9"/>
  <c r="CG401" i="9"/>
  <c r="CH401" i="9"/>
  <c r="CI401" i="9"/>
  <c r="CM401" i="9"/>
  <c r="CN401" i="9"/>
  <c r="CO401" i="9"/>
  <c r="CP401" i="9"/>
  <c r="CQ401" i="9"/>
  <c r="CR401" i="9"/>
  <c r="C404" i="9"/>
  <c r="D404" i="9"/>
  <c r="E404" i="9"/>
  <c r="F404" i="9"/>
  <c r="G404" i="9"/>
  <c r="H404" i="9"/>
  <c r="I404" i="9"/>
  <c r="J404" i="9"/>
  <c r="K404" i="9"/>
  <c r="L404" i="9"/>
  <c r="M404" i="9"/>
  <c r="N404" i="9"/>
  <c r="O404" i="9"/>
  <c r="P404" i="9"/>
  <c r="Q404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G404" i="9"/>
  <c r="AH404" i="9"/>
  <c r="AI404" i="9"/>
  <c r="AJ404" i="9"/>
  <c r="BF404" i="9"/>
  <c r="BG404" i="9"/>
  <c r="BH404" i="9"/>
  <c r="BI404" i="9"/>
  <c r="BJ404" i="9"/>
  <c r="BK404" i="9"/>
  <c r="BL404" i="9"/>
  <c r="BM404" i="9"/>
  <c r="BN404" i="9"/>
  <c r="BO404" i="9"/>
  <c r="BP404" i="9"/>
  <c r="BQ404" i="9"/>
  <c r="BR404" i="9"/>
  <c r="BS404" i="9"/>
  <c r="BT404" i="9"/>
  <c r="BU404" i="9"/>
  <c r="BV404" i="9"/>
  <c r="BW404" i="9"/>
  <c r="BX404" i="9"/>
  <c r="BY404" i="9"/>
  <c r="BZ404" i="9"/>
  <c r="CA404" i="9"/>
  <c r="CB404" i="9"/>
  <c r="CC404" i="9"/>
  <c r="CD404" i="9"/>
  <c r="CE404" i="9"/>
  <c r="CF404" i="9"/>
  <c r="CG404" i="9"/>
  <c r="CH404" i="9"/>
  <c r="CI404" i="9"/>
  <c r="CM404" i="9"/>
  <c r="CN404" i="9"/>
  <c r="CO404" i="9"/>
  <c r="CP404" i="9"/>
  <c r="CQ404" i="9"/>
  <c r="CR404" i="9"/>
  <c r="C407" i="9"/>
  <c r="D407" i="9"/>
  <c r="E407" i="9"/>
  <c r="F407" i="9"/>
  <c r="G407" i="9"/>
  <c r="H407" i="9"/>
  <c r="I407" i="9"/>
  <c r="J407" i="9"/>
  <c r="K407" i="9"/>
  <c r="L407" i="9"/>
  <c r="M407" i="9"/>
  <c r="N407" i="9"/>
  <c r="O407" i="9"/>
  <c r="P407" i="9"/>
  <c r="Q407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G407" i="9"/>
  <c r="BD407" i="9" s="1"/>
  <c r="AH407" i="9"/>
  <c r="AI407" i="9"/>
  <c r="AJ407" i="9"/>
  <c r="BF407" i="9"/>
  <c r="BG407" i="9"/>
  <c r="BH407" i="9"/>
  <c r="BI407" i="9"/>
  <c r="BJ407" i="9"/>
  <c r="BK407" i="9"/>
  <c r="BL407" i="9"/>
  <c r="BM407" i="9"/>
  <c r="BN407" i="9"/>
  <c r="BO407" i="9"/>
  <c r="BP407" i="9"/>
  <c r="BQ407" i="9"/>
  <c r="BR407" i="9"/>
  <c r="BS407" i="9"/>
  <c r="BT407" i="9"/>
  <c r="BU407" i="9"/>
  <c r="BV407" i="9"/>
  <c r="BW407" i="9"/>
  <c r="BX407" i="9"/>
  <c r="BY407" i="9"/>
  <c r="BZ407" i="9"/>
  <c r="CA407" i="9"/>
  <c r="CB407" i="9"/>
  <c r="CC407" i="9"/>
  <c r="CD407" i="9"/>
  <c r="CE407" i="9"/>
  <c r="CF407" i="9"/>
  <c r="CG407" i="9"/>
  <c r="CH407" i="9"/>
  <c r="CI407" i="9"/>
  <c r="CM407" i="9"/>
  <c r="CN407" i="9"/>
  <c r="CO407" i="9"/>
  <c r="CP407" i="9"/>
  <c r="CQ407" i="9"/>
  <c r="CR407" i="9"/>
  <c r="C347" i="9"/>
  <c r="D347" i="9"/>
  <c r="E347" i="9"/>
  <c r="F347" i="9"/>
  <c r="G347" i="9"/>
  <c r="H347" i="9"/>
  <c r="I347" i="9"/>
  <c r="J347" i="9"/>
  <c r="K347" i="9"/>
  <c r="L347" i="9"/>
  <c r="M347" i="9"/>
  <c r="N347" i="9"/>
  <c r="O347" i="9"/>
  <c r="P347" i="9"/>
  <c r="Q347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G347" i="9"/>
  <c r="BD347" i="9" s="1"/>
  <c r="AH347" i="9"/>
  <c r="AI347" i="9"/>
  <c r="AJ347" i="9"/>
  <c r="BF347" i="9"/>
  <c r="BG347" i="9"/>
  <c r="BH347" i="9"/>
  <c r="BI347" i="9"/>
  <c r="BJ347" i="9"/>
  <c r="BK347" i="9"/>
  <c r="BL347" i="9"/>
  <c r="BM347" i="9"/>
  <c r="BN347" i="9"/>
  <c r="BO347" i="9"/>
  <c r="BP347" i="9"/>
  <c r="BQ347" i="9"/>
  <c r="BR347" i="9"/>
  <c r="BS347" i="9"/>
  <c r="BT347" i="9"/>
  <c r="BU347" i="9"/>
  <c r="BV347" i="9"/>
  <c r="BW347" i="9"/>
  <c r="BX347" i="9"/>
  <c r="BY347" i="9"/>
  <c r="BZ347" i="9"/>
  <c r="CA347" i="9"/>
  <c r="CB347" i="9"/>
  <c r="CC347" i="9"/>
  <c r="CD347" i="9"/>
  <c r="CE347" i="9"/>
  <c r="CF347" i="9"/>
  <c r="CG347" i="9"/>
  <c r="CH347" i="9"/>
  <c r="CI347" i="9"/>
  <c r="CM347" i="9"/>
  <c r="CN347" i="9"/>
  <c r="CO347" i="9"/>
  <c r="CP347" i="9"/>
  <c r="CQ347" i="9"/>
  <c r="CR347" i="9"/>
  <c r="C349" i="9"/>
  <c r="D349" i="9"/>
  <c r="E349" i="9"/>
  <c r="F349" i="9"/>
  <c r="G349" i="9"/>
  <c r="H349" i="9"/>
  <c r="I349" i="9"/>
  <c r="J349" i="9"/>
  <c r="K349" i="9"/>
  <c r="L349" i="9"/>
  <c r="M349" i="9"/>
  <c r="N349" i="9"/>
  <c r="O349" i="9"/>
  <c r="P349" i="9"/>
  <c r="Q349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G349" i="9"/>
  <c r="AH349" i="9"/>
  <c r="AI349" i="9"/>
  <c r="AJ349" i="9"/>
  <c r="BF349" i="9"/>
  <c r="BG349" i="9"/>
  <c r="BH349" i="9"/>
  <c r="BI349" i="9"/>
  <c r="BJ349" i="9"/>
  <c r="BK349" i="9"/>
  <c r="BL349" i="9"/>
  <c r="BM349" i="9"/>
  <c r="BN349" i="9"/>
  <c r="BO349" i="9"/>
  <c r="BP349" i="9"/>
  <c r="BQ349" i="9"/>
  <c r="BR349" i="9"/>
  <c r="BS349" i="9"/>
  <c r="BT349" i="9"/>
  <c r="BU349" i="9"/>
  <c r="BV349" i="9"/>
  <c r="BW349" i="9"/>
  <c r="BX349" i="9"/>
  <c r="BY349" i="9"/>
  <c r="BZ349" i="9"/>
  <c r="CA349" i="9"/>
  <c r="CB349" i="9"/>
  <c r="CC349" i="9"/>
  <c r="CD349" i="9"/>
  <c r="CE349" i="9"/>
  <c r="CF349" i="9"/>
  <c r="CG349" i="9"/>
  <c r="CH349" i="9"/>
  <c r="CI349" i="9"/>
  <c r="CM349" i="9"/>
  <c r="CN349" i="9"/>
  <c r="CO349" i="9"/>
  <c r="CP349" i="9"/>
  <c r="CQ349" i="9"/>
  <c r="CR349" i="9"/>
  <c r="C410" i="9"/>
  <c r="D410" i="9"/>
  <c r="E410" i="9"/>
  <c r="F410" i="9"/>
  <c r="G410" i="9"/>
  <c r="H410" i="9"/>
  <c r="I410" i="9"/>
  <c r="J410" i="9"/>
  <c r="K410" i="9"/>
  <c r="L410" i="9"/>
  <c r="M410" i="9"/>
  <c r="N410" i="9"/>
  <c r="O410" i="9"/>
  <c r="P410" i="9"/>
  <c r="Q410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G410" i="9"/>
  <c r="AH410" i="9"/>
  <c r="AI410" i="9"/>
  <c r="AJ410" i="9"/>
  <c r="BF410" i="9"/>
  <c r="BG410" i="9"/>
  <c r="BH410" i="9"/>
  <c r="BI410" i="9"/>
  <c r="BJ410" i="9"/>
  <c r="BK410" i="9"/>
  <c r="BL410" i="9"/>
  <c r="BM410" i="9"/>
  <c r="BN410" i="9"/>
  <c r="BO410" i="9"/>
  <c r="BP410" i="9"/>
  <c r="BQ410" i="9"/>
  <c r="BR410" i="9"/>
  <c r="BS410" i="9"/>
  <c r="BT410" i="9"/>
  <c r="BU410" i="9"/>
  <c r="BV410" i="9"/>
  <c r="BW410" i="9"/>
  <c r="BX410" i="9"/>
  <c r="BY410" i="9"/>
  <c r="BZ410" i="9"/>
  <c r="CA410" i="9"/>
  <c r="CB410" i="9"/>
  <c r="CC410" i="9"/>
  <c r="CD410" i="9"/>
  <c r="CE410" i="9"/>
  <c r="CF410" i="9"/>
  <c r="CG410" i="9"/>
  <c r="CH410" i="9"/>
  <c r="CI410" i="9"/>
  <c r="CM410" i="9"/>
  <c r="CN410" i="9"/>
  <c r="CO410" i="9"/>
  <c r="CP410" i="9"/>
  <c r="CQ410" i="9"/>
  <c r="CR410" i="9"/>
  <c r="C354" i="9"/>
  <c r="D354" i="9"/>
  <c r="E354" i="9"/>
  <c r="F354" i="9"/>
  <c r="G354" i="9"/>
  <c r="H354" i="9"/>
  <c r="I354" i="9"/>
  <c r="J354" i="9"/>
  <c r="K354" i="9"/>
  <c r="L354" i="9"/>
  <c r="M354" i="9"/>
  <c r="N354" i="9"/>
  <c r="O354" i="9"/>
  <c r="P354" i="9"/>
  <c r="Q354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G354" i="9"/>
  <c r="BD354" i="9" s="1"/>
  <c r="AH354" i="9"/>
  <c r="AI354" i="9"/>
  <c r="AJ354" i="9"/>
  <c r="BF354" i="9"/>
  <c r="BG354" i="9"/>
  <c r="BH354" i="9"/>
  <c r="BI354" i="9"/>
  <c r="BJ354" i="9"/>
  <c r="BK354" i="9"/>
  <c r="BL354" i="9"/>
  <c r="BM354" i="9"/>
  <c r="BN354" i="9"/>
  <c r="BO354" i="9"/>
  <c r="BP354" i="9"/>
  <c r="BQ354" i="9"/>
  <c r="BR354" i="9"/>
  <c r="BS354" i="9"/>
  <c r="BT354" i="9"/>
  <c r="BU354" i="9"/>
  <c r="BV354" i="9"/>
  <c r="BW354" i="9"/>
  <c r="BX354" i="9"/>
  <c r="BY354" i="9"/>
  <c r="BZ354" i="9"/>
  <c r="CA354" i="9"/>
  <c r="CB354" i="9"/>
  <c r="CC354" i="9"/>
  <c r="CD354" i="9"/>
  <c r="CE354" i="9"/>
  <c r="CF354" i="9"/>
  <c r="CG354" i="9"/>
  <c r="CH354" i="9"/>
  <c r="CI354" i="9"/>
  <c r="CM354" i="9"/>
  <c r="CN354" i="9"/>
  <c r="CO354" i="9"/>
  <c r="CP354" i="9"/>
  <c r="CQ354" i="9"/>
  <c r="CR354" i="9"/>
  <c r="C411" i="9"/>
  <c r="D411" i="9"/>
  <c r="E411" i="9"/>
  <c r="F411" i="9"/>
  <c r="G411" i="9"/>
  <c r="H411" i="9"/>
  <c r="I411" i="9"/>
  <c r="J411" i="9"/>
  <c r="K411" i="9"/>
  <c r="L411" i="9"/>
  <c r="M411" i="9"/>
  <c r="N411" i="9"/>
  <c r="O411" i="9"/>
  <c r="P411" i="9"/>
  <c r="Q411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G411" i="9"/>
  <c r="BD411" i="9" s="1"/>
  <c r="AH411" i="9"/>
  <c r="AI411" i="9"/>
  <c r="AJ411" i="9"/>
  <c r="BF411" i="9"/>
  <c r="BG411" i="9"/>
  <c r="BH411" i="9"/>
  <c r="BI411" i="9"/>
  <c r="BJ411" i="9"/>
  <c r="BK411" i="9"/>
  <c r="BL411" i="9"/>
  <c r="BM411" i="9"/>
  <c r="BN411" i="9"/>
  <c r="BO411" i="9"/>
  <c r="BP411" i="9"/>
  <c r="BQ411" i="9"/>
  <c r="BR411" i="9"/>
  <c r="BS411" i="9"/>
  <c r="BT411" i="9"/>
  <c r="BU411" i="9"/>
  <c r="BV411" i="9"/>
  <c r="BW411" i="9"/>
  <c r="BX411" i="9"/>
  <c r="BY411" i="9"/>
  <c r="BZ411" i="9"/>
  <c r="CA411" i="9"/>
  <c r="CB411" i="9"/>
  <c r="CC411" i="9"/>
  <c r="CD411" i="9"/>
  <c r="CE411" i="9"/>
  <c r="CF411" i="9"/>
  <c r="CG411" i="9"/>
  <c r="CH411" i="9"/>
  <c r="CI411" i="9"/>
  <c r="CM411" i="9"/>
  <c r="CN411" i="9"/>
  <c r="CO411" i="9"/>
  <c r="CP411" i="9"/>
  <c r="CQ411" i="9"/>
  <c r="CR411" i="9"/>
  <c r="C359" i="9"/>
  <c r="D359" i="9"/>
  <c r="E359" i="9"/>
  <c r="F359" i="9"/>
  <c r="G359" i="9"/>
  <c r="H359" i="9"/>
  <c r="I359" i="9"/>
  <c r="J359" i="9"/>
  <c r="K359" i="9"/>
  <c r="L359" i="9"/>
  <c r="M359" i="9"/>
  <c r="N359" i="9"/>
  <c r="O359" i="9"/>
  <c r="P359" i="9"/>
  <c r="Q359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G359" i="9"/>
  <c r="AH359" i="9"/>
  <c r="AI359" i="9"/>
  <c r="AJ359" i="9"/>
  <c r="BF359" i="9"/>
  <c r="BG359" i="9"/>
  <c r="BH359" i="9"/>
  <c r="BI359" i="9"/>
  <c r="BJ359" i="9"/>
  <c r="BK359" i="9"/>
  <c r="BL359" i="9"/>
  <c r="BM359" i="9"/>
  <c r="BN359" i="9"/>
  <c r="BO359" i="9"/>
  <c r="BP359" i="9"/>
  <c r="BQ359" i="9"/>
  <c r="BR359" i="9"/>
  <c r="BS359" i="9"/>
  <c r="BT359" i="9"/>
  <c r="BU359" i="9"/>
  <c r="BV359" i="9"/>
  <c r="BW359" i="9"/>
  <c r="BX359" i="9"/>
  <c r="BY359" i="9"/>
  <c r="BZ359" i="9"/>
  <c r="CA359" i="9"/>
  <c r="CB359" i="9"/>
  <c r="CC359" i="9"/>
  <c r="CD359" i="9"/>
  <c r="CE359" i="9"/>
  <c r="CF359" i="9"/>
  <c r="CG359" i="9"/>
  <c r="CH359" i="9"/>
  <c r="CI359" i="9"/>
  <c r="CM359" i="9"/>
  <c r="CN359" i="9"/>
  <c r="CO359" i="9"/>
  <c r="CP359" i="9"/>
  <c r="CQ359" i="9"/>
  <c r="CR359" i="9"/>
  <c r="C363" i="9"/>
  <c r="D363" i="9"/>
  <c r="E363" i="9"/>
  <c r="F363" i="9"/>
  <c r="G363" i="9"/>
  <c r="H363" i="9"/>
  <c r="I363" i="9"/>
  <c r="J363" i="9"/>
  <c r="K363" i="9"/>
  <c r="L363" i="9"/>
  <c r="M363" i="9"/>
  <c r="N363" i="9"/>
  <c r="O363" i="9"/>
  <c r="P363" i="9"/>
  <c r="Q363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G363" i="9"/>
  <c r="AH363" i="9"/>
  <c r="AI363" i="9"/>
  <c r="AJ363" i="9"/>
  <c r="BF363" i="9"/>
  <c r="BG363" i="9"/>
  <c r="BH363" i="9"/>
  <c r="BI363" i="9"/>
  <c r="BJ363" i="9"/>
  <c r="BK363" i="9"/>
  <c r="BL363" i="9"/>
  <c r="BM363" i="9"/>
  <c r="BN363" i="9"/>
  <c r="BO363" i="9"/>
  <c r="BP363" i="9"/>
  <c r="BQ363" i="9"/>
  <c r="BR363" i="9"/>
  <c r="BS363" i="9"/>
  <c r="BT363" i="9"/>
  <c r="BU363" i="9"/>
  <c r="BV363" i="9"/>
  <c r="BW363" i="9"/>
  <c r="BX363" i="9"/>
  <c r="BY363" i="9"/>
  <c r="BZ363" i="9"/>
  <c r="CA363" i="9"/>
  <c r="CB363" i="9"/>
  <c r="CC363" i="9"/>
  <c r="CD363" i="9"/>
  <c r="CE363" i="9"/>
  <c r="CF363" i="9"/>
  <c r="CG363" i="9"/>
  <c r="CH363" i="9"/>
  <c r="CI363" i="9"/>
  <c r="CM363" i="9"/>
  <c r="CN363" i="9"/>
  <c r="CO363" i="9"/>
  <c r="CP363" i="9"/>
  <c r="CQ363" i="9"/>
  <c r="CR363" i="9"/>
  <c r="C366" i="9"/>
  <c r="D366" i="9"/>
  <c r="E366" i="9"/>
  <c r="F366" i="9"/>
  <c r="G366" i="9"/>
  <c r="H366" i="9"/>
  <c r="I366" i="9"/>
  <c r="J366" i="9"/>
  <c r="K366" i="9"/>
  <c r="L366" i="9"/>
  <c r="M366" i="9"/>
  <c r="N366" i="9"/>
  <c r="O366" i="9"/>
  <c r="P366" i="9"/>
  <c r="Q366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G366" i="9"/>
  <c r="BD366" i="9" s="1"/>
  <c r="AH366" i="9"/>
  <c r="AI366" i="9"/>
  <c r="AJ366" i="9"/>
  <c r="BF366" i="9"/>
  <c r="BG366" i="9"/>
  <c r="BH366" i="9"/>
  <c r="BI366" i="9"/>
  <c r="BJ366" i="9"/>
  <c r="BK366" i="9"/>
  <c r="BL366" i="9"/>
  <c r="BM366" i="9"/>
  <c r="BN366" i="9"/>
  <c r="BO366" i="9"/>
  <c r="BP366" i="9"/>
  <c r="BQ366" i="9"/>
  <c r="BR366" i="9"/>
  <c r="BS366" i="9"/>
  <c r="BT366" i="9"/>
  <c r="BU366" i="9"/>
  <c r="BV366" i="9"/>
  <c r="BW366" i="9"/>
  <c r="BX366" i="9"/>
  <c r="BY366" i="9"/>
  <c r="BZ366" i="9"/>
  <c r="CA366" i="9"/>
  <c r="CB366" i="9"/>
  <c r="CC366" i="9"/>
  <c r="CD366" i="9"/>
  <c r="CE366" i="9"/>
  <c r="CF366" i="9"/>
  <c r="CG366" i="9"/>
  <c r="CH366" i="9"/>
  <c r="CI366" i="9"/>
  <c r="CM366" i="9"/>
  <c r="CN366" i="9"/>
  <c r="CO366" i="9"/>
  <c r="CP366" i="9"/>
  <c r="CQ366" i="9"/>
  <c r="CR366" i="9"/>
  <c r="C369" i="9"/>
  <c r="D369" i="9"/>
  <c r="E369" i="9"/>
  <c r="F369" i="9"/>
  <c r="G369" i="9"/>
  <c r="H369" i="9"/>
  <c r="I369" i="9"/>
  <c r="J369" i="9"/>
  <c r="K369" i="9"/>
  <c r="L369" i="9"/>
  <c r="M369" i="9"/>
  <c r="N369" i="9"/>
  <c r="O369" i="9"/>
  <c r="P369" i="9"/>
  <c r="Q369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G369" i="9"/>
  <c r="BD369" i="9" s="1"/>
  <c r="AH369" i="9"/>
  <c r="AI369" i="9"/>
  <c r="AJ369" i="9"/>
  <c r="BF369" i="9"/>
  <c r="BG369" i="9"/>
  <c r="BH369" i="9"/>
  <c r="BI369" i="9"/>
  <c r="BJ369" i="9"/>
  <c r="BK369" i="9"/>
  <c r="BL369" i="9"/>
  <c r="BM369" i="9"/>
  <c r="BN369" i="9"/>
  <c r="BO369" i="9"/>
  <c r="BP369" i="9"/>
  <c r="BQ369" i="9"/>
  <c r="BR369" i="9"/>
  <c r="BS369" i="9"/>
  <c r="BT369" i="9"/>
  <c r="BU369" i="9"/>
  <c r="BV369" i="9"/>
  <c r="BW369" i="9"/>
  <c r="BX369" i="9"/>
  <c r="BY369" i="9"/>
  <c r="BZ369" i="9"/>
  <c r="CA369" i="9"/>
  <c r="CB369" i="9"/>
  <c r="CC369" i="9"/>
  <c r="CD369" i="9"/>
  <c r="CE369" i="9"/>
  <c r="CF369" i="9"/>
  <c r="CG369" i="9"/>
  <c r="CH369" i="9"/>
  <c r="CI369" i="9"/>
  <c r="CM369" i="9"/>
  <c r="CN369" i="9"/>
  <c r="CO369" i="9"/>
  <c r="CP369" i="9"/>
  <c r="CQ369" i="9"/>
  <c r="CR369" i="9"/>
  <c r="C372" i="9"/>
  <c r="D372" i="9"/>
  <c r="E372" i="9"/>
  <c r="F372" i="9"/>
  <c r="G372" i="9"/>
  <c r="H372" i="9"/>
  <c r="I372" i="9"/>
  <c r="J372" i="9"/>
  <c r="K372" i="9"/>
  <c r="L372" i="9"/>
  <c r="M372" i="9"/>
  <c r="N372" i="9"/>
  <c r="O372" i="9"/>
  <c r="P372" i="9"/>
  <c r="Q372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G372" i="9"/>
  <c r="AH372" i="9"/>
  <c r="AI372" i="9"/>
  <c r="AJ372" i="9"/>
  <c r="BF372" i="9"/>
  <c r="BG372" i="9"/>
  <c r="BH372" i="9"/>
  <c r="BI372" i="9"/>
  <c r="BJ372" i="9"/>
  <c r="BK372" i="9"/>
  <c r="BL372" i="9"/>
  <c r="BM372" i="9"/>
  <c r="BN372" i="9"/>
  <c r="BO372" i="9"/>
  <c r="BP372" i="9"/>
  <c r="BQ372" i="9"/>
  <c r="BR372" i="9"/>
  <c r="BS372" i="9"/>
  <c r="BT372" i="9"/>
  <c r="BU372" i="9"/>
  <c r="BV372" i="9"/>
  <c r="BW372" i="9"/>
  <c r="BX372" i="9"/>
  <c r="BY372" i="9"/>
  <c r="BZ372" i="9"/>
  <c r="CA372" i="9"/>
  <c r="CB372" i="9"/>
  <c r="CC372" i="9"/>
  <c r="CD372" i="9"/>
  <c r="CE372" i="9"/>
  <c r="CF372" i="9"/>
  <c r="CG372" i="9"/>
  <c r="CH372" i="9"/>
  <c r="CI372" i="9"/>
  <c r="CM372" i="9"/>
  <c r="CN372" i="9"/>
  <c r="CO372" i="9"/>
  <c r="CP372" i="9"/>
  <c r="CQ372" i="9"/>
  <c r="CR372" i="9"/>
  <c r="C375" i="9"/>
  <c r="D375" i="9"/>
  <c r="E375" i="9"/>
  <c r="F375" i="9"/>
  <c r="G375" i="9"/>
  <c r="H375" i="9"/>
  <c r="I375" i="9"/>
  <c r="J375" i="9"/>
  <c r="K375" i="9"/>
  <c r="L375" i="9"/>
  <c r="M375" i="9"/>
  <c r="N375" i="9"/>
  <c r="O375" i="9"/>
  <c r="P375" i="9"/>
  <c r="Q375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G375" i="9"/>
  <c r="AH375" i="9"/>
  <c r="AI375" i="9"/>
  <c r="AJ375" i="9"/>
  <c r="BF375" i="9"/>
  <c r="BG375" i="9"/>
  <c r="BH375" i="9"/>
  <c r="BI375" i="9"/>
  <c r="BJ375" i="9"/>
  <c r="BK375" i="9"/>
  <c r="BL375" i="9"/>
  <c r="BM375" i="9"/>
  <c r="BN375" i="9"/>
  <c r="BO375" i="9"/>
  <c r="BP375" i="9"/>
  <c r="BQ375" i="9"/>
  <c r="BR375" i="9"/>
  <c r="BS375" i="9"/>
  <c r="BT375" i="9"/>
  <c r="BU375" i="9"/>
  <c r="BV375" i="9"/>
  <c r="BW375" i="9"/>
  <c r="BX375" i="9"/>
  <c r="BY375" i="9"/>
  <c r="BZ375" i="9"/>
  <c r="CA375" i="9"/>
  <c r="CB375" i="9"/>
  <c r="CC375" i="9"/>
  <c r="CD375" i="9"/>
  <c r="CE375" i="9"/>
  <c r="CF375" i="9"/>
  <c r="CG375" i="9"/>
  <c r="CH375" i="9"/>
  <c r="CI375" i="9"/>
  <c r="CM375" i="9"/>
  <c r="CN375" i="9"/>
  <c r="CO375" i="9"/>
  <c r="CP375" i="9"/>
  <c r="CQ375" i="9"/>
  <c r="CR375" i="9"/>
  <c r="C378" i="9"/>
  <c r="D378" i="9"/>
  <c r="E378" i="9"/>
  <c r="F378" i="9"/>
  <c r="G378" i="9"/>
  <c r="H378" i="9"/>
  <c r="I378" i="9"/>
  <c r="J378" i="9"/>
  <c r="K378" i="9"/>
  <c r="L378" i="9"/>
  <c r="M378" i="9"/>
  <c r="N378" i="9"/>
  <c r="O378" i="9"/>
  <c r="P378" i="9"/>
  <c r="Q378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G378" i="9"/>
  <c r="BD378" i="9" s="1"/>
  <c r="AH378" i="9"/>
  <c r="AI378" i="9"/>
  <c r="AJ378" i="9"/>
  <c r="BF378" i="9"/>
  <c r="BG378" i="9"/>
  <c r="BH378" i="9"/>
  <c r="BI378" i="9"/>
  <c r="BJ378" i="9"/>
  <c r="BK378" i="9"/>
  <c r="BL378" i="9"/>
  <c r="BM378" i="9"/>
  <c r="BN378" i="9"/>
  <c r="BO378" i="9"/>
  <c r="BP378" i="9"/>
  <c r="BQ378" i="9"/>
  <c r="BR378" i="9"/>
  <c r="BS378" i="9"/>
  <c r="BT378" i="9"/>
  <c r="BU378" i="9"/>
  <c r="BV378" i="9"/>
  <c r="BW378" i="9"/>
  <c r="BX378" i="9"/>
  <c r="BY378" i="9"/>
  <c r="BZ378" i="9"/>
  <c r="CA378" i="9"/>
  <c r="CB378" i="9"/>
  <c r="CC378" i="9"/>
  <c r="CD378" i="9"/>
  <c r="CE378" i="9"/>
  <c r="CF378" i="9"/>
  <c r="CG378" i="9"/>
  <c r="CH378" i="9"/>
  <c r="CI378" i="9"/>
  <c r="CM378" i="9"/>
  <c r="CN378" i="9"/>
  <c r="CO378" i="9"/>
  <c r="CP378" i="9"/>
  <c r="CQ378" i="9"/>
  <c r="CR378" i="9"/>
  <c r="C381" i="9"/>
  <c r="D381" i="9"/>
  <c r="E381" i="9"/>
  <c r="F381" i="9"/>
  <c r="G381" i="9"/>
  <c r="H381" i="9"/>
  <c r="I381" i="9"/>
  <c r="J381" i="9"/>
  <c r="K381" i="9"/>
  <c r="L381" i="9"/>
  <c r="M381" i="9"/>
  <c r="N381" i="9"/>
  <c r="O381" i="9"/>
  <c r="P381" i="9"/>
  <c r="Q381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G381" i="9"/>
  <c r="BD381" i="9" s="1"/>
  <c r="AH381" i="9"/>
  <c r="AI381" i="9"/>
  <c r="AJ381" i="9"/>
  <c r="BF381" i="9"/>
  <c r="BG381" i="9"/>
  <c r="BH381" i="9"/>
  <c r="BI381" i="9"/>
  <c r="BJ381" i="9"/>
  <c r="BK381" i="9"/>
  <c r="BL381" i="9"/>
  <c r="BM381" i="9"/>
  <c r="BN381" i="9"/>
  <c r="BO381" i="9"/>
  <c r="BP381" i="9"/>
  <c r="BQ381" i="9"/>
  <c r="BR381" i="9"/>
  <c r="BS381" i="9"/>
  <c r="BT381" i="9"/>
  <c r="BU381" i="9"/>
  <c r="BV381" i="9"/>
  <c r="BW381" i="9"/>
  <c r="BX381" i="9"/>
  <c r="BY381" i="9"/>
  <c r="BZ381" i="9"/>
  <c r="CA381" i="9"/>
  <c r="CB381" i="9"/>
  <c r="CC381" i="9"/>
  <c r="CD381" i="9"/>
  <c r="CE381" i="9"/>
  <c r="CF381" i="9"/>
  <c r="CG381" i="9"/>
  <c r="CH381" i="9"/>
  <c r="CI381" i="9"/>
  <c r="CM381" i="9"/>
  <c r="CN381" i="9"/>
  <c r="CO381" i="9"/>
  <c r="CP381" i="9"/>
  <c r="CQ381" i="9"/>
  <c r="CR381" i="9"/>
  <c r="C385" i="9"/>
  <c r="D385" i="9"/>
  <c r="E385" i="9"/>
  <c r="F385" i="9"/>
  <c r="G385" i="9"/>
  <c r="H385" i="9"/>
  <c r="I385" i="9"/>
  <c r="J385" i="9"/>
  <c r="K385" i="9"/>
  <c r="L385" i="9"/>
  <c r="M385" i="9"/>
  <c r="N385" i="9"/>
  <c r="O385" i="9"/>
  <c r="P385" i="9"/>
  <c r="Q385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G385" i="9"/>
  <c r="AH385" i="9"/>
  <c r="AI385" i="9"/>
  <c r="AJ385" i="9"/>
  <c r="BF385" i="9"/>
  <c r="BG385" i="9"/>
  <c r="BH385" i="9"/>
  <c r="BI385" i="9"/>
  <c r="BJ385" i="9"/>
  <c r="BK385" i="9"/>
  <c r="BL385" i="9"/>
  <c r="BM385" i="9"/>
  <c r="BN385" i="9"/>
  <c r="BO385" i="9"/>
  <c r="BP385" i="9"/>
  <c r="BQ385" i="9"/>
  <c r="BR385" i="9"/>
  <c r="BS385" i="9"/>
  <c r="BT385" i="9"/>
  <c r="BU385" i="9"/>
  <c r="BV385" i="9"/>
  <c r="BW385" i="9"/>
  <c r="BX385" i="9"/>
  <c r="BY385" i="9"/>
  <c r="BZ385" i="9"/>
  <c r="CA385" i="9"/>
  <c r="CB385" i="9"/>
  <c r="CC385" i="9"/>
  <c r="CD385" i="9"/>
  <c r="CE385" i="9"/>
  <c r="CF385" i="9"/>
  <c r="CG385" i="9"/>
  <c r="CH385" i="9"/>
  <c r="CI385" i="9"/>
  <c r="CM385" i="9"/>
  <c r="CN385" i="9"/>
  <c r="CO385" i="9"/>
  <c r="CP385" i="9"/>
  <c r="CQ385" i="9"/>
  <c r="CR385" i="9"/>
  <c r="C388" i="9"/>
  <c r="D388" i="9"/>
  <c r="E388" i="9"/>
  <c r="F388" i="9"/>
  <c r="G388" i="9"/>
  <c r="H388" i="9"/>
  <c r="I388" i="9"/>
  <c r="J388" i="9"/>
  <c r="K388" i="9"/>
  <c r="L388" i="9"/>
  <c r="M388" i="9"/>
  <c r="N388" i="9"/>
  <c r="O388" i="9"/>
  <c r="P388" i="9"/>
  <c r="Q388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G388" i="9"/>
  <c r="AH388" i="9"/>
  <c r="AI388" i="9"/>
  <c r="AJ388" i="9"/>
  <c r="BF388" i="9"/>
  <c r="BG388" i="9"/>
  <c r="BH388" i="9"/>
  <c r="BI388" i="9"/>
  <c r="BJ388" i="9"/>
  <c r="BK388" i="9"/>
  <c r="BL388" i="9"/>
  <c r="BM388" i="9"/>
  <c r="BN388" i="9"/>
  <c r="BO388" i="9"/>
  <c r="BP388" i="9"/>
  <c r="BQ388" i="9"/>
  <c r="BR388" i="9"/>
  <c r="BS388" i="9"/>
  <c r="BT388" i="9"/>
  <c r="BU388" i="9"/>
  <c r="BV388" i="9"/>
  <c r="BW388" i="9"/>
  <c r="BX388" i="9"/>
  <c r="BY388" i="9"/>
  <c r="BZ388" i="9"/>
  <c r="CA388" i="9"/>
  <c r="CB388" i="9"/>
  <c r="CC388" i="9"/>
  <c r="CD388" i="9"/>
  <c r="CE388" i="9"/>
  <c r="CF388" i="9"/>
  <c r="CG388" i="9"/>
  <c r="CH388" i="9"/>
  <c r="CI388" i="9"/>
  <c r="CM388" i="9"/>
  <c r="CN388" i="9"/>
  <c r="CO388" i="9"/>
  <c r="CP388" i="9"/>
  <c r="CQ388" i="9"/>
  <c r="CR388" i="9"/>
  <c r="C391" i="9"/>
  <c r="D391" i="9"/>
  <c r="E391" i="9"/>
  <c r="F391" i="9"/>
  <c r="G391" i="9"/>
  <c r="H391" i="9"/>
  <c r="I391" i="9"/>
  <c r="J391" i="9"/>
  <c r="K391" i="9"/>
  <c r="L391" i="9"/>
  <c r="M391" i="9"/>
  <c r="N391" i="9"/>
  <c r="O391" i="9"/>
  <c r="P391" i="9"/>
  <c r="Q391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G391" i="9"/>
  <c r="BD391" i="9" s="1"/>
  <c r="AH391" i="9"/>
  <c r="AI391" i="9"/>
  <c r="AJ391" i="9"/>
  <c r="BF391" i="9"/>
  <c r="BG391" i="9"/>
  <c r="BH391" i="9"/>
  <c r="BI391" i="9"/>
  <c r="BJ391" i="9"/>
  <c r="BK391" i="9"/>
  <c r="BL391" i="9"/>
  <c r="BM391" i="9"/>
  <c r="BN391" i="9"/>
  <c r="BO391" i="9"/>
  <c r="BP391" i="9"/>
  <c r="BQ391" i="9"/>
  <c r="BR391" i="9"/>
  <c r="BS391" i="9"/>
  <c r="BT391" i="9"/>
  <c r="BU391" i="9"/>
  <c r="BV391" i="9"/>
  <c r="BW391" i="9"/>
  <c r="BX391" i="9"/>
  <c r="BY391" i="9"/>
  <c r="BZ391" i="9"/>
  <c r="CA391" i="9"/>
  <c r="CB391" i="9"/>
  <c r="CC391" i="9"/>
  <c r="CD391" i="9"/>
  <c r="CE391" i="9"/>
  <c r="CF391" i="9"/>
  <c r="CG391" i="9"/>
  <c r="CH391" i="9"/>
  <c r="CI391" i="9"/>
  <c r="CM391" i="9"/>
  <c r="CN391" i="9"/>
  <c r="CO391" i="9"/>
  <c r="CP391" i="9"/>
  <c r="CQ391" i="9"/>
  <c r="CR391" i="9"/>
  <c r="C394" i="9"/>
  <c r="D394" i="9"/>
  <c r="E394" i="9"/>
  <c r="F394" i="9"/>
  <c r="G394" i="9"/>
  <c r="H394" i="9"/>
  <c r="I394" i="9"/>
  <c r="J394" i="9"/>
  <c r="K394" i="9"/>
  <c r="L394" i="9"/>
  <c r="M394" i="9"/>
  <c r="N394" i="9"/>
  <c r="O394" i="9"/>
  <c r="P394" i="9"/>
  <c r="Q394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G394" i="9"/>
  <c r="BD394" i="9" s="1"/>
  <c r="AH394" i="9"/>
  <c r="AI394" i="9"/>
  <c r="AJ394" i="9"/>
  <c r="BF394" i="9"/>
  <c r="BG394" i="9"/>
  <c r="BH394" i="9"/>
  <c r="BI394" i="9"/>
  <c r="BJ394" i="9"/>
  <c r="BK394" i="9"/>
  <c r="BL394" i="9"/>
  <c r="BM394" i="9"/>
  <c r="BN394" i="9"/>
  <c r="BO394" i="9"/>
  <c r="BP394" i="9"/>
  <c r="BQ394" i="9"/>
  <c r="BR394" i="9"/>
  <c r="BS394" i="9"/>
  <c r="BT394" i="9"/>
  <c r="BU394" i="9"/>
  <c r="BV394" i="9"/>
  <c r="BW394" i="9"/>
  <c r="BX394" i="9"/>
  <c r="BY394" i="9"/>
  <c r="BZ394" i="9"/>
  <c r="CA394" i="9"/>
  <c r="CB394" i="9"/>
  <c r="CC394" i="9"/>
  <c r="CD394" i="9"/>
  <c r="CE394" i="9"/>
  <c r="CF394" i="9"/>
  <c r="CG394" i="9"/>
  <c r="CH394" i="9"/>
  <c r="CI394" i="9"/>
  <c r="CM394" i="9"/>
  <c r="CN394" i="9"/>
  <c r="CO394" i="9"/>
  <c r="CP394" i="9"/>
  <c r="CQ394" i="9"/>
  <c r="CR394" i="9"/>
  <c r="C396" i="9"/>
  <c r="D396" i="9"/>
  <c r="E396" i="9"/>
  <c r="F396" i="9"/>
  <c r="G396" i="9"/>
  <c r="H396" i="9"/>
  <c r="I396" i="9"/>
  <c r="J396" i="9"/>
  <c r="K396" i="9"/>
  <c r="L396" i="9"/>
  <c r="M396" i="9"/>
  <c r="N396" i="9"/>
  <c r="O396" i="9"/>
  <c r="P396" i="9"/>
  <c r="Q396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G396" i="9"/>
  <c r="AH396" i="9"/>
  <c r="AI396" i="9"/>
  <c r="AJ396" i="9"/>
  <c r="BF396" i="9"/>
  <c r="BG396" i="9"/>
  <c r="BH396" i="9"/>
  <c r="BI396" i="9"/>
  <c r="BJ396" i="9"/>
  <c r="BK396" i="9"/>
  <c r="BL396" i="9"/>
  <c r="BM396" i="9"/>
  <c r="BN396" i="9"/>
  <c r="BO396" i="9"/>
  <c r="BP396" i="9"/>
  <c r="BQ396" i="9"/>
  <c r="BR396" i="9"/>
  <c r="BS396" i="9"/>
  <c r="BT396" i="9"/>
  <c r="BU396" i="9"/>
  <c r="BV396" i="9"/>
  <c r="BW396" i="9"/>
  <c r="BX396" i="9"/>
  <c r="BY396" i="9"/>
  <c r="BZ396" i="9"/>
  <c r="CA396" i="9"/>
  <c r="CB396" i="9"/>
  <c r="CC396" i="9"/>
  <c r="CD396" i="9"/>
  <c r="CE396" i="9"/>
  <c r="CF396" i="9"/>
  <c r="CG396" i="9"/>
  <c r="CH396" i="9"/>
  <c r="CI396" i="9"/>
  <c r="CM396" i="9"/>
  <c r="CN396" i="9"/>
  <c r="CO396" i="9"/>
  <c r="CP396" i="9"/>
  <c r="CQ396" i="9"/>
  <c r="CR396" i="9"/>
  <c r="C399" i="9"/>
  <c r="D399" i="9"/>
  <c r="E399" i="9"/>
  <c r="F399" i="9"/>
  <c r="G399" i="9"/>
  <c r="H399" i="9"/>
  <c r="I399" i="9"/>
  <c r="J399" i="9"/>
  <c r="K399" i="9"/>
  <c r="L399" i="9"/>
  <c r="M399" i="9"/>
  <c r="N399" i="9"/>
  <c r="O399" i="9"/>
  <c r="P399" i="9"/>
  <c r="Q399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G399" i="9"/>
  <c r="AH399" i="9"/>
  <c r="AI399" i="9"/>
  <c r="AJ399" i="9"/>
  <c r="BF399" i="9"/>
  <c r="BG399" i="9"/>
  <c r="BH399" i="9"/>
  <c r="BI399" i="9"/>
  <c r="BJ399" i="9"/>
  <c r="BK399" i="9"/>
  <c r="BL399" i="9"/>
  <c r="BM399" i="9"/>
  <c r="BN399" i="9"/>
  <c r="BO399" i="9"/>
  <c r="BP399" i="9"/>
  <c r="BQ399" i="9"/>
  <c r="BR399" i="9"/>
  <c r="BS399" i="9"/>
  <c r="BT399" i="9"/>
  <c r="BU399" i="9"/>
  <c r="BV399" i="9"/>
  <c r="BW399" i="9"/>
  <c r="BX399" i="9"/>
  <c r="BY399" i="9"/>
  <c r="BZ399" i="9"/>
  <c r="CA399" i="9"/>
  <c r="CB399" i="9"/>
  <c r="CC399" i="9"/>
  <c r="CD399" i="9"/>
  <c r="CE399" i="9"/>
  <c r="CF399" i="9"/>
  <c r="CG399" i="9"/>
  <c r="CH399" i="9"/>
  <c r="CI399" i="9"/>
  <c r="CM399" i="9"/>
  <c r="CN399" i="9"/>
  <c r="CO399" i="9"/>
  <c r="CP399" i="9"/>
  <c r="CQ399" i="9"/>
  <c r="CR399" i="9"/>
  <c r="C402" i="9"/>
  <c r="D402" i="9"/>
  <c r="E402" i="9"/>
  <c r="F402" i="9"/>
  <c r="G402" i="9"/>
  <c r="H402" i="9"/>
  <c r="I402" i="9"/>
  <c r="J402" i="9"/>
  <c r="K402" i="9"/>
  <c r="L402" i="9"/>
  <c r="M402" i="9"/>
  <c r="N402" i="9"/>
  <c r="O402" i="9"/>
  <c r="P402" i="9"/>
  <c r="Q402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G402" i="9"/>
  <c r="BD402" i="9" s="1"/>
  <c r="AH402" i="9"/>
  <c r="AI402" i="9"/>
  <c r="AJ402" i="9"/>
  <c r="BF402" i="9"/>
  <c r="BG402" i="9"/>
  <c r="BH402" i="9"/>
  <c r="BI402" i="9"/>
  <c r="BJ402" i="9"/>
  <c r="BK402" i="9"/>
  <c r="BL402" i="9"/>
  <c r="BM402" i="9"/>
  <c r="BN402" i="9"/>
  <c r="BO402" i="9"/>
  <c r="BP402" i="9"/>
  <c r="BQ402" i="9"/>
  <c r="BR402" i="9"/>
  <c r="BS402" i="9"/>
  <c r="BT402" i="9"/>
  <c r="BU402" i="9"/>
  <c r="BV402" i="9"/>
  <c r="BW402" i="9"/>
  <c r="BX402" i="9"/>
  <c r="BY402" i="9"/>
  <c r="BZ402" i="9"/>
  <c r="CA402" i="9"/>
  <c r="CB402" i="9"/>
  <c r="CC402" i="9"/>
  <c r="CD402" i="9"/>
  <c r="CE402" i="9"/>
  <c r="CF402" i="9"/>
  <c r="CG402" i="9"/>
  <c r="CH402" i="9"/>
  <c r="CI402" i="9"/>
  <c r="CM402" i="9"/>
  <c r="CN402" i="9"/>
  <c r="CO402" i="9"/>
  <c r="CP402" i="9"/>
  <c r="CQ402" i="9"/>
  <c r="CR402" i="9"/>
  <c r="C405" i="9"/>
  <c r="D405" i="9"/>
  <c r="E405" i="9"/>
  <c r="F405" i="9"/>
  <c r="G405" i="9"/>
  <c r="H405" i="9"/>
  <c r="I405" i="9"/>
  <c r="J405" i="9"/>
  <c r="K405" i="9"/>
  <c r="L405" i="9"/>
  <c r="M405" i="9"/>
  <c r="N405" i="9"/>
  <c r="O405" i="9"/>
  <c r="P405" i="9"/>
  <c r="Q405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G405" i="9"/>
  <c r="BD405" i="9" s="1"/>
  <c r="AH405" i="9"/>
  <c r="AI405" i="9"/>
  <c r="AJ405" i="9"/>
  <c r="BF405" i="9"/>
  <c r="BG405" i="9"/>
  <c r="BH405" i="9"/>
  <c r="BI405" i="9"/>
  <c r="BJ405" i="9"/>
  <c r="BK405" i="9"/>
  <c r="BL405" i="9"/>
  <c r="BM405" i="9"/>
  <c r="BN405" i="9"/>
  <c r="BO405" i="9"/>
  <c r="BP405" i="9"/>
  <c r="BQ405" i="9"/>
  <c r="BR405" i="9"/>
  <c r="BS405" i="9"/>
  <c r="BT405" i="9"/>
  <c r="BU405" i="9"/>
  <c r="BV405" i="9"/>
  <c r="BW405" i="9"/>
  <c r="BX405" i="9"/>
  <c r="BY405" i="9"/>
  <c r="BZ405" i="9"/>
  <c r="CA405" i="9"/>
  <c r="CB405" i="9"/>
  <c r="CC405" i="9"/>
  <c r="CD405" i="9"/>
  <c r="CE405" i="9"/>
  <c r="CF405" i="9"/>
  <c r="CG405" i="9"/>
  <c r="CH405" i="9"/>
  <c r="CI405" i="9"/>
  <c r="CM405" i="9"/>
  <c r="CN405" i="9"/>
  <c r="CO405" i="9"/>
  <c r="CP405" i="9"/>
  <c r="CQ405" i="9"/>
  <c r="CR405" i="9"/>
  <c r="C408" i="9"/>
  <c r="D408" i="9"/>
  <c r="E408" i="9"/>
  <c r="F408" i="9"/>
  <c r="G408" i="9"/>
  <c r="H408" i="9"/>
  <c r="I408" i="9"/>
  <c r="J408" i="9"/>
  <c r="K408" i="9"/>
  <c r="L408" i="9"/>
  <c r="M408" i="9"/>
  <c r="N408" i="9"/>
  <c r="O408" i="9"/>
  <c r="P408" i="9"/>
  <c r="Q408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G408" i="9"/>
  <c r="AH408" i="9"/>
  <c r="AI408" i="9"/>
  <c r="AJ408" i="9"/>
  <c r="BF408" i="9"/>
  <c r="BG408" i="9"/>
  <c r="BH408" i="9"/>
  <c r="BI408" i="9"/>
  <c r="BJ408" i="9"/>
  <c r="BK408" i="9"/>
  <c r="BL408" i="9"/>
  <c r="BM408" i="9"/>
  <c r="BN408" i="9"/>
  <c r="BO408" i="9"/>
  <c r="BP408" i="9"/>
  <c r="BQ408" i="9"/>
  <c r="BR408" i="9"/>
  <c r="BS408" i="9"/>
  <c r="BT408" i="9"/>
  <c r="BU408" i="9"/>
  <c r="BV408" i="9"/>
  <c r="BW408" i="9"/>
  <c r="BX408" i="9"/>
  <c r="BY408" i="9"/>
  <c r="BZ408" i="9"/>
  <c r="CA408" i="9"/>
  <c r="CB408" i="9"/>
  <c r="CC408" i="9"/>
  <c r="CD408" i="9"/>
  <c r="CE408" i="9"/>
  <c r="CF408" i="9"/>
  <c r="CG408" i="9"/>
  <c r="CH408" i="9"/>
  <c r="CI408" i="9"/>
  <c r="CM408" i="9"/>
  <c r="CN408" i="9"/>
  <c r="CO408" i="9"/>
  <c r="CP408" i="9"/>
  <c r="CQ408" i="9"/>
  <c r="CR408" i="9"/>
  <c r="C350" i="9"/>
  <c r="D350" i="9"/>
  <c r="E350" i="9"/>
  <c r="F350" i="9"/>
  <c r="G350" i="9"/>
  <c r="H350" i="9"/>
  <c r="I350" i="9"/>
  <c r="J350" i="9"/>
  <c r="K350" i="9"/>
  <c r="L350" i="9"/>
  <c r="M350" i="9"/>
  <c r="N350" i="9"/>
  <c r="O350" i="9"/>
  <c r="P350" i="9"/>
  <c r="Q350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G350" i="9"/>
  <c r="AH350" i="9"/>
  <c r="AI350" i="9"/>
  <c r="AJ350" i="9"/>
  <c r="BF350" i="9"/>
  <c r="BG350" i="9"/>
  <c r="BH350" i="9"/>
  <c r="BI350" i="9"/>
  <c r="BJ350" i="9"/>
  <c r="BK350" i="9"/>
  <c r="BL350" i="9"/>
  <c r="BM350" i="9"/>
  <c r="BN350" i="9"/>
  <c r="BO350" i="9"/>
  <c r="BP350" i="9"/>
  <c r="BQ350" i="9"/>
  <c r="BR350" i="9"/>
  <c r="BS350" i="9"/>
  <c r="BT350" i="9"/>
  <c r="BU350" i="9"/>
  <c r="BV350" i="9"/>
  <c r="BW350" i="9"/>
  <c r="BX350" i="9"/>
  <c r="BY350" i="9"/>
  <c r="BZ350" i="9"/>
  <c r="CA350" i="9"/>
  <c r="CB350" i="9"/>
  <c r="CC350" i="9"/>
  <c r="CD350" i="9"/>
  <c r="CE350" i="9"/>
  <c r="CF350" i="9"/>
  <c r="CG350" i="9"/>
  <c r="CH350" i="9"/>
  <c r="CI350" i="9"/>
  <c r="CM350" i="9"/>
  <c r="CN350" i="9"/>
  <c r="CO350" i="9"/>
  <c r="CP350" i="9"/>
  <c r="CQ350" i="9"/>
  <c r="CR350" i="9"/>
  <c r="C351" i="9"/>
  <c r="D351" i="9"/>
  <c r="E351" i="9"/>
  <c r="F351" i="9"/>
  <c r="G351" i="9"/>
  <c r="H351" i="9"/>
  <c r="I351" i="9"/>
  <c r="J351" i="9"/>
  <c r="K351" i="9"/>
  <c r="L351" i="9"/>
  <c r="M351" i="9"/>
  <c r="N351" i="9"/>
  <c r="O351" i="9"/>
  <c r="P351" i="9"/>
  <c r="Q351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G351" i="9"/>
  <c r="BD351" i="9" s="1"/>
  <c r="AH351" i="9"/>
  <c r="AI351" i="9"/>
  <c r="AJ351" i="9"/>
  <c r="BF351" i="9"/>
  <c r="BG351" i="9"/>
  <c r="BH351" i="9"/>
  <c r="BI351" i="9"/>
  <c r="BJ351" i="9"/>
  <c r="BK351" i="9"/>
  <c r="BL351" i="9"/>
  <c r="BM351" i="9"/>
  <c r="BN351" i="9"/>
  <c r="BO351" i="9"/>
  <c r="BP351" i="9"/>
  <c r="BQ351" i="9"/>
  <c r="BR351" i="9"/>
  <c r="BS351" i="9"/>
  <c r="BT351" i="9"/>
  <c r="BU351" i="9"/>
  <c r="BV351" i="9"/>
  <c r="BW351" i="9"/>
  <c r="BX351" i="9"/>
  <c r="BY351" i="9"/>
  <c r="BZ351" i="9"/>
  <c r="CA351" i="9"/>
  <c r="CB351" i="9"/>
  <c r="CC351" i="9"/>
  <c r="CD351" i="9"/>
  <c r="CE351" i="9"/>
  <c r="CF351" i="9"/>
  <c r="CG351" i="9"/>
  <c r="CH351" i="9"/>
  <c r="CI351" i="9"/>
  <c r="CM351" i="9"/>
  <c r="CN351" i="9"/>
  <c r="CO351" i="9"/>
  <c r="CP351" i="9"/>
  <c r="CQ351" i="9"/>
  <c r="CR351" i="9"/>
  <c r="C355" i="9"/>
  <c r="D355" i="9"/>
  <c r="E355" i="9"/>
  <c r="F355" i="9"/>
  <c r="G355" i="9"/>
  <c r="H355" i="9"/>
  <c r="I355" i="9"/>
  <c r="J355" i="9"/>
  <c r="K355" i="9"/>
  <c r="L355" i="9"/>
  <c r="M355" i="9"/>
  <c r="N355" i="9"/>
  <c r="O355" i="9"/>
  <c r="P355" i="9"/>
  <c r="Q355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G355" i="9"/>
  <c r="BD355" i="9" s="1"/>
  <c r="AH355" i="9"/>
  <c r="AI355" i="9"/>
  <c r="AJ355" i="9"/>
  <c r="BF355" i="9"/>
  <c r="BG355" i="9"/>
  <c r="BH355" i="9"/>
  <c r="BI355" i="9"/>
  <c r="BJ355" i="9"/>
  <c r="BK355" i="9"/>
  <c r="BL355" i="9"/>
  <c r="BM355" i="9"/>
  <c r="BN355" i="9"/>
  <c r="BO355" i="9"/>
  <c r="BP355" i="9"/>
  <c r="BQ355" i="9"/>
  <c r="BR355" i="9"/>
  <c r="BS355" i="9"/>
  <c r="BT355" i="9"/>
  <c r="BU355" i="9"/>
  <c r="BV355" i="9"/>
  <c r="BW355" i="9"/>
  <c r="BX355" i="9"/>
  <c r="BY355" i="9"/>
  <c r="BZ355" i="9"/>
  <c r="CA355" i="9"/>
  <c r="CB355" i="9"/>
  <c r="CC355" i="9"/>
  <c r="CD355" i="9"/>
  <c r="CE355" i="9"/>
  <c r="CF355" i="9"/>
  <c r="CG355" i="9"/>
  <c r="CH355" i="9"/>
  <c r="CI355" i="9"/>
  <c r="CM355" i="9"/>
  <c r="CN355" i="9"/>
  <c r="CO355" i="9"/>
  <c r="CP355" i="9"/>
  <c r="CQ355" i="9"/>
  <c r="CR355" i="9"/>
  <c r="C357" i="9"/>
  <c r="D357" i="9"/>
  <c r="E357" i="9"/>
  <c r="F357" i="9"/>
  <c r="G357" i="9"/>
  <c r="H357" i="9"/>
  <c r="I357" i="9"/>
  <c r="J357" i="9"/>
  <c r="K357" i="9"/>
  <c r="L357" i="9"/>
  <c r="M357" i="9"/>
  <c r="N357" i="9"/>
  <c r="O357" i="9"/>
  <c r="P357" i="9"/>
  <c r="Q357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G357" i="9"/>
  <c r="AH357" i="9"/>
  <c r="AI357" i="9"/>
  <c r="AJ357" i="9"/>
  <c r="BF357" i="9"/>
  <c r="BG357" i="9"/>
  <c r="BH357" i="9"/>
  <c r="BI357" i="9"/>
  <c r="BJ357" i="9"/>
  <c r="BK357" i="9"/>
  <c r="BL357" i="9"/>
  <c r="BM357" i="9"/>
  <c r="BN357" i="9"/>
  <c r="BO357" i="9"/>
  <c r="BP357" i="9"/>
  <c r="BQ357" i="9"/>
  <c r="BR357" i="9"/>
  <c r="BS357" i="9"/>
  <c r="BT357" i="9"/>
  <c r="BU357" i="9"/>
  <c r="BV357" i="9"/>
  <c r="BW357" i="9"/>
  <c r="BX357" i="9"/>
  <c r="BY357" i="9"/>
  <c r="BZ357" i="9"/>
  <c r="CA357" i="9"/>
  <c r="CB357" i="9"/>
  <c r="CC357" i="9"/>
  <c r="CD357" i="9"/>
  <c r="CE357" i="9"/>
  <c r="CF357" i="9"/>
  <c r="CG357" i="9"/>
  <c r="CH357" i="9"/>
  <c r="CI357" i="9"/>
  <c r="CM357" i="9"/>
  <c r="CN357" i="9"/>
  <c r="CO357" i="9"/>
  <c r="CP357" i="9"/>
  <c r="CQ357" i="9"/>
  <c r="CR357" i="9"/>
  <c r="C360" i="9"/>
  <c r="D360" i="9"/>
  <c r="E360" i="9"/>
  <c r="F360" i="9"/>
  <c r="G360" i="9"/>
  <c r="H360" i="9"/>
  <c r="I360" i="9"/>
  <c r="J360" i="9"/>
  <c r="K360" i="9"/>
  <c r="L360" i="9"/>
  <c r="M360" i="9"/>
  <c r="N360" i="9"/>
  <c r="O360" i="9"/>
  <c r="P360" i="9"/>
  <c r="Q360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G360" i="9"/>
  <c r="AH360" i="9"/>
  <c r="AI360" i="9"/>
  <c r="AJ360" i="9"/>
  <c r="BF360" i="9"/>
  <c r="BG360" i="9"/>
  <c r="BH360" i="9"/>
  <c r="BI360" i="9"/>
  <c r="BJ360" i="9"/>
  <c r="BK360" i="9"/>
  <c r="BL360" i="9"/>
  <c r="BM360" i="9"/>
  <c r="BN360" i="9"/>
  <c r="BO360" i="9"/>
  <c r="BP360" i="9"/>
  <c r="BQ360" i="9"/>
  <c r="BR360" i="9"/>
  <c r="BS360" i="9"/>
  <c r="BT360" i="9"/>
  <c r="BU360" i="9"/>
  <c r="BV360" i="9"/>
  <c r="BW360" i="9"/>
  <c r="BX360" i="9"/>
  <c r="BY360" i="9"/>
  <c r="BZ360" i="9"/>
  <c r="CA360" i="9"/>
  <c r="CB360" i="9"/>
  <c r="CC360" i="9"/>
  <c r="CD360" i="9"/>
  <c r="CE360" i="9"/>
  <c r="CF360" i="9"/>
  <c r="CG360" i="9"/>
  <c r="CH360" i="9"/>
  <c r="CI360" i="9"/>
  <c r="CM360" i="9"/>
  <c r="CN360" i="9"/>
  <c r="CO360" i="9"/>
  <c r="CP360" i="9"/>
  <c r="CQ360" i="9"/>
  <c r="CR360" i="9"/>
  <c r="C364" i="9"/>
  <c r="D364" i="9"/>
  <c r="E364" i="9"/>
  <c r="F364" i="9"/>
  <c r="G364" i="9"/>
  <c r="H364" i="9"/>
  <c r="I364" i="9"/>
  <c r="J364" i="9"/>
  <c r="K364" i="9"/>
  <c r="L364" i="9"/>
  <c r="M364" i="9"/>
  <c r="N364" i="9"/>
  <c r="O364" i="9"/>
  <c r="P364" i="9"/>
  <c r="Q364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G364" i="9"/>
  <c r="BD364" i="9" s="1"/>
  <c r="AH364" i="9"/>
  <c r="AI364" i="9"/>
  <c r="AJ364" i="9"/>
  <c r="BF364" i="9"/>
  <c r="BG364" i="9"/>
  <c r="BH364" i="9"/>
  <c r="BI364" i="9"/>
  <c r="BJ364" i="9"/>
  <c r="BK364" i="9"/>
  <c r="BL364" i="9"/>
  <c r="BM364" i="9"/>
  <c r="BN364" i="9"/>
  <c r="BO364" i="9"/>
  <c r="BP364" i="9"/>
  <c r="BQ364" i="9"/>
  <c r="BR364" i="9"/>
  <c r="BS364" i="9"/>
  <c r="BT364" i="9"/>
  <c r="BU364" i="9"/>
  <c r="BV364" i="9"/>
  <c r="BW364" i="9"/>
  <c r="BX364" i="9"/>
  <c r="BY364" i="9"/>
  <c r="BZ364" i="9"/>
  <c r="CA364" i="9"/>
  <c r="CB364" i="9"/>
  <c r="CC364" i="9"/>
  <c r="CD364" i="9"/>
  <c r="CE364" i="9"/>
  <c r="CF364" i="9"/>
  <c r="CG364" i="9"/>
  <c r="CH364" i="9"/>
  <c r="CI364" i="9"/>
  <c r="CM364" i="9"/>
  <c r="CN364" i="9"/>
  <c r="CO364" i="9"/>
  <c r="CP364" i="9"/>
  <c r="CQ364" i="9"/>
  <c r="CR364" i="9"/>
  <c r="C367" i="9"/>
  <c r="D367" i="9"/>
  <c r="E367" i="9"/>
  <c r="F367" i="9"/>
  <c r="G367" i="9"/>
  <c r="H367" i="9"/>
  <c r="I367" i="9"/>
  <c r="J367" i="9"/>
  <c r="K367" i="9"/>
  <c r="L367" i="9"/>
  <c r="M367" i="9"/>
  <c r="N367" i="9"/>
  <c r="O367" i="9"/>
  <c r="P367" i="9"/>
  <c r="Q367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G367" i="9"/>
  <c r="BD367" i="9" s="1"/>
  <c r="AH367" i="9"/>
  <c r="AI367" i="9"/>
  <c r="AJ367" i="9"/>
  <c r="BF367" i="9"/>
  <c r="BG367" i="9"/>
  <c r="BH367" i="9"/>
  <c r="BI367" i="9"/>
  <c r="BJ367" i="9"/>
  <c r="BK367" i="9"/>
  <c r="BL367" i="9"/>
  <c r="BM367" i="9"/>
  <c r="BN367" i="9"/>
  <c r="BO367" i="9"/>
  <c r="BP367" i="9"/>
  <c r="BQ367" i="9"/>
  <c r="BR367" i="9"/>
  <c r="BS367" i="9"/>
  <c r="BT367" i="9"/>
  <c r="BU367" i="9"/>
  <c r="BV367" i="9"/>
  <c r="BW367" i="9"/>
  <c r="BX367" i="9"/>
  <c r="BY367" i="9"/>
  <c r="BZ367" i="9"/>
  <c r="CA367" i="9"/>
  <c r="CB367" i="9"/>
  <c r="CC367" i="9"/>
  <c r="CD367" i="9"/>
  <c r="CE367" i="9"/>
  <c r="CF367" i="9"/>
  <c r="CG367" i="9"/>
  <c r="CH367" i="9"/>
  <c r="CI367" i="9"/>
  <c r="CM367" i="9"/>
  <c r="CN367" i="9"/>
  <c r="CO367" i="9"/>
  <c r="CP367" i="9"/>
  <c r="CQ367" i="9"/>
  <c r="CR367" i="9"/>
  <c r="C370" i="9"/>
  <c r="D370" i="9"/>
  <c r="E370" i="9"/>
  <c r="F370" i="9"/>
  <c r="G370" i="9"/>
  <c r="H370" i="9"/>
  <c r="I370" i="9"/>
  <c r="J370" i="9"/>
  <c r="K370" i="9"/>
  <c r="L370" i="9"/>
  <c r="M370" i="9"/>
  <c r="N370" i="9"/>
  <c r="O370" i="9"/>
  <c r="P370" i="9"/>
  <c r="Q370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G370" i="9"/>
  <c r="AH370" i="9"/>
  <c r="AI370" i="9"/>
  <c r="AJ370" i="9"/>
  <c r="BF370" i="9"/>
  <c r="BG370" i="9"/>
  <c r="BH370" i="9"/>
  <c r="BI370" i="9"/>
  <c r="BJ370" i="9"/>
  <c r="BK370" i="9"/>
  <c r="BL370" i="9"/>
  <c r="BM370" i="9"/>
  <c r="BN370" i="9"/>
  <c r="BO370" i="9"/>
  <c r="BP370" i="9"/>
  <c r="BQ370" i="9"/>
  <c r="BR370" i="9"/>
  <c r="BS370" i="9"/>
  <c r="BT370" i="9"/>
  <c r="BU370" i="9"/>
  <c r="BV370" i="9"/>
  <c r="BW370" i="9"/>
  <c r="BX370" i="9"/>
  <c r="BY370" i="9"/>
  <c r="BZ370" i="9"/>
  <c r="CA370" i="9"/>
  <c r="CB370" i="9"/>
  <c r="CC370" i="9"/>
  <c r="CD370" i="9"/>
  <c r="CE370" i="9"/>
  <c r="CF370" i="9"/>
  <c r="CG370" i="9"/>
  <c r="CH370" i="9"/>
  <c r="CI370" i="9"/>
  <c r="CM370" i="9"/>
  <c r="CN370" i="9"/>
  <c r="CO370" i="9"/>
  <c r="CP370" i="9"/>
  <c r="CQ370" i="9"/>
  <c r="CR370" i="9"/>
  <c r="C373" i="9"/>
  <c r="D373" i="9"/>
  <c r="E373" i="9"/>
  <c r="F373" i="9"/>
  <c r="G373" i="9"/>
  <c r="H373" i="9"/>
  <c r="I373" i="9"/>
  <c r="J373" i="9"/>
  <c r="K373" i="9"/>
  <c r="L373" i="9"/>
  <c r="M373" i="9"/>
  <c r="N373" i="9"/>
  <c r="O373" i="9"/>
  <c r="P373" i="9"/>
  <c r="Q373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G373" i="9"/>
  <c r="AH373" i="9"/>
  <c r="AI373" i="9"/>
  <c r="AJ373" i="9"/>
  <c r="BF373" i="9"/>
  <c r="BG373" i="9"/>
  <c r="BH373" i="9"/>
  <c r="BI373" i="9"/>
  <c r="BJ373" i="9"/>
  <c r="BK373" i="9"/>
  <c r="BL373" i="9"/>
  <c r="BM373" i="9"/>
  <c r="BN373" i="9"/>
  <c r="BO373" i="9"/>
  <c r="BP373" i="9"/>
  <c r="BQ373" i="9"/>
  <c r="BR373" i="9"/>
  <c r="BS373" i="9"/>
  <c r="BT373" i="9"/>
  <c r="BU373" i="9"/>
  <c r="BV373" i="9"/>
  <c r="BW373" i="9"/>
  <c r="BX373" i="9"/>
  <c r="BY373" i="9"/>
  <c r="BZ373" i="9"/>
  <c r="CA373" i="9"/>
  <c r="CB373" i="9"/>
  <c r="CC373" i="9"/>
  <c r="CD373" i="9"/>
  <c r="CE373" i="9"/>
  <c r="CF373" i="9"/>
  <c r="CG373" i="9"/>
  <c r="CH373" i="9"/>
  <c r="CI373" i="9"/>
  <c r="CM373" i="9"/>
  <c r="CN373" i="9"/>
  <c r="CO373" i="9"/>
  <c r="CP373" i="9"/>
  <c r="CQ373" i="9"/>
  <c r="CR373" i="9"/>
  <c r="C379" i="9"/>
  <c r="D379" i="9"/>
  <c r="E379" i="9"/>
  <c r="F379" i="9"/>
  <c r="G379" i="9"/>
  <c r="H379" i="9"/>
  <c r="I379" i="9"/>
  <c r="J379" i="9"/>
  <c r="K379" i="9"/>
  <c r="L379" i="9"/>
  <c r="M379" i="9"/>
  <c r="N379" i="9"/>
  <c r="O379" i="9"/>
  <c r="P379" i="9"/>
  <c r="Q379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G379" i="9"/>
  <c r="BD379" i="9" s="1"/>
  <c r="AH379" i="9"/>
  <c r="AI379" i="9"/>
  <c r="AJ379" i="9"/>
  <c r="BF379" i="9"/>
  <c r="BG379" i="9"/>
  <c r="BH379" i="9"/>
  <c r="BI379" i="9"/>
  <c r="BJ379" i="9"/>
  <c r="BK379" i="9"/>
  <c r="BL379" i="9"/>
  <c r="BM379" i="9"/>
  <c r="BN379" i="9"/>
  <c r="BO379" i="9"/>
  <c r="BP379" i="9"/>
  <c r="BQ379" i="9"/>
  <c r="BR379" i="9"/>
  <c r="BS379" i="9"/>
  <c r="BT379" i="9"/>
  <c r="BU379" i="9"/>
  <c r="BV379" i="9"/>
  <c r="BW379" i="9"/>
  <c r="BX379" i="9"/>
  <c r="BY379" i="9"/>
  <c r="BZ379" i="9"/>
  <c r="CA379" i="9"/>
  <c r="CB379" i="9"/>
  <c r="CC379" i="9"/>
  <c r="CD379" i="9"/>
  <c r="CE379" i="9"/>
  <c r="CF379" i="9"/>
  <c r="CG379" i="9"/>
  <c r="CH379" i="9"/>
  <c r="CI379" i="9"/>
  <c r="CM379" i="9"/>
  <c r="CN379" i="9"/>
  <c r="CO379" i="9"/>
  <c r="CP379" i="9"/>
  <c r="CQ379" i="9"/>
  <c r="CR379" i="9"/>
  <c r="C382" i="9"/>
  <c r="D382" i="9"/>
  <c r="E382" i="9"/>
  <c r="F382" i="9"/>
  <c r="G382" i="9"/>
  <c r="H382" i="9"/>
  <c r="I382" i="9"/>
  <c r="J382" i="9"/>
  <c r="K382" i="9"/>
  <c r="L382" i="9"/>
  <c r="M382" i="9"/>
  <c r="N382" i="9"/>
  <c r="O382" i="9"/>
  <c r="P382" i="9"/>
  <c r="Q382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G382" i="9"/>
  <c r="BD382" i="9" s="1"/>
  <c r="AH382" i="9"/>
  <c r="AI382" i="9"/>
  <c r="AJ382" i="9"/>
  <c r="BF382" i="9"/>
  <c r="BG382" i="9"/>
  <c r="BH382" i="9"/>
  <c r="BI382" i="9"/>
  <c r="BJ382" i="9"/>
  <c r="BK382" i="9"/>
  <c r="BL382" i="9"/>
  <c r="BM382" i="9"/>
  <c r="BN382" i="9"/>
  <c r="BO382" i="9"/>
  <c r="BP382" i="9"/>
  <c r="BQ382" i="9"/>
  <c r="BR382" i="9"/>
  <c r="BS382" i="9"/>
  <c r="BT382" i="9"/>
  <c r="BU382" i="9"/>
  <c r="BV382" i="9"/>
  <c r="BW382" i="9"/>
  <c r="BX382" i="9"/>
  <c r="BY382" i="9"/>
  <c r="BZ382" i="9"/>
  <c r="CA382" i="9"/>
  <c r="CB382" i="9"/>
  <c r="CC382" i="9"/>
  <c r="CD382" i="9"/>
  <c r="CE382" i="9"/>
  <c r="CF382" i="9"/>
  <c r="CG382" i="9"/>
  <c r="CH382" i="9"/>
  <c r="CI382" i="9"/>
  <c r="CM382" i="9"/>
  <c r="CN382" i="9"/>
  <c r="CO382" i="9"/>
  <c r="CP382" i="9"/>
  <c r="CQ382" i="9"/>
  <c r="CR382" i="9"/>
  <c r="C389" i="9"/>
  <c r="D389" i="9"/>
  <c r="E389" i="9"/>
  <c r="F389" i="9"/>
  <c r="G389" i="9"/>
  <c r="H389" i="9"/>
  <c r="I389" i="9"/>
  <c r="J389" i="9"/>
  <c r="K389" i="9"/>
  <c r="L389" i="9"/>
  <c r="M389" i="9"/>
  <c r="N389" i="9"/>
  <c r="O389" i="9"/>
  <c r="P389" i="9"/>
  <c r="Q389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G389" i="9"/>
  <c r="AH389" i="9"/>
  <c r="AI389" i="9"/>
  <c r="AJ389" i="9"/>
  <c r="BF389" i="9"/>
  <c r="BG389" i="9"/>
  <c r="BH389" i="9"/>
  <c r="BI389" i="9"/>
  <c r="BJ389" i="9"/>
  <c r="BK389" i="9"/>
  <c r="BL389" i="9"/>
  <c r="BM389" i="9"/>
  <c r="BN389" i="9"/>
  <c r="BO389" i="9"/>
  <c r="BP389" i="9"/>
  <c r="BQ389" i="9"/>
  <c r="BR389" i="9"/>
  <c r="BS389" i="9"/>
  <c r="BT389" i="9"/>
  <c r="BU389" i="9"/>
  <c r="BV389" i="9"/>
  <c r="BW389" i="9"/>
  <c r="BX389" i="9"/>
  <c r="BY389" i="9"/>
  <c r="BZ389" i="9"/>
  <c r="CA389" i="9"/>
  <c r="CB389" i="9"/>
  <c r="CC389" i="9"/>
  <c r="CD389" i="9"/>
  <c r="CE389" i="9"/>
  <c r="CF389" i="9"/>
  <c r="CG389" i="9"/>
  <c r="CH389" i="9"/>
  <c r="CI389" i="9"/>
  <c r="CM389" i="9"/>
  <c r="CN389" i="9"/>
  <c r="CO389" i="9"/>
  <c r="CP389" i="9"/>
  <c r="CQ389" i="9"/>
  <c r="CR389" i="9"/>
  <c r="C392" i="9"/>
  <c r="D392" i="9"/>
  <c r="E392" i="9"/>
  <c r="F392" i="9"/>
  <c r="G392" i="9"/>
  <c r="H392" i="9"/>
  <c r="I392" i="9"/>
  <c r="J392" i="9"/>
  <c r="K392" i="9"/>
  <c r="L392" i="9"/>
  <c r="M392" i="9"/>
  <c r="N392" i="9"/>
  <c r="O392" i="9"/>
  <c r="P392" i="9"/>
  <c r="Q392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G392" i="9"/>
  <c r="AH392" i="9"/>
  <c r="AI392" i="9"/>
  <c r="AJ392" i="9"/>
  <c r="BF392" i="9"/>
  <c r="BG392" i="9"/>
  <c r="BH392" i="9"/>
  <c r="BI392" i="9"/>
  <c r="BJ392" i="9"/>
  <c r="BK392" i="9"/>
  <c r="BL392" i="9"/>
  <c r="BM392" i="9"/>
  <c r="BN392" i="9"/>
  <c r="BO392" i="9"/>
  <c r="BP392" i="9"/>
  <c r="BQ392" i="9"/>
  <c r="BR392" i="9"/>
  <c r="BS392" i="9"/>
  <c r="BT392" i="9"/>
  <c r="BU392" i="9"/>
  <c r="BV392" i="9"/>
  <c r="BW392" i="9"/>
  <c r="BX392" i="9"/>
  <c r="BY392" i="9"/>
  <c r="BZ392" i="9"/>
  <c r="CA392" i="9"/>
  <c r="CB392" i="9"/>
  <c r="CC392" i="9"/>
  <c r="CD392" i="9"/>
  <c r="CE392" i="9"/>
  <c r="CF392" i="9"/>
  <c r="CG392" i="9"/>
  <c r="CH392" i="9"/>
  <c r="CI392" i="9"/>
  <c r="CM392" i="9"/>
  <c r="CN392" i="9"/>
  <c r="CO392" i="9"/>
  <c r="CP392" i="9"/>
  <c r="CQ392" i="9"/>
  <c r="CR392" i="9"/>
  <c r="C395" i="9"/>
  <c r="D395" i="9"/>
  <c r="E395" i="9"/>
  <c r="F395" i="9"/>
  <c r="G395" i="9"/>
  <c r="H395" i="9"/>
  <c r="I395" i="9"/>
  <c r="J395" i="9"/>
  <c r="K395" i="9"/>
  <c r="L395" i="9"/>
  <c r="M395" i="9"/>
  <c r="N395" i="9"/>
  <c r="O395" i="9"/>
  <c r="P395" i="9"/>
  <c r="Q395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G395" i="9"/>
  <c r="BD395" i="9" s="1"/>
  <c r="AH395" i="9"/>
  <c r="AI395" i="9"/>
  <c r="AJ395" i="9"/>
  <c r="BF395" i="9"/>
  <c r="BG395" i="9"/>
  <c r="BH395" i="9"/>
  <c r="BI395" i="9"/>
  <c r="BJ395" i="9"/>
  <c r="BK395" i="9"/>
  <c r="BL395" i="9"/>
  <c r="BM395" i="9"/>
  <c r="BN395" i="9"/>
  <c r="BO395" i="9"/>
  <c r="BP395" i="9"/>
  <c r="BQ395" i="9"/>
  <c r="BR395" i="9"/>
  <c r="BS395" i="9"/>
  <c r="BT395" i="9"/>
  <c r="BU395" i="9"/>
  <c r="BV395" i="9"/>
  <c r="BW395" i="9"/>
  <c r="BX395" i="9"/>
  <c r="BY395" i="9"/>
  <c r="BZ395" i="9"/>
  <c r="CA395" i="9"/>
  <c r="CB395" i="9"/>
  <c r="CC395" i="9"/>
  <c r="CD395" i="9"/>
  <c r="CE395" i="9"/>
  <c r="CF395" i="9"/>
  <c r="CG395" i="9"/>
  <c r="CH395" i="9"/>
  <c r="CI395" i="9"/>
  <c r="CM395" i="9"/>
  <c r="CN395" i="9"/>
  <c r="CO395" i="9"/>
  <c r="CP395" i="9"/>
  <c r="CQ395" i="9"/>
  <c r="CR395" i="9"/>
  <c r="C397" i="9"/>
  <c r="D397" i="9"/>
  <c r="E397" i="9"/>
  <c r="F397" i="9"/>
  <c r="G397" i="9"/>
  <c r="H397" i="9"/>
  <c r="I397" i="9"/>
  <c r="J397" i="9"/>
  <c r="K397" i="9"/>
  <c r="L397" i="9"/>
  <c r="M397" i="9"/>
  <c r="N397" i="9"/>
  <c r="O397" i="9"/>
  <c r="P397" i="9"/>
  <c r="Q397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G397" i="9"/>
  <c r="BD397" i="9" s="1"/>
  <c r="AH397" i="9"/>
  <c r="AI397" i="9"/>
  <c r="AJ397" i="9"/>
  <c r="BF397" i="9"/>
  <c r="BG397" i="9"/>
  <c r="BH397" i="9"/>
  <c r="BI397" i="9"/>
  <c r="BJ397" i="9"/>
  <c r="BK397" i="9"/>
  <c r="BL397" i="9"/>
  <c r="BM397" i="9"/>
  <c r="BN397" i="9"/>
  <c r="BO397" i="9"/>
  <c r="BP397" i="9"/>
  <c r="BQ397" i="9"/>
  <c r="BR397" i="9"/>
  <c r="BS397" i="9"/>
  <c r="BT397" i="9"/>
  <c r="BU397" i="9"/>
  <c r="BV397" i="9"/>
  <c r="BW397" i="9"/>
  <c r="BX397" i="9"/>
  <c r="BY397" i="9"/>
  <c r="BZ397" i="9"/>
  <c r="CA397" i="9"/>
  <c r="CB397" i="9"/>
  <c r="CC397" i="9"/>
  <c r="CD397" i="9"/>
  <c r="CE397" i="9"/>
  <c r="CF397" i="9"/>
  <c r="CG397" i="9"/>
  <c r="CH397" i="9"/>
  <c r="CI397" i="9"/>
  <c r="CM397" i="9"/>
  <c r="CN397" i="9"/>
  <c r="CO397" i="9"/>
  <c r="CP397" i="9"/>
  <c r="CQ397" i="9"/>
  <c r="CR397" i="9"/>
  <c r="C400" i="9"/>
  <c r="D400" i="9"/>
  <c r="E400" i="9"/>
  <c r="F400" i="9"/>
  <c r="G400" i="9"/>
  <c r="H400" i="9"/>
  <c r="I400" i="9"/>
  <c r="J400" i="9"/>
  <c r="K400" i="9"/>
  <c r="L400" i="9"/>
  <c r="M400" i="9"/>
  <c r="N400" i="9"/>
  <c r="O400" i="9"/>
  <c r="P400" i="9"/>
  <c r="Q400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G400" i="9"/>
  <c r="AH400" i="9"/>
  <c r="AI400" i="9"/>
  <c r="AJ400" i="9"/>
  <c r="BF400" i="9"/>
  <c r="BG400" i="9"/>
  <c r="BH400" i="9"/>
  <c r="BI400" i="9"/>
  <c r="BJ400" i="9"/>
  <c r="BK400" i="9"/>
  <c r="BL400" i="9"/>
  <c r="BM400" i="9"/>
  <c r="BN400" i="9"/>
  <c r="BO400" i="9"/>
  <c r="BP400" i="9"/>
  <c r="BQ400" i="9"/>
  <c r="BR400" i="9"/>
  <c r="BS400" i="9"/>
  <c r="BT400" i="9"/>
  <c r="BU400" i="9"/>
  <c r="BV400" i="9"/>
  <c r="BW400" i="9"/>
  <c r="BX400" i="9"/>
  <c r="BY400" i="9"/>
  <c r="BZ400" i="9"/>
  <c r="CA400" i="9"/>
  <c r="CB400" i="9"/>
  <c r="CC400" i="9"/>
  <c r="CD400" i="9"/>
  <c r="CE400" i="9"/>
  <c r="CF400" i="9"/>
  <c r="CG400" i="9"/>
  <c r="CH400" i="9"/>
  <c r="CI400" i="9"/>
  <c r="CM400" i="9"/>
  <c r="CN400" i="9"/>
  <c r="CO400" i="9"/>
  <c r="CP400" i="9"/>
  <c r="CQ400" i="9"/>
  <c r="CR400" i="9"/>
  <c r="C403" i="9"/>
  <c r="D403" i="9"/>
  <c r="E403" i="9"/>
  <c r="F403" i="9"/>
  <c r="G403" i="9"/>
  <c r="H403" i="9"/>
  <c r="I403" i="9"/>
  <c r="J403" i="9"/>
  <c r="K403" i="9"/>
  <c r="L403" i="9"/>
  <c r="M403" i="9"/>
  <c r="N403" i="9"/>
  <c r="O403" i="9"/>
  <c r="P403" i="9"/>
  <c r="Q403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G403" i="9"/>
  <c r="AH403" i="9"/>
  <c r="AI403" i="9"/>
  <c r="AJ403" i="9"/>
  <c r="BF403" i="9"/>
  <c r="BG403" i="9"/>
  <c r="BH403" i="9"/>
  <c r="BI403" i="9"/>
  <c r="BJ403" i="9"/>
  <c r="BK403" i="9"/>
  <c r="BL403" i="9"/>
  <c r="BM403" i="9"/>
  <c r="BN403" i="9"/>
  <c r="BO403" i="9"/>
  <c r="BP403" i="9"/>
  <c r="BQ403" i="9"/>
  <c r="BR403" i="9"/>
  <c r="BS403" i="9"/>
  <c r="BT403" i="9"/>
  <c r="BU403" i="9"/>
  <c r="BV403" i="9"/>
  <c r="BW403" i="9"/>
  <c r="BX403" i="9"/>
  <c r="BY403" i="9"/>
  <c r="BZ403" i="9"/>
  <c r="CA403" i="9"/>
  <c r="CB403" i="9"/>
  <c r="CC403" i="9"/>
  <c r="CD403" i="9"/>
  <c r="CE403" i="9"/>
  <c r="CF403" i="9"/>
  <c r="CG403" i="9"/>
  <c r="CH403" i="9"/>
  <c r="CI403" i="9"/>
  <c r="CM403" i="9"/>
  <c r="CN403" i="9"/>
  <c r="CO403" i="9"/>
  <c r="CP403" i="9"/>
  <c r="CQ403" i="9"/>
  <c r="CR403" i="9"/>
  <c r="C406" i="9"/>
  <c r="D406" i="9"/>
  <c r="E406" i="9"/>
  <c r="F406" i="9"/>
  <c r="G406" i="9"/>
  <c r="H406" i="9"/>
  <c r="I406" i="9"/>
  <c r="J406" i="9"/>
  <c r="K406" i="9"/>
  <c r="L406" i="9"/>
  <c r="M406" i="9"/>
  <c r="N406" i="9"/>
  <c r="O406" i="9"/>
  <c r="P406" i="9"/>
  <c r="Q406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G406" i="9"/>
  <c r="BD406" i="9" s="1"/>
  <c r="AH406" i="9"/>
  <c r="AI406" i="9"/>
  <c r="AJ406" i="9"/>
  <c r="BF406" i="9"/>
  <c r="BG406" i="9"/>
  <c r="BH406" i="9"/>
  <c r="BI406" i="9"/>
  <c r="BJ406" i="9"/>
  <c r="BK406" i="9"/>
  <c r="BL406" i="9"/>
  <c r="BM406" i="9"/>
  <c r="BN406" i="9"/>
  <c r="BO406" i="9"/>
  <c r="BP406" i="9"/>
  <c r="BQ406" i="9"/>
  <c r="BR406" i="9"/>
  <c r="BS406" i="9"/>
  <c r="BT406" i="9"/>
  <c r="BU406" i="9"/>
  <c r="BV406" i="9"/>
  <c r="BW406" i="9"/>
  <c r="BX406" i="9"/>
  <c r="BY406" i="9"/>
  <c r="BZ406" i="9"/>
  <c r="CA406" i="9"/>
  <c r="CB406" i="9"/>
  <c r="CC406" i="9"/>
  <c r="CD406" i="9"/>
  <c r="CE406" i="9"/>
  <c r="CF406" i="9"/>
  <c r="CG406" i="9"/>
  <c r="CH406" i="9"/>
  <c r="CI406" i="9"/>
  <c r="CM406" i="9"/>
  <c r="CN406" i="9"/>
  <c r="CO406" i="9"/>
  <c r="CP406" i="9"/>
  <c r="CQ406" i="9"/>
  <c r="CR406" i="9"/>
  <c r="C409" i="9"/>
  <c r="D409" i="9"/>
  <c r="E409" i="9"/>
  <c r="F409" i="9"/>
  <c r="G409" i="9"/>
  <c r="H409" i="9"/>
  <c r="I409" i="9"/>
  <c r="J409" i="9"/>
  <c r="K409" i="9"/>
  <c r="L409" i="9"/>
  <c r="M409" i="9"/>
  <c r="N409" i="9"/>
  <c r="O409" i="9"/>
  <c r="P409" i="9"/>
  <c r="Q409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G409" i="9"/>
  <c r="BD409" i="9" s="1"/>
  <c r="AH409" i="9"/>
  <c r="AI409" i="9"/>
  <c r="AJ409" i="9"/>
  <c r="BF409" i="9"/>
  <c r="BG409" i="9"/>
  <c r="BH409" i="9"/>
  <c r="BI409" i="9"/>
  <c r="BJ409" i="9"/>
  <c r="BK409" i="9"/>
  <c r="BL409" i="9"/>
  <c r="BM409" i="9"/>
  <c r="BN409" i="9"/>
  <c r="BO409" i="9"/>
  <c r="BP409" i="9"/>
  <c r="BQ409" i="9"/>
  <c r="BR409" i="9"/>
  <c r="BS409" i="9"/>
  <c r="BT409" i="9"/>
  <c r="BU409" i="9"/>
  <c r="BV409" i="9"/>
  <c r="BW409" i="9"/>
  <c r="BX409" i="9"/>
  <c r="BY409" i="9"/>
  <c r="BZ409" i="9"/>
  <c r="CA409" i="9"/>
  <c r="CB409" i="9"/>
  <c r="CC409" i="9"/>
  <c r="CD409" i="9"/>
  <c r="CE409" i="9"/>
  <c r="CF409" i="9"/>
  <c r="CG409" i="9"/>
  <c r="CH409" i="9"/>
  <c r="CI409" i="9"/>
  <c r="CM409" i="9"/>
  <c r="CN409" i="9"/>
  <c r="CO409" i="9"/>
  <c r="CP409" i="9"/>
  <c r="CQ409" i="9"/>
  <c r="CR409" i="9"/>
  <c r="D301" i="9"/>
  <c r="E301" i="9"/>
  <c r="F301" i="9"/>
  <c r="G301" i="9"/>
  <c r="H301" i="9"/>
  <c r="I301" i="9"/>
  <c r="J301" i="9"/>
  <c r="K301" i="9"/>
  <c r="L301" i="9"/>
  <c r="M301" i="9"/>
  <c r="N301" i="9"/>
  <c r="O301" i="9"/>
  <c r="P301" i="9"/>
  <c r="Q301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G301" i="9"/>
  <c r="AH301" i="9"/>
  <c r="AI301" i="9"/>
  <c r="AJ301" i="9"/>
  <c r="BF301" i="9"/>
  <c r="BG301" i="9"/>
  <c r="BH301" i="9"/>
  <c r="BI301" i="9"/>
  <c r="BJ301" i="9"/>
  <c r="BK301" i="9"/>
  <c r="BL301" i="9"/>
  <c r="BM301" i="9"/>
  <c r="BN301" i="9"/>
  <c r="BO301" i="9"/>
  <c r="BP301" i="9"/>
  <c r="BQ301" i="9"/>
  <c r="BR301" i="9"/>
  <c r="BS301" i="9"/>
  <c r="BT301" i="9"/>
  <c r="BU301" i="9"/>
  <c r="BV301" i="9"/>
  <c r="BW301" i="9"/>
  <c r="BX301" i="9"/>
  <c r="BY301" i="9"/>
  <c r="BZ301" i="9"/>
  <c r="CA301" i="9"/>
  <c r="CB301" i="9"/>
  <c r="CC301" i="9"/>
  <c r="CD301" i="9"/>
  <c r="CE301" i="9"/>
  <c r="CF301" i="9"/>
  <c r="CG301" i="9"/>
  <c r="CH301" i="9"/>
  <c r="CI301" i="9"/>
  <c r="CM301" i="9"/>
  <c r="CN301" i="9"/>
  <c r="CO301" i="9"/>
  <c r="CP301" i="9"/>
  <c r="CQ301" i="9"/>
  <c r="CR301" i="9"/>
  <c r="D309" i="9"/>
  <c r="E309" i="9"/>
  <c r="F309" i="9"/>
  <c r="G309" i="9"/>
  <c r="H309" i="9"/>
  <c r="I309" i="9"/>
  <c r="J309" i="9"/>
  <c r="K309" i="9"/>
  <c r="L309" i="9"/>
  <c r="M309" i="9"/>
  <c r="N309" i="9"/>
  <c r="O309" i="9"/>
  <c r="P309" i="9"/>
  <c r="Q309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G309" i="9"/>
  <c r="BD309" i="9" s="1"/>
  <c r="AH309" i="9"/>
  <c r="AI309" i="9"/>
  <c r="AJ309" i="9"/>
  <c r="BF309" i="9"/>
  <c r="BG309" i="9"/>
  <c r="BH309" i="9"/>
  <c r="BI309" i="9"/>
  <c r="BJ309" i="9"/>
  <c r="BK309" i="9"/>
  <c r="BL309" i="9"/>
  <c r="BM309" i="9"/>
  <c r="BN309" i="9"/>
  <c r="BO309" i="9"/>
  <c r="BP309" i="9"/>
  <c r="BQ309" i="9"/>
  <c r="BR309" i="9"/>
  <c r="BS309" i="9"/>
  <c r="BT309" i="9"/>
  <c r="BU309" i="9"/>
  <c r="BV309" i="9"/>
  <c r="BW309" i="9"/>
  <c r="BX309" i="9"/>
  <c r="BY309" i="9"/>
  <c r="BZ309" i="9"/>
  <c r="CA309" i="9"/>
  <c r="CB309" i="9"/>
  <c r="CC309" i="9"/>
  <c r="CD309" i="9"/>
  <c r="CE309" i="9"/>
  <c r="CF309" i="9"/>
  <c r="CG309" i="9"/>
  <c r="CH309" i="9"/>
  <c r="CI309" i="9"/>
  <c r="CM309" i="9"/>
  <c r="CN309" i="9"/>
  <c r="CO309" i="9"/>
  <c r="CP309" i="9"/>
  <c r="CQ309" i="9"/>
  <c r="CR309" i="9"/>
  <c r="D317" i="9"/>
  <c r="E317" i="9"/>
  <c r="F317" i="9"/>
  <c r="G317" i="9"/>
  <c r="H317" i="9"/>
  <c r="I317" i="9"/>
  <c r="J317" i="9"/>
  <c r="K317" i="9"/>
  <c r="L317" i="9"/>
  <c r="M317" i="9"/>
  <c r="N317" i="9"/>
  <c r="O317" i="9"/>
  <c r="P317" i="9"/>
  <c r="Q317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G317" i="9"/>
  <c r="BD317" i="9" s="1"/>
  <c r="AH317" i="9"/>
  <c r="AI317" i="9"/>
  <c r="AJ317" i="9"/>
  <c r="BF317" i="9"/>
  <c r="BG317" i="9"/>
  <c r="BH317" i="9"/>
  <c r="BI317" i="9"/>
  <c r="BJ317" i="9"/>
  <c r="BK317" i="9"/>
  <c r="BL317" i="9"/>
  <c r="BM317" i="9"/>
  <c r="BN317" i="9"/>
  <c r="BO317" i="9"/>
  <c r="BP317" i="9"/>
  <c r="BQ317" i="9"/>
  <c r="BR317" i="9"/>
  <c r="BS317" i="9"/>
  <c r="BT317" i="9"/>
  <c r="BU317" i="9"/>
  <c r="BV317" i="9"/>
  <c r="BW317" i="9"/>
  <c r="BX317" i="9"/>
  <c r="BY317" i="9"/>
  <c r="BZ317" i="9"/>
  <c r="CA317" i="9"/>
  <c r="CB317" i="9"/>
  <c r="CC317" i="9"/>
  <c r="CD317" i="9"/>
  <c r="CE317" i="9"/>
  <c r="CF317" i="9"/>
  <c r="CG317" i="9"/>
  <c r="CH317" i="9"/>
  <c r="CI317" i="9"/>
  <c r="CM317" i="9"/>
  <c r="CN317" i="9"/>
  <c r="CO317" i="9"/>
  <c r="CP317" i="9"/>
  <c r="CQ317" i="9"/>
  <c r="CR317" i="9"/>
  <c r="D325" i="9"/>
  <c r="E325" i="9"/>
  <c r="F325" i="9"/>
  <c r="G325" i="9"/>
  <c r="H325" i="9"/>
  <c r="I325" i="9"/>
  <c r="J325" i="9"/>
  <c r="K325" i="9"/>
  <c r="L325" i="9"/>
  <c r="M325" i="9"/>
  <c r="N325" i="9"/>
  <c r="O325" i="9"/>
  <c r="P325" i="9"/>
  <c r="Q325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G325" i="9"/>
  <c r="AH325" i="9"/>
  <c r="AI325" i="9"/>
  <c r="AJ325" i="9"/>
  <c r="BF325" i="9"/>
  <c r="BG325" i="9"/>
  <c r="BH325" i="9"/>
  <c r="BI325" i="9"/>
  <c r="BJ325" i="9"/>
  <c r="BK325" i="9"/>
  <c r="BL325" i="9"/>
  <c r="BM325" i="9"/>
  <c r="BN325" i="9"/>
  <c r="BO325" i="9"/>
  <c r="BP325" i="9"/>
  <c r="BQ325" i="9"/>
  <c r="BR325" i="9"/>
  <c r="BS325" i="9"/>
  <c r="BT325" i="9"/>
  <c r="BU325" i="9"/>
  <c r="BV325" i="9"/>
  <c r="BW325" i="9"/>
  <c r="BX325" i="9"/>
  <c r="BY325" i="9"/>
  <c r="BZ325" i="9"/>
  <c r="CA325" i="9"/>
  <c r="CB325" i="9"/>
  <c r="CC325" i="9"/>
  <c r="CD325" i="9"/>
  <c r="CE325" i="9"/>
  <c r="CF325" i="9"/>
  <c r="CG325" i="9"/>
  <c r="CH325" i="9"/>
  <c r="CI325" i="9"/>
  <c r="CM325" i="9"/>
  <c r="CN325" i="9"/>
  <c r="CO325" i="9"/>
  <c r="CP325" i="9"/>
  <c r="CQ325" i="9"/>
  <c r="CR325" i="9"/>
  <c r="D330" i="9"/>
  <c r="E330" i="9"/>
  <c r="F330" i="9"/>
  <c r="G330" i="9"/>
  <c r="H330" i="9"/>
  <c r="I330" i="9"/>
  <c r="J330" i="9"/>
  <c r="K330" i="9"/>
  <c r="L330" i="9"/>
  <c r="M330" i="9"/>
  <c r="CK330" i="9" s="1"/>
  <c r="O330" i="9"/>
  <c r="P330" i="9"/>
  <c r="Q330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G330" i="9"/>
  <c r="AH330" i="9"/>
  <c r="AI330" i="9"/>
  <c r="AJ330" i="9"/>
  <c r="BF330" i="9"/>
  <c r="BG330" i="9"/>
  <c r="BH330" i="9"/>
  <c r="BI330" i="9"/>
  <c r="BJ330" i="9"/>
  <c r="BK330" i="9"/>
  <c r="BL330" i="9"/>
  <c r="BM330" i="9"/>
  <c r="BN330" i="9"/>
  <c r="BO330" i="9"/>
  <c r="BP330" i="9"/>
  <c r="BQ330" i="9"/>
  <c r="BR330" i="9"/>
  <c r="BS330" i="9"/>
  <c r="BT330" i="9"/>
  <c r="BU330" i="9"/>
  <c r="BV330" i="9"/>
  <c r="BW330" i="9"/>
  <c r="BX330" i="9"/>
  <c r="BY330" i="9"/>
  <c r="BZ330" i="9"/>
  <c r="CA330" i="9"/>
  <c r="CB330" i="9"/>
  <c r="CC330" i="9"/>
  <c r="CD330" i="9"/>
  <c r="CE330" i="9"/>
  <c r="CF330" i="9"/>
  <c r="CG330" i="9"/>
  <c r="CH330" i="9"/>
  <c r="CI330" i="9"/>
  <c r="CM330" i="9"/>
  <c r="CN330" i="9"/>
  <c r="CO330" i="9"/>
  <c r="CP330" i="9"/>
  <c r="CQ330" i="9"/>
  <c r="CR330" i="9"/>
  <c r="D337" i="9"/>
  <c r="E337" i="9"/>
  <c r="F337" i="9"/>
  <c r="G337" i="9"/>
  <c r="H337" i="9"/>
  <c r="I337" i="9"/>
  <c r="K337" i="9"/>
  <c r="L337" i="9"/>
  <c r="M337" i="9"/>
  <c r="N337" i="9"/>
  <c r="O337" i="9"/>
  <c r="P337" i="9"/>
  <c r="Q337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G337" i="9"/>
  <c r="BD337" i="9" s="1"/>
  <c r="AH337" i="9"/>
  <c r="AI337" i="9"/>
  <c r="AJ337" i="9"/>
  <c r="BF337" i="9"/>
  <c r="BG337" i="9"/>
  <c r="BH337" i="9"/>
  <c r="BI337" i="9"/>
  <c r="BJ337" i="9"/>
  <c r="BK337" i="9"/>
  <c r="BL337" i="9"/>
  <c r="BM337" i="9"/>
  <c r="BN337" i="9"/>
  <c r="BO337" i="9"/>
  <c r="BP337" i="9"/>
  <c r="BQ337" i="9"/>
  <c r="BR337" i="9"/>
  <c r="BS337" i="9"/>
  <c r="BT337" i="9"/>
  <c r="BU337" i="9"/>
  <c r="BV337" i="9"/>
  <c r="BW337" i="9"/>
  <c r="BX337" i="9"/>
  <c r="BY337" i="9"/>
  <c r="BZ337" i="9"/>
  <c r="CA337" i="9"/>
  <c r="CB337" i="9"/>
  <c r="CC337" i="9"/>
  <c r="CD337" i="9"/>
  <c r="CE337" i="9"/>
  <c r="CF337" i="9"/>
  <c r="CG337" i="9"/>
  <c r="CH337" i="9"/>
  <c r="CI337" i="9"/>
  <c r="CM337" i="9"/>
  <c r="CN337" i="9"/>
  <c r="CO337" i="9"/>
  <c r="CP337" i="9"/>
  <c r="CQ337" i="9"/>
  <c r="CR337" i="9"/>
  <c r="D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G53" i="9"/>
  <c r="BD53" i="9" s="1"/>
  <c r="AH53" i="9"/>
  <c r="AI53" i="9"/>
  <c r="AJ53" i="9"/>
  <c r="BF53" i="9"/>
  <c r="BG53" i="9"/>
  <c r="BH53" i="9"/>
  <c r="BI53" i="9"/>
  <c r="BJ53" i="9"/>
  <c r="BK53" i="9"/>
  <c r="BL53" i="9"/>
  <c r="BM53" i="9"/>
  <c r="BN53" i="9"/>
  <c r="BO53" i="9"/>
  <c r="BP53" i="9"/>
  <c r="BQ53" i="9"/>
  <c r="BR53" i="9"/>
  <c r="BS53" i="9"/>
  <c r="BT53" i="9"/>
  <c r="BU53" i="9"/>
  <c r="BV53" i="9"/>
  <c r="BW53" i="9"/>
  <c r="BX53" i="9"/>
  <c r="BY53" i="9"/>
  <c r="BZ53" i="9"/>
  <c r="CA53" i="9"/>
  <c r="CB53" i="9"/>
  <c r="CC53" i="9"/>
  <c r="CD53" i="9"/>
  <c r="CE53" i="9"/>
  <c r="CF53" i="9"/>
  <c r="CG53" i="9"/>
  <c r="CH53" i="9"/>
  <c r="CI53" i="9"/>
  <c r="CM53" i="9"/>
  <c r="CN53" i="9"/>
  <c r="CO53" i="9"/>
  <c r="CP53" i="9"/>
  <c r="CQ53" i="9"/>
  <c r="CR53" i="9"/>
  <c r="D56" i="9"/>
  <c r="E56" i="9"/>
  <c r="F56" i="9"/>
  <c r="G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G56" i="9"/>
  <c r="AH56" i="9"/>
  <c r="AI56" i="9"/>
  <c r="AJ56" i="9"/>
  <c r="BF56" i="9"/>
  <c r="BG56" i="9"/>
  <c r="BH56" i="9"/>
  <c r="BI56" i="9"/>
  <c r="BJ56" i="9"/>
  <c r="BK56" i="9"/>
  <c r="BL56" i="9"/>
  <c r="BM56" i="9"/>
  <c r="BN56" i="9"/>
  <c r="BO56" i="9"/>
  <c r="BP56" i="9"/>
  <c r="BQ56" i="9"/>
  <c r="BR56" i="9"/>
  <c r="BS56" i="9"/>
  <c r="BT56" i="9"/>
  <c r="BU56" i="9"/>
  <c r="BV56" i="9"/>
  <c r="BW56" i="9"/>
  <c r="BX56" i="9"/>
  <c r="BY56" i="9"/>
  <c r="BZ56" i="9"/>
  <c r="CA56" i="9"/>
  <c r="CB56" i="9"/>
  <c r="CC56" i="9"/>
  <c r="CD56" i="9"/>
  <c r="CE56" i="9"/>
  <c r="CF56" i="9"/>
  <c r="CG56" i="9"/>
  <c r="CH56" i="9"/>
  <c r="CI56" i="9"/>
  <c r="CM56" i="9"/>
  <c r="CN56" i="9"/>
  <c r="CO56" i="9"/>
  <c r="CP56" i="9"/>
  <c r="CQ56" i="9"/>
  <c r="CR56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G64" i="9"/>
  <c r="AH64" i="9"/>
  <c r="AI64" i="9"/>
  <c r="AJ64" i="9"/>
  <c r="BF64" i="9"/>
  <c r="BG64" i="9"/>
  <c r="BH64" i="9"/>
  <c r="BI64" i="9"/>
  <c r="BJ64" i="9"/>
  <c r="BK64" i="9"/>
  <c r="BL64" i="9"/>
  <c r="BM64" i="9"/>
  <c r="BN64" i="9"/>
  <c r="BO64" i="9"/>
  <c r="BP64" i="9"/>
  <c r="BQ64" i="9"/>
  <c r="BR64" i="9"/>
  <c r="BS64" i="9"/>
  <c r="BT64" i="9"/>
  <c r="BU64" i="9"/>
  <c r="BV64" i="9"/>
  <c r="BW64" i="9"/>
  <c r="BX64" i="9"/>
  <c r="BY64" i="9"/>
  <c r="BZ64" i="9"/>
  <c r="CA64" i="9"/>
  <c r="CB64" i="9"/>
  <c r="CC64" i="9"/>
  <c r="CD64" i="9"/>
  <c r="CE64" i="9"/>
  <c r="CF64" i="9"/>
  <c r="CG64" i="9"/>
  <c r="CH64" i="9"/>
  <c r="CI64" i="9"/>
  <c r="CM64" i="9"/>
  <c r="CN64" i="9"/>
  <c r="CO64" i="9"/>
  <c r="CP64" i="9"/>
  <c r="CQ64" i="9"/>
  <c r="CR64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G72" i="9"/>
  <c r="BD72" i="9" s="1"/>
  <c r="AH72" i="9"/>
  <c r="AI72" i="9"/>
  <c r="AJ72" i="9"/>
  <c r="BF72" i="9"/>
  <c r="BG72" i="9"/>
  <c r="BH72" i="9"/>
  <c r="BI72" i="9"/>
  <c r="BJ72" i="9"/>
  <c r="BK72" i="9"/>
  <c r="BL72" i="9"/>
  <c r="BM72" i="9"/>
  <c r="BN72" i="9"/>
  <c r="BO72" i="9"/>
  <c r="BP72" i="9"/>
  <c r="BQ72" i="9"/>
  <c r="BR72" i="9"/>
  <c r="BS72" i="9"/>
  <c r="BT72" i="9"/>
  <c r="BU72" i="9"/>
  <c r="BV72" i="9"/>
  <c r="BW72" i="9"/>
  <c r="BX72" i="9"/>
  <c r="BY72" i="9"/>
  <c r="BZ72" i="9"/>
  <c r="CA72" i="9"/>
  <c r="CB72" i="9"/>
  <c r="CC72" i="9"/>
  <c r="CD72" i="9"/>
  <c r="CE72" i="9"/>
  <c r="CF72" i="9"/>
  <c r="CG72" i="9"/>
  <c r="CH72" i="9"/>
  <c r="CI72" i="9"/>
  <c r="CM72" i="9"/>
  <c r="CN72" i="9"/>
  <c r="CO72" i="9"/>
  <c r="CP72" i="9"/>
  <c r="CQ72" i="9"/>
  <c r="CR72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G75" i="9"/>
  <c r="BD75" i="9" s="1"/>
  <c r="AH75" i="9"/>
  <c r="AI75" i="9"/>
  <c r="AJ75" i="9"/>
  <c r="BF75" i="9"/>
  <c r="BG75" i="9"/>
  <c r="BH75" i="9"/>
  <c r="BI75" i="9"/>
  <c r="BJ75" i="9"/>
  <c r="BK75" i="9"/>
  <c r="BL75" i="9"/>
  <c r="BM75" i="9"/>
  <c r="BN75" i="9"/>
  <c r="BO75" i="9"/>
  <c r="BP75" i="9"/>
  <c r="BQ75" i="9"/>
  <c r="BR75" i="9"/>
  <c r="BS75" i="9"/>
  <c r="BT75" i="9"/>
  <c r="BU75" i="9"/>
  <c r="BV75" i="9"/>
  <c r="BW75" i="9"/>
  <c r="BX75" i="9"/>
  <c r="BY75" i="9"/>
  <c r="BZ75" i="9"/>
  <c r="CA75" i="9"/>
  <c r="CB75" i="9"/>
  <c r="CC75" i="9"/>
  <c r="CD75" i="9"/>
  <c r="CE75" i="9"/>
  <c r="CF75" i="9"/>
  <c r="CG75" i="9"/>
  <c r="CH75" i="9"/>
  <c r="CI75" i="9"/>
  <c r="CM75" i="9"/>
  <c r="CN75" i="9"/>
  <c r="CO75" i="9"/>
  <c r="CP75" i="9"/>
  <c r="CQ75" i="9"/>
  <c r="CR75" i="9"/>
  <c r="D76" i="9"/>
  <c r="E76" i="9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G76" i="9"/>
  <c r="AH76" i="9"/>
  <c r="AI76" i="9"/>
  <c r="AJ76" i="9"/>
  <c r="BF76" i="9"/>
  <c r="BG76" i="9"/>
  <c r="BH76" i="9"/>
  <c r="BI76" i="9"/>
  <c r="BJ76" i="9"/>
  <c r="BK76" i="9"/>
  <c r="BL76" i="9"/>
  <c r="BM76" i="9"/>
  <c r="BN76" i="9"/>
  <c r="BO76" i="9"/>
  <c r="BP76" i="9"/>
  <c r="BQ76" i="9"/>
  <c r="BR76" i="9"/>
  <c r="BS76" i="9"/>
  <c r="BT76" i="9"/>
  <c r="BU76" i="9"/>
  <c r="BV76" i="9"/>
  <c r="BW76" i="9"/>
  <c r="BX76" i="9"/>
  <c r="BY76" i="9"/>
  <c r="BZ76" i="9"/>
  <c r="CA76" i="9"/>
  <c r="CB76" i="9"/>
  <c r="CC76" i="9"/>
  <c r="CD76" i="9"/>
  <c r="CE76" i="9"/>
  <c r="CF76" i="9"/>
  <c r="CG76" i="9"/>
  <c r="CH76" i="9"/>
  <c r="CI76" i="9"/>
  <c r="CM76" i="9"/>
  <c r="CN76" i="9"/>
  <c r="CO76" i="9"/>
  <c r="CP76" i="9"/>
  <c r="CQ76" i="9"/>
  <c r="CR76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G78" i="9"/>
  <c r="AH78" i="9"/>
  <c r="AI78" i="9"/>
  <c r="AJ78" i="9"/>
  <c r="BF78" i="9"/>
  <c r="BG78" i="9"/>
  <c r="BH78" i="9"/>
  <c r="BI78" i="9"/>
  <c r="BJ78" i="9"/>
  <c r="BK78" i="9"/>
  <c r="BL78" i="9"/>
  <c r="BM78" i="9"/>
  <c r="BN78" i="9"/>
  <c r="BO78" i="9"/>
  <c r="BP78" i="9"/>
  <c r="BQ78" i="9"/>
  <c r="BR78" i="9"/>
  <c r="BS78" i="9"/>
  <c r="BT78" i="9"/>
  <c r="BU78" i="9"/>
  <c r="BV78" i="9"/>
  <c r="BW78" i="9"/>
  <c r="BX78" i="9"/>
  <c r="BY78" i="9"/>
  <c r="BZ78" i="9"/>
  <c r="CA78" i="9"/>
  <c r="CB78" i="9"/>
  <c r="CC78" i="9"/>
  <c r="CD78" i="9"/>
  <c r="CE78" i="9"/>
  <c r="CF78" i="9"/>
  <c r="CG78" i="9"/>
  <c r="CH78" i="9"/>
  <c r="CI78" i="9"/>
  <c r="CM78" i="9"/>
  <c r="CN78" i="9"/>
  <c r="CO78" i="9"/>
  <c r="CP78" i="9"/>
  <c r="CQ78" i="9"/>
  <c r="CR78" i="9"/>
  <c r="D213" i="9"/>
  <c r="E213" i="9"/>
  <c r="F213" i="9"/>
  <c r="G213" i="9"/>
  <c r="H213" i="9"/>
  <c r="I213" i="9"/>
  <c r="J213" i="9"/>
  <c r="K213" i="9"/>
  <c r="L213" i="9"/>
  <c r="M213" i="9"/>
  <c r="N213" i="9"/>
  <c r="O213" i="9"/>
  <c r="P213" i="9"/>
  <c r="Q213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G213" i="9"/>
  <c r="BD213" i="9" s="1"/>
  <c r="AH213" i="9"/>
  <c r="AI213" i="9"/>
  <c r="AJ213" i="9"/>
  <c r="BF213" i="9"/>
  <c r="BG213" i="9"/>
  <c r="BH213" i="9"/>
  <c r="BI213" i="9"/>
  <c r="BJ213" i="9"/>
  <c r="BK213" i="9"/>
  <c r="BL213" i="9"/>
  <c r="BM213" i="9"/>
  <c r="BN213" i="9"/>
  <c r="BO213" i="9"/>
  <c r="BP213" i="9"/>
  <c r="BQ213" i="9"/>
  <c r="BR213" i="9"/>
  <c r="BS213" i="9"/>
  <c r="BT213" i="9"/>
  <c r="BU213" i="9"/>
  <c r="BV213" i="9"/>
  <c r="BW213" i="9"/>
  <c r="BX213" i="9"/>
  <c r="BY213" i="9"/>
  <c r="BZ213" i="9"/>
  <c r="CA213" i="9"/>
  <c r="CB213" i="9"/>
  <c r="CC213" i="9"/>
  <c r="CD213" i="9"/>
  <c r="CE213" i="9"/>
  <c r="CF213" i="9"/>
  <c r="CG213" i="9"/>
  <c r="CH213" i="9"/>
  <c r="CI213" i="9"/>
  <c r="CM213" i="9"/>
  <c r="CN213" i="9"/>
  <c r="CO213" i="9"/>
  <c r="CP213" i="9"/>
  <c r="CQ213" i="9"/>
  <c r="CR213" i="9"/>
  <c r="E300" i="9"/>
  <c r="F300" i="9"/>
  <c r="G300" i="9"/>
  <c r="H300" i="9"/>
  <c r="I300" i="9"/>
  <c r="J300" i="9"/>
  <c r="K300" i="9"/>
  <c r="L300" i="9"/>
  <c r="M300" i="9"/>
  <c r="N300" i="9"/>
  <c r="O300" i="9"/>
  <c r="P300" i="9"/>
  <c r="Q300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G300" i="9"/>
  <c r="AH300" i="9"/>
  <c r="AI300" i="9"/>
  <c r="AJ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AY300" i="9"/>
  <c r="AZ300" i="9"/>
  <c r="BA300" i="9"/>
  <c r="BB300" i="9"/>
  <c r="BC300" i="9"/>
  <c r="BF300" i="9"/>
  <c r="BG300" i="9"/>
  <c r="BH300" i="9"/>
  <c r="BI300" i="9"/>
  <c r="BJ300" i="9"/>
  <c r="BK300" i="9"/>
  <c r="BL300" i="9"/>
  <c r="BM300" i="9"/>
  <c r="BN300" i="9"/>
  <c r="BO300" i="9"/>
  <c r="BP300" i="9"/>
  <c r="BQ300" i="9"/>
  <c r="BR300" i="9"/>
  <c r="BS300" i="9"/>
  <c r="BT300" i="9"/>
  <c r="BU300" i="9"/>
  <c r="BV300" i="9"/>
  <c r="BW300" i="9"/>
  <c r="BX300" i="9"/>
  <c r="BY300" i="9"/>
  <c r="BZ300" i="9"/>
  <c r="CA300" i="9"/>
  <c r="CB300" i="9"/>
  <c r="CC300" i="9"/>
  <c r="CD300" i="9"/>
  <c r="CE300" i="9"/>
  <c r="CF300" i="9"/>
  <c r="CG300" i="9"/>
  <c r="CH300" i="9"/>
  <c r="CI300" i="9"/>
  <c r="CM300" i="9"/>
  <c r="CN300" i="9"/>
  <c r="CO300" i="9"/>
  <c r="CP300" i="9"/>
  <c r="CQ300" i="9"/>
  <c r="CR300" i="9"/>
  <c r="C300" i="9"/>
  <c r="AE349" i="9" l="1"/>
  <c r="CJ76" i="9"/>
  <c r="CK64" i="9"/>
  <c r="CK78" i="9"/>
  <c r="CJ72" i="9"/>
  <c r="CK75" i="9"/>
  <c r="CJ213" i="9"/>
  <c r="CK53" i="9"/>
  <c r="CJ56" i="9"/>
  <c r="CJ379" i="9"/>
  <c r="CK373" i="9"/>
  <c r="CK399" i="9"/>
  <c r="CK394" i="9"/>
  <c r="CK148" i="9"/>
  <c r="CJ144" i="9"/>
  <c r="CK365" i="9"/>
  <c r="CJ362" i="9"/>
  <c r="CK361" i="9"/>
  <c r="CJ325" i="9"/>
  <c r="CK317" i="9"/>
  <c r="CJ191" i="9"/>
  <c r="CK187" i="9"/>
  <c r="CJ183" i="9"/>
  <c r="CK179" i="9"/>
  <c r="CJ175" i="9"/>
  <c r="CJ194" i="9"/>
  <c r="CK190" i="9"/>
  <c r="CJ186" i="9"/>
  <c r="CK182" i="9"/>
  <c r="CK213" i="9"/>
  <c r="CK76" i="9"/>
  <c r="CJ75" i="9"/>
  <c r="CK72" i="9"/>
  <c r="CJ64" i="9"/>
  <c r="CK56" i="9"/>
  <c r="CJ53" i="9"/>
  <c r="CJ409" i="9"/>
  <c r="CK391" i="9"/>
  <c r="CK385" i="9"/>
  <c r="CK114" i="9"/>
  <c r="CJ110" i="9"/>
  <c r="CK102" i="9"/>
  <c r="CJ330" i="9"/>
  <c r="CK325" i="9"/>
  <c r="CJ317" i="9"/>
  <c r="CK358" i="9"/>
  <c r="CK337" i="9"/>
  <c r="CK115" i="9"/>
  <c r="CJ111" i="9"/>
  <c r="CK103" i="9"/>
  <c r="CJ98" i="9"/>
  <c r="CK92" i="9"/>
  <c r="CJ86" i="9"/>
  <c r="CK131" i="9"/>
  <c r="CJ124" i="9"/>
  <c r="CK118" i="9"/>
  <c r="CJ164" i="9"/>
  <c r="CK160" i="9"/>
  <c r="CJ156" i="9"/>
  <c r="CK152" i="9"/>
  <c r="CJ159" i="9"/>
  <c r="CK155" i="9"/>
  <c r="CJ151" i="9"/>
  <c r="CK147" i="9"/>
  <c r="CJ253" i="9"/>
  <c r="CK245" i="9"/>
  <c r="CJ237" i="9"/>
  <c r="CK228" i="9"/>
  <c r="CK140" i="9"/>
  <c r="CJ136" i="9"/>
  <c r="CK49" i="9"/>
  <c r="CJ45" i="9"/>
  <c r="CK41" i="9"/>
  <c r="CJ37" i="9"/>
  <c r="CK33" i="9"/>
  <c r="CJ29" i="9"/>
  <c r="CK27" i="9"/>
  <c r="CJ24" i="9"/>
  <c r="CK20" i="9"/>
  <c r="CJ16" i="9"/>
  <c r="CK12" i="9"/>
  <c r="CJ8" i="9"/>
  <c r="CK5" i="9"/>
  <c r="CJ4" i="9"/>
  <c r="CK2" i="9"/>
  <c r="CJ129" i="9"/>
  <c r="CK128" i="9"/>
  <c r="CJ122" i="9"/>
  <c r="CK121" i="9"/>
  <c r="CK108" i="9"/>
  <c r="CJ106" i="9"/>
  <c r="CK100" i="9"/>
  <c r="CJ95" i="9"/>
  <c r="CK89" i="9"/>
  <c r="CJ262" i="9"/>
  <c r="CK299" i="9"/>
  <c r="CJ286" i="9"/>
  <c r="CK281" i="9"/>
  <c r="CJ19" i="9"/>
  <c r="CK15" i="9"/>
  <c r="CJ11" i="9"/>
  <c r="CK345" i="9"/>
  <c r="CJ162" i="9"/>
  <c r="CK158" i="9"/>
  <c r="CJ154" i="9"/>
  <c r="CK150" i="9"/>
  <c r="CK218" i="9"/>
  <c r="CJ83" i="9"/>
  <c r="CK69" i="9"/>
  <c r="CJ61" i="9"/>
  <c r="CK249" i="9"/>
  <c r="CJ241" i="9"/>
  <c r="CK233" i="9"/>
  <c r="CJ224" i="9"/>
  <c r="CK216" i="9"/>
  <c r="CJ81" i="9"/>
  <c r="CK67" i="9"/>
  <c r="CJ59" i="9"/>
  <c r="CK409" i="9"/>
  <c r="CJ406" i="9"/>
  <c r="CK403" i="9"/>
  <c r="CJ400" i="9"/>
  <c r="CK397" i="9"/>
  <c r="CJ171" i="9"/>
  <c r="CK298" i="9"/>
  <c r="CJ293" i="9"/>
  <c r="CK285" i="9"/>
  <c r="CJ280" i="9"/>
  <c r="CK274" i="9"/>
  <c r="CJ269" i="9"/>
  <c r="CK265" i="9"/>
  <c r="CJ208" i="9"/>
  <c r="CK204" i="9"/>
  <c r="CJ200" i="9"/>
  <c r="CK194" i="9"/>
  <c r="CJ190" i="9"/>
  <c r="CK186" i="9"/>
  <c r="CJ182" i="9"/>
  <c r="CK386" i="9"/>
  <c r="CK383" i="9"/>
  <c r="CK377" i="9"/>
  <c r="CK374" i="9"/>
  <c r="CK368" i="9"/>
  <c r="CJ123" i="9"/>
  <c r="CK117" i="9"/>
  <c r="CJ113" i="9"/>
  <c r="CK109" i="9"/>
  <c r="CK101" i="9"/>
  <c r="CK206" i="9"/>
  <c r="CJ202" i="9"/>
  <c r="CK198" i="9"/>
  <c r="CJ196" i="9"/>
  <c r="CK295" i="9"/>
  <c r="CJ294" i="9"/>
  <c r="CK290" i="9"/>
  <c r="CJ289" i="9"/>
  <c r="CK288" i="9"/>
  <c r="CJ287" i="9"/>
  <c r="CK282" i="9"/>
  <c r="CJ277" i="9"/>
  <c r="CK276" i="9"/>
  <c r="CJ271" i="9"/>
  <c r="CK267" i="9"/>
  <c r="CJ210" i="9"/>
  <c r="CK52" i="9"/>
  <c r="CJ48" i="9"/>
  <c r="CK44" i="9"/>
  <c r="CJ40" i="9"/>
  <c r="CK36" i="9"/>
  <c r="CJ32" i="9"/>
  <c r="CK26" i="9"/>
  <c r="CJ23" i="9"/>
  <c r="CK19" i="9"/>
  <c r="CJ15" i="9"/>
  <c r="CK11" i="9"/>
  <c r="CJ345" i="9"/>
  <c r="CK162" i="9"/>
  <c r="CJ158" i="9"/>
  <c r="CK154" i="9"/>
  <c r="CJ150" i="9"/>
  <c r="CJ323" i="9"/>
  <c r="CK315" i="9"/>
  <c r="CJ307" i="9"/>
  <c r="CK259" i="9"/>
  <c r="CJ342" i="9"/>
  <c r="CK334" i="9"/>
  <c r="CJ322" i="9"/>
  <c r="CK314" i="9"/>
  <c r="CJ306" i="9"/>
  <c r="CK258" i="9"/>
  <c r="CJ250" i="9"/>
  <c r="CK242" i="9"/>
  <c r="CJ234" i="9"/>
  <c r="CK225" i="9"/>
  <c r="CJ217" i="9"/>
  <c r="CK82" i="9"/>
  <c r="CJ68" i="9"/>
  <c r="CK60" i="9"/>
  <c r="CJ341" i="9"/>
  <c r="CK329" i="9"/>
  <c r="CJ321" i="9"/>
  <c r="CK313" i="9"/>
  <c r="CJ305" i="9"/>
  <c r="CK257" i="9"/>
  <c r="CJ300" i="9"/>
  <c r="CJ355" i="9"/>
  <c r="CK351" i="9"/>
  <c r="CK408" i="9"/>
  <c r="CJ405" i="9"/>
  <c r="CK375" i="9"/>
  <c r="CK404" i="9"/>
  <c r="CJ401" i="9"/>
  <c r="CJ348" i="9"/>
  <c r="CK346" i="9"/>
  <c r="CJ134" i="9"/>
  <c r="CK127" i="9"/>
  <c r="CJ105" i="9"/>
  <c r="CK94" i="9"/>
  <c r="CJ88" i="9"/>
  <c r="CK133" i="9"/>
  <c r="CJ126" i="9"/>
  <c r="CJ87" i="9"/>
  <c r="CK132" i="9"/>
  <c r="CJ125" i="9"/>
  <c r="CK119" i="9"/>
  <c r="CJ91" i="9"/>
  <c r="CK85" i="9"/>
  <c r="CJ130" i="9"/>
  <c r="CJ209" i="9"/>
  <c r="CK292" i="9"/>
  <c r="CJ284" i="9"/>
  <c r="CK279" i="9"/>
  <c r="CJ273" i="9"/>
  <c r="CJ31" i="9"/>
  <c r="CK22" i="9"/>
  <c r="CJ18" i="9"/>
  <c r="CK14" i="9"/>
  <c r="CJ10" i="9"/>
  <c r="CK7" i="9"/>
  <c r="CJ165" i="9"/>
  <c r="CK161" i="9"/>
  <c r="CJ157" i="9"/>
  <c r="CK153" i="9"/>
  <c r="CJ149" i="9"/>
  <c r="CK145" i="9"/>
  <c r="CJ141" i="9"/>
  <c r="CK137" i="9"/>
  <c r="CJ50" i="9"/>
  <c r="CK46" i="9"/>
  <c r="CJ42" i="9"/>
  <c r="CK38" i="9"/>
  <c r="CJ34" i="9"/>
  <c r="CK30" i="9"/>
  <c r="CK220" i="9"/>
  <c r="CJ212" i="9"/>
  <c r="CK71" i="9"/>
  <c r="CJ63" i="9"/>
  <c r="CK344" i="9"/>
  <c r="CJ336" i="9"/>
  <c r="CK324" i="9"/>
  <c r="CJ316" i="9"/>
  <c r="CK308" i="9"/>
  <c r="CJ260" i="9"/>
  <c r="CK252" i="9"/>
  <c r="CJ244" i="9"/>
  <c r="CK236" i="9"/>
  <c r="CJ227" i="9"/>
  <c r="CK219" i="9"/>
  <c r="CJ211" i="9"/>
  <c r="CK70" i="9"/>
  <c r="CJ62" i="9"/>
  <c r="CK343" i="9"/>
  <c r="CJ335" i="9"/>
  <c r="CK323" i="9"/>
  <c r="CK312" i="9"/>
  <c r="CJ304" i="9"/>
  <c r="CK256" i="9"/>
  <c r="CJ248" i="9"/>
  <c r="CK240" i="9"/>
  <c r="CJ232" i="9"/>
  <c r="CK223" i="9"/>
  <c r="CJ215" i="9"/>
  <c r="CK80" i="9"/>
  <c r="CJ74" i="9"/>
  <c r="CK66" i="9"/>
  <c r="CJ58" i="9"/>
  <c r="CK55" i="9"/>
  <c r="CJ339" i="9"/>
  <c r="CK332" i="9"/>
  <c r="CJ327" i="9"/>
  <c r="CK319" i="9"/>
  <c r="CJ311" i="9"/>
  <c r="CK303" i="9"/>
  <c r="CJ255" i="9"/>
  <c r="CK247" i="9"/>
  <c r="CJ239" i="9"/>
  <c r="CK231" i="9"/>
  <c r="CJ222" i="9"/>
  <c r="CK214" i="9"/>
  <c r="CJ79" i="9"/>
  <c r="CK77" i="9"/>
  <c r="CJ73" i="9"/>
  <c r="CK65" i="9"/>
  <c r="CJ57" i="9"/>
  <c r="CK54" i="9"/>
  <c r="CJ338" i="9"/>
  <c r="CK331" i="9"/>
  <c r="CJ326" i="9"/>
  <c r="CK318" i="9"/>
  <c r="CJ310" i="9"/>
  <c r="CK302" i="9"/>
  <c r="CJ254" i="9"/>
  <c r="CK246" i="9"/>
  <c r="CJ238" i="9"/>
  <c r="CK230" i="9"/>
  <c r="CJ229" i="9"/>
  <c r="CK221" i="9"/>
  <c r="CK300" i="9"/>
  <c r="CJ369" i="9"/>
  <c r="CK366" i="9"/>
  <c r="CK359" i="9"/>
  <c r="CJ411" i="9"/>
  <c r="CK354" i="9"/>
  <c r="CJ410" i="9"/>
  <c r="CK349" i="9"/>
  <c r="CJ347" i="9"/>
  <c r="CJ398" i="9"/>
  <c r="CK393" i="9"/>
  <c r="CJ390" i="9"/>
  <c r="CK387" i="9"/>
  <c r="CK353" i="9"/>
  <c r="CJ104" i="9"/>
  <c r="CK99" i="9"/>
  <c r="CJ93" i="9"/>
  <c r="CK209" i="9"/>
  <c r="CJ268" i="9"/>
  <c r="CK264" i="9"/>
  <c r="CJ207" i="9"/>
  <c r="CK203" i="9"/>
  <c r="CJ199" i="9"/>
  <c r="CK197" i="9"/>
  <c r="CJ193" i="9"/>
  <c r="CK189" i="9"/>
  <c r="CJ185" i="9"/>
  <c r="CK181" i="9"/>
  <c r="CJ177" i="9"/>
  <c r="CK173" i="9"/>
  <c r="CJ169" i="9"/>
  <c r="CK167" i="9"/>
  <c r="CJ296" i="9"/>
  <c r="CK291" i="9"/>
  <c r="CJ283" i="9"/>
  <c r="CK278" i="9"/>
  <c r="CJ272" i="9"/>
  <c r="CK263" i="9"/>
  <c r="CK47" i="9"/>
  <c r="CJ43" i="9"/>
  <c r="CK39" i="9"/>
  <c r="CJ35" i="9"/>
  <c r="CJ96" i="9"/>
  <c r="CK90" i="9"/>
  <c r="CJ84" i="9"/>
  <c r="CJ121" i="9"/>
  <c r="CK120" i="9"/>
  <c r="CJ116" i="9"/>
  <c r="CK112" i="9"/>
  <c r="CJ206" i="9"/>
  <c r="CK202" i="9"/>
  <c r="CJ198" i="9"/>
  <c r="CK196" i="9"/>
  <c r="CJ176" i="9"/>
  <c r="CK172" i="9"/>
  <c r="CJ168" i="9"/>
  <c r="CK166" i="9"/>
  <c r="CK28" i="9"/>
  <c r="CJ25" i="9"/>
  <c r="CK21" i="9"/>
  <c r="CJ17" i="9"/>
  <c r="CJ251" i="9"/>
  <c r="CK243" i="9"/>
  <c r="CJ235" i="9"/>
  <c r="CK226" i="9"/>
  <c r="CK395" i="9"/>
  <c r="CJ392" i="9"/>
  <c r="CK389" i="9"/>
  <c r="CJ382" i="9"/>
  <c r="CJ367" i="9"/>
  <c r="CK364" i="9"/>
  <c r="CK357" i="9"/>
  <c r="CK381" i="9"/>
  <c r="CK97" i="9"/>
  <c r="CK275" i="9"/>
  <c r="CJ270" i="9"/>
  <c r="CK266" i="9"/>
  <c r="CK143" i="9"/>
  <c r="CJ139" i="9"/>
  <c r="CK135" i="9"/>
  <c r="CJ261" i="9"/>
  <c r="CJ249" i="9"/>
  <c r="CK241" i="9"/>
  <c r="CJ233" i="9"/>
  <c r="CK224" i="9"/>
  <c r="CJ340" i="9"/>
  <c r="CK333" i="9"/>
  <c r="CJ328" i="9"/>
  <c r="CK320" i="9"/>
  <c r="CJ309" i="9"/>
  <c r="CK301" i="9"/>
  <c r="AF407" i="9"/>
  <c r="CJ407" i="9"/>
  <c r="AF371" i="9"/>
  <c r="CJ371" i="9"/>
  <c r="AF388" i="9"/>
  <c r="CJ388" i="9"/>
  <c r="AF384" i="9"/>
  <c r="CJ384" i="9"/>
  <c r="AF370" i="9"/>
  <c r="CJ370" i="9"/>
  <c r="CK309" i="9"/>
  <c r="CJ301" i="9"/>
  <c r="AF363" i="9"/>
  <c r="CJ363" i="9"/>
  <c r="AF78" i="9"/>
  <c r="CJ78" i="9"/>
  <c r="AF376" i="9"/>
  <c r="CJ376" i="9"/>
  <c r="AF402" i="9"/>
  <c r="CJ402" i="9"/>
  <c r="AF396" i="9"/>
  <c r="CJ396" i="9"/>
  <c r="AF107" i="9"/>
  <c r="CJ107" i="9"/>
  <c r="CK406" i="9"/>
  <c r="CJ403" i="9"/>
  <c r="CK400" i="9"/>
  <c r="CJ397" i="9"/>
  <c r="AF380" i="9"/>
  <c r="CJ380" i="9"/>
  <c r="AF337" i="9"/>
  <c r="CJ337" i="9"/>
  <c r="CK355" i="9"/>
  <c r="CJ351" i="9"/>
  <c r="CK350" i="9"/>
  <c r="CJ408" i="9"/>
  <c r="CK405" i="9"/>
  <c r="CK378" i="9"/>
  <c r="AF375" i="9"/>
  <c r="CJ375" i="9"/>
  <c r="CK372" i="9"/>
  <c r="AF393" i="9"/>
  <c r="CJ393" i="9"/>
  <c r="CK390" i="9"/>
  <c r="CJ387" i="9"/>
  <c r="CK356" i="9"/>
  <c r="CJ353" i="9"/>
  <c r="CK352" i="9"/>
  <c r="CJ132" i="9"/>
  <c r="CK125" i="9"/>
  <c r="CJ119" i="9"/>
  <c r="CK91" i="9"/>
  <c r="CJ85" i="9"/>
  <c r="CK130" i="9"/>
  <c r="CJ120" i="9"/>
  <c r="CK116" i="9"/>
  <c r="CJ112" i="9"/>
  <c r="CK205" i="9"/>
  <c r="CJ201" i="9"/>
  <c r="CK195" i="9"/>
  <c r="CK178" i="9"/>
  <c r="CJ174" i="9"/>
  <c r="CK170" i="9"/>
  <c r="CJ297" i="9"/>
  <c r="CJ192" i="9"/>
  <c r="CK188" i="9"/>
  <c r="CJ184" i="9"/>
  <c r="CK180" i="9"/>
  <c r="CK146" i="9"/>
  <c r="CJ142" i="9"/>
  <c r="CK138" i="9"/>
  <c r="AF51" i="9"/>
  <c r="CJ51" i="9"/>
  <c r="CJ13" i="9"/>
  <c r="CK9" i="9"/>
  <c r="CJ6" i="9"/>
  <c r="CK3" i="9"/>
  <c r="CK379" i="9"/>
  <c r="AF373" i="9"/>
  <c r="CJ373" i="9"/>
  <c r="CK370" i="9"/>
  <c r="AF391" i="9"/>
  <c r="CJ391" i="9"/>
  <c r="CK388" i="9"/>
  <c r="CJ385" i="9"/>
  <c r="CK407" i="9"/>
  <c r="CJ404" i="9"/>
  <c r="CK401" i="9"/>
  <c r="AF365" i="9"/>
  <c r="CJ365" i="9"/>
  <c r="CK362" i="9"/>
  <c r="AF361" i="9"/>
  <c r="CJ361" i="9"/>
  <c r="CK104" i="9"/>
  <c r="AF99" i="9"/>
  <c r="CJ99" i="9"/>
  <c r="CK93" i="9"/>
  <c r="CJ114" i="9"/>
  <c r="CK110" i="9"/>
  <c r="CJ102" i="9"/>
  <c r="CK129" i="9"/>
  <c r="CJ128" i="9"/>
  <c r="CK122" i="9"/>
  <c r="CJ275" i="9"/>
  <c r="CK270" i="9"/>
  <c r="CJ266" i="9"/>
  <c r="CK171" i="9"/>
  <c r="CJ298" i="9"/>
  <c r="CK293" i="9"/>
  <c r="CJ285" i="9"/>
  <c r="CK280" i="9"/>
  <c r="CJ274" i="9"/>
  <c r="CK269" i="9"/>
  <c r="CJ265" i="9"/>
  <c r="CK208" i="9"/>
  <c r="CJ204" i="9"/>
  <c r="CK200" i="9"/>
  <c r="CK268" i="9"/>
  <c r="CJ264" i="9"/>
  <c r="CK207" i="9"/>
  <c r="CJ203" i="9"/>
  <c r="CK199" i="9"/>
  <c r="CJ197" i="9"/>
  <c r="CK193" i="9"/>
  <c r="CJ189" i="9"/>
  <c r="CK185" i="9"/>
  <c r="CJ181" i="9"/>
  <c r="CK177" i="9"/>
  <c r="CJ173" i="9"/>
  <c r="CK169" i="9"/>
  <c r="CJ167" i="9"/>
  <c r="CK296" i="9"/>
  <c r="CJ291" i="9"/>
  <c r="CK283" i="9"/>
  <c r="CJ278" i="9"/>
  <c r="CK272" i="9"/>
  <c r="CJ263" i="9"/>
  <c r="CJ295" i="9"/>
  <c r="CK294" i="9"/>
  <c r="CJ290" i="9"/>
  <c r="CK289" i="9"/>
  <c r="CJ288" i="9"/>
  <c r="CK287" i="9"/>
  <c r="CJ282" i="9"/>
  <c r="CK277" i="9"/>
  <c r="CJ276" i="9"/>
  <c r="CK271" i="9"/>
  <c r="CJ267" i="9"/>
  <c r="CK210" i="9"/>
  <c r="CJ52" i="9"/>
  <c r="CK48" i="9"/>
  <c r="CJ44" i="9"/>
  <c r="CK40" i="9"/>
  <c r="CJ36" i="9"/>
  <c r="CK32" i="9"/>
  <c r="CJ26" i="9"/>
  <c r="CK23" i="9"/>
  <c r="CK31" i="9"/>
  <c r="CJ22" i="9"/>
  <c r="CK18" i="9"/>
  <c r="CJ14" i="9"/>
  <c r="CK10" i="9"/>
  <c r="CJ7" i="9"/>
  <c r="CK165" i="9"/>
  <c r="CJ161" i="9"/>
  <c r="CK157" i="9"/>
  <c r="CJ153" i="9"/>
  <c r="CK149" i="9"/>
  <c r="CJ145" i="9"/>
  <c r="CK141" i="9"/>
  <c r="CJ137" i="9"/>
  <c r="CK50" i="9"/>
  <c r="CJ46" i="9"/>
  <c r="CK42" i="9"/>
  <c r="CJ38" i="9"/>
  <c r="CK34" i="9"/>
  <c r="CJ30" i="9"/>
  <c r="CJ148" i="9"/>
  <c r="CK144" i="9"/>
  <c r="CJ140" i="9"/>
  <c r="CK136" i="9"/>
  <c r="CJ49" i="9"/>
  <c r="CK45" i="9"/>
  <c r="CJ41" i="9"/>
  <c r="CK37" i="9"/>
  <c r="CJ33" i="9"/>
  <c r="CK29" i="9"/>
  <c r="CJ27" i="9"/>
  <c r="CK24" i="9"/>
  <c r="CJ20" i="9"/>
  <c r="CK16" i="9"/>
  <c r="CJ12" i="9"/>
  <c r="CK8" i="9"/>
  <c r="CJ5" i="9"/>
  <c r="CK4" i="9"/>
  <c r="CJ2" i="9"/>
  <c r="CK163" i="9"/>
  <c r="AF360" i="9"/>
  <c r="CJ360" i="9"/>
  <c r="AF350" i="9"/>
  <c r="CJ350" i="9"/>
  <c r="AF378" i="9"/>
  <c r="CJ378" i="9"/>
  <c r="AF372" i="9"/>
  <c r="CJ372" i="9"/>
  <c r="AF356" i="9"/>
  <c r="CJ356" i="9"/>
  <c r="AF352" i="9"/>
  <c r="CJ352" i="9"/>
  <c r="CJ205" i="9"/>
  <c r="CK201" i="9"/>
  <c r="CJ195" i="9"/>
  <c r="CJ178" i="9"/>
  <c r="CK174" i="9"/>
  <c r="CJ170" i="9"/>
  <c r="CK297" i="9"/>
  <c r="CK192" i="9"/>
  <c r="CJ188" i="9"/>
  <c r="CK184" i="9"/>
  <c r="CJ180" i="9"/>
  <c r="CJ146" i="9"/>
  <c r="CK142" i="9"/>
  <c r="CJ138" i="9"/>
  <c r="CK51" i="9"/>
  <c r="CK13" i="9"/>
  <c r="CJ9" i="9"/>
  <c r="CK6" i="9"/>
  <c r="CJ3" i="9"/>
  <c r="CJ395" i="9"/>
  <c r="CK392" i="9"/>
  <c r="AF389" i="9"/>
  <c r="CJ389" i="9"/>
  <c r="CK382" i="9"/>
  <c r="CK402" i="9"/>
  <c r="AF399" i="9"/>
  <c r="CJ399" i="9"/>
  <c r="CK396" i="9"/>
  <c r="CJ394" i="9"/>
  <c r="CK369" i="9"/>
  <c r="CJ366" i="9"/>
  <c r="CK363" i="9"/>
  <c r="AF359" i="9"/>
  <c r="CJ359" i="9"/>
  <c r="CK411" i="9"/>
  <c r="AF354" i="9"/>
  <c r="CJ354" i="9"/>
  <c r="CK410" i="9"/>
  <c r="AF349" i="9"/>
  <c r="CJ349" i="9"/>
  <c r="CK347" i="9"/>
  <c r="CJ386" i="9"/>
  <c r="CK384" i="9"/>
  <c r="AF383" i="9"/>
  <c r="CJ383" i="9"/>
  <c r="CK380" i="9"/>
  <c r="CJ377" i="9"/>
  <c r="CK376" i="9"/>
  <c r="CJ374" i="9"/>
  <c r="CK371" i="9"/>
  <c r="AF368" i="9"/>
  <c r="CJ368" i="9"/>
  <c r="CK348" i="9"/>
  <c r="CJ346" i="9"/>
  <c r="CK134" i="9"/>
  <c r="CJ127" i="9"/>
  <c r="CK105" i="9"/>
  <c r="CJ94" i="9"/>
  <c r="CK88" i="9"/>
  <c r="CJ133" i="9"/>
  <c r="CK126" i="9"/>
  <c r="CJ115" i="9"/>
  <c r="CK111" i="9"/>
  <c r="CJ103" i="9"/>
  <c r="CK98" i="9"/>
  <c r="CJ92" i="9"/>
  <c r="CK86" i="9"/>
  <c r="CJ131" i="9"/>
  <c r="CK124" i="9"/>
  <c r="CJ118" i="9"/>
  <c r="CK123" i="9"/>
  <c r="CJ117" i="9"/>
  <c r="CK113" i="9"/>
  <c r="CJ109" i="9"/>
  <c r="CK107" i="9"/>
  <c r="CJ101" i="9"/>
  <c r="CK96" i="9"/>
  <c r="CJ90" i="9"/>
  <c r="CK84" i="9"/>
  <c r="CJ108" i="9"/>
  <c r="CK106" i="9"/>
  <c r="CJ100" i="9"/>
  <c r="CK95" i="9"/>
  <c r="CJ89" i="9"/>
  <c r="CK262" i="9"/>
  <c r="CJ299" i="9"/>
  <c r="CK286" i="9"/>
  <c r="CJ281" i="9"/>
  <c r="CK191" i="9"/>
  <c r="CJ187" i="9"/>
  <c r="CK183" i="9"/>
  <c r="CJ179" i="9"/>
  <c r="CK175" i="9"/>
  <c r="CJ292" i="9"/>
  <c r="CK284" i="9"/>
  <c r="CJ279" i="9"/>
  <c r="CK273" i="9"/>
  <c r="CK176" i="9"/>
  <c r="CJ172" i="9"/>
  <c r="CK168" i="9"/>
  <c r="CJ166" i="9"/>
  <c r="CJ47" i="9"/>
  <c r="CK43" i="9"/>
  <c r="CJ39" i="9"/>
  <c r="CK35" i="9"/>
  <c r="CK164" i="9"/>
  <c r="CJ160" i="9"/>
  <c r="CK156" i="9"/>
  <c r="CJ152" i="9"/>
  <c r="CK367" i="9"/>
  <c r="AF364" i="9"/>
  <c r="CJ364" i="9"/>
  <c r="CK360" i="9"/>
  <c r="AF357" i="9"/>
  <c r="CJ357" i="9"/>
  <c r="CJ381" i="9"/>
  <c r="CK398" i="9"/>
  <c r="AF358" i="9"/>
  <c r="CJ358" i="9"/>
  <c r="CK87" i="9"/>
  <c r="CJ97" i="9"/>
  <c r="CJ28" i="9"/>
  <c r="CK25" i="9"/>
  <c r="CJ21" i="9"/>
  <c r="CK17" i="9"/>
  <c r="CK159" i="9"/>
  <c r="CJ155" i="9"/>
  <c r="CK151" i="9"/>
  <c r="CJ147" i="9"/>
  <c r="CK253" i="9"/>
  <c r="CJ245" i="9"/>
  <c r="CK237" i="9"/>
  <c r="CJ228" i="9"/>
  <c r="CJ218" i="9"/>
  <c r="CK83" i="9"/>
  <c r="CJ69" i="9"/>
  <c r="CK61" i="9"/>
  <c r="CK340" i="9"/>
  <c r="CJ333" i="9"/>
  <c r="CK328" i="9"/>
  <c r="CJ320" i="9"/>
  <c r="CJ315" i="9"/>
  <c r="CK307" i="9"/>
  <c r="CJ259" i="9"/>
  <c r="CJ143" i="9"/>
  <c r="CK139" i="9"/>
  <c r="CJ135" i="9"/>
  <c r="CK261" i="9"/>
  <c r="CK251" i="9"/>
  <c r="CJ243" i="9"/>
  <c r="CK235" i="9"/>
  <c r="CJ226" i="9"/>
  <c r="CJ216" i="9"/>
  <c r="CK81" i="9"/>
  <c r="CJ67" i="9"/>
  <c r="CK59" i="9"/>
  <c r="CJ163" i="9"/>
  <c r="CJ220" i="9"/>
  <c r="CK212" i="9"/>
  <c r="CJ71" i="9"/>
  <c r="CK63" i="9"/>
  <c r="CJ344" i="9"/>
  <c r="CK336" i="9"/>
  <c r="CJ324" i="9"/>
  <c r="CK316" i="9"/>
  <c r="CJ308" i="9"/>
  <c r="CK260" i="9"/>
  <c r="CJ252" i="9"/>
  <c r="CK244" i="9"/>
  <c r="CJ236" i="9"/>
  <c r="CK227" i="9"/>
  <c r="CJ219" i="9"/>
  <c r="CK211" i="9"/>
  <c r="CJ70" i="9"/>
  <c r="CK62" i="9"/>
  <c r="CJ343" i="9"/>
  <c r="CK335" i="9"/>
  <c r="CK342" i="9"/>
  <c r="CJ334" i="9"/>
  <c r="CK322" i="9"/>
  <c r="CJ314" i="9"/>
  <c r="CK306" i="9"/>
  <c r="CJ258" i="9"/>
  <c r="CK250" i="9"/>
  <c r="CJ242" i="9"/>
  <c r="CK234" i="9"/>
  <c r="CJ225" i="9"/>
  <c r="CK217" i="9"/>
  <c r="CJ82" i="9"/>
  <c r="CK68" i="9"/>
  <c r="CJ60" i="9"/>
  <c r="CK341" i="9"/>
  <c r="CJ329" i="9"/>
  <c r="CK321" i="9"/>
  <c r="CJ313" i="9"/>
  <c r="CK305" i="9"/>
  <c r="CJ257" i="9"/>
  <c r="CJ312" i="9"/>
  <c r="CK304" i="9"/>
  <c r="CJ256" i="9"/>
  <c r="CK248" i="9"/>
  <c r="CJ240" i="9"/>
  <c r="CK232" i="9"/>
  <c r="CJ223" i="9"/>
  <c r="CK215" i="9"/>
  <c r="CJ80" i="9"/>
  <c r="CK74" i="9"/>
  <c r="CJ66" i="9"/>
  <c r="CK58" i="9"/>
  <c r="CJ55" i="9"/>
  <c r="CK339" i="9"/>
  <c r="CJ332" i="9"/>
  <c r="CK327" i="9"/>
  <c r="CJ319" i="9"/>
  <c r="CK311" i="9"/>
  <c r="CJ303" i="9"/>
  <c r="CK255" i="9"/>
  <c r="CJ247" i="9"/>
  <c r="CK239" i="9"/>
  <c r="CJ231" i="9"/>
  <c r="CK222" i="9"/>
  <c r="CJ214" i="9"/>
  <c r="CK79" i="9"/>
  <c r="CJ77" i="9"/>
  <c r="CK73" i="9"/>
  <c r="CJ65" i="9"/>
  <c r="CK57" i="9"/>
  <c r="CJ54" i="9"/>
  <c r="CK338" i="9"/>
  <c r="CJ331" i="9"/>
  <c r="CK326" i="9"/>
  <c r="CJ318" i="9"/>
  <c r="CK310" i="9"/>
  <c r="CJ302" i="9"/>
  <c r="CK254" i="9"/>
  <c r="CJ246" i="9"/>
  <c r="CK238" i="9"/>
  <c r="CJ230" i="9"/>
  <c r="CK229" i="9"/>
  <c r="CJ221" i="9"/>
  <c r="AE358" i="9"/>
  <c r="AF192" i="9"/>
  <c r="AF146" i="9"/>
  <c r="AE72" i="9"/>
  <c r="AE56" i="9"/>
  <c r="AE301" i="9"/>
  <c r="AE400" i="9"/>
  <c r="AE373" i="9"/>
  <c r="AF367" i="9"/>
  <c r="AE408" i="9"/>
  <c r="AE388" i="9"/>
  <c r="AE359" i="9"/>
  <c r="AE404" i="9"/>
  <c r="AE380" i="9"/>
  <c r="AE362" i="9"/>
  <c r="AE127" i="9"/>
  <c r="AE99" i="9"/>
  <c r="AF87" i="9"/>
  <c r="AE98" i="9"/>
  <c r="AF97" i="9"/>
  <c r="AE109" i="9"/>
  <c r="AF121" i="9"/>
  <c r="AE95" i="9"/>
  <c r="AF209" i="9"/>
  <c r="AE179" i="9"/>
  <c r="AE265" i="9"/>
  <c r="AF194" i="9"/>
  <c r="AE203" i="9"/>
  <c r="AE283" i="9"/>
  <c r="AF206" i="9"/>
  <c r="AE289" i="9"/>
  <c r="AE36" i="9"/>
  <c r="AF19" i="9"/>
  <c r="AF162" i="9"/>
  <c r="AE14" i="9"/>
  <c r="AE136" i="9"/>
  <c r="AE63" i="9"/>
  <c r="AE314" i="9"/>
  <c r="AE248" i="9"/>
  <c r="AE87" i="9"/>
  <c r="AE277" i="9"/>
  <c r="AE162" i="9"/>
  <c r="AE316" i="9"/>
  <c r="AE78" i="9"/>
  <c r="AE360" i="9"/>
  <c r="AE396" i="9"/>
  <c r="AE390" i="9"/>
  <c r="AE371" i="9"/>
  <c r="AE353" i="9"/>
  <c r="AF348" i="9"/>
  <c r="AE133" i="9"/>
  <c r="AE125" i="9"/>
  <c r="AF115" i="9"/>
  <c r="AE124" i="9"/>
  <c r="AF123" i="9"/>
  <c r="AE90" i="9"/>
  <c r="AF108" i="9"/>
  <c r="AE286" i="9"/>
  <c r="AF191" i="9"/>
  <c r="AE293" i="9"/>
  <c r="AE178" i="9"/>
  <c r="AF292" i="9"/>
  <c r="AE173" i="9"/>
  <c r="AE192" i="9"/>
  <c r="AF176" i="9"/>
  <c r="AE210" i="9"/>
  <c r="AF47" i="9"/>
  <c r="AE145" i="9"/>
  <c r="AE24" i="9"/>
  <c r="AE244" i="9"/>
  <c r="AE82" i="9"/>
  <c r="AE209" i="9"/>
  <c r="AE194" i="9"/>
  <c r="AF300" i="9"/>
  <c r="AE337" i="9"/>
  <c r="AE325" i="9"/>
  <c r="AE389" i="9"/>
  <c r="AE375" i="9"/>
  <c r="AE300" i="9"/>
  <c r="AE75" i="9"/>
  <c r="AF64" i="9"/>
  <c r="AE409" i="9"/>
  <c r="AE355" i="9"/>
  <c r="AE369" i="9"/>
  <c r="AE386" i="9"/>
  <c r="AE348" i="9"/>
  <c r="AE115" i="9"/>
  <c r="AE123" i="9"/>
  <c r="AE108" i="9"/>
  <c r="AE191" i="9"/>
  <c r="AE269" i="9"/>
  <c r="AE292" i="9"/>
  <c r="AF268" i="9"/>
  <c r="AE291" i="9"/>
  <c r="AE176" i="9"/>
  <c r="AF295" i="9"/>
  <c r="AE40" i="9"/>
  <c r="AF31" i="9"/>
  <c r="AE46" i="9"/>
  <c r="AE8" i="9"/>
  <c r="AE211" i="9"/>
  <c r="AE329" i="9"/>
  <c r="AF395" i="9"/>
  <c r="AE367" i="9"/>
  <c r="AE19" i="9"/>
  <c r="AF135" i="9"/>
  <c r="AE242" i="9"/>
  <c r="AE58" i="9"/>
  <c r="AF53" i="9"/>
  <c r="AE403" i="9"/>
  <c r="AE350" i="9"/>
  <c r="AE93" i="9"/>
  <c r="AE102" i="9"/>
  <c r="AF89" i="9"/>
  <c r="AE266" i="9"/>
  <c r="AF175" i="9"/>
  <c r="AE200" i="9"/>
  <c r="AE268" i="9"/>
  <c r="AF199" i="9"/>
  <c r="AE263" i="9"/>
  <c r="AE295" i="9"/>
  <c r="AF288" i="9"/>
  <c r="AE23" i="9"/>
  <c r="AF10" i="9"/>
  <c r="AE30" i="9"/>
  <c r="AE163" i="9"/>
  <c r="AE335" i="9"/>
  <c r="AE257" i="9"/>
  <c r="AE381" i="9"/>
  <c r="AE121" i="9"/>
  <c r="AF178" i="9"/>
  <c r="AE189" i="9"/>
  <c r="AE215" i="9"/>
  <c r="AE64" i="9"/>
  <c r="AE309" i="9"/>
  <c r="AE370" i="9"/>
  <c r="AE363" i="9"/>
  <c r="AE401" i="9"/>
  <c r="AE383" i="9"/>
  <c r="AE361" i="9"/>
  <c r="AE134" i="9"/>
  <c r="AE122" i="9"/>
  <c r="AF213" i="9"/>
  <c r="AE53" i="9"/>
  <c r="AF330" i="9"/>
  <c r="AE397" i="9"/>
  <c r="AE405" i="9"/>
  <c r="AE411" i="9"/>
  <c r="AE377" i="9"/>
  <c r="AE105" i="9"/>
  <c r="AE92" i="9"/>
  <c r="AE107" i="9"/>
  <c r="AE89" i="9"/>
  <c r="AE175" i="9"/>
  <c r="AE182" i="9"/>
  <c r="AE199" i="9"/>
  <c r="AF185" i="9"/>
  <c r="AE196" i="9"/>
  <c r="AE288" i="9"/>
  <c r="AF276" i="9"/>
  <c r="AE345" i="9"/>
  <c r="AE150" i="9"/>
  <c r="AF157" i="9"/>
  <c r="AE17" i="9"/>
  <c r="AE147" i="9"/>
  <c r="AE259" i="9"/>
  <c r="AE224" i="9"/>
  <c r="AE97" i="9"/>
  <c r="AE206" i="9"/>
  <c r="AF397" i="9"/>
  <c r="AE385" i="9"/>
  <c r="AF377" i="9"/>
  <c r="AF105" i="9"/>
  <c r="AF92" i="9"/>
  <c r="AE213" i="9"/>
  <c r="AE76" i="9"/>
  <c r="AE330" i="9"/>
  <c r="AE392" i="9"/>
  <c r="AE357" i="9"/>
  <c r="AE399" i="9"/>
  <c r="AE372" i="9"/>
  <c r="AE410" i="9"/>
  <c r="AE387" i="9"/>
  <c r="AE374" i="9"/>
  <c r="AE352" i="9"/>
  <c r="AE88" i="9"/>
  <c r="AF126" i="9"/>
  <c r="AE119" i="9"/>
  <c r="AF118" i="9"/>
  <c r="AE130" i="9"/>
  <c r="AF84" i="9"/>
  <c r="AE112" i="9"/>
  <c r="AF281" i="9"/>
  <c r="AE195" i="9"/>
  <c r="AF285" i="9"/>
  <c r="AE297" i="9"/>
  <c r="AE185" i="9"/>
  <c r="AF169" i="9"/>
  <c r="AE180" i="9"/>
  <c r="AE276" i="9"/>
  <c r="AF52" i="9"/>
  <c r="AE51" i="9"/>
  <c r="AF141" i="9"/>
  <c r="AE3" i="9"/>
  <c r="AE261" i="9"/>
  <c r="AE226" i="9"/>
  <c r="AE59" i="9"/>
  <c r="AE398" i="9"/>
  <c r="AE161" i="9"/>
  <c r="AE37" i="9"/>
  <c r="AE317" i="9"/>
  <c r="AF400" i="9"/>
  <c r="AE382" i="9"/>
  <c r="AF351" i="9"/>
  <c r="AE394" i="9"/>
  <c r="AF366" i="9"/>
  <c r="AE347" i="9"/>
  <c r="AE368" i="9"/>
  <c r="AE126" i="9"/>
  <c r="AE118" i="9"/>
  <c r="AE84" i="9"/>
  <c r="AE281" i="9"/>
  <c r="AE285" i="9"/>
  <c r="AF265" i="9"/>
  <c r="AE273" i="9"/>
  <c r="AE169" i="9"/>
  <c r="AF283" i="9"/>
  <c r="AE166" i="9"/>
  <c r="AE52" i="9"/>
  <c r="AF36" i="9"/>
  <c r="AE35" i="9"/>
  <c r="AE152" i="9"/>
  <c r="AE228" i="9"/>
  <c r="AE61" i="9"/>
  <c r="AE320" i="9"/>
  <c r="AK409" i="9"/>
  <c r="AF409" i="9"/>
  <c r="AK382" i="9"/>
  <c r="AF382" i="9"/>
  <c r="AK355" i="9"/>
  <c r="AF355" i="9"/>
  <c r="AK405" i="9"/>
  <c r="AF405" i="9"/>
  <c r="AK394" i="9"/>
  <c r="AF394" i="9"/>
  <c r="AK381" i="9"/>
  <c r="AF381" i="9"/>
  <c r="AK369" i="9"/>
  <c r="AF369" i="9"/>
  <c r="AK411" i="9"/>
  <c r="AF411" i="9"/>
  <c r="AK347" i="9"/>
  <c r="AF347" i="9"/>
  <c r="AK398" i="9"/>
  <c r="AF398" i="9"/>
  <c r="AK386" i="9"/>
  <c r="AF386" i="9"/>
  <c r="AK42" i="9"/>
  <c r="AF42" i="9"/>
  <c r="AK28" i="9"/>
  <c r="AF28" i="9"/>
  <c r="AK13" i="9"/>
  <c r="AF13" i="9"/>
  <c r="AK164" i="9"/>
  <c r="AF164" i="9"/>
  <c r="AK148" i="9"/>
  <c r="AF148" i="9"/>
  <c r="AK49" i="9"/>
  <c r="AF49" i="9"/>
  <c r="AK33" i="9"/>
  <c r="AF33" i="9"/>
  <c r="AK20" i="9"/>
  <c r="AF20" i="9"/>
  <c r="AK5" i="9"/>
  <c r="AF5" i="9"/>
  <c r="BD280" i="9"/>
  <c r="BD208" i="9"/>
  <c r="BD190" i="9"/>
  <c r="BD174" i="9"/>
  <c r="BD284" i="9"/>
  <c r="BD264" i="9"/>
  <c r="BD197" i="9"/>
  <c r="BD181" i="9"/>
  <c r="BD167" i="9"/>
  <c r="BD278" i="9"/>
  <c r="BD202" i="9"/>
  <c r="BD188" i="9"/>
  <c r="BD172" i="9"/>
  <c r="BD294" i="9"/>
  <c r="BD287" i="9"/>
  <c r="BD271" i="9"/>
  <c r="BD48" i="9"/>
  <c r="BD32" i="9"/>
  <c r="BD15" i="9"/>
  <c r="AK76" i="9"/>
  <c r="AF76" i="9"/>
  <c r="AK56" i="9"/>
  <c r="AF56" i="9"/>
  <c r="AK325" i="9"/>
  <c r="AF325" i="9"/>
  <c r="AF408" i="9"/>
  <c r="AK385" i="9"/>
  <c r="AF385" i="9"/>
  <c r="AF401" i="9"/>
  <c r="AF387" i="9"/>
  <c r="AK317" i="9"/>
  <c r="AF317" i="9"/>
  <c r="AE327" i="9"/>
  <c r="AE255" i="9"/>
  <c r="AE222" i="9"/>
  <c r="AE73" i="9"/>
  <c r="AE338" i="9"/>
  <c r="AE310" i="9"/>
  <c r="AE238" i="9"/>
  <c r="AK75" i="9"/>
  <c r="AF75" i="9"/>
  <c r="BE300" i="9"/>
  <c r="AF301" i="9"/>
  <c r="BD400" i="9"/>
  <c r="BD389" i="9"/>
  <c r="BD370" i="9"/>
  <c r="BD357" i="9"/>
  <c r="BD408" i="9"/>
  <c r="BD396" i="9"/>
  <c r="BD385" i="9"/>
  <c r="BD372" i="9"/>
  <c r="BD359" i="9"/>
  <c r="BD349" i="9"/>
  <c r="BD401" i="9"/>
  <c r="BD387" i="9"/>
  <c r="BD380" i="9"/>
  <c r="BD371" i="9"/>
  <c r="BD361" i="9"/>
  <c r="BD352" i="9"/>
  <c r="BD127" i="9"/>
  <c r="BD133" i="9"/>
  <c r="BD93" i="9"/>
  <c r="BD119" i="9"/>
  <c r="AE103" i="9"/>
  <c r="BD98" i="9"/>
  <c r="AE131" i="9"/>
  <c r="BD124" i="9"/>
  <c r="AE110" i="9"/>
  <c r="BD102" i="9"/>
  <c r="AE85" i="9"/>
  <c r="BD130" i="9"/>
  <c r="AE113" i="9"/>
  <c r="BD109" i="9"/>
  <c r="AE96" i="9"/>
  <c r="BD90" i="9"/>
  <c r="AE128" i="9"/>
  <c r="BD122" i="9"/>
  <c r="AE116" i="9"/>
  <c r="BD112" i="9"/>
  <c r="AE100" i="9"/>
  <c r="BD95" i="9"/>
  <c r="AE299" i="9"/>
  <c r="BD286" i="9"/>
  <c r="AE270" i="9"/>
  <c r="BD76" i="9"/>
  <c r="BD56" i="9"/>
  <c r="BD325" i="9"/>
  <c r="AK72" i="9"/>
  <c r="AF72" i="9"/>
  <c r="AK309" i="9"/>
  <c r="AF309" i="9"/>
  <c r="AF346" i="9"/>
  <c r="AF94" i="9"/>
  <c r="AF104" i="9"/>
  <c r="AF132" i="9"/>
  <c r="AK406" i="9"/>
  <c r="AF406" i="9"/>
  <c r="AK379" i="9"/>
  <c r="AF379" i="9"/>
  <c r="BD78" i="9"/>
  <c r="BD64" i="9"/>
  <c r="BD330" i="9"/>
  <c r="BD301" i="9"/>
  <c r="BD158" i="9"/>
  <c r="AE146" i="9"/>
  <c r="BD142" i="9"/>
  <c r="AE47" i="9"/>
  <c r="BD43" i="9"/>
  <c r="AE31" i="9"/>
  <c r="BD22" i="9"/>
  <c r="AE10" i="9"/>
  <c r="BD7" i="9"/>
  <c r="AE157" i="9"/>
  <c r="BD153" i="9"/>
  <c r="AE141" i="9"/>
  <c r="BD137" i="9"/>
  <c r="AE42" i="9"/>
  <c r="BD38" i="9"/>
  <c r="AE28" i="9"/>
  <c r="BD25" i="9"/>
  <c r="AE13" i="9"/>
  <c r="BD9" i="9"/>
  <c r="AE164" i="9"/>
  <c r="BD160" i="9"/>
  <c r="AE148" i="9"/>
  <c r="BD144" i="9"/>
  <c r="AE49" i="9"/>
  <c r="BD45" i="9"/>
  <c r="AE33" i="9"/>
  <c r="BD29" i="9"/>
  <c r="AE20" i="9"/>
  <c r="BD16" i="9"/>
  <c r="AE5" i="9"/>
  <c r="BD4" i="9"/>
  <c r="AE159" i="9"/>
  <c r="BD155" i="9"/>
  <c r="AE143" i="9"/>
  <c r="BD139" i="9"/>
  <c r="AE253" i="9"/>
  <c r="BD245" i="9"/>
  <c r="AE220" i="9"/>
  <c r="BD212" i="9"/>
  <c r="AE344" i="9"/>
  <c r="BD336" i="9"/>
  <c r="AE308" i="9"/>
  <c r="BD260" i="9"/>
  <c r="AE236" i="9"/>
  <c r="BD227" i="9"/>
  <c r="AE70" i="9"/>
  <c r="BD62" i="9"/>
  <c r="AE323" i="9"/>
  <c r="BD315" i="9"/>
  <c r="AE251" i="9"/>
  <c r="BD243" i="9"/>
  <c r="AE218" i="9"/>
  <c r="BD83" i="9"/>
  <c r="AE342" i="9"/>
  <c r="BD334" i="9"/>
  <c r="AE306" i="9"/>
  <c r="BD258" i="9"/>
  <c r="AE234" i="9"/>
  <c r="BD225" i="9"/>
  <c r="AE68" i="9"/>
  <c r="BD60" i="9"/>
  <c r="AE321" i="9"/>
  <c r="BD313" i="9"/>
  <c r="AE249" i="9"/>
  <c r="BD241" i="9"/>
  <c r="AE216" i="9"/>
  <c r="BD81" i="9"/>
  <c r="AE340" i="9"/>
  <c r="BD333" i="9"/>
  <c r="AE312" i="9"/>
  <c r="BD304" i="9"/>
  <c r="AE240" i="9"/>
  <c r="BD232" i="9"/>
  <c r="AE80" i="9"/>
  <c r="AE55" i="9"/>
  <c r="AE319" i="9"/>
  <c r="BD311" i="9"/>
  <c r="AE247" i="9"/>
  <c r="AE214" i="9"/>
  <c r="BD79" i="9"/>
  <c r="AE65" i="9"/>
  <c r="AE331" i="9"/>
  <c r="BD326" i="9"/>
  <c r="AE302" i="9"/>
  <c r="AE230" i="9"/>
  <c r="AF127" i="9"/>
  <c r="AF133" i="9"/>
  <c r="AF93" i="9"/>
  <c r="AF119" i="9"/>
  <c r="AF98" i="9"/>
  <c r="AF124" i="9"/>
  <c r="AF102" i="9"/>
  <c r="AF130" i="9"/>
  <c r="AF109" i="9"/>
  <c r="AF90" i="9"/>
  <c r="AF122" i="9"/>
  <c r="AF112" i="9"/>
  <c r="AF95" i="9"/>
  <c r="AF286" i="9"/>
  <c r="AF266" i="9"/>
  <c r="AF195" i="9"/>
  <c r="AF179" i="9"/>
  <c r="AF293" i="9"/>
  <c r="AF269" i="9"/>
  <c r="AF200" i="9"/>
  <c r="AF182" i="9"/>
  <c r="AF297" i="9"/>
  <c r="AF273" i="9"/>
  <c r="AF203" i="9"/>
  <c r="AF189" i="9"/>
  <c r="AF173" i="9"/>
  <c r="AF291" i="9"/>
  <c r="AF263" i="9"/>
  <c r="AF196" i="9"/>
  <c r="AF180" i="9"/>
  <c r="AF166" i="9"/>
  <c r="AF289" i="9"/>
  <c r="AF277" i="9"/>
  <c r="AF210" i="9"/>
  <c r="AF40" i="9"/>
  <c r="AF23" i="9"/>
  <c r="AF345" i="9"/>
  <c r="AF150" i="9"/>
  <c r="AF35" i="9"/>
  <c r="AF14" i="9"/>
  <c r="AF161" i="9"/>
  <c r="AF145" i="9"/>
  <c r="AF46" i="9"/>
  <c r="AK30" i="9"/>
  <c r="AF30" i="9"/>
  <c r="AF17" i="9"/>
  <c r="AF3" i="9"/>
  <c r="AK152" i="9"/>
  <c r="AF152" i="9"/>
  <c r="AF136" i="9"/>
  <c r="AF37" i="9"/>
  <c r="AF403" i="9"/>
  <c r="AF392" i="9"/>
  <c r="AF410" i="9"/>
  <c r="AF404" i="9"/>
  <c r="AF390" i="9"/>
  <c r="AF374" i="9"/>
  <c r="AF362" i="9"/>
  <c r="AF353" i="9"/>
  <c r="AF134" i="9"/>
  <c r="AF88" i="9"/>
  <c r="AF125" i="9"/>
  <c r="AF103" i="9"/>
  <c r="AF131" i="9"/>
  <c r="AF110" i="9"/>
  <c r="AF85" i="9"/>
  <c r="AF113" i="9"/>
  <c r="AF96" i="9"/>
  <c r="AF128" i="9"/>
  <c r="AF116" i="9"/>
  <c r="AF100" i="9"/>
  <c r="AF299" i="9"/>
  <c r="AF270" i="9"/>
  <c r="AF201" i="9"/>
  <c r="AF183" i="9"/>
  <c r="AF298" i="9"/>
  <c r="AF274" i="9"/>
  <c r="AF204" i="9"/>
  <c r="AF186" i="9"/>
  <c r="AF170" i="9"/>
  <c r="AF279" i="9"/>
  <c r="AF207" i="9"/>
  <c r="AF193" i="9"/>
  <c r="AF177" i="9"/>
  <c r="AF296" i="9"/>
  <c r="AF272" i="9"/>
  <c r="AF198" i="9"/>
  <c r="AF184" i="9"/>
  <c r="AF168" i="9"/>
  <c r="AF290" i="9"/>
  <c r="AF282" i="9"/>
  <c r="AF267" i="9"/>
  <c r="AF44" i="9"/>
  <c r="AF26" i="9"/>
  <c r="AF11" i="9"/>
  <c r="AK154" i="9"/>
  <c r="AF154" i="9"/>
  <c r="BD266" i="9"/>
  <c r="AE201" i="9"/>
  <c r="BD195" i="9"/>
  <c r="AE183" i="9"/>
  <c r="BD179" i="9"/>
  <c r="AE298" i="9"/>
  <c r="BD293" i="9"/>
  <c r="AE274" i="9"/>
  <c r="BD269" i="9"/>
  <c r="AE204" i="9"/>
  <c r="BD200" i="9"/>
  <c r="AE186" i="9"/>
  <c r="BD182" i="9"/>
  <c r="AE170" i="9"/>
  <c r="BD297" i="9"/>
  <c r="AE279" i="9"/>
  <c r="BD273" i="9"/>
  <c r="AE207" i="9"/>
  <c r="BD203" i="9"/>
  <c r="AE193" i="9"/>
  <c r="BD189" i="9"/>
  <c r="AE177" i="9"/>
  <c r="BD173" i="9"/>
  <c r="AE296" i="9"/>
  <c r="BD291" i="9"/>
  <c r="AE272" i="9"/>
  <c r="BD263" i="9"/>
  <c r="AE198" i="9"/>
  <c r="BD196" i="9"/>
  <c r="AE184" i="9"/>
  <c r="BD180" i="9"/>
  <c r="AE168" i="9"/>
  <c r="BD166" i="9"/>
  <c r="AE290" i="9"/>
  <c r="BD289" i="9"/>
  <c r="AE282" i="9"/>
  <c r="BD277" i="9"/>
  <c r="AE267" i="9"/>
  <c r="BD210" i="9"/>
  <c r="AE44" i="9"/>
  <c r="BD40" i="9"/>
  <c r="AE26" i="9"/>
  <c r="BD23" i="9"/>
  <c r="AE11" i="9"/>
  <c r="AE154" i="9"/>
  <c r="BD150" i="9"/>
  <c r="AE138" i="9"/>
  <c r="BD51" i="9"/>
  <c r="AE39" i="9"/>
  <c r="BD35" i="9"/>
  <c r="AE18" i="9"/>
  <c r="BD14" i="9"/>
  <c r="AE165" i="9"/>
  <c r="BD161" i="9"/>
  <c r="AE149" i="9"/>
  <c r="BD145" i="9"/>
  <c r="AE50" i="9"/>
  <c r="BD46" i="9"/>
  <c r="AE34" i="9"/>
  <c r="BD30" i="9"/>
  <c r="AE21" i="9"/>
  <c r="BD17" i="9"/>
  <c r="AE6" i="9"/>
  <c r="BD3" i="9"/>
  <c r="AE156" i="9"/>
  <c r="BD152" i="9"/>
  <c r="AE140" i="9"/>
  <c r="BD136" i="9"/>
  <c r="AE41" i="9"/>
  <c r="BD37" i="9"/>
  <c r="AE27" i="9"/>
  <c r="BD24" i="9"/>
  <c r="AE12" i="9"/>
  <c r="BD8" i="9"/>
  <c r="AE2" i="9"/>
  <c r="BD163" i="9"/>
  <c r="AE151" i="9"/>
  <c r="BD147" i="9"/>
  <c r="AE135" i="9"/>
  <c r="BD261" i="9"/>
  <c r="AE237" i="9"/>
  <c r="BD228" i="9"/>
  <c r="AE71" i="9"/>
  <c r="BD63" i="9"/>
  <c r="AE324" i="9"/>
  <c r="BD316" i="9"/>
  <c r="AE252" i="9"/>
  <c r="BD244" i="9"/>
  <c r="AE219" i="9"/>
  <c r="BD211" i="9"/>
  <c r="AE343" i="9"/>
  <c r="BD335" i="9"/>
  <c r="AE307" i="9"/>
  <c r="BD259" i="9"/>
  <c r="AE235" i="9"/>
  <c r="BD226" i="9"/>
  <c r="AE69" i="9"/>
  <c r="BD61" i="9"/>
  <c r="AE322" i="9"/>
  <c r="AF111" i="9"/>
  <c r="AF86" i="9"/>
  <c r="AF114" i="9"/>
  <c r="AF91" i="9"/>
  <c r="AF117" i="9"/>
  <c r="AF101" i="9"/>
  <c r="AF129" i="9"/>
  <c r="AF120" i="9"/>
  <c r="AF106" i="9"/>
  <c r="AF262" i="9"/>
  <c r="AF275" i="9"/>
  <c r="AF205" i="9"/>
  <c r="AF187" i="9"/>
  <c r="AF171" i="9"/>
  <c r="AF280" i="9"/>
  <c r="AF208" i="9"/>
  <c r="AF190" i="9"/>
  <c r="AF174" i="9"/>
  <c r="AF284" i="9"/>
  <c r="AF264" i="9"/>
  <c r="AF197" i="9"/>
  <c r="AF181" i="9"/>
  <c r="AF167" i="9"/>
  <c r="AF278" i="9"/>
  <c r="AF202" i="9"/>
  <c r="AF188" i="9"/>
  <c r="AF172" i="9"/>
  <c r="AF294" i="9"/>
  <c r="AF287" i="9"/>
  <c r="AF271" i="9"/>
  <c r="AF48" i="9"/>
  <c r="AF32" i="9"/>
  <c r="AF15" i="9"/>
  <c r="AF158" i="9"/>
  <c r="AF142" i="9"/>
  <c r="AF43" i="9"/>
  <c r="AF22" i="9"/>
  <c r="AF7" i="9"/>
  <c r="AE406" i="9"/>
  <c r="BD403" i="9"/>
  <c r="AE395" i="9"/>
  <c r="BD392" i="9"/>
  <c r="AE379" i="9"/>
  <c r="BD373" i="9"/>
  <c r="AE364" i="9"/>
  <c r="BD360" i="9"/>
  <c r="AE351" i="9"/>
  <c r="BD350" i="9"/>
  <c r="AE402" i="9"/>
  <c r="BD399" i="9"/>
  <c r="AE391" i="9"/>
  <c r="BD388" i="9"/>
  <c r="AE378" i="9"/>
  <c r="BD375" i="9"/>
  <c r="AE366" i="9"/>
  <c r="BD363" i="9"/>
  <c r="AE354" i="9"/>
  <c r="BD410" i="9"/>
  <c r="AE407" i="9"/>
  <c r="BD404" i="9"/>
  <c r="AE393" i="9"/>
  <c r="BD390" i="9"/>
  <c r="AE384" i="9"/>
  <c r="BD383" i="9"/>
  <c r="AE376" i="9"/>
  <c r="BD374" i="9"/>
  <c r="AE365" i="9"/>
  <c r="BD362" i="9"/>
  <c r="AE356" i="9"/>
  <c r="BD353" i="9"/>
  <c r="AE346" i="9"/>
  <c r="BD134" i="9"/>
  <c r="AE94" i="9"/>
  <c r="BD88" i="9"/>
  <c r="AE104" i="9"/>
  <c r="BD99" i="9"/>
  <c r="AE132" i="9"/>
  <c r="BD125" i="9"/>
  <c r="AE111" i="9"/>
  <c r="BD103" i="9"/>
  <c r="AE86" i="9"/>
  <c r="BD131" i="9"/>
  <c r="AE114" i="9"/>
  <c r="BD110" i="9"/>
  <c r="AE91" i="9"/>
  <c r="BD85" i="9"/>
  <c r="AE117" i="9"/>
  <c r="BD113" i="9"/>
  <c r="AE101" i="9"/>
  <c r="BD96" i="9"/>
  <c r="AE129" i="9"/>
  <c r="BD128" i="9"/>
  <c r="AE120" i="9"/>
  <c r="BD116" i="9"/>
  <c r="AE106" i="9"/>
  <c r="BD100" i="9"/>
  <c r="AE262" i="9"/>
  <c r="BD299" i="9"/>
  <c r="AE275" i="9"/>
  <c r="BD270" i="9"/>
  <c r="AE205" i="9"/>
  <c r="BD201" i="9"/>
  <c r="AE187" i="9"/>
  <c r="BD183" i="9"/>
  <c r="AE171" i="9"/>
  <c r="BD298" i="9"/>
  <c r="AE280" i="9"/>
  <c r="BD274" i="9"/>
  <c r="AE208" i="9"/>
  <c r="BD204" i="9"/>
  <c r="AE190" i="9"/>
  <c r="BD186" i="9"/>
  <c r="AE174" i="9"/>
  <c r="BD170" i="9"/>
  <c r="AE284" i="9"/>
  <c r="BD279" i="9"/>
  <c r="AE264" i="9"/>
  <c r="BD207" i="9"/>
  <c r="AE197" i="9"/>
  <c r="BD193" i="9"/>
  <c r="AE181" i="9"/>
  <c r="BD177" i="9"/>
  <c r="AE167" i="9"/>
  <c r="BD296" i="9"/>
  <c r="AE278" i="9"/>
  <c r="BD272" i="9"/>
  <c r="AE202" i="9"/>
  <c r="BD198" i="9"/>
  <c r="AE188" i="9"/>
  <c r="BD184" i="9"/>
  <c r="AE172" i="9"/>
  <c r="BD168" i="9"/>
  <c r="AE294" i="9"/>
  <c r="BD290" i="9"/>
  <c r="AE287" i="9"/>
  <c r="BD282" i="9"/>
  <c r="AE271" i="9"/>
  <c r="BD267" i="9"/>
  <c r="AE48" i="9"/>
  <c r="BD44" i="9"/>
  <c r="AE32" i="9"/>
  <c r="BD26" i="9"/>
  <c r="AE15" i="9"/>
  <c r="BD11" i="9"/>
  <c r="AE158" i="9"/>
  <c r="BD154" i="9"/>
  <c r="AK159" i="9"/>
  <c r="AF159" i="9"/>
  <c r="AK143" i="9"/>
  <c r="AF143" i="9"/>
  <c r="AK253" i="9"/>
  <c r="AF253" i="9"/>
  <c r="AK220" i="9"/>
  <c r="AF220" i="9"/>
  <c r="AK344" i="9"/>
  <c r="AF344" i="9"/>
  <c r="AK308" i="9"/>
  <c r="AF308" i="9"/>
  <c r="AK236" i="9"/>
  <c r="AF236" i="9"/>
  <c r="AK70" i="9"/>
  <c r="AF70" i="9"/>
  <c r="AK323" i="9"/>
  <c r="AF323" i="9"/>
  <c r="AK251" i="9"/>
  <c r="AF251" i="9"/>
  <c r="AK218" i="9"/>
  <c r="AF218" i="9"/>
  <c r="AK342" i="9"/>
  <c r="AF342" i="9"/>
  <c r="AF306" i="9"/>
  <c r="AF234" i="9"/>
  <c r="AF68" i="9"/>
  <c r="AF321" i="9"/>
  <c r="AF249" i="9"/>
  <c r="CL241" i="9"/>
  <c r="AF216" i="9"/>
  <c r="AF340" i="9"/>
  <c r="AF312" i="9"/>
  <c r="AF240" i="9"/>
  <c r="AF80" i="9"/>
  <c r="AF55" i="9"/>
  <c r="AF319" i="9"/>
  <c r="AF247" i="9"/>
  <c r="AF214" i="9"/>
  <c r="AF65" i="9"/>
  <c r="AF331" i="9"/>
  <c r="AF302" i="9"/>
  <c r="AF230" i="9"/>
  <c r="AF24" i="9"/>
  <c r="AF8" i="9"/>
  <c r="AF163" i="9"/>
  <c r="AF147" i="9"/>
  <c r="AF261" i="9"/>
  <c r="AF228" i="9"/>
  <c r="AF63" i="9"/>
  <c r="AF316" i="9"/>
  <c r="AF244" i="9"/>
  <c r="AF211" i="9"/>
  <c r="AF335" i="9"/>
  <c r="AF259" i="9"/>
  <c r="AF226" i="9"/>
  <c r="AF61" i="9"/>
  <c r="AF314" i="9"/>
  <c r="AF242" i="9"/>
  <c r="AF82" i="9"/>
  <c r="AF329" i="9"/>
  <c r="AF257" i="9"/>
  <c r="AF224" i="9"/>
  <c r="AF59" i="9"/>
  <c r="AF320" i="9"/>
  <c r="AK248" i="9"/>
  <c r="AF248" i="9"/>
  <c r="AF215" i="9"/>
  <c r="AF58" i="9"/>
  <c r="AF327" i="9"/>
  <c r="AF255" i="9"/>
  <c r="AF222" i="9"/>
  <c r="AF73" i="9"/>
  <c r="AF338" i="9"/>
  <c r="AF310" i="9"/>
  <c r="AF238" i="9"/>
  <c r="AF138" i="9"/>
  <c r="AF39" i="9"/>
  <c r="AF18" i="9"/>
  <c r="AF165" i="9"/>
  <c r="AF149" i="9"/>
  <c r="AF50" i="9"/>
  <c r="AF34" i="9"/>
  <c r="AK21" i="9"/>
  <c r="AF21" i="9"/>
  <c r="AF6" i="9"/>
  <c r="AK156" i="9"/>
  <c r="AF156" i="9"/>
  <c r="AF140" i="9"/>
  <c r="AK41" i="9"/>
  <c r="AF41" i="9"/>
  <c r="AK27" i="9"/>
  <c r="AF27" i="9"/>
  <c r="AK12" i="9"/>
  <c r="AF12" i="9"/>
  <c r="AK2" i="9"/>
  <c r="AF2" i="9"/>
  <c r="AK151" i="9"/>
  <c r="AF151" i="9"/>
  <c r="AK135" i="9"/>
  <c r="AK237" i="9"/>
  <c r="AF237" i="9"/>
  <c r="CL228" i="9"/>
  <c r="AK71" i="9"/>
  <c r="AF71" i="9"/>
  <c r="AK324" i="9"/>
  <c r="AF324" i="9"/>
  <c r="AF252" i="9"/>
  <c r="AF219" i="9"/>
  <c r="AF343" i="9"/>
  <c r="AK307" i="9"/>
  <c r="AF307" i="9"/>
  <c r="AF235" i="9"/>
  <c r="AK69" i="9"/>
  <c r="AF69" i="9"/>
  <c r="AF322" i="9"/>
  <c r="AF250" i="9"/>
  <c r="AF217" i="9"/>
  <c r="AF341" i="9"/>
  <c r="AF305" i="9"/>
  <c r="AF233" i="9"/>
  <c r="AF67" i="9"/>
  <c r="AF328" i="9"/>
  <c r="AF256" i="9"/>
  <c r="AF223" i="9"/>
  <c r="AF66" i="9"/>
  <c r="AF332" i="9"/>
  <c r="AF303" i="9"/>
  <c r="AF231" i="9"/>
  <c r="AF77" i="9"/>
  <c r="AF54" i="9"/>
  <c r="AF318" i="9"/>
  <c r="AF246" i="9"/>
  <c r="AF221" i="9"/>
  <c r="BD314" i="9"/>
  <c r="AE250" i="9"/>
  <c r="BD242" i="9"/>
  <c r="AE217" i="9"/>
  <c r="BD82" i="9"/>
  <c r="AE341" i="9"/>
  <c r="BD329" i="9"/>
  <c r="AE305" i="9"/>
  <c r="BD257" i="9"/>
  <c r="AE233" i="9"/>
  <c r="BD224" i="9"/>
  <c r="AE67" i="9"/>
  <c r="BD59" i="9"/>
  <c r="AE328" i="9"/>
  <c r="BD320" i="9"/>
  <c r="AE256" i="9"/>
  <c r="BD248" i="9"/>
  <c r="AE223" i="9"/>
  <c r="BD215" i="9"/>
  <c r="AE66" i="9"/>
  <c r="AE332" i="9"/>
  <c r="BD327" i="9"/>
  <c r="AE303" i="9"/>
  <c r="AE231" i="9"/>
  <c r="BD222" i="9"/>
  <c r="AE77" i="9"/>
  <c r="AE54" i="9"/>
  <c r="AE318" i="9"/>
  <c r="AE246" i="9"/>
  <c r="AE221" i="9"/>
  <c r="AF153" i="9"/>
  <c r="AF137" i="9"/>
  <c r="AF38" i="9"/>
  <c r="AF25" i="9"/>
  <c r="AF9" i="9"/>
  <c r="AF160" i="9"/>
  <c r="AF144" i="9"/>
  <c r="AF45" i="9"/>
  <c r="AF29" i="9"/>
  <c r="AF16" i="9"/>
  <c r="AF4" i="9"/>
  <c r="AF155" i="9"/>
  <c r="AF139" i="9"/>
  <c r="AF245" i="9"/>
  <c r="AF212" i="9"/>
  <c r="AF336" i="9"/>
  <c r="AF260" i="9"/>
  <c r="AF227" i="9"/>
  <c r="AF62" i="9"/>
  <c r="AF315" i="9"/>
  <c r="AF243" i="9"/>
  <c r="AF83" i="9"/>
  <c r="AF334" i="9"/>
  <c r="AF258" i="9"/>
  <c r="AF225" i="9"/>
  <c r="AF60" i="9"/>
  <c r="AF313" i="9"/>
  <c r="AF241" i="9"/>
  <c r="AF81" i="9"/>
  <c r="AF333" i="9"/>
  <c r="AF304" i="9"/>
  <c r="AF232" i="9"/>
  <c r="AF74" i="9"/>
  <c r="AF339" i="9"/>
  <c r="AF311" i="9"/>
  <c r="AF239" i="9"/>
  <c r="AF79" i="9"/>
  <c r="AF57" i="9"/>
  <c r="AF326" i="9"/>
  <c r="AF254" i="9"/>
  <c r="AF229" i="9"/>
  <c r="AE142" i="9"/>
  <c r="BD138" i="9"/>
  <c r="AE43" i="9"/>
  <c r="BD39" i="9"/>
  <c r="AE22" i="9"/>
  <c r="BD18" i="9"/>
  <c r="AE7" i="9"/>
  <c r="BD165" i="9"/>
  <c r="AE153" i="9"/>
  <c r="BD149" i="9"/>
  <c r="AE137" i="9"/>
  <c r="BD50" i="9"/>
  <c r="AE38" i="9"/>
  <c r="BD34" i="9"/>
  <c r="AE25" i="9"/>
  <c r="BD21" i="9"/>
  <c r="AE9" i="9"/>
  <c r="BD6" i="9"/>
  <c r="AE160" i="9"/>
  <c r="BD156" i="9"/>
  <c r="AE144" i="9"/>
  <c r="BD140" i="9"/>
  <c r="AE45" i="9"/>
  <c r="BD41" i="9"/>
  <c r="AE29" i="9"/>
  <c r="BD27" i="9"/>
  <c r="AE16" i="9"/>
  <c r="BD12" i="9"/>
  <c r="AE4" i="9"/>
  <c r="BD2" i="9"/>
  <c r="AE155" i="9"/>
  <c r="BD151" i="9"/>
  <c r="AE139" i="9"/>
  <c r="BD135" i="9"/>
  <c r="AE245" i="9"/>
  <c r="BD237" i="9"/>
  <c r="AE212" i="9"/>
  <c r="BD71" i="9"/>
  <c r="AE336" i="9"/>
  <c r="BD324" i="9"/>
  <c r="AE260" i="9"/>
  <c r="BD252" i="9"/>
  <c r="AE227" i="9"/>
  <c r="BD219" i="9"/>
  <c r="AE62" i="9"/>
  <c r="BD343" i="9"/>
  <c r="AE315" i="9"/>
  <c r="BD307" i="9"/>
  <c r="AE243" i="9"/>
  <c r="BD235" i="9"/>
  <c r="AE83" i="9"/>
  <c r="BD69" i="9"/>
  <c r="AE334" i="9"/>
  <c r="BD322" i="9"/>
  <c r="AE258" i="9"/>
  <c r="BD250" i="9"/>
  <c r="AE225" i="9"/>
  <c r="BD217" i="9"/>
  <c r="AE60" i="9"/>
  <c r="BD341" i="9"/>
  <c r="AE313" i="9"/>
  <c r="BD305" i="9"/>
  <c r="AE241" i="9"/>
  <c r="BD233" i="9"/>
  <c r="AE81" i="9"/>
  <c r="BD67" i="9"/>
  <c r="AE333" i="9"/>
  <c r="BD328" i="9"/>
  <c r="AE304" i="9"/>
  <c r="BD256" i="9"/>
  <c r="AE232" i="9"/>
  <c r="BD223" i="9"/>
  <c r="AE74" i="9"/>
  <c r="AE339" i="9"/>
  <c r="BD332" i="9"/>
  <c r="AE311" i="9"/>
  <c r="AE239" i="9"/>
  <c r="BD231" i="9"/>
  <c r="AE79" i="9"/>
  <c r="AE57" i="9"/>
  <c r="BD54" i="9"/>
  <c r="AE326" i="9"/>
  <c r="AE254" i="9"/>
  <c r="BD246" i="9"/>
  <c r="AE229" i="9"/>
  <c r="BE213" i="9"/>
  <c r="BE78" i="9"/>
  <c r="BE76" i="9"/>
  <c r="BE75" i="9"/>
  <c r="BE72" i="9"/>
  <c r="BE64" i="9"/>
  <c r="BE56" i="9"/>
  <c r="BE53" i="9"/>
  <c r="BE337" i="9"/>
  <c r="BE330" i="9"/>
  <c r="BE325" i="9"/>
  <c r="BE317" i="9"/>
  <c r="BE309" i="9"/>
  <c r="BE301" i="9"/>
  <c r="BE409" i="9"/>
  <c r="BE406" i="9"/>
  <c r="BE403" i="9"/>
  <c r="BE400" i="9"/>
  <c r="BE397" i="9"/>
  <c r="BE395" i="9"/>
  <c r="BE392" i="9"/>
  <c r="BE389" i="9"/>
  <c r="BE382" i="9"/>
  <c r="BE379" i="9"/>
  <c r="BE373" i="9"/>
  <c r="BE370" i="9"/>
  <c r="BE367" i="9"/>
  <c r="BE364" i="9"/>
  <c r="BE360" i="9"/>
  <c r="BE357" i="9"/>
  <c r="BE355" i="9"/>
  <c r="BE351" i="9"/>
  <c r="BE350" i="9"/>
  <c r="BE408" i="9"/>
  <c r="BE405" i="9"/>
  <c r="BE402" i="9"/>
  <c r="BE399" i="9"/>
  <c r="BE396" i="9"/>
  <c r="BE394" i="9"/>
  <c r="BE391" i="9"/>
  <c r="BE388" i="9"/>
  <c r="BE385" i="9"/>
  <c r="BE381" i="9"/>
  <c r="BE378" i="9"/>
  <c r="BE375" i="9"/>
  <c r="BE372" i="9"/>
  <c r="BE369" i="9"/>
  <c r="BE366" i="9"/>
  <c r="BE363" i="9"/>
  <c r="BE359" i="9"/>
  <c r="BE411" i="9"/>
  <c r="BE354" i="9"/>
  <c r="BE410" i="9"/>
  <c r="BE349" i="9"/>
  <c r="BE347" i="9"/>
  <c r="BE407" i="9"/>
  <c r="BE404" i="9"/>
  <c r="BE401" i="9"/>
  <c r="BE398" i="9"/>
  <c r="BE393" i="9"/>
  <c r="BE390" i="9"/>
  <c r="BE387" i="9"/>
  <c r="BE386" i="9"/>
  <c r="BE384" i="9"/>
  <c r="BE383" i="9"/>
  <c r="BE380" i="9"/>
  <c r="BE377" i="9"/>
  <c r="BE376" i="9"/>
  <c r="BE374" i="9"/>
  <c r="BE371" i="9"/>
  <c r="BE368" i="9"/>
  <c r="BE365" i="9"/>
  <c r="BE362" i="9"/>
  <c r="BE361" i="9"/>
  <c r="BE358" i="9"/>
  <c r="BE356" i="9"/>
  <c r="BE353" i="9"/>
  <c r="BE352" i="9"/>
  <c r="BE348" i="9"/>
  <c r="BE346" i="9"/>
  <c r="BE134" i="9"/>
  <c r="BE127" i="9"/>
  <c r="BE94" i="9"/>
  <c r="BE88" i="9"/>
  <c r="BE133" i="9"/>
  <c r="BE126" i="9"/>
  <c r="BE104" i="9"/>
  <c r="BE99" i="9"/>
  <c r="BE93" i="9"/>
  <c r="BE87" i="9"/>
  <c r="BE132" i="9"/>
  <c r="BE125" i="9"/>
  <c r="BE119" i="9"/>
  <c r="BE115" i="9"/>
  <c r="BE111" i="9"/>
  <c r="BE103" i="9"/>
  <c r="BE98" i="9"/>
  <c r="BE92" i="9"/>
  <c r="BE86" i="9"/>
  <c r="BE131" i="9"/>
  <c r="BE124" i="9"/>
  <c r="BE118" i="9"/>
  <c r="BE114" i="9"/>
  <c r="BE110" i="9"/>
  <c r="BE102" i="9"/>
  <c r="BE97" i="9"/>
  <c r="BE91" i="9"/>
  <c r="AK380" i="9"/>
  <c r="AK377" i="9"/>
  <c r="AK376" i="9"/>
  <c r="AK374" i="9"/>
  <c r="AK371" i="9"/>
  <c r="AK368" i="9"/>
  <c r="AK365" i="9"/>
  <c r="AK362" i="9"/>
  <c r="AK361" i="9"/>
  <c r="AK358" i="9"/>
  <c r="AK356" i="9"/>
  <c r="AK353" i="9"/>
  <c r="AK348" i="9"/>
  <c r="AK105" i="9"/>
  <c r="AK126" i="9"/>
  <c r="AK87" i="9"/>
  <c r="AK115" i="9"/>
  <c r="AK92" i="9"/>
  <c r="AK86" i="9"/>
  <c r="BE85" i="9"/>
  <c r="BE130" i="9"/>
  <c r="BE123" i="9"/>
  <c r="BE117" i="9"/>
  <c r="BE113" i="9"/>
  <c r="BE109" i="9"/>
  <c r="BE107" i="9"/>
  <c r="BE101" i="9"/>
  <c r="BE96" i="9"/>
  <c r="BE90" i="9"/>
  <c r="BE84" i="9"/>
  <c r="BE129" i="9"/>
  <c r="BE128" i="9"/>
  <c r="BE122" i="9"/>
  <c r="BE121" i="9"/>
  <c r="BE120" i="9"/>
  <c r="BE116" i="9"/>
  <c r="BE112" i="9"/>
  <c r="BE108" i="9"/>
  <c r="BE106" i="9"/>
  <c r="BE100" i="9"/>
  <c r="BE95" i="9"/>
  <c r="BE89" i="9"/>
  <c r="BE262" i="9"/>
  <c r="BE299" i="9"/>
  <c r="BE286" i="9"/>
  <c r="BE281" i="9"/>
  <c r="BE275" i="9"/>
  <c r="BE270" i="9"/>
  <c r="BE266" i="9"/>
  <c r="BE209" i="9"/>
  <c r="BE205" i="9"/>
  <c r="BE201" i="9"/>
  <c r="BE195" i="9"/>
  <c r="BE191" i="9"/>
  <c r="BE187" i="9"/>
  <c r="BE183" i="9"/>
  <c r="BE179" i="9"/>
  <c r="BE175" i="9"/>
  <c r="BE171" i="9"/>
  <c r="BE298" i="9"/>
  <c r="BE293" i="9"/>
  <c r="BE285" i="9"/>
  <c r="BE280" i="9"/>
  <c r="BE274" i="9"/>
  <c r="BE269" i="9"/>
  <c r="BE265" i="9"/>
  <c r="BE208" i="9"/>
  <c r="BE204" i="9"/>
  <c r="BE200" i="9"/>
  <c r="BE194" i="9"/>
  <c r="BE190" i="9"/>
  <c r="BE186" i="9"/>
  <c r="BE182" i="9"/>
  <c r="BE178" i="9"/>
  <c r="BE174" i="9"/>
  <c r="BE170" i="9"/>
  <c r="BE297" i="9"/>
  <c r="BE292" i="9"/>
  <c r="BE284" i="9"/>
  <c r="BE279" i="9"/>
  <c r="BE273" i="9"/>
  <c r="BE268" i="9"/>
  <c r="BE264" i="9"/>
  <c r="BE207" i="9"/>
  <c r="BE203" i="9"/>
  <c r="BE199" i="9"/>
  <c r="BE197" i="9"/>
  <c r="BE193" i="9"/>
  <c r="BE189" i="9"/>
  <c r="BE185" i="9"/>
  <c r="BE181" i="9"/>
  <c r="BE177" i="9"/>
  <c r="BE173" i="9"/>
  <c r="BE169" i="9"/>
  <c r="BE167" i="9"/>
  <c r="BE296" i="9"/>
  <c r="BE291" i="9"/>
  <c r="BE283" i="9"/>
  <c r="BE278" i="9"/>
  <c r="BE272" i="9"/>
  <c r="BE263" i="9"/>
  <c r="BE253" i="9"/>
  <c r="BE340" i="9"/>
  <c r="BD74" i="9"/>
  <c r="BD338" i="9"/>
  <c r="BD238" i="9"/>
  <c r="BD229" i="9"/>
  <c r="AK118" i="9"/>
  <c r="AK97" i="9"/>
  <c r="AK91" i="9"/>
  <c r="AK123" i="9"/>
  <c r="AK107" i="9"/>
  <c r="AK84" i="9"/>
  <c r="AK121" i="9"/>
  <c r="AK108" i="9"/>
  <c r="AK89" i="9"/>
  <c r="AK281" i="9"/>
  <c r="AK209" i="9"/>
  <c r="AK191" i="9"/>
  <c r="AK175" i="9"/>
  <c r="AK171" i="9"/>
  <c r="AK285" i="9"/>
  <c r="AK265" i="9"/>
  <c r="AK208" i="9"/>
  <c r="AK194" i="9"/>
  <c r="AK178" i="9"/>
  <c r="AK268" i="9"/>
  <c r="AK207" i="9"/>
  <c r="AK185" i="9"/>
  <c r="AK177" i="9"/>
  <c r="AK173" i="9"/>
  <c r="AK169" i="9"/>
  <c r="AK296" i="9"/>
  <c r="AK283" i="9"/>
  <c r="AK272" i="9"/>
  <c r="AK263" i="9"/>
  <c r="AK206" i="9"/>
  <c r="AK192" i="9"/>
  <c r="AK184" i="9"/>
  <c r="AK180" i="9"/>
  <c r="AK176" i="9"/>
  <c r="AK295" i="9"/>
  <c r="AK290" i="9"/>
  <c r="AK289" i="9"/>
  <c r="AK288" i="9"/>
  <c r="AK276" i="9"/>
  <c r="AK267" i="9"/>
  <c r="AK210" i="9"/>
  <c r="AK52" i="9"/>
  <c r="AK44" i="9"/>
  <c r="AK36" i="9"/>
  <c r="AK26" i="9"/>
  <c r="AK23" i="9"/>
  <c r="AK19" i="9"/>
  <c r="AK162" i="9"/>
  <c r="AK150" i="9"/>
  <c r="AK146" i="9"/>
  <c r="AK47" i="9"/>
  <c r="AK39" i="9"/>
  <c r="AK35" i="9"/>
  <c r="AK31" i="9"/>
  <c r="AK10" i="9"/>
  <c r="AK165" i="9"/>
  <c r="AK161" i="9"/>
  <c r="AK157" i="9"/>
  <c r="AK149" i="9"/>
  <c r="AK141" i="9"/>
  <c r="AK50" i="9"/>
  <c r="AK46" i="9"/>
  <c r="AK219" i="9"/>
  <c r="AK306" i="9"/>
  <c r="AK250" i="9"/>
  <c r="AK234" i="9"/>
  <c r="AK68" i="9"/>
  <c r="AK60" i="9"/>
  <c r="AK341" i="9"/>
  <c r="AK321" i="9"/>
  <c r="AK257" i="9"/>
  <c r="AK233" i="9"/>
  <c r="AK224" i="9"/>
  <c r="AK216" i="9"/>
  <c r="AK81" i="9"/>
  <c r="AK320" i="9"/>
  <c r="AK312" i="9"/>
  <c r="AK304" i="9"/>
  <c r="AK215" i="9"/>
  <c r="AK80" i="9"/>
  <c r="AK74" i="9"/>
  <c r="AK77" i="9"/>
  <c r="AK310" i="9"/>
  <c r="BE206" i="9"/>
  <c r="BE202" i="9"/>
  <c r="BE198" i="9"/>
  <c r="BE196" i="9"/>
  <c r="BE192" i="9"/>
  <c r="BE188" i="9"/>
  <c r="BE184" i="9"/>
  <c r="BE180" i="9"/>
  <c r="BE176" i="9"/>
  <c r="BE172" i="9"/>
  <c r="BE168" i="9"/>
  <c r="BE166" i="9"/>
  <c r="BE295" i="9"/>
  <c r="BE294" i="9"/>
  <c r="BE290" i="9"/>
  <c r="BE289" i="9"/>
  <c r="BE288" i="9"/>
  <c r="BE287" i="9"/>
  <c r="BE282" i="9"/>
  <c r="BE277" i="9"/>
  <c r="BE276" i="9"/>
  <c r="BE271" i="9"/>
  <c r="BE267" i="9"/>
  <c r="BE210" i="9"/>
  <c r="BE52" i="9"/>
  <c r="BE48" i="9"/>
  <c r="BE44" i="9"/>
  <c r="BE40" i="9"/>
  <c r="BE36" i="9"/>
  <c r="BE32" i="9"/>
  <c r="BE26" i="9"/>
  <c r="BE23" i="9"/>
  <c r="BE19" i="9"/>
  <c r="BE15" i="9"/>
  <c r="BE11" i="9"/>
  <c r="BE345" i="9"/>
  <c r="BE162" i="9"/>
  <c r="BE158" i="9"/>
  <c r="BE154" i="9"/>
  <c r="BE150" i="9"/>
  <c r="BE146" i="9"/>
  <c r="BE142" i="9"/>
  <c r="BE138" i="9"/>
  <c r="BE51" i="9"/>
  <c r="BE47" i="9"/>
  <c r="BE43" i="9"/>
  <c r="BE39" i="9"/>
  <c r="BE35" i="9"/>
  <c r="BE31" i="9"/>
  <c r="BE22" i="9"/>
  <c r="BE18" i="9"/>
  <c r="BE14" i="9"/>
  <c r="BE10" i="9"/>
  <c r="BE7" i="9"/>
  <c r="BE165" i="9"/>
  <c r="BE161" i="9"/>
  <c r="BE157" i="9"/>
  <c r="BE13" i="9"/>
  <c r="BE29" i="9"/>
  <c r="BE251" i="9"/>
  <c r="BE225" i="9"/>
  <c r="BE214" i="9"/>
  <c r="BE229" i="9"/>
  <c r="BE105" i="9"/>
  <c r="BD345" i="9"/>
  <c r="BD162" i="9"/>
  <c r="BD300" i="9"/>
  <c r="CL301" i="9"/>
  <c r="CL396" i="9"/>
  <c r="CL394" i="9"/>
  <c r="CL362" i="9"/>
  <c r="CL361" i="9"/>
  <c r="CL356" i="9"/>
  <c r="CL352" i="9"/>
  <c r="AK330" i="9"/>
  <c r="AK301" i="9"/>
  <c r="AK403" i="9"/>
  <c r="AK400" i="9"/>
  <c r="AK397" i="9"/>
  <c r="AK392" i="9"/>
  <c r="AK373" i="9"/>
  <c r="AK367" i="9"/>
  <c r="AK364" i="9"/>
  <c r="AK360" i="9"/>
  <c r="AK351" i="9"/>
  <c r="AK350" i="9"/>
  <c r="AK402" i="9"/>
  <c r="AK399" i="9"/>
  <c r="AK388" i="9"/>
  <c r="AK378" i="9"/>
  <c r="AK375" i="9"/>
  <c r="AK363" i="9"/>
  <c r="AK359" i="9"/>
  <c r="AK354" i="9"/>
  <c r="AK410" i="9"/>
  <c r="AK393" i="9"/>
  <c r="AK390" i="9"/>
  <c r="AK383" i="9"/>
  <c r="AK352" i="9"/>
  <c r="AK346" i="9"/>
  <c r="AK134" i="9"/>
  <c r="AK127" i="9"/>
  <c r="AK94" i="9"/>
  <c r="AK88" i="9"/>
  <c r="AK133" i="9"/>
  <c r="AK104" i="9"/>
  <c r="AK99" i="9"/>
  <c r="AK93" i="9"/>
  <c r="AK132" i="9"/>
  <c r="AK125" i="9"/>
  <c r="AK119" i="9"/>
  <c r="AK111" i="9"/>
  <c r="AK103" i="9"/>
  <c r="AK98" i="9"/>
  <c r="AK131" i="9"/>
  <c r="AK124" i="9"/>
  <c r="AK114" i="9"/>
  <c r="AK110" i="9"/>
  <c r="AK102" i="9"/>
  <c r="AK85" i="9"/>
  <c r="AK130" i="9"/>
  <c r="AK117" i="9"/>
  <c r="AK113" i="9"/>
  <c r="AK109" i="9"/>
  <c r="AK101" i="9"/>
  <c r="AK96" i="9"/>
  <c r="AK90" i="9"/>
  <c r="AK129" i="9"/>
  <c r="AK128" i="9"/>
  <c r="AK122" i="9"/>
  <c r="AK120" i="9"/>
  <c r="AK116" i="9"/>
  <c r="AK112" i="9"/>
  <c r="AK106" i="9"/>
  <c r="AK100" i="9"/>
  <c r="AK95" i="9"/>
  <c r="AK262" i="9"/>
  <c r="AK299" i="9"/>
  <c r="AK286" i="9"/>
  <c r="AK275" i="9"/>
  <c r="AK270" i="9"/>
  <c r="AK266" i="9"/>
  <c r="AK205" i="9"/>
  <c r="AK201" i="9"/>
  <c r="AK195" i="9"/>
  <c r="AK187" i="9"/>
  <c r="AK183" i="9"/>
  <c r="AK179" i="9"/>
  <c r="AK298" i="9"/>
  <c r="AK293" i="9"/>
  <c r="AK280" i="9"/>
  <c r="AK274" i="9"/>
  <c r="AK269" i="9"/>
  <c r="AK204" i="9"/>
  <c r="AK200" i="9"/>
  <c r="AK190" i="9"/>
  <c r="AK186" i="9"/>
  <c r="AK182" i="9"/>
  <c r="AK174" i="9"/>
  <c r="AK170" i="9"/>
  <c r="AK297" i="9"/>
  <c r="AK292" i="9"/>
  <c r="AK284" i="9"/>
  <c r="AK279" i="9"/>
  <c r="AK273" i="9"/>
  <c r="AK264" i="9"/>
  <c r="AK203" i="9"/>
  <c r="AK199" i="9"/>
  <c r="AK197" i="9"/>
  <c r="AK193" i="9"/>
  <c r="AK189" i="9"/>
  <c r="AK181" i="9"/>
  <c r="AK167" i="9"/>
  <c r="AK291" i="9"/>
  <c r="AK278" i="9"/>
  <c r="AK202" i="9"/>
  <c r="AK198" i="9"/>
  <c r="AK196" i="9"/>
  <c r="AK188" i="9"/>
  <c r="AK172" i="9"/>
  <c r="AK168" i="9"/>
  <c r="AK294" i="9"/>
  <c r="AK287" i="9"/>
  <c r="AK282" i="9"/>
  <c r="AK277" i="9"/>
  <c r="AK271" i="9"/>
  <c r="AK48" i="9"/>
  <c r="AK40" i="9"/>
  <c r="AK32" i="9"/>
  <c r="AK15" i="9"/>
  <c r="AK11" i="9"/>
  <c r="AK345" i="9"/>
  <c r="AK158" i="9"/>
  <c r="AK142" i="9"/>
  <c r="AK138" i="9"/>
  <c r="AK51" i="9"/>
  <c r="AK43" i="9"/>
  <c r="AK22" i="9"/>
  <c r="AK18" i="9"/>
  <c r="AK14" i="9"/>
  <c r="AK7" i="9"/>
  <c r="AK153" i="9"/>
  <c r="AK145" i="9"/>
  <c r="AK137" i="9"/>
  <c r="AK38" i="9"/>
  <c r="AK34" i="9"/>
  <c r="AK25" i="9"/>
  <c r="AK17" i="9"/>
  <c r="AK9" i="9"/>
  <c r="AK6" i="9"/>
  <c r="AK3" i="9"/>
  <c r="AK160" i="9"/>
  <c r="AK144" i="9"/>
  <c r="AK140" i="9"/>
  <c r="AK136" i="9"/>
  <c r="AK45" i="9"/>
  <c r="AK37" i="9"/>
  <c r="AK29" i="9"/>
  <c r="AK24" i="9"/>
  <c r="AK16" i="9"/>
  <c r="AK8" i="9"/>
  <c r="AK4" i="9"/>
  <c r="AK163" i="9"/>
  <c r="AK155" i="9"/>
  <c r="AK147" i="9"/>
  <c r="AK139" i="9"/>
  <c r="AK261" i="9"/>
  <c r="AK245" i="9"/>
  <c r="AK228" i="9"/>
  <c r="AK212" i="9"/>
  <c r="AK63" i="9"/>
  <c r="AK336" i="9"/>
  <c r="AK316" i="9"/>
  <c r="AK260" i="9"/>
  <c r="AK252" i="9"/>
  <c r="AK244" i="9"/>
  <c r="AK227" i="9"/>
  <c r="AK211" i="9"/>
  <c r="AK62" i="9"/>
  <c r="AK343" i="9"/>
  <c r="AK335" i="9"/>
  <c r="AK315" i="9"/>
  <c r="AK259" i="9"/>
  <c r="AK243" i="9"/>
  <c r="AK235" i="9"/>
  <c r="AK226" i="9"/>
  <c r="AK83" i="9"/>
  <c r="AK61" i="9"/>
  <c r="AK334" i="9"/>
  <c r="AK322" i="9"/>
  <c r="AK314" i="9"/>
  <c r="AK258" i="9"/>
  <c r="AK242" i="9"/>
  <c r="AK225" i="9"/>
  <c r="AK217" i="9"/>
  <c r="AK82" i="9"/>
  <c r="AK329" i="9"/>
  <c r="AK313" i="9"/>
  <c r="AK305" i="9"/>
  <c r="AK249" i="9"/>
  <c r="AK241" i="9"/>
  <c r="AK67" i="9"/>
  <c r="AK59" i="9"/>
  <c r="AK340" i="9"/>
  <c r="AK333" i="9"/>
  <c r="AK328" i="9"/>
  <c r="AK166" i="9"/>
  <c r="AK213" i="9"/>
  <c r="AK78" i="9"/>
  <c r="AK64" i="9"/>
  <c r="AK53" i="9"/>
  <c r="AK337" i="9"/>
  <c r="AK395" i="9"/>
  <c r="AK389" i="9"/>
  <c r="AK370" i="9"/>
  <c r="AK357" i="9"/>
  <c r="AK408" i="9"/>
  <c r="AK396" i="9"/>
  <c r="AK391" i="9"/>
  <c r="AK372" i="9"/>
  <c r="AK366" i="9"/>
  <c r="AK349" i="9"/>
  <c r="AK407" i="9"/>
  <c r="AK404" i="9"/>
  <c r="AK401" i="9"/>
  <c r="AK387" i="9"/>
  <c r="AK384" i="9"/>
  <c r="AK300" i="9"/>
  <c r="BE153" i="9"/>
  <c r="BE149" i="9"/>
  <c r="BE145" i="9"/>
  <c r="BE141" i="9"/>
  <c r="BE137" i="9"/>
  <c r="BE50" i="9"/>
  <c r="BE46" i="9"/>
  <c r="BE42" i="9"/>
  <c r="BE38" i="9"/>
  <c r="BE34" i="9"/>
  <c r="BE30" i="9"/>
  <c r="BE28" i="9"/>
  <c r="BE25" i="9"/>
  <c r="BE21" i="9"/>
  <c r="BE17" i="9"/>
  <c r="BE9" i="9"/>
  <c r="BE6" i="9"/>
  <c r="BE3" i="9"/>
  <c r="BE164" i="9"/>
  <c r="BE160" i="9"/>
  <c r="BE156" i="9"/>
  <c r="BE152" i="9"/>
  <c r="BE148" i="9"/>
  <c r="BE144" i="9"/>
  <c r="BE140" i="9"/>
  <c r="BE136" i="9"/>
  <c r="BE49" i="9"/>
  <c r="BE45" i="9"/>
  <c r="BE41" i="9"/>
  <c r="BE37" i="9"/>
  <c r="BE33" i="9"/>
  <c r="BE27" i="9"/>
  <c r="BE24" i="9"/>
  <c r="BE20" i="9"/>
  <c r="BE16" i="9"/>
  <c r="BE12" i="9"/>
  <c r="BE8" i="9"/>
  <c r="BE5" i="9"/>
  <c r="BE4" i="9"/>
  <c r="BE2" i="9"/>
  <c r="BE163" i="9"/>
  <c r="BE159" i="9"/>
  <c r="BE155" i="9"/>
  <c r="BE151" i="9"/>
  <c r="BE147" i="9"/>
  <c r="BE143" i="9"/>
  <c r="BE139" i="9"/>
  <c r="BE135" i="9"/>
  <c r="BE261" i="9"/>
  <c r="BE245" i="9"/>
  <c r="BE237" i="9"/>
  <c r="BE228" i="9"/>
  <c r="BE220" i="9"/>
  <c r="BE212" i="9"/>
  <c r="BE71" i="9"/>
  <c r="BE63" i="9"/>
  <c r="BE344" i="9"/>
  <c r="BE336" i="9"/>
  <c r="BE324" i="9"/>
  <c r="BE316" i="9"/>
  <c r="BE308" i="9"/>
  <c r="BE260" i="9"/>
  <c r="BE252" i="9"/>
  <c r="BE244" i="9"/>
  <c r="BE236" i="9"/>
  <c r="BE227" i="9"/>
  <c r="BE219" i="9"/>
  <c r="BE211" i="9"/>
  <c r="BE70" i="9"/>
  <c r="BE62" i="9"/>
  <c r="BE343" i="9"/>
  <c r="BE335" i="9"/>
  <c r="BE323" i="9"/>
  <c r="BE315" i="9"/>
  <c r="BE307" i="9"/>
  <c r="BE259" i="9"/>
  <c r="BE243" i="9"/>
  <c r="BE235" i="9"/>
  <c r="BE226" i="9"/>
  <c r="BE218" i="9"/>
  <c r="BE83" i="9"/>
  <c r="BE69" i="9"/>
  <c r="BE61" i="9"/>
  <c r="BE342" i="9"/>
  <c r="BE334" i="9"/>
  <c r="BE322" i="9"/>
  <c r="BE314" i="9"/>
  <c r="BE306" i="9"/>
  <c r="BE258" i="9"/>
  <c r="BE250" i="9"/>
  <c r="BE242" i="9"/>
  <c r="BE234" i="9"/>
  <c r="BE217" i="9"/>
  <c r="BE82" i="9"/>
  <c r="BE68" i="9"/>
  <c r="BE60" i="9"/>
  <c r="BE341" i="9"/>
  <c r="BE329" i="9"/>
  <c r="BE321" i="9"/>
  <c r="BE313" i="9"/>
  <c r="BE305" i="9"/>
  <c r="BE257" i="9"/>
  <c r="BE249" i="9"/>
  <c r="BE241" i="9"/>
  <c r="BE233" i="9"/>
  <c r="BE224" i="9"/>
  <c r="BE216" i="9"/>
  <c r="BE81" i="9"/>
  <c r="BE67" i="9"/>
  <c r="BE59" i="9"/>
  <c r="BE333" i="9"/>
  <c r="BE328" i="9"/>
  <c r="BE320" i="9"/>
  <c r="BE312" i="9"/>
  <c r="BE304" i="9"/>
  <c r="BE256" i="9"/>
  <c r="BE248" i="9"/>
  <c r="BE240" i="9"/>
  <c r="BE232" i="9"/>
  <c r="BE223" i="9"/>
  <c r="BE215" i="9"/>
  <c r="BE80" i="9"/>
  <c r="BE74" i="9"/>
  <c r="BE66" i="9"/>
  <c r="BE58" i="9"/>
  <c r="BE55" i="9"/>
  <c r="BE339" i="9"/>
  <c r="BE332" i="9"/>
  <c r="BE327" i="9"/>
  <c r="BE319" i="9"/>
  <c r="BE311" i="9"/>
  <c r="BE303" i="9"/>
  <c r="BE255" i="9"/>
  <c r="BE247" i="9"/>
  <c r="BE239" i="9"/>
  <c r="BE231" i="9"/>
  <c r="BE222" i="9"/>
  <c r="BE79" i="9"/>
  <c r="BE77" i="9"/>
  <c r="BE73" i="9"/>
  <c r="BE65" i="9"/>
  <c r="BE57" i="9"/>
  <c r="BE54" i="9"/>
  <c r="BE338" i="9"/>
  <c r="BE331" i="9"/>
  <c r="BE326" i="9"/>
  <c r="BE318" i="9"/>
  <c r="BE310" i="9"/>
  <c r="BE302" i="9"/>
  <c r="BE254" i="9"/>
  <c r="BE246" i="9"/>
  <c r="BE238" i="9"/>
  <c r="BE230" i="9"/>
  <c r="BE221" i="9"/>
  <c r="BD80" i="9"/>
  <c r="BD66" i="9"/>
  <c r="BD58" i="9"/>
  <c r="BD55" i="9"/>
  <c r="BD339" i="9"/>
  <c r="BD319" i="9"/>
  <c r="BD303" i="9"/>
  <c r="BD255" i="9"/>
  <c r="BD247" i="9"/>
  <c r="BD239" i="9"/>
  <c r="BD214" i="9"/>
  <c r="BD77" i="9"/>
  <c r="BD73" i="9"/>
  <c r="BD65" i="9"/>
  <c r="BD57" i="9"/>
  <c r="BD331" i="9"/>
  <c r="BD318" i="9"/>
  <c r="BD310" i="9"/>
  <c r="BD302" i="9"/>
  <c r="BD254" i="9"/>
  <c r="BD230" i="9"/>
  <c r="BD221" i="9"/>
  <c r="AK256" i="9"/>
  <c r="AK240" i="9"/>
  <c r="AK232" i="9"/>
  <c r="AK223" i="9"/>
  <c r="AK66" i="9"/>
  <c r="AK58" i="9"/>
  <c r="AK55" i="9"/>
  <c r="AK339" i="9"/>
  <c r="AK332" i="9"/>
  <c r="AK327" i="9"/>
  <c r="AK319" i="9"/>
  <c r="AK311" i="9"/>
  <c r="AK303" i="9"/>
  <c r="AK255" i="9"/>
  <c r="AK247" i="9"/>
  <c r="AK239" i="9"/>
  <c r="AK231" i="9"/>
  <c r="AK222" i="9"/>
  <c r="AK214" i="9"/>
  <c r="AK79" i="9"/>
  <c r="AK65" i="9"/>
  <c r="AK57" i="9"/>
  <c r="AK54" i="9"/>
  <c r="AK338" i="9"/>
  <c r="AK331" i="9"/>
  <c r="AK326" i="9"/>
  <c r="AK318" i="9"/>
  <c r="AK302" i="9"/>
  <c r="AK254" i="9"/>
  <c r="AK246" i="9"/>
  <c r="AK238" i="9"/>
  <c r="AK230" i="9"/>
  <c r="AK229" i="9"/>
  <c r="AK221" i="9"/>
  <c r="AK73" i="9"/>
  <c r="CL76" i="9"/>
  <c r="CL75" i="9"/>
  <c r="CL64" i="9"/>
  <c r="CL56" i="9"/>
  <c r="CL325" i="9"/>
  <c r="CL317" i="9"/>
  <c r="CL409" i="9"/>
  <c r="CL403" i="9"/>
  <c r="CL400" i="9"/>
  <c r="CL389" i="9"/>
  <c r="CL382" i="9"/>
  <c r="CL373" i="9"/>
  <c r="CL370" i="9"/>
  <c r="CL364" i="9"/>
  <c r="CL357" i="9"/>
  <c r="CL355" i="9"/>
  <c r="CL350" i="9"/>
  <c r="CL408" i="9"/>
  <c r="CL402" i="9"/>
  <c r="CL388" i="9"/>
  <c r="CL385" i="9"/>
  <c r="CL378" i="9"/>
  <c r="CL372" i="9"/>
  <c r="CL369" i="9"/>
  <c r="CL363" i="9"/>
  <c r="CL359" i="9"/>
  <c r="CL354" i="9"/>
  <c r="CL349" i="9"/>
  <c r="CL347" i="9"/>
  <c r="CL404" i="9"/>
  <c r="CL401" i="9"/>
  <c r="CL393" i="9"/>
  <c r="CL387" i="9"/>
  <c r="CL386" i="9"/>
  <c r="CL383" i="9"/>
  <c r="CL380" i="9"/>
  <c r="CL376" i="9"/>
  <c r="CL371" i="9"/>
  <c r="CL368" i="9"/>
  <c r="CL300" i="9"/>
  <c r="CL348" i="9"/>
  <c r="CL134" i="9"/>
  <c r="CL127" i="9"/>
  <c r="CL94" i="9"/>
  <c r="CL133" i="9"/>
  <c r="CL126" i="9"/>
  <c r="CL99" i="9"/>
  <c r="CL93" i="9"/>
  <c r="CL132" i="9"/>
  <c r="CL119" i="9"/>
  <c r="CL115" i="9"/>
  <c r="CL103" i="9"/>
  <c r="CL98" i="9"/>
  <c r="CL86" i="9"/>
  <c r="CL124" i="9"/>
  <c r="CL118" i="9"/>
  <c r="CL110" i="9"/>
  <c r="CL102" i="9"/>
  <c r="CL91" i="9"/>
  <c r="CL130" i="9"/>
  <c r="CL123" i="9"/>
  <c r="CL113" i="9"/>
  <c r="CL109" i="9"/>
  <c r="CL101" i="9"/>
  <c r="CL90" i="9"/>
  <c r="CL84" i="9"/>
  <c r="CL128" i="9"/>
  <c r="CL122" i="9"/>
  <c r="CL120" i="9"/>
  <c r="CL112" i="9"/>
  <c r="CL108" i="9"/>
  <c r="CL100" i="9"/>
  <c r="CL95" i="9"/>
  <c r="CL262" i="9"/>
  <c r="CL286" i="9"/>
  <c r="CL281" i="9"/>
  <c r="CL270" i="9"/>
  <c r="CL266" i="9"/>
  <c r="CL205" i="9"/>
  <c r="CL195" i="9"/>
  <c r="CL191" i="9"/>
  <c r="CL183" i="9"/>
  <c r="CL179" i="9"/>
  <c r="CL171" i="9"/>
  <c r="CL293" i="9"/>
  <c r="CL285" i="9"/>
  <c r="CL274" i="9"/>
  <c r="CL269" i="9"/>
  <c r="CL208" i="9"/>
  <c r="CL200" i="9"/>
  <c r="CL194" i="9"/>
  <c r="CL186" i="9"/>
  <c r="CL182" i="9"/>
  <c r="CL174" i="9"/>
  <c r="CL297" i="9"/>
  <c r="CL292" i="9"/>
  <c r="CL279" i="9"/>
  <c r="CL273" i="9"/>
  <c r="CL264" i="9"/>
  <c r="CL207" i="9"/>
  <c r="CL203" i="9"/>
  <c r="CL197" i="9"/>
  <c r="CL185" i="9"/>
  <c r="CL177" i="9"/>
  <c r="CL173" i="9"/>
  <c r="CL167" i="9"/>
  <c r="CL291" i="9"/>
  <c r="CL272" i="9"/>
  <c r="CL263" i="9"/>
  <c r="CL202" i="9"/>
  <c r="CL198" i="9"/>
  <c r="CL196" i="9"/>
  <c r="CL184" i="9"/>
  <c r="CL180" i="9"/>
  <c r="CL172" i="9"/>
  <c r="CL166" i="9"/>
  <c r="CL290" i="9"/>
  <c r="CL289" i="9"/>
  <c r="CL287" i="9"/>
  <c r="CL277" i="9"/>
  <c r="CL267" i="9"/>
  <c r="CL210" i="9"/>
  <c r="CL48" i="9"/>
  <c r="CL40" i="9"/>
  <c r="CL26" i="9"/>
  <c r="CL23" i="9"/>
  <c r="CL15" i="9"/>
  <c r="CL345" i="9"/>
  <c r="CL154" i="9"/>
  <c r="CL150" i="9"/>
  <c r="CL142" i="9"/>
  <c r="CL51" i="9"/>
  <c r="CL39" i="9"/>
  <c r="CL35" i="9"/>
  <c r="CL22" i="9"/>
  <c r="CL14" i="9"/>
  <c r="CL10" i="9"/>
  <c r="CL165" i="9"/>
  <c r="CL161" i="9"/>
  <c r="CL153" i="9"/>
  <c r="CL145" i="9"/>
  <c r="CL50" i="9"/>
  <c r="CL46" i="9"/>
  <c r="CL38" i="9"/>
  <c r="CL30" i="9"/>
  <c r="CL25" i="9"/>
  <c r="CL17" i="9"/>
  <c r="CL249" i="9"/>
  <c r="CL248" i="9"/>
  <c r="CL240" i="9"/>
  <c r="CL77" i="9"/>
  <c r="CL73" i="9"/>
  <c r="CL9" i="9"/>
  <c r="CL3" i="9"/>
  <c r="CL160" i="9"/>
  <c r="CL152" i="9"/>
  <c r="CL144" i="9"/>
  <c r="CL136" i="9"/>
  <c r="CL37" i="9"/>
  <c r="CL29" i="9"/>
  <c r="CL24" i="9"/>
  <c r="CL16" i="9"/>
  <c r="CL12" i="9"/>
  <c r="CL8" i="9"/>
  <c r="CL4" i="9"/>
  <c r="CL163" i="9"/>
  <c r="CL151" i="9"/>
  <c r="CL147" i="9"/>
  <c r="CL139" i="9"/>
  <c r="CL261" i="9"/>
  <c r="CL245" i="9"/>
  <c r="CL237" i="9"/>
  <c r="CL212" i="9"/>
  <c r="CL71" i="9"/>
  <c r="CL63" i="9"/>
  <c r="CL324" i="9"/>
  <c r="CL316" i="9"/>
  <c r="CL260" i="9"/>
  <c r="CL244" i="9"/>
  <c r="CL227" i="9"/>
  <c r="CL219" i="9"/>
  <c r="CL211" i="9"/>
  <c r="CL62" i="9"/>
  <c r="CL335" i="9"/>
  <c r="CL315" i="9"/>
  <c r="CL307" i="9"/>
  <c r="CL259" i="9"/>
  <c r="CL243" i="9"/>
  <c r="CL226" i="9"/>
  <c r="CL83" i="9"/>
  <c r="CL69" i="9"/>
  <c r="CL61" i="9"/>
  <c r="CL334" i="9"/>
  <c r="CL314" i="9"/>
  <c r="CL258" i="9"/>
  <c r="CL250" i="9"/>
  <c r="CL242" i="9"/>
  <c r="CL225" i="9"/>
  <c r="CL82" i="9"/>
  <c r="CL60" i="9"/>
  <c r="CL341" i="9"/>
  <c r="CL329" i="9"/>
  <c r="CL321" i="9"/>
  <c r="CL313" i="9"/>
  <c r="CL257" i="9"/>
  <c r="CL233" i="9"/>
  <c r="CL224" i="9"/>
  <c r="CL81" i="9"/>
  <c r="CL67" i="9"/>
  <c r="CL328" i="9"/>
  <c r="CL320" i="9"/>
  <c r="CL304" i="9"/>
  <c r="CL256" i="9"/>
  <c r="CL223" i="9"/>
  <c r="CL215" i="9"/>
  <c r="CL74" i="9"/>
  <c r="CL66" i="9"/>
  <c r="CL58" i="9"/>
  <c r="CL55" i="9"/>
  <c r="CL332" i="9"/>
  <c r="CL327" i="9"/>
  <c r="CL311" i="9"/>
  <c r="CL303" i="9"/>
  <c r="CL255" i="9"/>
  <c r="CL231" i="9"/>
  <c r="CL222" i="9"/>
  <c r="CL79" i="9"/>
  <c r="CL65" i="9"/>
  <c r="CL54" i="9"/>
  <c r="CL326" i="9"/>
  <c r="CL318" i="9"/>
  <c r="CL302" i="9"/>
  <c r="CL246" i="9"/>
  <c r="CL238" i="9"/>
  <c r="CL229" i="9"/>
  <c r="CL221" i="9"/>
  <c r="CL53" i="9"/>
  <c r="CL397" i="9"/>
  <c r="CL367" i="9"/>
  <c r="CL405" i="9"/>
  <c r="CL381" i="9"/>
  <c r="CL411" i="9"/>
  <c r="CL398" i="9"/>
  <c r="CL377" i="9"/>
  <c r="CL358" i="9"/>
  <c r="CL105" i="9"/>
  <c r="CL87" i="9"/>
  <c r="CL92" i="9"/>
  <c r="CL97" i="9"/>
  <c r="CL107" i="9"/>
  <c r="CL121" i="9"/>
  <c r="CL89" i="9"/>
  <c r="CL209" i="9"/>
  <c r="CL175" i="9"/>
  <c r="CL265" i="9"/>
  <c r="CL178" i="9"/>
  <c r="CL213" i="9"/>
  <c r="CL337" i="9"/>
  <c r="CL395" i="9"/>
  <c r="CL330" i="9"/>
  <c r="CL392" i="9"/>
  <c r="CL360" i="9"/>
  <c r="CL399" i="9"/>
  <c r="CL375" i="9"/>
  <c r="CL410" i="9"/>
  <c r="CL390" i="9"/>
  <c r="CL374" i="9"/>
  <c r="CL353" i="9"/>
  <c r="CL88" i="9"/>
  <c r="CL125" i="9"/>
  <c r="CL131" i="9"/>
  <c r="CL85" i="9"/>
  <c r="CL96" i="9"/>
  <c r="CL116" i="9"/>
  <c r="CL299" i="9"/>
  <c r="CL201" i="9"/>
  <c r="CL298" i="9"/>
  <c r="CL204" i="9"/>
  <c r="CL170" i="9"/>
  <c r="CL284" i="9"/>
  <c r="CL268" i="9"/>
  <c r="CL78" i="9"/>
  <c r="CL72" i="9"/>
  <c r="CL309" i="9"/>
  <c r="CL406" i="9"/>
  <c r="CL379" i="9"/>
  <c r="CL351" i="9"/>
  <c r="CL391" i="9"/>
  <c r="CL366" i="9"/>
  <c r="CL407" i="9"/>
  <c r="CL384" i="9"/>
  <c r="CL365" i="9"/>
  <c r="CL346" i="9"/>
  <c r="CL104" i="9"/>
  <c r="CL111" i="9"/>
  <c r="CL114" i="9"/>
  <c r="CL117" i="9"/>
  <c r="CL129" i="9"/>
  <c r="CL106" i="9"/>
  <c r="CL275" i="9"/>
  <c r="CL187" i="9"/>
  <c r="CL280" i="9"/>
  <c r="CL190" i="9"/>
  <c r="CL283" i="9"/>
  <c r="CL192" i="9"/>
  <c r="CL295" i="9"/>
  <c r="CL276" i="9"/>
  <c r="CL36" i="9"/>
  <c r="CL162" i="9"/>
  <c r="CL47" i="9"/>
  <c r="CL141" i="9"/>
  <c r="CL45" i="9"/>
  <c r="CL323" i="9"/>
  <c r="CL193" i="9"/>
  <c r="CL296" i="9"/>
  <c r="CL168" i="9"/>
  <c r="CL282" i="9"/>
  <c r="CL44" i="9"/>
  <c r="CL11" i="9"/>
  <c r="CL138" i="9"/>
  <c r="CL18" i="9"/>
  <c r="CL149" i="9"/>
  <c r="CL34" i="9"/>
  <c r="CL41" i="9"/>
  <c r="CL155" i="9"/>
  <c r="CL336" i="9"/>
  <c r="CL322" i="9"/>
  <c r="CL181" i="9"/>
  <c r="CL278" i="9"/>
  <c r="CL188" i="9"/>
  <c r="CL294" i="9"/>
  <c r="CL271" i="9"/>
  <c r="CL32" i="9"/>
  <c r="CL158" i="9"/>
  <c r="CL43" i="9"/>
  <c r="CL7" i="9"/>
  <c r="CL137" i="9"/>
  <c r="CL156" i="9"/>
  <c r="CL140" i="9"/>
  <c r="CL199" i="9"/>
  <c r="CL169" i="9"/>
  <c r="CL206" i="9"/>
  <c r="CL176" i="9"/>
  <c r="CL288" i="9"/>
  <c r="CL52" i="9"/>
  <c r="CL19" i="9"/>
  <c r="CL146" i="9"/>
  <c r="CL31" i="9"/>
  <c r="CL157" i="9"/>
  <c r="CL42" i="9"/>
  <c r="CL21" i="9"/>
  <c r="CL189" i="9"/>
  <c r="CL28" i="9"/>
  <c r="CL164" i="9"/>
  <c r="CL49" i="9"/>
  <c r="CL20" i="9"/>
  <c r="CL159" i="9"/>
  <c r="CL253" i="9"/>
  <c r="CL344" i="9"/>
  <c r="CL236" i="9"/>
  <c r="CL218" i="9"/>
  <c r="CL306" i="9"/>
  <c r="CL68" i="9"/>
  <c r="CL6" i="9"/>
  <c r="CL27" i="9"/>
  <c r="CL2" i="9"/>
  <c r="CL135" i="9"/>
  <c r="CL252" i="9"/>
  <c r="CL343" i="9"/>
  <c r="CL235" i="9"/>
  <c r="CL217" i="9"/>
  <c r="CL305" i="9"/>
  <c r="CL13" i="9"/>
  <c r="CL148" i="9"/>
  <c r="CL33" i="9"/>
  <c r="CL5" i="9"/>
  <c r="CL143" i="9"/>
  <c r="CL220" i="9"/>
  <c r="CL308" i="9"/>
  <c r="CL70" i="9"/>
  <c r="CL251" i="9"/>
  <c r="CL342" i="9"/>
  <c r="CL234" i="9"/>
  <c r="CL59" i="9"/>
  <c r="CL310" i="9"/>
  <c r="CL340" i="9"/>
  <c r="CL247" i="9"/>
  <c r="CL338" i="9"/>
  <c r="CL333" i="9"/>
  <c r="CL232" i="9"/>
  <c r="CL339" i="9"/>
  <c r="CL239" i="9"/>
  <c r="CL57" i="9"/>
  <c r="CL254" i="9"/>
  <c r="CL216" i="9"/>
  <c r="CL312" i="9"/>
  <c r="CL80" i="9"/>
  <c r="CL319" i="9"/>
  <c r="CL214" i="9"/>
  <c r="CL331" i="9"/>
  <c r="CL230" i="9"/>
  <c r="BD100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80" i="1"/>
  <c r="CL81" i="1"/>
  <c r="CL82" i="1"/>
  <c r="CL83" i="1"/>
  <c r="CL211" i="1"/>
  <c r="CL212" i="1"/>
  <c r="CL213" i="1"/>
  <c r="CL214" i="1"/>
  <c r="CL215" i="1"/>
  <c r="CL216" i="1"/>
  <c r="CL217" i="1"/>
  <c r="CL218" i="1"/>
  <c r="CL219" i="1"/>
  <c r="CL220" i="1"/>
  <c r="CL221" i="1"/>
  <c r="CL222" i="1"/>
  <c r="CL223" i="1"/>
  <c r="CL224" i="1"/>
  <c r="CL225" i="1"/>
  <c r="CL226" i="1"/>
  <c r="CL227" i="1"/>
  <c r="CL228" i="1"/>
  <c r="CL229" i="1"/>
  <c r="CL230" i="1"/>
  <c r="CL231" i="1"/>
  <c r="CL232" i="1"/>
  <c r="CL233" i="1"/>
  <c r="CL234" i="1"/>
  <c r="CL235" i="1"/>
  <c r="CL236" i="1"/>
  <c r="CL237" i="1"/>
  <c r="CL238" i="1"/>
  <c r="CL239" i="1"/>
  <c r="CL240" i="1"/>
  <c r="CL241" i="1"/>
  <c r="CL242" i="1"/>
  <c r="CL243" i="1"/>
  <c r="CL244" i="1"/>
  <c r="CL245" i="1"/>
  <c r="CL246" i="1"/>
  <c r="CL247" i="1"/>
  <c r="CL248" i="1"/>
  <c r="CL249" i="1"/>
  <c r="CL250" i="1"/>
  <c r="CL251" i="1"/>
  <c r="CL252" i="1"/>
  <c r="CL253" i="1"/>
  <c r="CL254" i="1"/>
  <c r="CL255" i="1"/>
  <c r="CL256" i="1"/>
  <c r="CL257" i="1"/>
  <c r="CL258" i="1"/>
  <c r="CL259" i="1"/>
  <c r="CL260" i="1"/>
  <c r="CL261" i="1"/>
  <c r="CL262" i="1"/>
  <c r="CL346" i="1"/>
  <c r="CL347" i="1"/>
  <c r="CL348" i="1"/>
  <c r="CL349" i="1"/>
  <c r="CL350" i="1"/>
  <c r="CL351" i="1"/>
  <c r="CL352" i="1"/>
  <c r="CL353" i="1"/>
  <c r="CL354" i="1"/>
  <c r="CL355" i="1"/>
  <c r="CL356" i="1"/>
  <c r="CL357" i="1"/>
  <c r="CL358" i="1"/>
  <c r="CL359" i="1"/>
  <c r="CL360" i="1"/>
  <c r="CL361" i="1"/>
  <c r="CL362" i="1"/>
  <c r="CL363" i="1"/>
  <c r="CL365" i="1"/>
  <c r="CL366" i="1"/>
  <c r="CL367" i="1"/>
  <c r="CL368" i="1"/>
  <c r="CL369" i="1"/>
  <c r="CL370" i="1"/>
  <c r="CL371" i="1"/>
  <c r="CL372" i="1"/>
  <c r="CL373" i="1"/>
  <c r="CL374" i="1"/>
  <c r="CL375" i="1"/>
  <c r="CL376" i="1"/>
  <c r="CL377" i="1"/>
  <c r="CL378" i="1"/>
  <c r="CL379" i="1"/>
  <c r="CL380" i="1"/>
  <c r="CL381" i="1"/>
  <c r="CL382" i="1"/>
  <c r="CL383" i="1"/>
  <c r="CL384" i="1"/>
  <c r="CL386" i="1"/>
  <c r="CL387" i="1"/>
  <c r="CL388" i="1"/>
  <c r="CL389" i="1"/>
  <c r="CL390" i="1"/>
  <c r="CL391" i="1"/>
  <c r="CL392" i="1"/>
  <c r="CL393" i="1"/>
  <c r="CL394" i="1"/>
  <c r="CL395" i="1"/>
  <c r="CL396" i="1"/>
  <c r="CL397" i="1"/>
  <c r="CL398" i="1"/>
  <c r="CL399" i="1"/>
  <c r="CL400" i="1"/>
  <c r="CL401" i="1"/>
  <c r="CL402" i="1"/>
  <c r="CL403" i="1"/>
  <c r="CL405" i="1"/>
  <c r="CL406" i="1"/>
  <c r="CL407" i="1"/>
  <c r="CL408" i="1"/>
  <c r="CL409" i="1"/>
  <c r="CL410" i="1"/>
  <c r="CL411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85" i="1"/>
  <c r="CL86" i="1"/>
  <c r="CL87" i="1"/>
  <c r="CL88" i="1"/>
  <c r="CL89" i="1"/>
  <c r="CL90" i="1"/>
  <c r="CL91" i="1"/>
  <c r="CL92" i="1"/>
  <c r="CL93" i="1"/>
  <c r="CL94" i="1"/>
  <c r="CL95" i="1"/>
  <c r="CL96" i="1"/>
  <c r="CL97" i="1"/>
  <c r="CL98" i="1"/>
  <c r="CL99" i="1"/>
  <c r="CL100" i="1"/>
  <c r="CL101" i="1"/>
  <c r="CL102" i="1"/>
  <c r="CL103" i="1"/>
  <c r="CL104" i="1"/>
  <c r="CL105" i="1"/>
  <c r="CL106" i="1"/>
  <c r="CL107" i="1"/>
  <c r="CL108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L145" i="1"/>
  <c r="CL146" i="1"/>
  <c r="CL147" i="1"/>
  <c r="CL148" i="1"/>
  <c r="CL149" i="1"/>
  <c r="CL150" i="1"/>
  <c r="CL151" i="1"/>
  <c r="CL152" i="1"/>
  <c r="CL153" i="1"/>
  <c r="CL154" i="1"/>
  <c r="CL155" i="1"/>
  <c r="CL156" i="1"/>
  <c r="CL157" i="1"/>
  <c r="CL158" i="1"/>
  <c r="CL159" i="1"/>
  <c r="CL160" i="1"/>
  <c r="CL161" i="1"/>
  <c r="CL162" i="1"/>
  <c r="CL163" i="1"/>
  <c r="CL164" i="1"/>
  <c r="CL165" i="1"/>
  <c r="CL166" i="1"/>
  <c r="CL167" i="1"/>
  <c r="CL168" i="1"/>
  <c r="CL169" i="1"/>
  <c r="CL170" i="1"/>
  <c r="CL171" i="1"/>
  <c r="CL172" i="1"/>
  <c r="CL173" i="1"/>
  <c r="CL174" i="1"/>
  <c r="CL175" i="1"/>
  <c r="CL176" i="1"/>
  <c r="CL177" i="1"/>
  <c r="CL178" i="1"/>
  <c r="CL179" i="1"/>
  <c r="CL180" i="1"/>
  <c r="CL181" i="1"/>
  <c r="CL182" i="1"/>
  <c r="CL183" i="1"/>
  <c r="CL184" i="1"/>
  <c r="CL185" i="1"/>
  <c r="CL186" i="1"/>
  <c r="CL187" i="1"/>
  <c r="CL188" i="1"/>
  <c r="CL189" i="1"/>
  <c r="CL190" i="1"/>
  <c r="CL191" i="1"/>
  <c r="CL192" i="1"/>
  <c r="CL193" i="1"/>
  <c r="CL194" i="1"/>
  <c r="CL195" i="1"/>
  <c r="CL196" i="1"/>
  <c r="CL197" i="1"/>
  <c r="CL198" i="1"/>
  <c r="CL199" i="1"/>
  <c r="CL200" i="1"/>
  <c r="CL201" i="1"/>
  <c r="CL202" i="1"/>
  <c r="CL203" i="1"/>
  <c r="CL204" i="1"/>
  <c r="CL205" i="1"/>
  <c r="CL206" i="1"/>
  <c r="CL207" i="1"/>
  <c r="CL208" i="1"/>
  <c r="CL209" i="1"/>
  <c r="CL210" i="1"/>
  <c r="CL263" i="1"/>
  <c r="CL264" i="1"/>
  <c r="CL265" i="1"/>
  <c r="CL266" i="1"/>
  <c r="CL267" i="1"/>
  <c r="CL268" i="1"/>
  <c r="CL269" i="1"/>
  <c r="CL270" i="1"/>
  <c r="CL271" i="1"/>
  <c r="CL272" i="1"/>
  <c r="CL273" i="1"/>
  <c r="CL274" i="1"/>
  <c r="CL275" i="1"/>
  <c r="CL276" i="1"/>
  <c r="CL277" i="1"/>
  <c r="CL278" i="1"/>
  <c r="CL279" i="1"/>
  <c r="CL280" i="1"/>
  <c r="CL281" i="1"/>
  <c r="CL282" i="1"/>
  <c r="CL283" i="1"/>
  <c r="CL284" i="1"/>
  <c r="CL285" i="1"/>
  <c r="CL286" i="1"/>
  <c r="CL287" i="1"/>
  <c r="CL288" i="1"/>
  <c r="CL289" i="1"/>
  <c r="CL290" i="1"/>
  <c r="CL291" i="1"/>
  <c r="CL292" i="1"/>
  <c r="CL293" i="1"/>
  <c r="CL294" i="1"/>
  <c r="CL295" i="1"/>
  <c r="CL296" i="1"/>
  <c r="CL297" i="1"/>
  <c r="CL298" i="1"/>
  <c r="CL299" i="1"/>
  <c r="CL300" i="1"/>
  <c r="CL301" i="1"/>
  <c r="CL302" i="1"/>
  <c r="CL303" i="1"/>
  <c r="CL304" i="1"/>
  <c r="CL305" i="1"/>
  <c r="CL306" i="1"/>
  <c r="CL307" i="1"/>
  <c r="CL308" i="1"/>
  <c r="CL309" i="1"/>
  <c r="CL310" i="1"/>
  <c r="CL311" i="1"/>
  <c r="CL312" i="1"/>
  <c r="CL313" i="1"/>
  <c r="CL314" i="1"/>
  <c r="CL315" i="1"/>
  <c r="CL316" i="1"/>
  <c r="CL317" i="1"/>
  <c r="CL318" i="1"/>
  <c r="CL319" i="1"/>
  <c r="CL320" i="1"/>
  <c r="CL321" i="1"/>
  <c r="CL322" i="1"/>
  <c r="CL323" i="1"/>
  <c r="CL324" i="1"/>
  <c r="CL325" i="1"/>
  <c r="CL326" i="1"/>
  <c r="CL327" i="1"/>
  <c r="CL328" i="1"/>
  <c r="CL329" i="1"/>
  <c r="CL330" i="1"/>
  <c r="CL331" i="1"/>
  <c r="CL332" i="1"/>
  <c r="CL333" i="1"/>
  <c r="CL334" i="1"/>
  <c r="CL335" i="1"/>
  <c r="CL336" i="1"/>
  <c r="CL337" i="1"/>
  <c r="CL338" i="1"/>
  <c r="CL339" i="1"/>
  <c r="CL340" i="1"/>
  <c r="CL341" i="1"/>
  <c r="CL342" i="1"/>
  <c r="CL343" i="1"/>
  <c r="CL344" i="1"/>
  <c r="CL345" i="1"/>
  <c r="CL2" i="1"/>
  <c r="CL4" i="1"/>
  <c r="CL6" i="1"/>
  <c r="CL7" i="1"/>
  <c r="CL11" i="1"/>
  <c r="CL13" i="1"/>
  <c r="CL14" i="1"/>
  <c r="CL15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84" i="1"/>
  <c r="BD84" i="1"/>
  <c r="CJ411" i="1"/>
  <c r="CJ410" i="1"/>
  <c r="CJ409" i="1"/>
  <c r="CJ408" i="1"/>
  <c r="CJ407" i="1"/>
  <c r="CJ406" i="1"/>
  <c r="CJ405" i="1"/>
  <c r="CJ404" i="1"/>
  <c r="CJ403" i="1"/>
  <c r="CJ402" i="1"/>
  <c r="CJ401" i="1"/>
  <c r="CJ400" i="1"/>
  <c r="CJ399" i="1"/>
  <c r="CJ398" i="1"/>
  <c r="CJ397" i="1"/>
  <c r="CJ396" i="1"/>
  <c r="CJ395" i="1"/>
  <c r="CJ394" i="1"/>
  <c r="CJ393" i="1"/>
  <c r="BE393" i="1"/>
  <c r="BD393" i="1"/>
  <c r="CJ392" i="1"/>
  <c r="BE392" i="1"/>
  <c r="BD392" i="1"/>
  <c r="CJ391" i="1"/>
  <c r="BE391" i="1"/>
  <c r="BD391" i="1"/>
  <c r="CJ390" i="1"/>
  <c r="BE390" i="1"/>
  <c r="BD390" i="1"/>
  <c r="CJ389" i="1"/>
  <c r="BE389" i="1"/>
  <c r="BD389" i="1"/>
  <c r="CJ388" i="1"/>
  <c r="BE388" i="1"/>
  <c r="BD388" i="1"/>
  <c r="CJ387" i="1"/>
  <c r="BE387" i="1"/>
  <c r="BD387" i="1"/>
  <c r="CJ386" i="1"/>
  <c r="BE386" i="1"/>
  <c r="BD386" i="1"/>
  <c r="CJ385" i="1"/>
  <c r="BE385" i="1"/>
  <c r="BD385" i="1"/>
  <c r="CJ384" i="1"/>
  <c r="BE384" i="1"/>
  <c r="BD384" i="1"/>
  <c r="CJ383" i="1"/>
  <c r="BE383" i="1"/>
  <c r="BD383" i="1"/>
  <c r="CJ382" i="1"/>
  <c r="BE382" i="1"/>
  <c r="BD382" i="1"/>
  <c r="CJ381" i="1"/>
  <c r="BE381" i="1"/>
  <c r="BD381" i="1"/>
  <c r="CJ380" i="1"/>
  <c r="BE380" i="1"/>
  <c r="BD380" i="1"/>
  <c r="CJ379" i="1"/>
  <c r="BE379" i="1"/>
  <c r="BD379" i="1"/>
  <c r="CJ378" i="1"/>
  <c r="BE378" i="1"/>
  <c r="BD378" i="1"/>
  <c r="CJ377" i="1"/>
  <c r="BE377" i="1"/>
  <c r="BD377" i="1"/>
  <c r="CJ376" i="1"/>
  <c r="BE376" i="1"/>
  <c r="BD376" i="1"/>
  <c r="CJ375" i="1"/>
  <c r="BE375" i="1"/>
  <c r="BD375" i="1"/>
  <c r="CJ374" i="1"/>
  <c r="BE374" i="1"/>
  <c r="BD374" i="1"/>
  <c r="CJ373" i="1"/>
  <c r="BE373" i="1"/>
  <c r="BD373" i="1"/>
  <c r="CJ372" i="1"/>
  <c r="BE372" i="1"/>
  <c r="BD372" i="1"/>
  <c r="CJ371" i="1"/>
  <c r="BE371" i="1"/>
  <c r="BD371" i="1"/>
  <c r="CJ370" i="1"/>
  <c r="BE370" i="1"/>
  <c r="BD370" i="1"/>
  <c r="CJ369" i="1"/>
  <c r="BE369" i="1"/>
  <c r="BD369" i="1"/>
  <c r="CJ368" i="1"/>
  <c r="BE368" i="1"/>
  <c r="BD368" i="1"/>
  <c r="CJ367" i="1"/>
  <c r="BE367" i="1"/>
  <c r="BD367" i="1"/>
  <c r="CJ366" i="1"/>
  <c r="BE366" i="1"/>
  <c r="BD366" i="1"/>
  <c r="CJ365" i="1"/>
  <c r="BE365" i="1"/>
  <c r="BD365" i="1"/>
  <c r="CJ364" i="1"/>
  <c r="BE364" i="1"/>
  <c r="BD364" i="1"/>
  <c r="CJ363" i="1"/>
  <c r="BE363" i="1"/>
  <c r="BD363" i="1"/>
  <c r="CJ362" i="1"/>
  <c r="BE362" i="1"/>
  <c r="BD362" i="1"/>
  <c r="CJ361" i="1"/>
  <c r="BE361" i="1"/>
  <c r="BD361" i="1"/>
  <c r="CJ360" i="1"/>
  <c r="BE360" i="1"/>
  <c r="BD360" i="1"/>
  <c r="CJ359" i="1"/>
  <c r="BE359" i="1"/>
  <c r="BD359" i="1"/>
  <c r="CJ358" i="1"/>
  <c r="BE358" i="1"/>
  <c r="BD358" i="1"/>
  <c r="CJ357" i="1"/>
  <c r="BE357" i="1"/>
  <c r="BD357" i="1"/>
  <c r="CJ356" i="1"/>
  <c r="BE356" i="1"/>
  <c r="BD356" i="1"/>
  <c r="CJ355" i="1"/>
  <c r="BE355" i="1"/>
  <c r="BD355" i="1"/>
  <c r="CJ354" i="1"/>
  <c r="BE354" i="1"/>
  <c r="BD354" i="1"/>
  <c r="CJ353" i="1"/>
  <c r="BE353" i="1"/>
  <c r="BD353" i="1"/>
  <c r="CJ352" i="1"/>
  <c r="BE352" i="1"/>
  <c r="BD352" i="1"/>
  <c r="CJ351" i="1"/>
  <c r="BE351" i="1"/>
  <c r="BD351" i="1"/>
  <c r="CJ350" i="1"/>
  <c r="BE350" i="1"/>
  <c r="BD350" i="1"/>
  <c r="CJ349" i="1"/>
  <c r="BE349" i="1"/>
  <c r="BD349" i="1"/>
  <c r="CJ348" i="1"/>
  <c r="BE348" i="1"/>
  <c r="BD348" i="1"/>
  <c r="CJ347" i="1"/>
  <c r="BE347" i="1"/>
  <c r="BD347" i="1"/>
  <c r="CJ346" i="1"/>
  <c r="BE346" i="1"/>
  <c r="BD346" i="1"/>
  <c r="CJ262" i="1"/>
  <c r="BE262" i="1"/>
  <c r="BD262" i="1"/>
  <c r="CJ261" i="1"/>
  <c r="BE261" i="1"/>
  <c r="BD261" i="1"/>
  <c r="CJ260" i="1"/>
  <c r="BE260" i="1"/>
  <c r="BD260" i="1"/>
  <c r="CJ259" i="1"/>
  <c r="BE259" i="1"/>
  <c r="BD259" i="1"/>
  <c r="CJ258" i="1"/>
  <c r="BE258" i="1"/>
  <c r="BD258" i="1"/>
  <c r="CJ257" i="1"/>
  <c r="BE257" i="1"/>
  <c r="BD257" i="1"/>
  <c r="CJ256" i="1"/>
  <c r="BE256" i="1"/>
  <c r="BD256" i="1"/>
  <c r="CJ255" i="1"/>
  <c r="BE255" i="1"/>
  <c r="BD255" i="1"/>
  <c r="CJ254" i="1"/>
  <c r="BE254" i="1"/>
  <c r="BD254" i="1"/>
  <c r="CJ253" i="1"/>
  <c r="BE253" i="1"/>
  <c r="BD253" i="1"/>
  <c r="CJ252" i="1"/>
  <c r="BE252" i="1"/>
  <c r="BD252" i="1"/>
  <c r="CJ251" i="1"/>
  <c r="BE251" i="1"/>
  <c r="BD251" i="1"/>
  <c r="CJ250" i="1"/>
  <c r="BE250" i="1"/>
  <c r="BD250" i="1"/>
  <c r="CJ249" i="1"/>
  <c r="BE249" i="1"/>
  <c r="BD249" i="1"/>
  <c r="CJ248" i="1"/>
  <c r="BE248" i="1"/>
  <c r="BD248" i="1"/>
  <c r="CJ247" i="1"/>
  <c r="BE247" i="1"/>
  <c r="BD247" i="1"/>
  <c r="CJ246" i="1"/>
  <c r="BE246" i="1"/>
  <c r="BD246" i="1"/>
  <c r="CJ245" i="1"/>
  <c r="BE245" i="1"/>
  <c r="BD245" i="1"/>
  <c r="CJ244" i="1"/>
  <c r="BE244" i="1"/>
  <c r="BD244" i="1"/>
  <c r="CJ243" i="1"/>
  <c r="BE243" i="1"/>
  <c r="BD243" i="1"/>
  <c r="CJ242" i="1"/>
  <c r="BE242" i="1"/>
  <c r="BD242" i="1"/>
  <c r="CJ241" i="1"/>
  <c r="BE241" i="1"/>
  <c r="BD241" i="1"/>
  <c r="CJ240" i="1"/>
  <c r="BE240" i="1"/>
  <c r="BD240" i="1"/>
  <c r="CJ239" i="1"/>
  <c r="BE239" i="1"/>
  <c r="BD239" i="1"/>
  <c r="CJ238" i="1"/>
  <c r="BE238" i="1"/>
  <c r="BD238" i="1"/>
  <c r="CJ237" i="1"/>
  <c r="BE237" i="1"/>
  <c r="BD237" i="1"/>
  <c r="CJ236" i="1"/>
  <c r="BE236" i="1"/>
  <c r="BD236" i="1"/>
  <c r="CJ235" i="1"/>
  <c r="BE235" i="1"/>
  <c r="BD235" i="1"/>
  <c r="CJ234" i="1"/>
  <c r="BE234" i="1"/>
  <c r="BD234" i="1"/>
  <c r="CJ233" i="1"/>
  <c r="BE233" i="1"/>
  <c r="BD233" i="1"/>
  <c r="CJ232" i="1"/>
  <c r="BE232" i="1"/>
  <c r="BD232" i="1"/>
  <c r="CJ231" i="1"/>
  <c r="BE231" i="1"/>
  <c r="BD231" i="1"/>
  <c r="CJ230" i="1"/>
  <c r="BE230" i="1"/>
  <c r="BD230" i="1"/>
  <c r="CJ229" i="1"/>
  <c r="BE229" i="1"/>
  <c r="BD229" i="1"/>
  <c r="CJ228" i="1"/>
  <c r="BE228" i="1"/>
  <c r="BD228" i="1"/>
  <c r="CJ227" i="1"/>
  <c r="BE227" i="1"/>
  <c r="BD227" i="1"/>
  <c r="CJ226" i="1"/>
  <c r="BE226" i="1"/>
  <c r="BD226" i="1"/>
  <c r="CJ225" i="1"/>
  <c r="BE225" i="1"/>
  <c r="BD225" i="1"/>
  <c r="CJ224" i="1"/>
  <c r="BE224" i="1"/>
  <c r="BD224" i="1"/>
  <c r="CJ223" i="1"/>
  <c r="BE223" i="1"/>
  <c r="BD223" i="1"/>
  <c r="CJ222" i="1"/>
  <c r="BE222" i="1"/>
  <c r="BD222" i="1"/>
  <c r="CJ221" i="1"/>
  <c r="BE221" i="1"/>
  <c r="BD221" i="1"/>
  <c r="CJ220" i="1"/>
  <c r="BE220" i="1"/>
  <c r="BD220" i="1"/>
  <c r="CJ219" i="1"/>
  <c r="BE219" i="1"/>
  <c r="BD219" i="1"/>
  <c r="CJ218" i="1"/>
  <c r="BE218" i="1"/>
  <c r="BD218" i="1"/>
  <c r="CJ217" i="1"/>
  <c r="BE217" i="1"/>
  <c r="BD217" i="1"/>
  <c r="CJ216" i="1"/>
  <c r="BE216" i="1"/>
  <c r="BD216" i="1"/>
  <c r="CJ215" i="1"/>
  <c r="BE215" i="1"/>
  <c r="BD215" i="1"/>
  <c r="CJ214" i="1"/>
  <c r="BE214" i="1"/>
  <c r="BD214" i="1"/>
  <c r="CJ213" i="1"/>
  <c r="BE213" i="1"/>
  <c r="BD213" i="1"/>
  <c r="CJ212" i="1"/>
  <c r="BE212" i="1"/>
  <c r="BD212" i="1"/>
  <c r="CJ211" i="1"/>
  <c r="BE211" i="1"/>
  <c r="BD211" i="1"/>
  <c r="CJ83" i="1"/>
  <c r="BE83" i="1"/>
  <c r="BD83" i="1"/>
  <c r="CJ82" i="1"/>
  <c r="BE82" i="1"/>
  <c r="BD82" i="1"/>
  <c r="CJ81" i="1"/>
  <c r="BE81" i="1"/>
  <c r="BD81" i="1"/>
  <c r="CJ80" i="1"/>
  <c r="BE80" i="1"/>
  <c r="BD80" i="1"/>
  <c r="CJ79" i="1"/>
  <c r="BE79" i="1"/>
  <c r="BD79" i="1"/>
  <c r="CJ78" i="1"/>
  <c r="BE78" i="1"/>
  <c r="BD78" i="1"/>
  <c r="CJ77" i="1"/>
  <c r="BE77" i="1"/>
  <c r="BD77" i="1"/>
  <c r="CJ76" i="1"/>
  <c r="BE76" i="1"/>
  <c r="BD76" i="1"/>
  <c r="CJ75" i="1"/>
  <c r="BE75" i="1"/>
  <c r="BD75" i="1"/>
  <c r="CJ74" i="1"/>
  <c r="BE74" i="1"/>
  <c r="BD74" i="1"/>
  <c r="CJ73" i="1"/>
  <c r="BE73" i="1"/>
  <c r="BD73" i="1"/>
  <c r="CJ72" i="1"/>
  <c r="BE72" i="1"/>
  <c r="BD72" i="1"/>
  <c r="CJ71" i="1"/>
  <c r="BE71" i="1"/>
  <c r="BD71" i="1"/>
  <c r="CJ70" i="1"/>
  <c r="BE70" i="1"/>
  <c r="BD70" i="1"/>
  <c r="CJ69" i="1"/>
  <c r="BE69" i="1"/>
  <c r="BD69" i="1"/>
  <c r="CJ68" i="1"/>
  <c r="BE68" i="1"/>
  <c r="BD68" i="1"/>
  <c r="CJ67" i="1"/>
  <c r="BE67" i="1"/>
  <c r="BD67" i="1"/>
  <c r="CJ66" i="1"/>
  <c r="BE66" i="1"/>
  <c r="BD66" i="1"/>
  <c r="CJ65" i="1"/>
  <c r="BE65" i="1"/>
  <c r="BD65" i="1"/>
  <c r="CJ64" i="1"/>
  <c r="BE64" i="1"/>
  <c r="BD64" i="1"/>
  <c r="CJ63" i="1"/>
  <c r="BE63" i="1"/>
  <c r="BD63" i="1"/>
  <c r="CJ62" i="1"/>
  <c r="BE62" i="1"/>
  <c r="BD62" i="1"/>
  <c r="CJ61" i="1"/>
  <c r="BE61" i="1"/>
  <c r="BD61" i="1"/>
  <c r="CJ60" i="1"/>
  <c r="BE60" i="1"/>
  <c r="BD60" i="1"/>
  <c r="CJ59" i="1"/>
  <c r="BE59" i="1"/>
  <c r="BD59" i="1"/>
  <c r="CJ58" i="1"/>
  <c r="BE58" i="1"/>
  <c r="BD58" i="1"/>
  <c r="CJ57" i="1"/>
  <c r="BE57" i="1"/>
  <c r="BD57" i="1"/>
  <c r="CJ56" i="1"/>
  <c r="BE56" i="1"/>
  <c r="BD56" i="1"/>
  <c r="CJ55" i="1"/>
  <c r="BE55" i="1"/>
  <c r="BD55" i="1"/>
  <c r="CJ54" i="1"/>
  <c r="BE54" i="1"/>
  <c r="BD54" i="1"/>
  <c r="CJ53" i="1"/>
  <c r="BE53" i="1"/>
  <c r="BD53" i="1"/>
  <c r="CJ52" i="1"/>
  <c r="BE52" i="1"/>
  <c r="BD52" i="1"/>
  <c r="CJ51" i="1"/>
  <c r="BE51" i="1"/>
  <c r="BD51" i="1"/>
  <c r="CJ50" i="1"/>
  <c r="BE50" i="1"/>
  <c r="BD50" i="1"/>
  <c r="CJ49" i="1"/>
  <c r="BE49" i="1"/>
  <c r="BD49" i="1"/>
  <c r="CJ48" i="1"/>
  <c r="BE48" i="1"/>
  <c r="BD48" i="1"/>
  <c r="CJ47" i="1"/>
  <c r="BE47" i="1"/>
  <c r="BD47" i="1"/>
  <c r="CJ46" i="1"/>
  <c r="BE46" i="1"/>
  <c r="BD46" i="1"/>
  <c r="CJ45" i="1"/>
  <c r="BE45" i="1"/>
  <c r="BD45" i="1"/>
  <c r="CJ44" i="1"/>
  <c r="BE44" i="1"/>
  <c r="BD44" i="1"/>
  <c r="CJ43" i="1"/>
  <c r="BE43" i="1"/>
  <c r="BD43" i="1"/>
  <c r="CJ42" i="1"/>
  <c r="BE42" i="1"/>
  <c r="BD42" i="1"/>
  <c r="CJ41" i="1"/>
  <c r="BE41" i="1"/>
  <c r="BD41" i="1"/>
  <c r="CJ40" i="1"/>
  <c r="BE40" i="1"/>
  <c r="BD40" i="1"/>
  <c r="CJ39" i="1"/>
  <c r="BE39" i="1"/>
  <c r="BD39" i="1"/>
  <c r="CJ38" i="1"/>
  <c r="BE38" i="1"/>
  <c r="BD38" i="1"/>
  <c r="CJ37" i="1"/>
  <c r="BE37" i="1"/>
  <c r="BD37" i="1"/>
  <c r="CJ36" i="1"/>
  <c r="BE36" i="1"/>
  <c r="BD36" i="1"/>
  <c r="CJ35" i="1"/>
  <c r="BE35" i="1"/>
  <c r="BD35" i="1"/>
  <c r="CJ34" i="1"/>
  <c r="BE34" i="1"/>
  <c r="BD34" i="1"/>
  <c r="CJ33" i="1"/>
  <c r="BE33" i="1"/>
  <c r="BD33" i="1"/>
  <c r="CJ32" i="1"/>
  <c r="BE32" i="1"/>
  <c r="BD32" i="1"/>
  <c r="CJ31" i="1"/>
  <c r="BE31" i="1"/>
  <c r="BD31" i="1"/>
  <c r="CJ30" i="1"/>
  <c r="BE30" i="1"/>
  <c r="BD30" i="1"/>
  <c r="CJ29" i="1"/>
  <c r="BE29" i="1"/>
  <c r="BD29" i="1"/>
  <c r="CJ28" i="1"/>
  <c r="BE28" i="1"/>
  <c r="BD28" i="1"/>
  <c r="CJ27" i="1"/>
  <c r="BE27" i="1"/>
  <c r="BD27" i="1"/>
  <c r="CJ26" i="1"/>
  <c r="BE26" i="1"/>
  <c r="BD26" i="1"/>
  <c r="CJ25" i="1"/>
  <c r="BE25" i="1"/>
  <c r="BD25" i="1"/>
  <c r="CJ24" i="1"/>
  <c r="BE24" i="1"/>
  <c r="BD24" i="1"/>
  <c r="CJ23" i="1"/>
  <c r="BE23" i="1"/>
  <c r="BD23" i="1"/>
  <c r="CJ22" i="1"/>
  <c r="BE22" i="1"/>
  <c r="BD22" i="1"/>
  <c r="CJ21" i="1"/>
  <c r="BE21" i="1"/>
  <c r="BD21" i="1"/>
  <c r="CJ20" i="1"/>
  <c r="BE20" i="1"/>
  <c r="BD20" i="1"/>
  <c r="CJ19" i="1"/>
  <c r="BE19" i="1"/>
  <c r="BD19" i="1"/>
  <c r="CJ18" i="1"/>
  <c r="BE18" i="1"/>
  <c r="BD18" i="1"/>
  <c r="CJ17" i="1"/>
  <c r="BE17" i="1"/>
  <c r="BD17" i="1"/>
  <c r="CJ16" i="1"/>
  <c r="BE16" i="1"/>
  <c r="BD16" i="1"/>
  <c r="CJ15" i="1"/>
  <c r="BE15" i="1"/>
  <c r="BD15" i="1"/>
  <c r="CJ14" i="1"/>
  <c r="BE14" i="1"/>
  <c r="BD14" i="1"/>
  <c r="CJ13" i="1"/>
  <c r="BE13" i="1"/>
  <c r="BD13" i="1"/>
  <c r="CJ12" i="1"/>
  <c r="BE12" i="1"/>
  <c r="BD12" i="1"/>
  <c r="CJ11" i="1"/>
  <c r="BE11" i="1"/>
  <c r="BD11" i="1"/>
  <c r="CJ10" i="1"/>
  <c r="BE10" i="1"/>
  <c r="BD10" i="1"/>
  <c r="CJ9" i="1"/>
  <c r="BE9" i="1"/>
  <c r="BD9" i="1"/>
  <c r="CJ8" i="1"/>
  <c r="BE8" i="1"/>
  <c r="BD8" i="1"/>
  <c r="CJ7" i="1"/>
  <c r="BE7" i="1"/>
  <c r="BD7" i="1"/>
  <c r="CJ6" i="1"/>
  <c r="BE6" i="1"/>
  <c r="BD6" i="1"/>
  <c r="CJ5" i="1"/>
  <c r="BE5" i="1"/>
  <c r="BD5" i="1"/>
  <c r="CJ4" i="1"/>
  <c r="BE4" i="1"/>
  <c r="BD4" i="1"/>
  <c r="CJ3" i="1"/>
  <c r="BE3" i="1"/>
  <c r="BD3" i="1"/>
  <c r="CJ2" i="1"/>
  <c r="BE2" i="1"/>
  <c r="BD2" i="1"/>
  <c r="CJ345" i="1"/>
  <c r="BE345" i="1"/>
  <c r="BD345" i="1"/>
  <c r="CJ344" i="1"/>
  <c r="BE344" i="1"/>
  <c r="BD344" i="1"/>
  <c r="CJ343" i="1"/>
  <c r="BE343" i="1"/>
  <c r="BD343" i="1"/>
  <c r="CJ342" i="1"/>
  <c r="BE342" i="1"/>
  <c r="BD342" i="1"/>
  <c r="CJ341" i="1"/>
  <c r="BE341" i="1"/>
  <c r="BD341" i="1"/>
  <c r="CJ340" i="1"/>
  <c r="BE340" i="1"/>
  <c r="BD340" i="1"/>
  <c r="CJ339" i="1"/>
  <c r="BE339" i="1"/>
  <c r="BD339" i="1"/>
  <c r="CJ338" i="1"/>
  <c r="BE338" i="1"/>
  <c r="BD338" i="1"/>
  <c r="CJ337" i="1"/>
  <c r="BE337" i="1"/>
  <c r="BD337" i="1"/>
  <c r="CJ336" i="1"/>
  <c r="BE336" i="1"/>
  <c r="BD336" i="1"/>
  <c r="CJ335" i="1"/>
  <c r="BE335" i="1"/>
  <c r="BD335" i="1"/>
  <c r="CJ334" i="1"/>
  <c r="BE334" i="1"/>
  <c r="BD334" i="1"/>
  <c r="CJ333" i="1"/>
  <c r="BE333" i="1"/>
  <c r="BD333" i="1"/>
  <c r="CJ332" i="1"/>
  <c r="BE332" i="1"/>
  <c r="BD332" i="1"/>
  <c r="CJ331" i="1"/>
  <c r="BE331" i="1"/>
  <c r="BD331" i="1"/>
  <c r="CJ330" i="1"/>
  <c r="BE330" i="1"/>
  <c r="BD330" i="1"/>
  <c r="CJ329" i="1"/>
  <c r="BE329" i="1"/>
  <c r="BD329" i="1"/>
  <c r="CJ328" i="1"/>
  <c r="BE328" i="1"/>
  <c r="BD328" i="1"/>
  <c r="CJ327" i="1"/>
  <c r="BE327" i="1"/>
  <c r="BD327" i="1"/>
  <c r="CJ326" i="1"/>
  <c r="BE326" i="1"/>
  <c r="BD326" i="1"/>
  <c r="CJ325" i="1"/>
  <c r="BE325" i="1"/>
  <c r="BD325" i="1"/>
  <c r="CJ324" i="1"/>
  <c r="BE324" i="1"/>
  <c r="BD324" i="1"/>
  <c r="CJ323" i="1"/>
  <c r="BE323" i="1"/>
  <c r="BD323" i="1"/>
  <c r="CJ322" i="1"/>
  <c r="BE322" i="1"/>
  <c r="BD322" i="1"/>
  <c r="CJ321" i="1"/>
  <c r="BE321" i="1"/>
  <c r="BD321" i="1"/>
  <c r="CJ320" i="1"/>
  <c r="BE320" i="1"/>
  <c r="BD320" i="1"/>
  <c r="CJ319" i="1"/>
  <c r="BE319" i="1"/>
  <c r="BD319" i="1"/>
  <c r="CJ318" i="1"/>
  <c r="BE318" i="1"/>
  <c r="BD318" i="1"/>
  <c r="CJ317" i="1"/>
  <c r="BE317" i="1"/>
  <c r="BD317" i="1"/>
  <c r="BE316" i="1"/>
  <c r="BD316" i="1"/>
  <c r="CJ315" i="1"/>
  <c r="BE315" i="1"/>
  <c r="BD315" i="1"/>
  <c r="CJ314" i="1"/>
  <c r="BE314" i="1"/>
  <c r="BD314" i="1"/>
  <c r="CJ313" i="1"/>
  <c r="BE313" i="1"/>
  <c r="BD313" i="1"/>
  <c r="CJ312" i="1"/>
  <c r="BE312" i="1"/>
  <c r="BD312" i="1"/>
  <c r="CJ311" i="1"/>
  <c r="BE311" i="1"/>
  <c r="BD311" i="1"/>
  <c r="CJ310" i="1"/>
  <c r="BE310" i="1"/>
  <c r="BD310" i="1"/>
  <c r="CJ309" i="1"/>
  <c r="BE309" i="1"/>
  <c r="BD309" i="1"/>
  <c r="CJ308" i="1"/>
  <c r="BE308" i="1"/>
  <c r="BD308" i="1"/>
  <c r="CJ307" i="1"/>
  <c r="BE307" i="1"/>
  <c r="BD307" i="1"/>
  <c r="CJ306" i="1"/>
  <c r="BE306" i="1"/>
  <c r="BD306" i="1"/>
  <c r="CJ305" i="1"/>
  <c r="BE305" i="1"/>
  <c r="BD305" i="1"/>
  <c r="CJ304" i="1"/>
  <c r="BE304" i="1"/>
  <c r="BD304" i="1"/>
  <c r="CJ303" i="1"/>
  <c r="BE303" i="1"/>
  <c r="BD303" i="1"/>
  <c r="CJ302" i="1"/>
  <c r="BE302" i="1"/>
  <c r="BD302" i="1"/>
  <c r="CJ301" i="1"/>
  <c r="BE301" i="1"/>
  <c r="BD301" i="1"/>
  <c r="CJ300" i="1"/>
  <c r="BE300" i="1"/>
  <c r="BD300" i="1"/>
  <c r="CJ299" i="1"/>
  <c r="BE299" i="1"/>
  <c r="BD299" i="1"/>
  <c r="CJ298" i="1"/>
  <c r="BE298" i="1"/>
  <c r="BD298" i="1"/>
  <c r="CJ297" i="1"/>
  <c r="BE297" i="1"/>
  <c r="BD297" i="1"/>
  <c r="CJ296" i="1"/>
  <c r="BE296" i="1"/>
  <c r="BD296" i="1"/>
  <c r="CJ295" i="1"/>
  <c r="BE295" i="1"/>
  <c r="BD295" i="1"/>
  <c r="CJ294" i="1"/>
  <c r="BE294" i="1"/>
  <c r="BD294" i="1"/>
  <c r="CJ293" i="1"/>
  <c r="BE293" i="1"/>
  <c r="BD293" i="1"/>
  <c r="CJ292" i="1"/>
  <c r="BE292" i="1"/>
  <c r="BD292" i="1"/>
  <c r="CJ291" i="1"/>
  <c r="BE291" i="1"/>
  <c r="BD291" i="1"/>
  <c r="CJ290" i="1"/>
  <c r="BE290" i="1"/>
  <c r="BD290" i="1"/>
  <c r="CJ289" i="1"/>
  <c r="BE289" i="1"/>
  <c r="BD289" i="1"/>
  <c r="CJ288" i="1"/>
  <c r="BE288" i="1"/>
  <c r="BD288" i="1"/>
  <c r="CJ287" i="1"/>
  <c r="BE287" i="1"/>
  <c r="BD287" i="1"/>
  <c r="CJ286" i="1"/>
  <c r="BE286" i="1"/>
  <c r="BD286" i="1"/>
  <c r="CJ285" i="1"/>
  <c r="BE285" i="1"/>
  <c r="BD285" i="1"/>
  <c r="CJ284" i="1"/>
  <c r="BE284" i="1"/>
  <c r="BD284" i="1"/>
  <c r="CJ283" i="1"/>
  <c r="BE283" i="1"/>
  <c r="BD283" i="1"/>
  <c r="CJ282" i="1"/>
  <c r="BE282" i="1"/>
  <c r="BD282" i="1"/>
  <c r="CJ281" i="1"/>
  <c r="BE281" i="1"/>
  <c r="BD281" i="1"/>
  <c r="CJ280" i="1"/>
  <c r="BE280" i="1"/>
  <c r="BD280" i="1"/>
  <c r="CJ279" i="1"/>
  <c r="BE279" i="1"/>
  <c r="BD279" i="1"/>
  <c r="CJ278" i="1"/>
  <c r="BE278" i="1"/>
  <c r="BD278" i="1"/>
  <c r="CJ277" i="1"/>
  <c r="BE277" i="1"/>
  <c r="BD277" i="1"/>
  <c r="CJ276" i="1"/>
  <c r="BE276" i="1"/>
  <c r="BD276" i="1"/>
  <c r="CJ275" i="1"/>
  <c r="BE275" i="1"/>
  <c r="BD275" i="1"/>
  <c r="CJ274" i="1"/>
  <c r="BE274" i="1"/>
  <c r="BD274" i="1"/>
  <c r="CJ273" i="1"/>
  <c r="BE273" i="1"/>
  <c r="BD273" i="1"/>
  <c r="CJ272" i="1"/>
  <c r="BE272" i="1"/>
  <c r="BD272" i="1"/>
  <c r="CJ271" i="1"/>
  <c r="BE271" i="1"/>
  <c r="BD271" i="1"/>
  <c r="CJ270" i="1"/>
  <c r="BE270" i="1"/>
  <c r="BD270" i="1"/>
  <c r="CJ269" i="1"/>
  <c r="BE269" i="1"/>
  <c r="BD269" i="1"/>
  <c r="CJ268" i="1"/>
  <c r="BE268" i="1"/>
  <c r="BD268" i="1"/>
  <c r="CJ267" i="1"/>
  <c r="BE267" i="1"/>
  <c r="BD267" i="1"/>
  <c r="CJ266" i="1"/>
  <c r="BE266" i="1"/>
  <c r="BD266" i="1"/>
  <c r="CJ265" i="1"/>
  <c r="BE265" i="1"/>
  <c r="BD265" i="1"/>
  <c r="CJ264" i="1"/>
  <c r="BE264" i="1"/>
  <c r="BD264" i="1"/>
  <c r="CJ263" i="1"/>
  <c r="BE263" i="1"/>
  <c r="BD263" i="1"/>
  <c r="CJ210" i="1"/>
  <c r="BE210" i="1"/>
  <c r="BD210" i="1"/>
  <c r="CJ209" i="1"/>
  <c r="BD209" i="1"/>
  <c r="CJ208" i="1"/>
  <c r="BE208" i="1"/>
  <c r="BD208" i="1"/>
  <c r="CJ207" i="1"/>
  <c r="BE207" i="1"/>
  <c r="BD207" i="1"/>
  <c r="CJ206" i="1"/>
  <c r="BE206" i="1"/>
  <c r="BD206" i="1"/>
  <c r="CJ205" i="1"/>
  <c r="BE205" i="1"/>
  <c r="BD205" i="1"/>
  <c r="CJ204" i="1"/>
  <c r="BE204" i="1"/>
  <c r="BD204" i="1"/>
  <c r="CJ203" i="1"/>
  <c r="BE203" i="1"/>
  <c r="BD203" i="1"/>
  <c r="CJ202" i="1"/>
  <c r="BE202" i="1"/>
  <c r="BD202" i="1"/>
  <c r="CJ201" i="1"/>
  <c r="BE201" i="1"/>
  <c r="BD201" i="1"/>
  <c r="CJ200" i="1"/>
  <c r="BE200" i="1"/>
  <c r="BD200" i="1"/>
  <c r="CJ199" i="1"/>
  <c r="BE199" i="1"/>
  <c r="BD199" i="1"/>
  <c r="CJ198" i="1"/>
  <c r="BE198" i="1"/>
  <c r="BD198" i="1"/>
  <c r="CJ197" i="1"/>
  <c r="BE197" i="1"/>
  <c r="BD197" i="1"/>
  <c r="CJ196" i="1"/>
  <c r="BE196" i="1"/>
  <c r="BD196" i="1"/>
  <c r="CJ195" i="1"/>
  <c r="BE195" i="1"/>
  <c r="BD195" i="1"/>
  <c r="CJ194" i="1"/>
  <c r="BE194" i="1"/>
  <c r="BD194" i="1"/>
  <c r="CJ193" i="1"/>
  <c r="BE193" i="1"/>
  <c r="BD193" i="1"/>
  <c r="CJ192" i="1"/>
  <c r="BE192" i="1"/>
  <c r="BD192" i="1"/>
  <c r="CJ191" i="1"/>
  <c r="BE191" i="1"/>
  <c r="BD191" i="1"/>
  <c r="CJ190" i="1"/>
  <c r="BE190" i="1"/>
  <c r="BD190" i="1"/>
  <c r="CJ189" i="1"/>
  <c r="BE189" i="1"/>
  <c r="BD189" i="1"/>
  <c r="CJ188" i="1"/>
  <c r="BE188" i="1"/>
  <c r="BD188" i="1"/>
  <c r="CJ187" i="1"/>
  <c r="BE187" i="1"/>
  <c r="BD187" i="1"/>
  <c r="CJ186" i="1"/>
  <c r="BE186" i="1"/>
  <c r="BD186" i="1"/>
  <c r="CJ185" i="1"/>
  <c r="BE185" i="1"/>
  <c r="BD185" i="1"/>
  <c r="CJ184" i="1"/>
  <c r="BE184" i="1"/>
  <c r="BD184" i="1"/>
  <c r="CJ183" i="1"/>
  <c r="BE183" i="1"/>
  <c r="BD183" i="1"/>
  <c r="CJ182" i="1"/>
  <c r="BE182" i="1"/>
  <c r="BD182" i="1"/>
  <c r="CJ181" i="1"/>
  <c r="BE181" i="1"/>
  <c r="BD181" i="1"/>
  <c r="CJ180" i="1"/>
  <c r="BE180" i="1"/>
  <c r="BD180" i="1"/>
  <c r="CJ179" i="1"/>
  <c r="BE179" i="1"/>
  <c r="BD179" i="1"/>
  <c r="CJ178" i="1"/>
  <c r="BE178" i="1"/>
  <c r="BD178" i="1"/>
  <c r="CJ177" i="1"/>
  <c r="BE177" i="1"/>
  <c r="BD177" i="1"/>
  <c r="CJ176" i="1"/>
  <c r="BE176" i="1"/>
  <c r="BD176" i="1"/>
  <c r="CJ175" i="1"/>
  <c r="BE175" i="1"/>
  <c r="BD175" i="1"/>
  <c r="CJ174" i="1"/>
  <c r="BE174" i="1"/>
  <c r="BD174" i="1"/>
  <c r="CJ173" i="1"/>
  <c r="BE173" i="1"/>
  <c r="BD173" i="1"/>
  <c r="CJ172" i="1"/>
  <c r="BE172" i="1"/>
  <c r="BD172" i="1"/>
  <c r="CJ171" i="1"/>
  <c r="BE171" i="1"/>
  <c r="BD171" i="1"/>
  <c r="CJ170" i="1"/>
  <c r="BE170" i="1"/>
  <c r="BD170" i="1"/>
  <c r="CJ169" i="1"/>
  <c r="BE169" i="1"/>
  <c r="BD169" i="1"/>
  <c r="CJ168" i="1"/>
  <c r="BE168" i="1"/>
  <c r="BD168" i="1"/>
  <c r="CJ167" i="1"/>
  <c r="BE167" i="1"/>
  <c r="BD167" i="1"/>
  <c r="CJ166" i="1"/>
  <c r="BE166" i="1"/>
  <c r="BD166" i="1"/>
  <c r="CJ165" i="1"/>
  <c r="BE165" i="1"/>
  <c r="BD165" i="1"/>
  <c r="CJ164" i="1"/>
  <c r="BE164" i="1"/>
  <c r="BD164" i="1"/>
  <c r="CJ163" i="1"/>
  <c r="BE163" i="1"/>
  <c r="BD163" i="1"/>
  <c r="CJ162" i="1"/>
  <c r="BE162" i="1"/>
  <c r="BD162" i="1"/>
  <c r="CJ161" i="1"/>
  <c r="BE161" i="1"/>
  <c r="BD161" i="1"/>
  <c r="CJ160" i="1"/>
  <c r="BE160" i="1"/>
  <c r="BD160" i="1"/>
  <c r="CJ159" i="1"/>
  <c r="BE159" i="1"/>
  <c r="BD159" i="1"/>
  <c r="CJ158" i="1"/>
  <c r="BE158" i="1"/>
  <c r="BD158" i="1"/>
  <c r="CJ157" i="1"/>
  <c r="BE157" i="1"/>
  <c r="BD157" i="1"/>
  <c r="CJ156" i="1"/>
  <c r="BE156" i="1"/>
  <c r="BD156" i="1"/>
  <c r="CJ155" i="1"/>
  <c r="BE155" i="1"/>
  <c r="BD155" i="1"/>
  <c r="CJ154" i="1"/>
  <c r="BE154" i="1"/>
  <c r="BD154" i="1"/>
  <c r="CJ153" i="1"/>
  <c r="BE153" i="1"/>
  <c r="BD153" i="1"/>
  <c r="CJ152" i="1"/>
  <c r="BE152" i="1"/>
  <c r="BD152" i="1"/>
  <c r="CJ151" i="1"/>
  <c r="BE151" i="1"/>
  <c r="BD151" i="1"/>
  <c r="CJ150" i="1"/>
  <c r="BE150" i="1"/>
  <c r="BD150" i="1"/>
  <c r="CJ149" i="1"/>
  <c r="BE149" i="1"/>
  <c r="BD149" i="1"/>
  <c r="CJ148" i="1"/>
  <c r="BE148" i="1"/>
  <c r="BD148" i="1"/>
  <c r="CJ147" i="1"/>
  <c r="BE147" i="1"/>
  <c r="BD147" i="1"/>
  <c r="CJ146" i="1"/>
  <c r="BE146" i="1"/>
  <c r="BD146" i="1"/>
  <c r="CJ145" i="1"/>
  <c r="BE145" i="1"/>
  <c r="BD145" i="1"/>
  <c r="CJ144" i="1"/>
  <c r="BE144" i="1"/>
  <c r="BD144" i="1"/>
  <c r="CJ143" i="1"/>
  <c r="BE143" i="1"/>
  <c r="BD143" i="1"/>
  <c r="CJ142" i="1"/>
  <c r="BE142" i="1"/>
  <c r="BD142" i="1"/>
  <c r="CJ141" i="1"/>
  <c r="BE141" i="1"/>
  <c r="BD141" i="1"/>
  <c r="CJ140" i="1"/>
  <c r="BE140" i="1"/>
  <c r="BD140" i="1"/>
  <c r="CJ139" i="1"/>
  <c r="BE139" i="1"/>
  <c r="BD139" i="1"/>
  <c r="CJ138" i="1"/>
  <c r="BE138" i="1"/>
  <c r="BD138" i="1"/>
  <c r="CJ137" i="1"/>
  <c r="BE137" i="1"/>
  <c r="BD137" i="1"/>
  <c r="CJ136" i="1"/>
  <c r="BE136" i="1"/>
  <c r="BD136" i="1"/>
  <c r="CJ135" i="1"/>
  <c r="BE135" i="1"/>
  <c r="BD135" i="1"/>
  <c r="CJ134" i="1"/>
  <c r="BE134" i="1"/>
  <c r="BD134" i="1"/>
  <c r="CJ133" i="1"/>
  <c r="BE133" i="1"/>
  <c r="BD133" i="1"/>
  <c r="CJ132" i="1"/>
  <c r="BE132" i="1"/>
  <c r="BD132" i="1"/>
  <c r="CJ131" i="1"/>
  <c r="BE131" i="1"/>
  <c r="BD131" i="1"/>
  <c r="CJ130" i="1"/>
  <c r="BE130" i="1"/>
  <c r="BD130" i="1"/>
  <c r="CJ129" i="1"/>
  <c r="BE129" i="1"/>
  <c r="BD129" i="1"/>
  <c r="CJ128" i="1"/>
  <c r="BE128" i="1"/>
  <c r="BD128" i="1"/>
  <c r="CJ127" i="1"/>
  <c r="BE127" i="1"/>
  <c r="BD127" i="1"/>
  <c r="CJ126" i="1"/>
  <c r="BE126" i="1"/>
  <c r="BD126" i="1"/>
  <c r="CJ125" i="1"/>
  <c r="BE125" i="1"/>
  <c r="BD125" i="1"/>
  <c r="CJ124" i="1"/>
  <c r="BE124" i="1"/>
  <c r="BD124" i="1"/>
  <c r="CJ123" i="1"/>
  <c r="BE123" i="1"/>
  <c r="BD123" i="1"/>
  <c r="CJ122" i="1"/>
  <c r="BE122" i="1"/>
  <c r="BD122" i="1"/>
  <c r="CJ121" i="1"/>
  <c r="BE121" i="1"/>
  <c r="BD121" i="1"/>
  <c r="CJ120" i="1"/>
  <c r="BE120" i="1"/>
  <c r="BD120" i="1"/>
  <c r="CJ119" i="1"/>
  <c r="BE119" i="1"/>
  <c r="BD119" i="1"/>
  <c r="CJ118" i="1"/>
  <c r="BE118" i="1"/>
  <c r="BD118" i="1"/>
  <c r="CJ117" i="1"/>
  <c r="BE117" i="1"/>
  <c r="BD117" i="1"/>
  <c r="CJ116" i="1"/>
  <c r="BE116" i="1"/>
  <c r="BD116" i="1"/>
  <c r="CJ115" i="1"/>
  <c r="BE115" i="1"/>
  <c r="BD115" i="1"/>
  <c r="CJ114" i="1"/>
  <c r="BE114" i="1"/>
  <c r="BD114" i="1"/>
  <c r="CJ113" i="1"/>
  <c r="BE113" i="1"/>
  <c r="BD113" i="1"/>
  <c r="CJ112" i="1"/>
  <c r="BE112" i="1"/>
  <c r="BD112" i="1"/>
  <c r="CJ111" i="1"/>
  <c r="BE111" i="1"/>
  <c r="BD111" i="1"/>
  <c r="CJ110" i="1"/>
  <c r="BE110" i="1"/>
  <c r="BD110" i="1"/>
  <c r="CJ109" i="1"/>
  <c r="BE109" i="1"/>
  <c r="BD109" i="1"/>
  <c r="CJ108" i="1"/>
  <c r="BE108" i="1"/>
  <c r="BD108" i="1"/>
  <c r="CJ107" i="1"/>
  <c r="BE107" i="1"/>
  <c r="BD107" i="1"/>
  <c r="CJ106" i="1"/>
  <c r="BE106" i="1"/>
  <c r="BD106" i="1"/>
  <c r="CJ105" i="1"/>
  <c r="BE105" i="1"/>
  <c r="BD105" i="1"/>
  <c r="CJ104" i="1"/>
  <c r="BE104" i="1"/>
  <c r="BD104" i="1"/>
  <c r="CJ103" i="1"/>
  <c r="BE103" i="1"/>
  <c r="BD103" i="1"/>
  <c r="CJ102" i="1"/>
  <c r="BE102" i="1"/>
  <c r="BD102" i="1"/>
  <c r="CJ101" i="1"/>
  <c r="BE101" i="1"/>
  <c r="BD101" i="1"/>
  <c r="CJ100" i="1"/>
  <c r="BE100" i="1"/>
  <c r="CJ99" i="1"/>
  <c r="BE99" i="1"/>
  <c r="BD99" i="1"/>
  <c r="CJ98" i="1"/>
  <c r="BE98" i="1"/>
  <c r="BD98" i="1"/>
  <c r="CJ97" i="1"/>
  <c r="BE97" i="1"/>
  <c r="BD97" i="1"/>
  <c r="CJ96" i="1"/>
  <c r="BE96" i="1"/>
  <c r="BD96" i="1"/>
  <c r="CJ95" i="1"/>
  <c r="BE95" i="1"/>
  <c r="BD95" i="1"/>
  <c r="CJ94" i="1"/>
  <c r="BE94" i="1"/>
  <c r="BD94" i="1"/>
  <c r="CJ93" i="1"/>
  <c r="BE93" i="1"/>
  <c r="BD93" i="1"/>
  <c r="CJ92" i="1"/>
  <c r="BE92" i="1"/>
  <c r="BD92" i="1"/>
  <c r="CJ91" i="1"/>
  <c r="BE91" i="1"/>
  <c r="BD91" i="1"/>
  <c r="CJ90" i="1"/>
  <c r="BE90" i="1"/>
  <c r="BD90" i="1"/>
  <c r="CJ89" i="1"/>
  <c r="BE89" i="1"/>
  <c r="BD89" i="1"/>
  <c r="CJ88" i="1"/>
  <c r="BE88" i="1"/>
  <c r="BD88" i="1"/>
  <c r="CJ87" i="1"/>
  <c r="BE87" i="1"/>
  <c r="BD87" i="1"/>
  <c r="CJ86" i="1"/>
  <c r="BE86" i="1"/>
  <c r="BD86" i="1"/>
  <c r="CJ85" i="1"/>
  <c r="BE85" i="1"/>
  <c r="BD85" i="1"/>
  <c r="CJ84" i="1"/>
  <c r="BE84" i="1"/>
  <c r="BC16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THIAGO AZEVEDO DE ARRUDA</author>
    <author/>
  </authors>
  <commentList>
    <comment ref="A1" authorId="0" shapeId="0" xr:uid="{304B1E33-22C4-46E4-B238-2772C38D6CAB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Dados Gerais</t>
        </r>
      </text>
    </comment>
    <comment ref="B1" authorId="0" shapeId="0" xr:uid="{37D4B0FB-9FC5-4830-A301-6C5A42CB44C7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Dados Gerais</t>
        </r>
      </text>
    </comment>
    <comment ref="C1" authorId="0" shapeId="0" xr:uid="{EE40153B-A216-4B61-9CD5-5F100EDBFB8E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Dados Gerais</t>
        </r>
      </text>
    </comment>
    <comment ref="D1" authorId="0" shapeId="0" xr:uid="{25802A24-2E7E-41E0-8DA6-B4D7DAB60D40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Dados Gerais</t>
        </r>
      </text>
    </comment>
    <comment ref="E1" authorId="0" shapeId="0" xr:uid="{A4343640-2866-452F-B6F3-5DE9DF802986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Dados Gerais</t>
        </r>
      </text>
    </comment>
    <comment ref="F1" authorId="0" shapeId="0" xr:uid="{1E4884C4-518B-42FC-9106-F95D0A3FE6F0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Dados Gerais</t>
        </r>
      </text>
    </comment>
    <comment ref="G1" authorId="0" shapeId="0" xr:uid="{B9445075-E74A-492E-9EF4-A8BB5B591EC7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Polimorfismos / Análise de performance</t>
        </r>
      </text>
    </comment>
    <comment ref="H1" authorId="0" shapeId="0" xr:uid="{4804F514-0841-4B72-A5F2-E1F3C9F97610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Polimorfismos / Análise de performance</t>
        </r>
      </text>
    </comment>
    <comment ref="I1" authorId="0" shapeId="0" xr:uid="{8E9F302C-1A9E-4546-919B-0C7D669624DA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Polimorfismos / Análise de performance</t>
        </r>
      </text>
    </comment>
    <comment ref="J1" authorId="0" shapeId="0" xr:uid="{5402DE2C-1901-4281-B115-881E413E9B0A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Polimorfismos / Análise de performance</t>
        </r>
      </text>
    </comment>
    <comment ref="K1" authorId="0" shapeId="0" xr:uid="{58C51D38-9684-4D9D-966C-95389172B148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Polimorfismos / Análise de performance</t>
        </r>
      </text>
    </comment>
    <comment ref="L1" authorId="0" shapeId="0" xr:uid="{84E0D144-2D8E-40CF-BDC4-049730F9DA81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Polimorfismos / Análise de performance</t>
        </r>
      </text>
    </comment>
    <comment ref="M1" authorId="0" shapeId="0" xr:uid="{ACD1C9C7-F760-40E9-8FEE-5B6E894906DD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N1" authorId="0" shapeId="0" xr:uid="{901B1E8F-C926-4DBD-B470-2A93D02E1B52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O1" authorId="0" shapeId="0" xr:uid="{487BFDD7-039B-4B3F-B06D-A48AF03B8AA4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P1" authorId="0" shapeId="0" xr:uid="{57CC73C7-D5CE-42DE-AB70-3528950B50F9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Q1" authorId="0" shapeId="0" xr:uid="{BC360E80-9382-4EFB-88B2-F5D70223825F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R1" authorId="0" shapeId="0" xr:uid="{1721DC3A-6A1C-438C-ABA7-89EFCF388DFC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S1" authorId="0" shapeId="0" xr:uid="{9555C826-33B0-4D15-B03C-44299401034E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T1" authorId="0" shapeId="0" xr:uid="{F0929022-58D6-4C36-A3D4-9B9C7B603055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U1" authorId="0" shapeId="0" xr:uid="{04AD85C9-CEBA-4934-9CD7-CB34AEAB9F06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V1" authorId="0" shapeId="0" xr:uid="{534951E6-77C6-4FDB-8567-ED7BC32529BC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W1" authorId="0" shapeId="0" xr:uid="{E5EF1CB4-9D62-4E4A-9572-17A05281286E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hepático</t>
        </r>
      </text>
    </comment>
    <comment ref="X1" authorId="0" shapeId="0" xr:uid="{2BA84A70-ED6B-4109-B286-EB0C9BE5DD91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hepático</t>
        </r>
      </text>
    </comment>
    <comment ref="Y1" authorId="0" shapeId="0" xr:uid="{A563165E-9E51-4501-88D3-3F382BC7D474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hepático</t>
        </r>
      </text>
    </comment>
    <comment ref="Z1" authorId="0" shapeId="0" xr:uid="{788B36CE-0FB9-4C50-8E8A-8AB2E597B0F3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hepático</t>
        </r>
      </text>
    </comment>
    <comment ref="AA1" authorId="0" shapeId="0" xr:uid="{6D9165B1-6F19-4F7E-BF57-594A04DF1DFF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hepático</t>
        </r>
      </text>
    </comment>
    <comment ref="AB1" authorId="0" shapeId="0" xr:uid="{DC4A3088-330D-475F-B425-31284405549F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hepático</t>
        </r>
      </text>
    </comment>
    <comment ref="AC1" authorId="0" shapeId="0" xr:uid="{FC35A235-9DC1-494B-895A-9AB4C54E67BB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do perfil Renal</t>
        </r>
      </text>
    </comment>
    <comment ref="AD1" authorId="0" shapeId="0" xr:uid="{0FE775D7-A884-48C9-9C2F-D30411DE0596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do perfil Renal</t>
        </r>
      </text>
    </comment>
    <comment ref="AR1" authorId="0" shapeId="0" xr:uid="{1D792D93-8DAD-4445-846F-A76DD2488C98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AS1" authorId="0" shapeId="0" xr:uid="{F813AB6B-24DD-427A-A15A-78FE601EDE64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AT1" authorId="0" shapeId="0" xr:uid="{6F9FDF10-A724-4B41-9922-694F55EFCD04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AU1" authorId="0" shapeId="0" xr:uid="{400DF4C1-1632-4AA9-8626-D7179EDECA4C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AV1" authorId="0" shapeId="0" xr:uid="{3907194D-26FD-4A1C-8D92-5BF0EEBEA9C4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AW1" authorId="0" shapeId="0" xr:uid="{727E79C3-DF69-4DEC-8BCB-D5003811644C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AX1" authorId="0" shapeId="0" xr:uid="{5506460F-B316-48BB-9E62-796515F56F54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AY1" authorId="0" shapeId="0" xr:uid="{5E95AE69-6AD0-48FC-8D19-FE0CC3FD44C2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AZ1" authorId="0" shapeId="0" xr:uid="{E43756CD-2EDD-481F-A7B1-C9FB43734ED3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BA1" authorId="0" shapeId="0" xr:uid="{6BBD74E6-31F7-4858-B416-5357B5F7C1CA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BB1" authorId="0" shapeId="0" xr:uid="{DDD29001-94D1-43AD-B4B6-57521C248B93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BC1" authorId="0" shapeId="0" xr:uid="{6746FB5E-530D-42DF-BBA6-AE3EBFB17D62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BD1" authorId="0" shapeId="0" xr:uid="{58B16D36-85D5-4B04-8DD0-03331EF66149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BE1" authorId="0" shapeId="0" xr:uid="{9A082489-8CE2-4421-9844-6C3AF8220B15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BF1" authorId="0" shapeId="0" xr:uid="{261F903B-ABEC-41D4-BF75-C4285832992F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Vermelha
</t>
        </r>
      </text>
    </comment>
    <comment ref="BG1" authorId="0" shapeId="0" xr:uid="{D2CA2380-E3FC-4F4D-BAF2-A8359340DB01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Vermelha
</t>
        </r>
      </text>
    </comment>
    <comment ref="BH1" authorId="0" shapeId="0" xr:uid="{D00C77A8-DDAF-4731-B627-DE283BF49763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Vermelha
</t>
        </r>
      </text>
    </comment>
    <comment ref="BI1" authorId="0" shapeId="0" xr:uid="{AD4AD3D3-C87E-4BD4-89BF-7FB8DCAA2F98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Vermelha
</t>
        </r>
      </text>
    </comment>
    <comment ref="BJ1" authorId="0" shapeId="0" xr:uid="{94FE72B4-DF8C-4351-8F20-011A77A0988D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Vermelha
</t>
        </r>
      </text>
    </comment>
    <comment ref="BK1" authorId="0" shapeId="0" xr:uid="{64312EDF-CC64-4B62-914E-D3A6E871F29F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Vermelha
</t>
        </r>
      </text>
    </comment>
    <comment ref="BL1" authorId="0" shapeId="0" xr:uid="{AFE06158-A0F5-48E4-892E-A8726FC66D7E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Vermelha
</t>
        </r>
      </text>
    </comment>
    <comment ref="BM1" authorId="0" shapeId="0" xr:uid="{FADD18EB-DC87-406B-841B-443D79924EBE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Vermelha
</t>
        </r>
      </text>
    </comment>
    <comment ref="BN1" authorId="0" shapeId="0" xr:uid="{96D2EBBB-2A33-4CBD-AA1C-75D849BDDE58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Vermelha
</t>
        </r>
      </text>
    </comment>
    <comment ref="BO1" authorId="0" shapeId="0" xr:uid="{C8292CF9-F4B6-4637-893F-EBAB5B5FA8E5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Vermelha
</t>
        </r>
      </text>
    </comment>
    <comment ref="BP1" authorId="0" shapeId="0" xr:uid="{1129A8AD-A420-4135-B2F7-F1A8D85E96C5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Vermelha
</t>
        </r>
      </text>
    </comment>
    <comment ref="BQ1" authorId="0" shapeId="0" xr:uid="{84C87A0F-1E32-46A3-8EDE-4365F58F0E18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Vermelha
</t>
        </r>
      </text>
    </comment>
    <comment ref="BR1" authorId="0" shapeId="0" xr:uid="{D7D23758-BC52-4A95-9F63-DE58DADE37C5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Vermelha
</t>
        </r>
      </text>
    </comment>
    <comment ref="BS1" authorId="0" shapeId="0" xr:uid="{822D8933-3F72-499D-87C6-8C55A22DDE31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Vermelha
</t>
        </r>
      </text>
    </comment>
    <comment ref="BT1" authorId="0" shapeId="0" xr:uid="{7F160B98-C2B7-4A00-A067-5E71F1C7EDB2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Vermelha
</t>
        </r>
      </text>
    </comment>
    <comment ref="BU1" authorId="0" shapeId="0" xr:uid="{505D0E5D-A559-4919-A2F0-69E1A7A292B7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Vermelha
</t>
        </r>
      </text>
    </comment>
    <comment ref="BV1" authorId="0" shapeId="0" xr:uid="{BD0B1F29-D42D-4935-AE74-CC1EE378681A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Vermelha
</t>
        </r>
      </text>
    </comment>
    <comment ref="BW1" authorId="0" shapeId="0" xr:uid="{BFF73716-B02C-41A8-8AD9-197C5249B566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Vermelha
</t>
        </r>
      </text>
    </comment>
    <comment ref="BX1" authorId="0" shapeId="0" xr:uid="{2809843B-7444-4377-A22A-52F5491DE406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Leucocitária</t>
        </r>
      </text>
    </comment>
    <comment ref="BY1" authorId="0" shapeId="0" xr:uid="{B2729DF1-5029-485C-8598-7EB880A0371D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Leucocitária</t>
        </r>
      </text>
    </comment>
    <comment ref="BZ1" authorId="0" shapeId="0" xr:uid="{F77FF3C8-270E-413F-9018-513391E9452A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Leucocitária</t>
        </r>
      </text>
    </comment>
    <comment ref="CA1" authorId="0" shapeId="0" xr:uid="{62AF2371-AD87-4039-8756-3250BE6B5C91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Leucocitária</t>
        </r>
      </text>
    </comment>
    <comment ref="CB1" authorId="0" shapeId="0" xr:uid="{ECB53685-3184-42A9-830E-DCA37F8B0824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Leucocitária</t>
        </r>
      </text>
    </comment>
    <comment ref="CC1" authorId="0" shapeId="0" xr:uid="{7DD6950E-7E8A-4214-941F-A6B1B20303B6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Leucocitária</t>
        </r>
      </text>
    </comment>
    <comment ref="CD1" authorId="0" shapeId="0" xr:uid="{F6A23519-7ACD-49A9-9118-977B59067A98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Leucocitária</t>
        </r>
      </text>
    </comment>
    <comment ref="CE1" authorId="0" shapeId="0" xr:uid="{78A7AED6-82A5-4520-9645-0AE25B74E539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Leucocitária</t>
        </r>
      </text>
    </comment>
    <comment ref="CF1" authorId="0" shapeId="0" xr:uid="{9EC71785-249B-45D7-B990-1B0A95A8743A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Leucocitária</t>
        </r>
      </text>
    </comment>
    <comment ref="CG1" authorId="0" shapeId="0" xr:uid="{79E8C2BA-6B4A-45F1-8C44-3E86F903A817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Leucocitária</t>
        </r>
      </text>
    </comment>
    <comment ref="CH1" authorId="0" shapeId="0" xr:uid="{AFAD3A69-FC17-41CC-A4C9-38C515905925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Leucocitária</t>
        </r>
      </text>
    </comment>
    <comment ref="CI1" authorId="0" shapeId="0" xr:uid="{D428C55B-C0CC-4D14-8DDF-CEC720F7E16A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Série Leucocitária</t>
        </r>
      </text>
    </comment>
    <comment ref="CL1" authorId="0" shapeId="0" xr:uid="{C0D46C5D-86A4-4A34-A82C-375B7B87E826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Medidas Avaliadas no momento ZERO do curso (medida2)</t>
        </r>
      </text>
    </comment>
    <comment ref="CM1" authorId="0" shapeId="0" xr:uid="{5BC5E9E4-8E18-4288-9E69-F7A074F194C4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Medidas Avaliadas no momento ZERO do curso (medida2)</t>
        </r>
      </text>
    </comment>
    <comment ref="CN1" authorId="0" shapeId="0" xr:uid="{96567FE5-2FEE-4043-9728-86C0A143DD27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Medidas Avaliadas no momento ZERO do curso (medida2)</t>
        </r>
      </text>
    </comment>
    <comment ref="CO1" authorId="0" shapeId="0" xr:uid="{B7C6D52D-F6E5-4541-823F-E244F0FAFDF6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Medidas Avaliadas no momento ZERO do curso (medida2)</t>
        </r>
      </text>
    </comment>
    <comment ref="CP1" authorId="0" shapeId="0" xr:uid="{9A57B000-58E6-454C-9BFE-21C84E98A648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Medidas Avaliadas no momento ZERO do curso (medida2)</t>
        </r>
      </text>
    </comment>
    <comment ref="CQ1" authorId="0" shapeId="0" xr:uid="{62AC1B92-13D4-4793-9051-1B4CC680FBA5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Medidas Avaliadas no momento ZERO do curso (medida2)</t>
        </r>
      </text>
    </comment>
    <comment ref="CR1" authorId="0" shapeId="0" xr:uid="{37CB890A-17CC-448C-8220-65031FB8AE95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Medidas Avaliadas no momento ZERO do curso (medida2)</t>
        </r>
      </text>
    </comment>
    <comment ref="BM155" authorId="1" shapeId="0" xr:uid="{00000000-0006-0000-0000-000013000000}">
      <text>
        <r>
          <rPr>
            <sz val="11"/>
            <color rgb="FF000000"/>
            <rFont val="Calibri"/>
            <family val="2"/>
            <scheme val="minor"/>
          </rPr>
          <t>======
ID#AAAAv6bJJug
VR    (2023-04-26 13:53:41)
Folhas com resultados impresso não se encontravam no fichário
	-Cíntia Verdan</t>
        </r>
      </text>
    </comment>
    <comment ref="BO155" authorId="1" shapeId="0" xr:uid="{00000000-0006-0000-0000-000009000000}">
      <text>
        <r>
          <rPr>
            <sz val="11"/>
            <color rgb="FF000000"/>
            <rFont val="Calibri"/>
            <family val="2"/>
            <scheme val="minor"/>
          </rPr>
          <t>======
ID#AAAAv6bJJvI
VR    (2023-04-26 13:53:41)
Folhas com resultados impresso não se encontravam no fichário
	-Cíntia Verdan</t>
        </r>
      </text>
    </comment>
    <comment ref="BQ155" authorId="1" shapeId="0" xr:uid="{00000000-0006-0000-0000-000018000000}">
      <text>
        <r>
          <rPr>
            <sz val="11"/>
            <color rgb="FF000000"/>
            <rFont val="Calibri"/>
            <family val="2"/>
            <scheme val="minor"/>
          </rPr>
          <t>======
ID#AAAAv6bJJuM
VR    (2023-04-26 13:53:41)
Folhas com resultados impresso não se encontravam no fichário
	-Cíntia Verdan</t>
        </r>
      </text>
    </comment>
    <comment ref="BS155" authorId="1" shapeId="0" xr:uid="{00000000-0006-0000-0000-000017000000}">
      <text>
        <r>
          <rPr>
            <sz val="11"/>
            <color rgb="FF000000"/>
            <rFont val="Calibri"/>
            <family val="2"/>
            <scheme val="minor"/>
          </rPr>
          <t>======
ID#AAAAv6bJJuQ
VR    (2023-04-26 13:53:41)
Folhas com resultados impresso não se encontravam no fichário
	-Cíntia Verdan</t>
        </r>
      </text>
    </comment>
    <comment ref="BU155" authorId="1" shapeId="0" xr:uid="{00000000-0006-0000-0000-000007000000}">
      <text>
        <r>
          <rPr>
            <sz val="11"/>
            <color rgb="FF000000"/>
            <rFont val="Calibri"/>
            <family val="2"/>
            <scheme val="minor"/>
          </rPr>
          <t>======
ID#AAAAv6bJJvQ
VR    (2023-04-26 13:53:41)
Folhas com resultados impresso não se encontravam no fichário
	-Cíntia Verdan</t>
        </r>
      </text>
    </comment>
    <comment ref="BY155" authorId="1" shapeId="0" xr:uid="{00000000-0006-0000-0000-000003000000}">
      <text>
        <r>
          <rPr>
            <sz val="11"/>
            <color rgb="FF000000"/>
            <rFont val="Calibri"/>
            <family val="2"/>
            <scheme val="minor"/>
          </rPr>
          <t>======
ID#AAAAv6bJJvg
VR    (2023-04-26 13:53:41)
Folhas com resultados impresso não se encontravam no fichário
	-Cíntia Verdan</t>
        </r>
      </text>
    </comment>
    <comment ref="CA155" authorId="1" shapeId="0" xr:uid="{00000000-0006-0000-0000-00000B000000}">
      <text>
        <r>
          <rPr>
            <sz val="11"/>
            <color rgb="FF000000"/>
            <rFont val="Calibri"/>
            <family val="2"/>
            <scheme val="minor"/>
          </rPr>
          <t>======
ID#AAAAv6bJJvA
VR    (2023-04-26 13:53:41)
Folhas com resultados impresso não se encontravam no fichário
	-Cíntia Verdan</t>
        </r>
      </text>
    </comment>
    <comment ref="CC155" authorId="1" shapeId="0" xr:uid="{00000000-0006-0000-0000-00000F000000}">
      <text>
        <r>
          <rPr>
            <sz val="11"/>
            <color rgb="FF000000"/>
            <rFont val="Calibri"/>
            <family val="2"/>
            <scheme val="minor"/>
          </rPr>
          <t>======
ID#AAAAv6bJJus
VR    (2023-04-26 13:53:41)
Folhas com resultados impresso não se encontravam no fichário
	-Cíntia Verdan</t>
        </r>
      </text>
    </comment>
    <comment ref="CE155" authorId="1" shapeId="0" xr:uid="{00000000-0006-0000-0000-000010000000}">
      <text>
        <r>
          <rPr>
            <sz val="11"/>
            <color rgb="FF000000"/>
            <rFont val="Calibri"/>
            <family val="2"/>
            <scheme val="minor"/>
          </rPr>
          <t>======
ID#AAAAv6bJJuw
VR    (2023-04-26 13:53:41)
Folhas com resultados impresso não se encontravam no fichário
	-Cíntia Verdan</t>
        </r>
      </text>
    </comment>
    <comment ref="CG155" authorId="1" shapeId="0" xr:uid="{00000000-0006-0000-0000-000005000000}">
      <text>
        <r>
          <rPr>
            <sz val="11"/>
            <color rgb="FF000000"/>
            <rFont val="Calibri"/>
            <family val="2"/>
            <scheme val="minor"/>
          </rPr>
          <t>======
ID#AAAAv6bJJvY
VR    (2023-04-26 13:53:41)
Folhas com resultados impresso não se encontravam no fichário
	-Cíntia Verdan</t>
        </r>
      </text>
    </comment>
    <comment ref="CI155" authorId="1" shapeId="0" xr:uid="{00000000-0006-0000-0000-00000E000000}">
      <text>
        <r>
          <rPr>
            <sz val="11"/>
            <color rgb="FF000000"/>
            <rFont val="Calibri"/>
            <family val="2"/>
            <scheme val="minor"/>
          </rPr>
          <t>======
ID#AAAAv6bJJu0
VR    (2023-04-26 13:53:41)
Folhas com resultados impresso não se encontravam no fichário
	-Cíntia Verdan</t>
        </r>
      </text>
    </comment>
    <comment ref="BG158" authorId="1" shapeId="0" xr:uid="{00000000-0006-0000-0000-000016000000}">
      <text>
        <r>
          <rPr>
            <sz val="11"/>
            <color rgb="FF000000"/>
            <rFont val="Calibri"/>
            <family val="2"/>
            <scheme val="minor"/>
          </rPr>
          <t>======
ID#AAAAv6bJJuU
VR    (2023-04-26 13:53:41)
Folhas com resultados impresso não se encontravam no fichário
	-Cíntia Verdan</t>
        </r>
      </text>
    </comment>
    <comment ref="BI158" authorId="1" shapeId="0" xr:uid="{00000000-0006-0000-0000-000011000000}">
      <text>
        <r>
          <rPr>
            <sz val="11"/>
            <color rgb="FF000000"/>
            <rFont val="Calibri"/>
            <family val="2"/>
            <scheme val="minor"/>
          </rPr>
          <t>======
ID#AAAAv6bJJuo
VR    (2023-04-26 13:53:41)
Folhas com resultados impresso não se encontravam no fichário
	-Cíntia Verdan</t>
        </r>
      </text>
    </comment>
    <comment ref="BK158" authorId="1" shapeId="0" xr:uid="{00000000-0006-0000-0000-000014000000}">
      <text>
        <r>
          <rPr>
            <sz val="11"/>
            <color rgb="FF000000"/>
            <rFont val="Calibri"/>
            <family val="2"/>
            <scheme val="minor"/>
          </rPr>
          <t>======
ID#AAAAv6bJJuc
VR    (2023-04-26 13:53:41)
Folhas com resultados impresso não se encontravam no fichário
	-Cíntia Verdan</t>
        </r>
      </text>
    </comment>
    <comment ref="BM158" authorId="1" shapeId="0" xr:uid="{00000000-0006-0000-0000-00000C000000}">
      <text>
        <r>
          <rPr>
            <sz val="11"/>
            <color rgb="FF000000"/>
            <rFont val="Calibri"/>
            <family val="2"/>
            <scheme val="minor"/>
          </rPr>
          <t>======
ID#AAAAv6bJJu8
VR    (2023-04-26 13:53:41)
Folhas com resultados impresso não se encontravam no fichário
	-Cíntia Verdan</t>
        </r>
      </text>
    </comment>
    <comment ref="BO158" authorId="1" shapeId="0" xr:uid="{00000000-0006-0000-0000-00000D000000}">
      <text>
        <r>
          <rPr>
            <sz val="11"/>
            <color rgb="FF000000"/>
            <rFont val="Calibri"/>
            <family val="2"/>
            <scheme val="minor"/>
          </rPr>
          <t>======
ID#AAAAv6bJJu4
VR    (2023-04-26 13:53:41)
Folhas com resultados impresso não se encontravam no fichário
	-Cíntia Verdan</t>
        </r>
      </text>
    </comment>
    <comment ref="BQ158" authorId="1" shapeId="0" xr:uid="{00000000-0006-0000-0000-000001000000}">
      <text>
        <r>
          <rPr>
            <sz val="11"/>
            <color rgb="FF000000"/>
            <rFont val="Calibri"/>
            <family val="2"/>
            <scheme val="minor"/>
          </rPr>
          <t>======
ID#AAAAv6bJJvo
VR    (2023-04-26 13:53:41)
Folhas com resultados impresso não se encontravam no fichário
	-Cíntia Verdan</t>
        </r>
      </text>
    </comment>
    <comment ref="BS158" authorId="1" shapeId="0" xr:uid="{00000000-0006-0000-0000-00000A000000}">
      <text>
        <r>
          <rPr>
            <sz val="11"/>
            <color rgb="FF000000"/>
            <rFont val="Calibri"/>
            <family val="2"/>
            <scheme val="minor"/>
          </rPr>
          <t>======
ID#AAAAv6bJJvE
VR    (2023-04-26 13:53:41)
Folhas com resultados impresso não se encontravam no fichário
	-Cíntia Verdan</t>
        </r>
      </text>
    </comment>
    <comment ref="BU158" authorId="1" shapeId="0" xr:uid="{00000000-0006-0000-0000-000002000000}">
      <text>
        <r>
          <rPr>
            <sz val="11"/>
            <color rgb="FF000000"/>
            <rFont val="Calibri"/>
            <family val="2"/>
            <scheme val="minor"/>
          </rPr>
          <t>======
ID#AAAAv6bJJvk
VR    (2023-04-26 13:53:41)
Folhas com resultados impresso não se encontravam no fichário
	-Cíntia Verdan</t>
        </r>
      </text>
    </comment>
    <comment ref="BY158" authorId="1" shapeId="0" xr:uid="{00000000-0006-0000-0000-000004000000}">
      <text>
        <r>
          <rPr>
            <sz val="11"/>
            <color rgb="FF000000"/>
            <rFont val="Calibri"/>
            <family val="2"/>
            <scheme val="minor"/>
          </rPr>
          <t>======
ID#AAAAv6bJJvc
VR    (2023-04-26 13:53:41)
Folhas com resultados impresso não se encontravam no fichário
	-Cíntia Verdan</t>
        </r>
      </text>
    </comment>
    <comment ref="CA158" authorId="1" shapeId="0" xr:uid="{00000000-0006-0000-0000-000019000000}">
      <text>
        <r>
          <rPr>
            <sz val="11"/>
            <color rgb="FF000000"/>
            <rFont val="Calibri"/>
            <family val="2"/>
            <scheme val="minor"/>
          </rPr>
          <t>======
ID#AAAAv6bJJuI
VR    (2023-04-26 13:53:41)
Folhas com resultados impresso não se encontravam no fichário
	-Cíntia Verdan</t>
        </r>
      </text>
    </comment>
    <comment ref="CC158" authorId="1" shapeId="0" xr:uid="{00000000-0006-0000-0000-000015000000}">
      <text>
        <r>
          <rPr>
            <sz val="11"/>
            <color rgb="FF000000"/>
            <rFont val="Calibri"/>
            <family val="2"/>
            <scheme val="minor"/>
          </rPr>
          <t>======
ID#AAAAv6bJJuY
VR    (2023-04-26 13:53:41)
Folhas com resultados impresso não se encontravam no fichário
	-Cíntia Verdan</t>
        </r>
      </text>
    </comment>
    <comment ref="CE158" authorId="1" shapeId="0" xr:uid="{00000000-0006-0000-0000-000012000000}">
      <text>
        <r>
          <rPr>
            <sz val="11"/>
            <color rgb="FF000000"/>
            <rFont val="Calibri"/>
            <family val="2"/>
            <scheme val="minor"/>
          </rPr>
          <t>======
ID#AAAAv6bJJuk
VR    (2023-04-26 13:53:41)
Folhas com resultados impresso não se encontravam no fichário
	-Cíntia Verdan</t>
        </r>
      </text>
    </comment>
    <comment ref="CG158" authorId="1" shapeId="0" xr:uid="{00000000-0006-0000-0000-000006000000}">
      <text>
        <r>
          <rPr>
            <sz val="11"/>
            <color rgb="FF000000"/>
            <rFont val="Calibri"/>
            <family val="2"/>
            <scheme val="minor"/>
          </rPr>
          <t>======
ID#AAAAv6bJJvU
VR    (2023-04-26 13:53:41)
Folhas com resultados impresso não se encontravam no fichário
	-Cíntia Verdan</t>
        </r>
      </text>
    </comment>
    <comment ref="CI158" authorId="1" shapeId="0" xr:uid="{00000000-0006-0000-0000-000008000000}">
      <text>
        <r>
          <rPr>
            <sz val="11"/>
            <color rgb="FF000000"/>
            <rFont val="Calibri"/>
            <family val="2"/>
            <scheme val="minor"/>
          </rPr>
          <t>======
ID#AAAAv6bJJvM
VR    (2023-04-26 13:53:41)
Folhas com resultados impresso não se encontravam no fichário
	-Cíntia Verdan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fpr69zX0r05IP0PeJyktKgeyfT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THIAGO AZEVEDO DE ARRUDA</author>
    <author/>
  </authors>
  <commentList>
    <comment ref="A1" authorId="0" shapeId="0" xr:uid="{A8A80CB2-9135-45BF-8838-B3F133376D6B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Dados Gerais</t>
        </r>
      </text>
    </comment>
    <comment ref="B1" authorId="0" shapeId="0" xr:uid="{6FF12684-0667-49E5-BAAE-35073E7B049B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Dados Gerais</t>
        </r>
      </text>
    </comment>
    <comment ref="C1" authorId="0" shapeId="0" xr:uid="{6B06005F-CBEF-4155-AF5C-8D11EA263F10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Dados Gerais</t>
        </r>
      </text>
    </comment>
    <comment ref="D1" authorId="0" shapeId="0" xr:uid="{4372BF72-EBC1-400D-9581-54F5F768A058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Dados Gerais</t>
        </r>
      </text>
    </comment>
    <comment ref="E1" authorId="0" shapeId="0" xr:uid="{76E001B1-0C13-4CE4-B307-1EB4F5058FC5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Dados Gerais</t>
        </r>
      </text>
    </comment>
    <comment ref="F1" authorId="0" shapeId="0" xr:uid="{DF7CF4A5-6C20-4904-B9D0-4BDF9775CC94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Dados Gerais</t>
        </r>
      </text>
    </comment>
    <comment ref="G1" authorId="0" shapeId="0" xr:uid="{40E2D1DC-CB11-4CA3-90BD-C07A04ADF3AD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Polimorfismos / Análise de performance</t>
        </r>
      </text>
    </comment>
    <comment ref="H1" authorId="0" shapeId="0" xr:uid="{3BB85C78-3611-4583-A71F-013955A48961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Polimorfismos / Análise de performance</t>
        </r>
      </text>
    </comment>
    <comment ref="I1" authorId="0" shapeId="0" xr:uid="{EC908160-4064-495B-81BD-45B4BD2119A3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Polimorfismos / Análise de performance</t>
        </r>
      </text>
    </comment>
    <comment ref="J1" authorId="0" shapeId="0" xr:uid="{B6E2B60D-CE92-4A1A-858F-3123B08F89EA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Polimorfismos / Análise de performance</t>
        </r>
      </text>
    </comment>
    <comment ref="K1" authorId="0" shapeId="0" xr:uid="{D8925F5B-8E22-43BB-A0D9-5371F5DF324E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Polimorfismos / Análise de performance</t>
        </r>
      </text>
    </comment>
    <comment ref="L1" authorId="0" shapeId="0" xr:uid="{56FD7592-3F2E-45F9-B76C-2691BDAF1CF2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Polimorfismos / Análise de performance</t>
        </r>
      </text>
    </comment>
    <comment ref="M1" authorId="0" shapeId="0" xr:uid="{7A1C110B-01B2-48A8-A502-AAEBC23BD6C2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N1" authorId="0" shapeId="0" xr:uid="{31AF6284-481F-4D0F-964B-751515AA00EC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O1" authorId="0" shapeId="0" xr:uid="{2A7DCF74-6192-401C-BEF3-0884AC3C6E8E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P1" authorId="0" shapeId="0" xr:uid="{181B6201-52D9-44A5-AF4C-9367B79DDE51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Q1" authorId="0" shapeId="0" xr:uid="{FD4FE900-233B-4AB3-8D01-4AF396433E59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R1" authorId="0" shapeId="0" xr:uid="{E78C6285-D293-42C5-8FB4-9EB9F8F3ECEA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S1" authorId="0" shapeId="0" xr:uid="{C4CAA6B7-1543-465F-B79E-845F80750784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T1" authorId="0" shapeId="0" xr:uid="{BA2A766D-95AA-4BD4-8F75-B800E10BC321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U1" authorId="0" shapeId="0" xr:uid="{41A1A392-3266-42D1-A9EF-125A859A6D97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V1" authorId="0" shapeId="0" xr:uid="{F8B1E386-D76C-4D09-B1DD-5271D8F54760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de Dano muscular
</t>
        </r>
      </text>
    </comment>
    <comment ref="W1" authorId="0" shapeId="0" xr:uid="{9AF72D62-5FC9-4DFF-B836-A98F61CCD19B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hepático</t>
        </r>
      </text>
    </comment>
    <comment ref="X1" authorId="0" shapeId="0" xr:uid="{176D9505-B0B2-43EA-B19B-88CDA12F5565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hepático</t>
        </r>
      </text>
    </comment>
    <comment ref="Y1" authorId="0" shapeId="0" xr:uid="{595DF8D5-A63B-41D1-A41C-5B822AE338C8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hepático</t>
        </r>
      </text>
    </comment>
    <comment ref="Z1" authorId="0" shapeId="0" xr:uid="{0A39FC36-B448-4C7D-A992-95337C3622F3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hepático</t>
        </r>
      </text>
    </comment>
    <comment ref="AA1" authorId="0" shapeId="0" xr:uid="{D9E18E5A-C783-4C7D-964A-9702A0414DCF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hepático</t>
        </r>
      </text>
    </comment>
    <comment ref="AB1" authorId="0" shapeId="0" xr:uid="{1F2A2064-022D-481C-BE24-4012D00E5C74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hepático</t>
        </r>
      </text>
    </comment>
    <comment ref="AC1" authorId="0" shapeId="0" xr:uid="{AC3F9BCC-3FB1-4E06-B9E0-42D2D4B86161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do perfil Renal</t>
        </r>
      </text>
    </comment>
    <comment ref="AD1" authorId="0" shapeId="0" xr:uid="{D3B47FF9-692C-4315-B85E-DCC65578FF99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do perfil Renal</t>
        </r>
      </text>
    </comment>
    <comment ref="AE1" authorId="0" shapeId="0" xr:uid="{63415117-D9E0-4DC4-BBFF-2BCE8412BDC5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do perfil Renal</t>
        </r>
      </text>
    </comment>
    <comment ref="AF1" authorId="0" shapeId="0" xr:uid="{3A7B9CDB-A9B7-4B2B-917D-24D41D997537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do perfil Renal</t>
        </r>
      </text>
    </comment>
    <comment ref="AG1" authorId="0" shapeId="0" xr:uid="{4147D0CA-99E2-46AC-8D16-BB652367129E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do perfil Renal</t>
        </r>
      </text>
    </comment>
    <comment ref="AH1" authorId="0" shapeId="0" xr:uid="{CB0C32D7-DB5B-42C3-82F8-26A927D03386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do perfil Renal</t>
        </r>
      </text>
    </comment>
    <comment ref="AI1" authorId="0" shapeId="0" xr:uid="{E6285BDD-C6F6-4C28-9393-38C5EECBBF0D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do perfil Renal</t>
        </r>
      </text>
    </comment>
    <comment ref="AJ1" authorId="0" shapeId="0" xr:uid="{B52276C9-858A-4314-B07B-74274AC97DB4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do perfil Renal</t>
        </r>
      </text>
    </comment>
    <comment ref="AK1" authorId="0" shapeId="0" xr:uid="{6B89489C-C323-4A41-993D-0FDB0625E7D9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do perfil Renal</t>
        </r>
      </text>
    </comment>
    <comment ref="AL1" authorId="0" shapeId="0" xr:uid="{1703DBC6-1F91-4BFD-A7E2-3CAA346F51ED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do perfil Renal</t>
        </r>
      </text>
    </comment>
    <comment ref="AM1" authorId="0" shapeId="0" xr:uid="{1ACB4B20-7F63-46D1-BC9D-C9911B21C378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do perfil Renal</t>
        </r>
      </text>
    </comment>
    <comment ref="AN1" authorId="0" shapeId="0" xr:uid="{37D022FA-15B7-43AC-86A7-0118769053D2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do perfil Renal</t>
        </r>
      </text>
    </comment>
    <comment ref="AO1" authorId="0" shapeId="0" xr:uid="{C8458FC9-3EE8-438F-8755-C9DAE1EB1510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do perfil Renal</t>
        </r>
      </text>
    </comment>
    <comment ref="AP1" authorId="0" shapeId="0" xr:uid="{B9B6497D-9D4F-4C2C-9DFC-E557384D9BF9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do perfil Renal</t>
        </r>
      </text>
    </comment>
    <comment ref="AQ1" authorId="0" shapeId="0" xr:uid="{D10BC47B-E96A-4828-B8C1-F5C0F8C1ABCB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Marcador do perfil Renal</t>
        </r>
      </text>
    </comment>
    <comment ref="AR1" authorId="0" shapeId="0" xr:uid="{F75B78D9-C17B-412B-BC7A-581D284D8AF5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AS1" authorId="0" shapeId="0" xr:uid="{9E733FC4-661D-446C-B166-2A59B2D6CF31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AT1" authorId="0" shapeId="0" xr:uid="{8BE9A704-7609-47A7-9E58-E0BDB8D7766E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AU1" authorId="0" shapeId="0" xr:uid="{1A47332C-827A-4374-84BE-B9BA9D92BC9F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AV1" authorId="0" shapeId="0" xr:uid="{57A3F3B4-1988-446C-8355-264DA98A7D9D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AW1" authorId="0" shapeId="0" xr:uid="{E38DDAF3-C34A-4A79-B410-4CDCBA6240F2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AX1" authorId="0" shapeId="0" xr:uid="{B1D377BA-452F-4CF7-990B-336DCDC90215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AY1" authorId="0" shapeId="0" xr:uid="{2E65B757-2A62-42A1-ACF1-47E189D4FF5C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AZ1" authorId="0" shapeId="0" xr:uid="{427A6AFC-97FA-4509-9A2A-D1D4DA2D370C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BA1" authorId="0" shapeId="0" xr:uid="{EE45A895-5B2C-42D9-A332-238C177C53EC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BB1" authorId="0" shapeId="0" xr:uid="{0B27C18A-C2E1-4CAC-BA8D-236FFA144F0E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BC1" authorId="0" shapeId="0" xr:uid="{9F352FE7-12D4-4FC9-A964-08150F46E4B5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BD1" authorId="0" shapeId="0" xr:uid="{A1BFB527-2E54-42DB-B7D7-062357381ED7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BE1" authorId="0" shapeId="0" xr:uid="{469CDCA0-5B7D-4852-84DB-4C730124B35A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Perfil Eletrolítico</t>
        </r>
      </text>
    </comment>
    <comment ref="BF1" authorId="0" shapeId="0" xr:uid="{F8A243C4-79A0-4A17-A757-884057ECAB68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Vermelha
</t>
        </r>
      </text>
    </comment>
    <comment ref="BG1" authorId="0" shapeId="0" xr:uid="{1734D782-21A5-4F46-9F5B-06AA290DBF09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Vermelha
</t>
        </r>
      </text>
    </comment>
    <comment ref="BH1" authorId="0" shapeId="0" xr:uid="{7C4E0282-ABC3-4AD1-8BD9-BA54F5A1F70B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Vermelha
</t>
        </r>
      </text>
    </comment>
    <comment ref="BI1" authorId="0" shapeId="0" xr:uid="{3D662E34-8560-4A0E-80CA-439F676BB26B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Vermelha
</t>
        </r>
      </text>
    </comment>
    <comment ref="BJ1" authorId="0" shapeId="0" xr:uid="{6B516A73-F03B-47A2-82CF-115DA7B6792B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Vermelha
</t>
        </r>
      </text>
    </comment>
    <comment ref="BK1" authorId="0" shapeId="0" xr:uid="{39962AED-05CF-47AF-907F-505E36DF8D33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Vermelha
</t>
        </r>
      </text>
    </comment>
    <comment ref="BL1" authorId="0" shapeId="0" xr:uid="{55D58107-8454-4639-B031-72B870D7F243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Vermelha
</t>
        </r>
      </text>
    </comment>
    <comment ref="BM1" authorId="0" shapeId="0" xr:uid="{0D3B43C5-2082-48C5-AA01-20C467A61870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Vermelha
</t>
        </r>
      </text>
    </comment>
    <comment ref="BN1" authorId="0" shapeId="0" xr:uid="{20F41668-47AA-4527-BC13-5EE045E959CD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Vermelha
</t>
        </r>
      </text>
    </comment>
    <comment ref="BO1" authorId="0" shapeId="0" xr:uid="{B699B6DE-0213-4A30-9682-B22F4FF6FA0A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Vermelha
</t>
        </r>
      </text>
    </comment>
    <comment ref="BP1" authorId="0" shapeId="0" xr:uid="{0D347920-04A7-43B5-83F4-57F2848F0504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Vermelha
</t>
        </r>
      </text>
    </comment>
    <comment ref="BQ1" authorId="0" shapeId="0" xr:uid="{2905B282-DCF2-4036-A055-4459DBBE4D7A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Vermelha
</t>
        </r>
      </text>
    </comment>
    <comment ref="BR1" authorId="0" shapeId="0" xr:uid="{1C747457-55E2-4ED4-8195-D1C68A201303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Vermelha
</t>
        </r>
      </text>
    </comment>
    <comment ref="BS1" authorId="0" shapeId="0" xr:uid="{549931A9-8618-45C4-8486-157A72D3B2FE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Vermelha
</t>
        </r>
      </text>
    </comment>
    <comment ref="BT1" authorId="0" shapeId="0" xr:uid="{5DA9E591-92D6-47F9-A4F4-E78E2F50B748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Vermelha
</t>
        </r>
      </text>
    </comment>
    <comment ref="BU1" authorId="0" shapeId="0" xr:uid="{E243AD8D-EFA0-48C6-93E1-98A7BF77E020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Vermelha
</t>
        </r>
      </text>
    </comment>
    <comment ref="BV1" authorId="0" shapeId="0" xr:uid="{9A129B7F-1983-4651-B070-23CCEF8C47F3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Vermelha
</t>
        </r>
      </text>
    </comment>
    <comment ref="BW1" authorId="0" shapeId="0" xr:uid="{3AA0A3CC-1E02-4F20-87FE-431B87D6DC14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Vermelha
</t>
        </r>
      </text>
    </comment>
    <comment ref="BX1" authorId="0" shapeId="0" xr:uid="{22B742A2-9F03-4451-8B83-A8142EDE38C5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Leucocitária</t>
        </r>
      </text>
    </comment>
    <comment ref="BY1" authorId="0" shapeId="0" xr:uid="{B6D89AC7-EEC0-4D8F-9BAB-2A7976FBE51A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Leucocitária</t>
        </r>
      </text>
    </comment>
    <comment ref="BZ1" authorId="0" shapeId="0" xr:uid="{DDC45DD9-071C-42D5-8463-02B5B4441245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Leucocitária</t>
        </r>
      </text>
    </comment>
    <comment ref="CA1" authorId="0" shapeId="0" xr:uid="{0E3F14C7-ADE0-413E-B297-25A78A71A7FE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Leucocitária</t>
        </r>
      </text>
    </comment>
    <comment ref="CB1" authorId="0" shapeId="0" xr:uid="{27A515CC-7459-49EA-ABFF-B6C8DFFF6AD3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Leucocitária</t>
        </r>
      </text>
    </comment>
    <comment ref="CC1" authorId="0" shapeId="0" xr:uid="{1BBEEA58-5211-4307-8880-2F01AD729341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Leucocitária</t>
        </r>
      </text>
    </comment>
    <comment ref="CD1" authorId="0" shapeId="0" xr:uid="{13BB8773-B49D-4D5A-A4D1-BA3B444D60B7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Leucocitária</t>
        </r>
      </text>
    </comment>
    <comment ref="CE1" authorId="0" shapeId="0" xr:uid="{4A8011B2-D2DF-45D1-B3E9-80A4441DF992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Leucocitária</t>
        </r>
      </text>
    </comment>
    <comment ref="CF1" authorId="0" shapeId="0" xr:uid="{4D8B65D9-34E6-44E4-89AE-AE3DE4C7B9EE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Leucocitária</t>
        </r>
      </text>
    </comment>
    <comment ref="CG1" authorId="0" shapeId="0" xr:uid="{80130530-6147-4076-A769-1239523225AB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Leucocitária</t>
        </r>
      </text>
    </comment>
    <comment ref="CH1" authorId="0" shapeId="0" xr:uid="{289F94CA-A42D-4795-B61F-F606150FB64F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Leucocitária</t>
        </r>
      </text>
    </comment>
    <comment ref="CI1" authorId="0" shapeId="0" xr:uid="{17A58DF8-0D04-4A6B-B363-C8FFD0580FA9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Hemograma Série Leucocitária</t>
        </r>
      </text>
    </comment>
    <comment ref="CL1" authorId="0" shapeId="0" xr:uid="{771066C3-8290-4DCC-A886-F04A9CAB4C3D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Medidas Avaliadas no momento ZERO do curso (medida2)</t>
        </r>
      </text>
    </comment>
    <comment ref="CM1" authorId="0" shapeId="0" xr:uid="{333BDDC6-3C13-4CCC-A60F-110042997058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Medidas Avaliadas no momento ZERO do curso (medida2)</t>
        </r>
      </text>
    </comment>
    <comment ref="CN1" authorId="0" shapeId="0" xr:uid="{FB8A6CB8-D694-406C-B517-E555ED277BA1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Medidas Avaliadas no momento ZERO do curso (medida2)</t>
        </r>
      </text>
    </comment>
    <comment ref="CO1" authorId="0" shapeId="0" xr:uid="{4610B13C-8DD8-48A0-A882-45D451C466B9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Medidas Avaliadas no momento ZERO do curso (medida2)</t>
        </r>
      </text>
    </comment>
    <comment ref="CP1" authorId="0" shapeId="0" xr:uid="{952D606D-B1FE-4C3A-AA43-74BB7888834C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Medidas Avaliadas no momento ZERO do curso (medida2)</t>
        </r>
      </text>
    </comment>
    <comment ref="CQ1" authorId="0" shapeId="0" xr:uid="{B613FFC6-D682-49E9-AE07-923F243A69BB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Medidas Avaliadas no momento ZERO do curso (medida2)</t>
        </r>
      </text>
    </comment>
    <comment ref="CR1" authorId="0" shapeId="0" xr:uid="{255997F1-8FB8-481B-B04A-DB3D19387F2B}">
      <text>
        <r>
          <rPr>
            <b/>
            <sz val="9"/>
            <color indexed="81"/>
            <rFont val="Segoe UI"/>
            <family val="2"/>
          </rPr>
          <t>THIAGO AZEVEDO DE ARRUDA:</t>
        </r>
        <r>
          <rPr>
            <sz val="9"/>
            <color indexed="81"/>
            <rFont val="Segoe UI"/>
            <family val="2"/>
          </rPr>
          <t xml:space="preserve">
Medidas Avaliadas no momento ZERO do curso (medida2)</t>
        </r>
      </text>
    </comment>
    <comment ref="BM305" authorId="1" shapeId="0" xr:uid="{E1291851-E72B-4797-87A5-3C01F5142F32}">
      <text>
        <r>
          <rPr>
            <sz val="11"/>
            <color rgb="FF000000"/>
            <rFont val="Calibri"/>
            <family val="2"/>
            <scheme val="minor"/>
          </rPr>
          <t>======
ID#AAAAv6bJJug
VR    (2023-04-26 13:53:41)
Folhas com resultados impresso não se encontravam no fichário
	-Cíntia Verdan</t>
        </r>
      </text>
    </comment>
    <comment ref="BO305" authorId="1" shapeId="0" xr:uid="{B373EFC6-C454-432B-9EED-A6F3FA69F0BD}">
      <text>
        <r>
          <rPr>
            <sz val="11"/>
            <color rgb="FF000000"/>
            <rFont val="Calibri"/>
            <family val="2"/>
            <scheme val="minor"/>
          </rPr>
          <t>======
ID#AAAAv6bJJvI
VR    (2023-04-26 13:53:41)
Folhas com resultados impresso não se encontravam no fichário
	-Cíntia Verdan</t>
        </r>
      </text>
    </comment>
    <comment ref="BQ305" authorId="1" shapeId="0" xr:uid="{8166DC57-47E7-430C-9833-02D8D28ED2C6}">
      <text>
        <r>
          <rPr>
            <sz val="11"/>
            <color rgb="FF000000"/>
            <rFont val="Calibri"/>
            <family val="2"/>
            <scheme val="minor"/>
          </rPr>
          <t>======
ID#AAAAv6bJJuM
VR    (2023-04-26 13:53:41)
Folhas com resultados impresso não se encontravam no fichário
	-Cíntia Verdan</t>
        </r>
      </text>
    </comment>
    <comment ref="BS305" authorId="1" shapeId="0" xr:uid="{0BED2E9A-5478-4A1E-BDA6-13DD126A1FBF}">
      <text>
        <r>
          <rPr>
            <sz val="11"/>
            <color rgb="FF000000"/>
            <rFont val="Calibri"/>
            <family val="2"/>
            <scheme val="minor"/>
          </rPr>
          <t>======
ID#AAAAv6bJJuQ
VR    (2023-04-26 13:53:41)
Folhas com resultados impresso não se encontravam no fichário
	-Cíntia Verdan</t>
        </r>
      </text>
    </comment>
    <comment ref="BU305" authorId="1" shapeId="0" xr:uid="{DB1E908A-7AB7-47DB-9024-350AA7140BB7}">
      <text>
        <r>
          <rPr>
            <sz val="11"/>
            <color rgb="FF000000"/>
            <rFont val="Calibri"/>
            <family val="2"/>
            <scheme val="minor"/>
          </rPr>
          <t>======
ID#AAAAv6bJJvQ
VR    (2023-04-26 13:53:41)
Folhas com resultados impresso não se encontravam no fichário
	-Cíntia Verdan</t>
        </r>
      </text>
    </comment>
    <comment ref="BY305" authorId="1" shapeId="0" xr:uid="{EB9D86E6-18C8-4194-8697-18C510F1E538}">
      <text>
        <r>
          <rPr>
            <sz val="11"/>
            <color rgb="FF000000"/>
            <rFont val="Calibri"/>
            <family val="2"/>
            <scheme val="minor"/>
          </rPr>
          <t>======
ID#AAAAv6bJJvg
VR    (2023-04-26 13:53:41)
Folhas com resultados impresso não se encontravam no fichário
	-Cíntia Verdan</t>
        </r>
      </text>
    </comment>
    <comment ref="CA305" authorId="1" shapeId="0" xr:uid="{F61E7E57-6A7D-4C3E-BD06-5A77C4850ACB}">
      <text>
        <r>
          <rPr>
            <sz val="11"/>
            <color rgb="FF000000"/>
            <rFont val="Calibri"/>
            <family val="2"/>
            <scheme val="minor"/>
          </rPr>
          <t>======
ID#AAAAv6bJJvA
VR    (2023-04-26 13:53:41)
Folhas com resultados impresso não se encontravam no fichário
	-Cíntia Verdan</t>
        </r>
      </text>
    </comment>
    <comment ref="CC305" authorId="1" shapeId="0" xr:uid="{C528E482-4026-4AD9-A364-805E8B8387DD}">
      <text>
        <r>
          <rPr>
            <sz val="11"/>
            <color rgb="FF000000"/>
            <rFont val="Calibri"/>
            <family val="2"/>
            <scheme val="minor"/>
          </rPr>
          <t>======
ID#AAAAv6bJJus
VR    (2023-04-26 13:53:41)
Folhas com resultados impresso não se encontravam no fichário
	-Cíntia Verdan</t>
        </r>
      </text>
    </comment>
    <comment ref="CE305" authorId="1" shapeId="0" xr:uid="{56E02A6D-E9F7-4183-9187-C7430713B3BF}">
      <text>
        <r>
          <rPr>
            <sz val="11"/>
            <color rgb="FF000000"/>
            <rFont val="Calibri"/>
            <family val="2"/>
            <scheme val="minor"/>
          </rPr>
          <t>======
ID#AAAAv6bJJuw
VR    (2023-04-26 13:53:41)
Folhas com resultados impresso não se encontravam no fichário
	-Cíntia Verdan</t>
        </r>
      </text>
    </comment>
    <comment ref="CG305" authorId="1" shapeId="0" xr:uid="{94FD32CE-6FA5-4AD9-80F4-36E27DDC17E3}">
      <text>
        <r>
          <rPr>
            <sz val="11"/>
            <color rgb="FF000000"/>
            <rFont val="Calibri"/>
            <family val="2"/>
            <scheme val="minor"/>
          </rPr>
          <t>======
ID#AAAAv6bJJvY
VR    (2023-04-26 13:53:41)
Folhas com resultados impresso não se encontravam no fichário
	-Cíntia Verdan</t>
        </r>
      </text>
    </comment>
    <comment ref="CI305" authorId="1" shapeId="0" xr:uid="{70A951FF-5F69-4BDE-BC6D-12B79E2E136D}">
      <text>
        <r>
          <rPr>
            <sz val="11"/>
            <color rgb="FF000000"/>
            <rFont val="Calibri"/>
            <family val="2"/>
            <scheme val="minor"/>
          </rPr>
          <t>======
ID#AAAAv6bJJu0
VR    (2023-04-26 13:53:41)
Folhas com resultados impresso não se encontravam no fichário
	-Cíntia Verdan</t>
        </r>
      </text>
    </comment>
    <comment ref="BG329" authorId="1" shapeId="0" xr:uid="{B289525E-9449-4CB5-815B-DF6C9206A9ED}">
      <text>
        <r>
          <rPr>
            <sz val="11"/>
            <color rgb="FF000000"/>
            <rFont val="Calibri"/>
            <family val="2"/>
            <scheme val="minor"/>
          </rPr>
          <t>======
ID#AAAAv6bJJuU
VR    (2023-04-26 13:53:41)
Folhas com resultados impresso não se encontravam no fichário
	-Cíntia Verdan</t>
        </r>
      </text>
    </comment>
    <comment ref="BI329" authorId="1" shapeId="0" xr:uid="{A2517FE7-31EF-423C-95C9-0958C285431A}">
      <text>
        <r>
          <rPr>
            <sz val="11"/>
            <color rgb="FF000000"/>
            <rFont val="Calibri"/>
            <family val="2"/>
            <scheme val="minor"/>
          </rPr>
          <t>======
ID#AAAAv6bJJuo
VR    (2023-04-26 13:53:41)
Folhas com resultados impresso não se encontravam no fichário
	-Cíntia Verdan</t>
        </r>
      </text>
    </comment>
    <comment ref="BK329" authorId="1" shapeId="0" xr:uid="{B6C0A7B1-CF8D-495D-BEEA-65E99DCE1203}">
      <text>
        <r>
          <rPr>
            <sz val="11"/>
            <color rgb="FF000000"/>
            <rFont val="Calibri"/>
            <family val="2"/>
            <scheme val="minor"/>
          </rPr>
          <t>======
ID#AAAAv6bJJuc
VR    (2023-04-26 13:53:41)
Folhas com resultados impresso não se encontravam no fichário
	-Cíntia Verdan</t>
        </r>
      </text>
    </comment>
    <comment ref="BM329" authorId="1" shapeId="0" xr:uid="{749A1E9E-746A-4CBB-AE55-E0F8B2A7AA17}">
      <text>
        <r>
          <rPr>
            <sz val="11"/>
            <color rgb="FF000000"/>
            <rFont val="Calibri"/>
            <family val="2"/>
            <scheme val="minor"/>
          </rPr>
          <t>======
ID#AAAAv6bJJu8
VR    (2023-04-26 13:53:41)
Folhas com resultados impresso não se encontravam no fichário
	-Cíntia Verdan</t>
        </r>
      </text>
    </comment>
    <comment ref="BO329" authorId="1" shapeId="0" xr:uid="{A6FB2EDC-4D6A-4848-A28E-F868812D1D98}">
      <text>
        <r>
          <rPr>
            <sz val="11"/>
            <color rgb="FF000000"/>
            <rFont val="Calibri"/>
            <family val="2"/>
            <scheme val="minor"/>
          </rPr>
          <t>======
ID#AAAAv6bJJu4
VR    (2023-04-26 13:53:41)
Folhas com resultados impresso não se encontravam no fichário
	-Cíntia Verdan</t>
        </r>
      </text>
    </comment>
    <comment ref="BQ329" authorId="1" shapeId="0" xr:uid="{09AED0C5-F102-4FC6-ADA5-4B77DD432F3E}">
      <text>
        <r>
          <rPr>
            <sz val="11"/>
            <color rgb="FF000000"/>
            <rFont val="Calibri"/>
            <family val="2"/>
            <scheme val="minor"/>
          </rPr>
          <t>======
ID#AAAAv6bJJvo
VR    (2023-04-26 13:53:41)
Folhas com resultados impresso não se encontravam no fichário
	-Cíntia Verdan</t>
        </r>
      </text>
    </comment>
    <comment ref="BS329" authorId="1" shapeId="0" xr:uid="{487D91B2-307B-456C-840F-F5A9F7BD90FF}">
      <text>
        <r>
          <rPr>
            <sz val="11"/>
            <color rgb="FF000000"/>
            <rFont val="Calibri"/>
            <family val="2"/>
            <scheme val="minor"/>
          </rPr>
          <t>======
ID#AAAAv6bJJvE
VR    (2023-04-26 13:53:41)
Folhas com resultados impresso não se encontravam no fichário
	-Cíntia Verdan</t>
        </r>
      </text>
    </comment>
    <comment ref="BU329" authorId="1" shapeId="0" xr:uid="{829E135A-97CF-488D-9561-164C3524578A}">
      <text>
        <r>
          <rPr>
            <sz val="11"/>
            <color rgb="FF000000"/>
            <rFont val="Calibri"/>
            <family val="2"/>
            <scheme val="minor"/>
          </rPr>
          <t>======
ID#AAAAv6bJJvk
VR    (2023-04-26 13:53:41)
Folhas com resultados impresso não se encontravam no fichário
	-Cíntia Verdan</t>
        </r>
      </text>
    </comment>
    <comment ref="BY329" authorId="1" shapeId="0" xr:uid="{D32C34E2-3A96-4D86-8740-42403EC48274}">
      <text>
        <r>
          <rPr>
            <sz val="11"/>
            <color rgb="FF000000"/>
            <rFont val="Calibri"/>
            <family val="2"/>
            <scheme val="minor"/>
          </rPr>
          <t>======
ID#AAAAv6bJJvc
VR    (2023-04-26 13:53:41)
Folhas com resultados impresso não se encontravam no fichário
	-Cíntia Verdan</t>
        </r>
      </text>
    </comment>
    <comment ref="CA329" authorId="1" shapeId="0" xr:uid="{738C046B-EE73-48FC-824A-C96DE9E0C846}">
      <text>
        <r>
          <rPr>
            <sz val="11"/>
            <color rgb="FF000000"/>
            <rFont val="Calibri"/>
            <family val="2"/>
            <scheme val="minor"/>
          </rPr>
          <t>======
ID#AAAAv6bJJuI
VR    (2023-04-26 13:53:41)
Folhas com resultados impresso não se encontravam no fichário
	-Cíntia Verdan</t>
        </r>
      </text>
    </comment>
    <comment ref="CC329" authorId="1" shapeId="0" xr:uid="{D47F5CFB-EFFF-494D-8A71-105D15C43175}">
      <text>
        <r>
          <rPr>
            <sz val="11"/>
            <color rgb="FF000000"/>
            <rFont val="Calibri"/>
            <family val="2"/>
            <scheme val="minor"/>
          </rPr>
          <t>======
ID#AAAAv6bJJuY
VR    (2023-04-26 13:53:41)
Folhas com resultados impresso não se encontravam no fichário
	-Cíntia Verdan</t>
        </r>
      </text>
    </comment>
    <comment ref="CE329" authorId="1" shapeId="0" xr:uid="{BAFBFB3A-451D-42CD-B8AE-BFB21DC39EB4}">
      <text>
        <r>
          <rPr>
            <sz val="11"/>
            <color rgb="FF000000"/>
            <rFont val="Calibri"/>
            <family val="2"/>
            <scheme val="minor"/>
          </rPr>
          <t>======
ID#AAAAv6bJJuk
VR    (2023-04-26 13:53:41)
Folhas com resultados impresso não se encontravam no fichário
	-Cíntia Verdan</t>
        </r>
      </text>
    </comment>
    <comment ref="CG329" authorId="1" shapeId="0" xr:uid="{FF76F33D-9DF7-4DB6-A9B6-845F8A3BF189}">
      <text>
        <r>
          <rPr>
            <sz val="11"/>
            <color rgb="FF000000"/>
            <rFont val="Calibri"/>
            <family val="2"/>
            <scheme val="minor"/>
          </rPr>
          <t>======
ID#AAAAv6bJJvU
VR    (2023-04-26 13:53:41)
Folhas com resultados impresso não se encontravam no fichário
	-Cíntia Verdan</t>
        </r>
      </text>
    </comment>
    <comment ref="CI329" authorId="1" shapeId="0" xr:uid="{A8226AD3-93FD-4BED-B3C8-57E5F8851F66}">
      <text>
        <r>
          <rPr>
            <sz val="11"/>
            <color rgb="FF000000"/>
            <rFont val="Calibri"/>
            <family val="2"/>
            <scheme val="minor"/>
          </rPr>
          <t>======
ID#AAAAv6bJJvM
VR    (2023-04-26 13:53:41)
Folhas com resultados impresso não se encontravam no fichário
	-Cíntia Verdan</t>
        </r>
      </text>
    </comment>
  </commentList>
</comments>
</file>

<file path=xl/sharedStrings.xml><?xml version="1.0" encoding="utf-8"?>
<sst xmlns="http://schemas.openxmlformats.org/spreadsheetml/2006/main" count="7081" uniqueCount="207">
  <si>
    <t>Rabdomiólise</t>
  </si>
  <si>
    <t>Aluno</t>
  </si>
  <si>
    <t>ACTN3</t>
  </si>
  <si>
    <t>AGT</t>
  </si>
  <si>
    <t>ECA</t>
  </si>
  <si>
    <t>BDKRB2</t>
  </si>
  <si>
    <t>Score Força%</t>
  </si>
  <si>
    <t>Score Resistência %</t>
  </si>
  <si>
    <t>Idade</t>
  </si>
  <si>
    <t>Peso Kg</t>
  </si>
  <si>
    <t>Cor da pele</t>
  </si>
  <si>
    <t>Pré CK (U/L)</t>
  </si>
  <si>
    <t>Pós CK (U/L)</t>
  </si>
  <si>
    <t>Pré Lactato (mmol/L)</t>
  </si>
  <si>
    <t>Pós Lactato (mmol/L)</t>
  </si>
  <si>
    <t>Pré LDH (U/L)</t>
  </si>
  <si>
    <t>Pós LDH (U/L)</t>
  </si>
  <si>
    <t>Pré AST (U/L)</t>
  </si>
  <si>
    <t>Pós AST (U/L)</t>
  </si>
  <si>
    <t>Pré Albumina (g/dL)</t>
  </si>
  <si>
    <t>Pós Albumina (g/dL)</t>
  </si>
  <si>
    <t>Pré TGP (g/dL)</t>
  </si>
  <si>
    <t>Pós TGP (g/dL)</t>
  </si>
  <si>
    <t>Pré GGT U/L</t>
  </si>
  <si>
    <t>Pós GGT U/L</t>
  </si>
  <si>
    <t>Pré Ac. Úrico (mg/dL)</t>
  </si>
  <si>
    <t>Pré TFG   (ml/min/1.73 m2)</t>
  </si>
  <si>
    <t>Pós TFG   (ml/min/1.73 m2)</t>
  </si>
  <si>
    <t>Pré Ureia mg/dL</t>
  </si>
  <si>
    <t>Pós Ureia mg/dL</t>
  </si>
  <si>
    <t>Pré creatinina mg/dL</t>
  </si>
  <si>
    <t>Pós creatinina mg/dL</t>
  </si>
  <si>
    <t>Delta CREATININA mg/dL</t>
  </si>
  <si>
    <t>Pré Fósforo mg/dL</t>
  </si>
  <si>
    <t>Pós Fósforo mg/dL</t>
  </si>
  <si>
    <t>Pré Proteína Total (g/dL)</t>
  </si>
  <si>
    <t>Pós Proteína Total (g/dL)</t>
  </si>
  <si>
    <t>Pré FE (ug/dL)</t>
  </si>
  <si>
    <t>Pós FE (ug/dL)</t>
  </si>
  <si>
    <t>Pré calcio mg/dL</t>
  </si>
  <si>
    <t>Pós calcio mg/dL</t>
  </si>
  <si>
    <t>Pré Potássio mmol/L</t>
  </si>
  <si>
    <t>Pós Potássio mmol/L</t>
  </si>
  <si>
    <t>Pré Sódio mmol/L</t>
  </si>
  <si>
    <t>Pós Sódio mmol/L</t>
  </si>
  <si>
    <t>Pré Magnésio mg/dL</t>
  </si>
  <si>
    <t>Pós Magnésio mg/dL</t>
  </si>
  <si>
    <t>Pré Cloro mmol/L</t>
  </si>
  <si>
    <t>Pós Cloro mmol/L</t>
  </si>
  <si>
    <t>Pré HGB g/dL</t>
  </si>
  <si>
    <t>Pós HGB g/dL</t>
  </si>
  <si>
    <t>Pré HCT %</t>
  </si>
  <si>
    <t>Pós HCT %</t>
  </si>
  <si>
    <t>Pré MCV fL</t>
  </si>
  <si>
    <t>Pós MCV fL</t>
  </si>
  <si>
    <t>Pré MCH pg</t>
  </si>
  <si>
    <t>Pós MCH pg</t>
  </si>
  <si>
    <t>Pré MCHC g/dL</t>
  </si>
  <si>
    <t>Pós MCHC g/dL</t>
  </si>
  <si>
    <t>Pré PLT 10³/mm³</t>
  </si>
  <si>
    <t>Pós PLT 10³/mm³</t>
  </si>
  <si>
    <t>Pré RDW %</t>
  </si>
  <si>
    <t>Pós RDW %</t>
  </si>
  <si>
    <t>Pré RET %</t>
  </si>
  <si>
    <t>Pós RET %</t>
  </si>
  <si>
    <t>Pré WBC 10³/mm³</t>
  </si>
  <si>
    <t>Pós WBC 10³/mm³</t>
  </si>
  <si>
    <t>Pré NEUT %</t>
  </si>
  <si>
    <t>Pós NEUT %</t>
  </si>
  <si>
    <t>Pré LINF %</t>
  </si>
  <si>
    <t>Pós LINF %</t>
  </si>
  <si>
    <t>Pré MONO %</t>
  </si>
  <si>
    <t>Pós MONO %</t>
  </si>
  <si>
    <t>Pré EOS %</t>
  </si>
  <si>
    <t>Pós EOS %</t>
  </si>
  <si>
    <t>Pré BASO %</t>
  </si>
  <si>
    <t>Pós BASO %</t>
  </si>
  <si>
    <t>massa magra</t>
  </si>
  <si>
    <t>MCT KG</t>
  </si>
  <si>
    <t>ESTATURA</t>
  </si>
  <si>
    <t>vo2max estimado</t>
  </si>
  <si>
    <t>% gordura</t>
  </si>
  <si>
    <t>XX</t>
  </si>
  <si>
    <t>MT</t>
  </si>
  <si>
    <t>ID</t>
  </si>
  <si>
    <t>(-9,-9)</t>
  </si>
  <si>
    <t>RR</t>
  </si>
  <si>
    <t>II</t>
  </si>
  <si>
    <t>(+9,-9)</t>
  </si>
  <si>
    <t>RX</t>
  </si>
  <si>
    <t>MM</t>
  </si>
  <si>
    <t>(+9,+9)</t>
  </si>
  <si>
    <t>TT</t>
  </si>
  <si>
    <t>DD</t>
  </si>
  <si>
    <t>-</t>
  </si>
  <si>
    <t>0</t>
  </si>
  <si>
    <t>116.4</t>
  </si>
  <si>
    <t>(+9, +9)</t>
  </si>
  <si>
    <t>(-9 , -9)</t>
  </si>
  <si>
    <t>(+9, -9)</t>
  </si>
  <si>
    <t>(-9, -9)</t>
  </si>
  <si>
    <t xml:space="preserve">RX </t>
  </si>
  <si>
    <t>105.1</t>
  </si>
  <si>
    <t>118.6</t>
  </si>
  <si>
    <t>76.7</t>
  </si>
  <si>
    <t>90.3</t>
  </si>
  <si>
    <t>81.4</t>
  </si>
  <si>
    <t>114.9</t>
  </si>
  <si>
    <t>127.1</t>
  </si>
  <si>
    <t>92.0</t>
  </si>
  <si>
    <t>93.2</t>
  </si>
  <si>
    <t>84.5</t>
  </si>
  <si>
    <t>64.6</t>
  </si>
  <si>
    <t>101.3</t>
  </si>
  <si>
    <t>92.2</t>
  </si>
  <si>
    <t>106.5</t>
  </si>
  <si>
    <t>121.6</t>
  </si>
  <si>
    <t>131.1</t>
  </si>
  <si>
    <t>102.6</t>
  </si>
  <si>
    <t>51,41</t>
  </si>
  <si>
    <t>9,85</t>
  </si>
  <si>
    <t>51,73</t>
  </si>
  <si>
    <t>16,73</t>
  </si>
  <si>
    <t>51,21</t>
  </si>
  <si>
    <t>13,78</t>
  </si>
  <si>
    <t>52,21</t>
  </si>
  <si>
    <t>10,90</t>
  </si>
  <si>
    <t>52,07</t>
  </si>
  <si>
    <t>10,67</t>
  </si>
  <si>
    <t>47,31</t>
  </si>
  <si>
    <t>20,07</t>
  </si>
  <si>
    <t>50,97</t>
  </si>
  <si>
    <t>12,16</t>
  </si>
  <si>
    <t>47,64</t>
  </si>
  <si>
    <t>16,27</t>
  </si>
  <si>
    <t>48,78</t>
  </si>
  <si>
    <t>23,83</t>
  </si>
  <si>
    <t>49,28</t>
  </si>
  <si>
    <t>10,01</t>
  </si>
  <si>
    <t>53,53</t>
  </si>
  <si>
    <t>10,86</t>
  </si>
  <si>
    <t>47,85</t>
  </si>
  <si>
    <t>20,03</t>
  </si>
  <si>
    <t>50,44</t>
  </si>
  <si>
    <t>7,02</t>
  </si>
  <si>
    <t>50,91</t>
  </si>
  <si>
    <t>23,96</t>
  </si>
  <si>
    <t>49,72</t>
  </si>
  <si>
    <t>10,94</t>
  </si>
  <si>
    <t>49,25</t>
  </si>
  <si>
    <t>10,96</t>
  </si>
  <si>
    <t>50,68</t>
  </si>
  <si>
    <t>16,58</t>
  </si>
  <si>
    <t>49,52</t>
  </si>
  <si>
    <t>13,91</t>
  </si>
  <si>
    <t>52,06</t>
  </si>
  <si>
    <t>19,38</t>
  </si>
  <si>
    <t>52,38</t>
  </si>
  <si>
    <t>22,10</t>
  </si>
  <si>
    <t>53,11</t>
  </si>
  <si>
    <t>11,14</t>
  </si>
  <si>
    <t>48,75</t>
  </si>
  <si>
    <t>18,44</t>
  </si>
  <si>
    <t>53,54</t>
  </si>
  <si>
    <t>7,73</t>
  </si>
  <si>
    <t>12,39</t>
  </si>
  <si>
    <t>50,56</t>
  </si>
  <si>
    <t>10,20</t>
  </si>
  <si>
    <t>51,80</t>
  </si>
  <si>
    <t>12,82</t>
  </si>
  <si>
    <t>53,41</t>
  </si>
  <si>
    <t>12,40</t>
  </si>
  <si>
    <t>CIASC</t>
  </si>
  <si>
    <t>Ano</t>
  </si>
  <si>
    <t>Missão</t>
  </si>
  <si>
    <t>Pré CK MB U/L</t>
  </si>
  <si>
    <t>Pós CK MB U/L</t>
  </si>
  <si>
    <t>Glicose pré</t>
  </si>
  <si>
    <t>Glicose pós</t>
  </si>
  <si>
    <t xml:space="preserve">Osmolalidade sérica PRÉ BD4(mOsm/kg): 1,86(Na + K) + 1,15(Gli /18) + (Ureia/6) + 14			</t>
  </si>
  <si>
    <t xml:space="preserve">Osmolalidade sérica PÓS BD4(mOsm/kg): 1,86(Na + K) + 1,15(Gli /18) + (Ureia/6) + 14			</t>
  </si>
  <si>
    <t>Arraial</t>
  </si>
  <si>
    <t>Natal</t>
  </si>
  <si>
    <t>Ladário</t>
  </si>
  <si>
    <t>Marambaia</t>
  </si>
  <si>
    <t>Itatiaia</t>
  </si>
  <si>
    <t>Manaus</t>
  </si>
  <si>
    <t>Avelar</t>
  </si>
  <si>
    <t>Lesão Renal Aguda</t>
  </si>
  <si>
    <t>Handgrip     Dominante</t>
  </si>
  <si>
    <t>Handgrip Contrário</t>
  </si>
  <si>
    <t>Pré RBC 10^6/mm³</t>
  </si>
  <si>
    <t>Pós RBC 10^6/mm³</t>
  </si>
  <si>
    <t>ESTATURA cm</t>
  </si>
  <si>
    <t>VO2max estimado</t>
  </si>
  <si>
    <t>Pós Ac. Úrico (mg/dL)2</t>
  </si>
  <si>
    <t>Massa magra</t>
  </si>
  <si>
    <t>Rótulos de Linha</t>
  </si>
  <si>
    <t>Dados insuficientes</t>
  </si>
  <si>
    <t>Total Geral</t>
  </si>
  <si>
    <t>Contagem de Lesão Renal Aguda</t>
  </si>
  <si>
    <t>NÃO</t>
  </si>
  <si>
    <t>SIM</t>
  </si>
  <si>
    <t>Média de Idade</t>
  </si>
  <si>
    <t>Tonelero</t>
  </si>
  <si>
    <t>-9,-9</t>
  </si>
  <si>
    <t xml:space="preserve"> +9,+9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</si>
</sst>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d\.m"/>
  </numFmts>
  <fonts count="28">
    <font>
      <sz val="11"/>
      <color rgb="FF000000"/>
      <name val="Calibri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&quot;Times New Roman&quot;"/>
    </font>
    <font>
      <sz val="11"/>
      <color theme="1"/>
      <name val="Calibri"/>
      <family val="2"/>
    </font>
    <font>
      <b/>
      <sz val="13"/>
      <color theme="1"/>
      <name val="Calibri"/>
      <family val="2"/>
    </font>
    <font>
      <b/>
      <sz val="11"/>
      <color theme="1"/>
      <name val="&quot;Times New Roman&quot;"/>
    </font>
    <font>
      <b/>
      <sz val="14"/>
      <color theme="1"/>
      <name val="&quot;Times New Roman&quot;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1"/>
      <color rgb="FFFBBC04"/>
      <name val="&quot;Times New Roman&quot;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1"/>
      <name val="Calibri"/>
      <family val="2"/>
    </font>
    <font>
      <sz val="12"/>
      <color rgb="FF00B050"/>
      <name val="Calibri"/>
      <family val="2"/>
    </font>
    <font>
      <sz val="12"/>
      <color rgb="FF38761D"/>
      <name val="Calibri"/>
      <family val="2"/>
    </font>
    <font>
      <sz val="12"/>
      <color rgb="FF434343"/>
      <name val="Calibri"/>
      <family val="2"/>
    </font>
    <font>
      <sz val="12"/>
      <name val="Calibri"/>
      <family val="2"/>
    </font>
    <font>
      <sz val="12"/>
      <color rgb="FF6AA84F"/>
      <name val="Calibri"/>
      <family val="2"/>
    </font>
    <font>
      <b/>
      <i/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CC00"/>
        <bgColor rgb="FF00CC00"/>
      </patternFill>
    </fill>
    <fill>
      <patternFill patternType="solid">
        <fgColor rgb="FFFFC000"/>
        <bgColor rgb="FFFFC000"/>
      </patternFill>
    </fill>
    <fill>
      <patternFill patternType="solid">
        <fgColor rgb="FFDCE6F2"/>
        <bgColor rgb="FFDCE6F2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rgb="FF0000FF"/>
        <bgColor rgb="FF0000FF"/>
      </patternFill>
    </fill>
    <fill>
      <patternFill patternType="solid">
        <fgColor theme="6"/>
        <bgColor theme="6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theme="0"/>
      </patternFill>
    </fill>
    <fill>
      <patternFill patternType="solid">
        <fgColor rgb="FF7030A0"/>
        <bgColor rgb="FFFFF2CC"/>
      </patternFill>
    </fill>
    <fill>
      <patternFill patternType="solid">
        <fgColor rgb="FF7030A0"/>
        <bgColor rgb="FFF9CB9C"/>
      </patternFill>
    </fill>
    <fill>
      <patternFill patternType="solid">
        <fgColor rgb="FF7030A0"/>
        <bgColor rgb="FFFFFFFF"/>
      </patternFill>
    </fill>
    <fill>
      <patternFill patternType="solid">
        <fgColor rgb="FF92D050"/>
        <bgColor indexed="64"/>
      </patternFill>
    </fill>
    <fill>
      <gradientFill degree="90">
        <stop position="0">
          <color theme="2" tint="-0.25098422193060094"/>
        </stop>
        <stop position="1">
          <color theme="2" tint="-0.49803155613879818"/>
        </stop>
      </gradientFill>
    </fill>
    <fill>
      <patternFill patternType="solid">
        <fgColor rgb="FF7030A0"/>
        <bgColor rgb="FFFFE599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371">
    <xf numFmtId="0" fontId="0" fillId="0" borderId="0" xfId="0"/>
    <xf numFmtId="0" fontId="2" fillId="3" borderId="0" xfId="0" applyFont="1" applyFill="1"/>
    <xf numFmtId="0" fontId="4" fillId="11" borderId="2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4" fillId="5" borderId="0" xfId="0" applyNumberFormat="1" applyFont="1" applyFill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49" fontId="7" fillId="3" borderId="0" xfId="0" applyNumberFormat="1" applyFont="1" applyFill="1" applyAlignment="1">
      <alignment horizontal="center"/>
    </xf>
    <xf numFmtId="0" fontId="5" fillId="0" borderId="0" xfId="0" applyFont="1"/>
    <xf numFmtId="0" fontId="9" fillId="3" borderId="0" xfId="0" applyFont="1" applyFill="1" applyAlignment="1">
      <alignment horizontal="center" wrapText="1"/>
    </xf>
    <xf numFmtId="0" fontId="15" fillId="3" borderId="0" xfId="0" applyFont="1" applyFill="1" applyAlignment="1">
      <alignment horizontal="center"/>
    </xf>
    <xf numFmtId="49" fontId="15" fillId="3" borderId="0" xfId="0" applyNumberFormat="1" applyFont="1" applyFill="1" applyAlignment="1">
      <alignment horizontal="center"/>
    </xf>
    <xf numFmtId="1" fontId="9" fillId="3" borderId="0" xfId="0" applyNumberFormat="1" applyFont="1" applyFill="1" applyAlignment="1">
      <alignment horizontal="center" wrapText="1"/>
    </xf>
    <xf numFmtId="1" fontId="10" fillId="3" borderId="0" xfId="0" applyNumberFormat="1" applyFont="1" applyFill="1" applyAlignment="1">
      <alignment horizontal="center" wrapText="1"/>
    </xf>
    <xf numFmtId="0" fontId="10" fillId="3" borderId="0" xfId="0" applyFont="1" applyFill="1" applyAlignment="1">
      <alignment horizontal="center" wrapText="1"/>
    </xf>
    <xf numFmtId="0" fontId="12" fillId="3" borderId="0" xfId="0" applyFont="1" applyFill="1" applyAlignment="1">
      <alignment horizontal="center" wrapText="1"/>
    </xf>
    <xf numFmtId="49" fontId="9" fillId="3" borderId="0" xfId="0" applyNumberFormat="1" applyFont="1" applyFill="1" applyAlignment="1">
      <alignment horizontal="center" wrapText="1"/>
    </xf>
    <xf numFmtId="49" fontId="10" fillId="3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 wrapText="1"/>
    </xf>
    <xf numFmtId="49" fontId="7" fillId="3" borderId="0" xfId="0" applyNumberFormat="1" applyFont="1" applyFill="1" applyAlignment="1">
      <alignment horizontal="center" wrapText="1"/>
    </xf>
    <xf numFmtId="49" fontId="6" fillId="3" borderId="0" xfId="0" applyNumberFormat="1" applyFont="1" applyFill="1" applyAlignment="1">
      <alignment horizontal="center"/>
    </xf>
    <xf numFmtId="1" fontId="6" fillId="3" borderId="0" xfId="0" applyNumberFormat="1" applyFont="1" applyFill="1"/>
    <xf numFmtId="1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wrapText="1"/>
    </xf>
    <xf numFmtId="1" fontId="7" fillId="3" borderId="0" xfId="0" applyNumberFormat="1" applyFont="1" applyFill="1" applyAlignment="1">
      <alignment horizontal="center" wrapText="1"/>
    </xf>
    <xf numFmtId="49" fontId="11" fillId="3" borderId="0" xfId="0" applyNumberFormat="1" applyFont="1" applyFill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  <xf numFmtId="49" fontId="12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1" fontId="9" fillId="3" borderId="0" xfId="0" applyNumberFormat="1" applyFont="1" applyFill="1" applyAlignment="1">
      <alignment horizontal="center"/>
    </xf>
    <xf numFmtId="49" fontId="16" fillId="3" borderId="0" xfId="0" applyNumberFormat="1" applyFont="1" applyFill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49" fontId="12" fillId="3" borderId="7" xfId="0" applyNumberFormat="1" applyFont="1" applyFill="1" applyBorder="1" applyAlignment="1">
      <alignment horizontal="center"/>
    </xf>
    <xf numFmtId="1" fontId="9" fillId="3" borderId="6" xfId="0" applyNumberFormat="1" applyFont="1" applyFill="1" applyBorder="1" applyAlignment="1">
      <alignment horizontal="center"/>
    </xf>
    <xf numFmtId="49" fontId="12" fillId="3" borderId="1" xfId="0" applyNumberFormat="1" applyFont="1" applyFill="1" applyBorder="1" applyAlignment="1">
      <alignment horizontal="center"/>
    </xf>
    <xf numFmtId="1" fontId="9" fillId="3" borderId="3" xfId="0" applyNumberFormat="1" applyFont="1" applyFill="1" applyBorder="1" applyAlignment="1">
      <alignment horizontal="center"/>
    </xf>
    <xf numFmtId="49" fontId="16" fillId="3" borderId="7" xfId="0" applyNumberFormat="1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/>
    <xf numFmtId="0" fontId="14" fillId="0" borderId="0" xfId="0" applyFont="1"/>
    <xf numFmtId="1" fontId="4" fillId="5" borderId="0" xfId="0" applyNumberFormat="1" applyFont="1" applyFill="1" applyAlignment="1">
      <alignment horizontal="center"/>
    </xf>
    <xf numFmtId="0" fontId="19" fillId="4" borderId="6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9" fillId="4" borderId="6" xfId="0" applyFont="1" applyFill="1" applyBorder="1" applyAlignment="1">
      <alignment horizontal="center" wrapText="1"/>
    </xf>
    <xf numFmtId="0" fontId="19" fillId="3" borderId="1" xfId="0" applyFont="1" applyFill="1" applyBorder="1" applyAlignment="1">
      <alignment horizontal="center" wrapText="1"/>
    </xf>
    <xf numFmtId="0" fontId="19" fillId="4" borderId="1" xfId="0" applyFont="1" applyFill="1" applyBorder="1" applyAlignment="1">
      <alignment horizontal="center" wrapText="1"/>
    </xf>
    <xf numFmtId="1" fontId="19" fillId="4" borderId="1" xfId="0" applyNumberFormat="1" applyFont="1" applyFill="1" applyBorder="1" applyAlignment="1">
      <alignment horizontal="center"/>
    </xf>
    <xf numFmtId="1" fontId="19" fillId="3" borderId="1" xfId="0" applyNumberFormat="1" applyFont="1" applyFill="1" applyBorder="1" applyAlignment="1">
      <alignment horizontal="center" wrapText="1"/>
    </xf>
    <xf numFmtId="1" fontId="19" fillId="3" borderId="1" xfId="0" applyNumberFormat="1" applyFont="1" applyFill="1" applyBorder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17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9" fillId="4" borderId="1" xfId="0" applyFont="1" applyFill="1" applyBorder="1"/>
    <xf numFmtId="0" fontId="19" fillId="3" borderId="1" xfId="0" applyFont="1" applyFill="1" applyBorder="1"/>
    <xf numFmtId="49" fontId="20" fillId="0" borderId="1" xfId="0" applyNumberFormat="1" applyFont="1" applyBorder="1" applyAlignment="1">
      <alignment horizontal="center"/>
    </xf>
    <xf numFmtId="49" fontId="19" fillId="0" borderId="1" xfId="0" applyNumberFormat="1" applyFont="1" applyBorder="1" applyAlignment="1">
      <alignment horizontal="center"/>
    </xf>
    <xf numFmtId="49" fontId="21" fillId="5" borderId="1" xfId="0" applyNumberFormat="1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49" fontId="22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19" fillId="8" borderId="0" xfId="0" applyFont="1" applyFill="1"/>
    <xf numFmtId="0" fontId="19" fillId="3" borderId="3" xfId="0" applyFont="1" applyFill="1" applyBorder="1" applyAlignment="1">
      <alignment horizontal="center" wrapText="1"/>
    </xf>
    <xf numFmtId="0" fontId="19" fillId="4" borderId="3" xfId="0" applyFont="1" applyFill="1" applyBorder="1" applyAlignment="1">
      <alignment horizontal="center" wrapText="1"/>
    </xf>
    <xf numFmtId="0" fontId="19" fillId="4" borderId="4" xfId="0" applyFont="1" applyFill="1" applyBorder="1" applyAlignment="1">
      <alignment horizontal="center"/>
    </xf>
    <xf numFmtId="1" fontId="19" fillId="4" borderId="6" xfId="0" applyNumberFormat="1" applyFont="1" applyFill="1" applyBorder="1" applyAlignment="1">
      <alignment horizontal="center" wrapText="1"/>
    </xf>
    <xf numFmtId="0" fontId="19" fillId="0" borderId="1" xfId="0" applyFont="1" applyBorder="1"/>
    <xf numFmtId="0" fontId="19" fillId="4" borderId="6" xfId="0" applyFont="1" applyFill="1" applyBorder="1"/>
    <xf numFmtId="0" fontId="19" fillId="5" borderId="0" xfId="0" applyFont="1" applyFill="1"/>
    <xf numFmtId="0" fontId="19" fillId="5" borderId="1" xfId="0" applyFont="1" applyFill="1" applyBorder="1" applyAlignment="1">
      <alignment horizontal="center"/>
    </xf>
    <xf numFmtId="1" fontId="19" fillId="4" borderId="6" xfId="0" applyNumberFormat="1" applyFont="1" applyFill="1" applyBorder="1" applyAlignment="1">
      <alignment horizontal="center"/>
    </xf>
    <xf numFmtId="0" fontId="22" fillId="5" borderId="1" xfId="0" applyFont="1" applyFill="1" applyBorder="1" applyAlignment="1">
      <alignment horizontal="center"/>
    </xf>
    <xf numFmtId="0" fontId="19" fillId="0" borderId="0" xfId="0" applyFont="1"/>
    <xf numFmtId="0" fontId="4" fillId="0" borderId="0" xfId="0" applyFont="1" applyAlignment="1">
      <alignment horizontal="center" wrapText="1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0" fillId="5" borderId="1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20" fillId="7" borderId="1" xfId="0" applyFont="1" applyFill="1" applyBorder="1" applyAlignment="1">
      <alignment horizontal="center"/>
    </xf>
    <xf numFmtId="164" fontId="19" fillId="10" borderId="5" xfId="0" applyNumberFormat="1" applyFont="1" applyFill="1" applyBorder="1" applyAlignment="1">
      <alignment horizontal="center"/>
    </xf>
    <xf numFmtId="164" fontId="19" fillId="10" borderId="4" xfId="0" applyNumberFormat="1" applyFont="1" applyFill="1" applyBorder="1" applyAlignment="1">
      <alignment horizontal="center"/>
    </xf>
    <xf numFmtId="0" fontId="20" fillId="2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0" fillId="25" borderId="1" xfId="0" applyFont="1" applyFill="1" applyBorder="1" applyAlignment="1">
      <alignment horizontal="center"/>
    </xf>
    <xf numFmtId="2" fontId="19" fillId="0" borderId="1" xfId="0" applyNumberFormat="1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9" fillId="0" borderId="1" xfId="0" applyNumberFormat="1" applyFont="1" applyBorder="1" applyAlignment="1">
      <alignment horizontal="center"/>
    </xf>
    <xf numFmtId="2" fontId="19" fillId="0" borderId="2" xfId="0" applyNumberFormat="1" applyFont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19" fillId="10" borderId="8" xfId="0" applyNumberFormat="1" applyFont="1" applyFill="1" applyBorder="1" applyAlignment="1">
      <alignment horizontal="center"/>
    </xf>
    <xf numFmtId="164" fontId="19" fillId="10" borderId="9" xfId="0" applyNumberFormat="1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1" fontId="20" fillId="0" borderId="1" xfId="0" applyNumberFormat="1" applyFont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20" fillId="26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164" fontId="19" fillId="10" borderId="7" xfId="0" applyNumberFormat="1" applyFont="1" applyFill="1" applyBorder="1" applyAlignment="1">
      <alignment horizontal="center"/>
    </xf>
    <xf numFmtId="164" fontId="19" fillId="10" borderId="6" xfId="0" applyNumberFormat="1" applyFont="1" applyFill="1" applyBorder="1" applyAlignment="1">
      <alignment horizontal="center"/>
    </xf>
    <xf numFmtId="0" fontId="19" fillId="18" borderId="0" xfId="0" applyFont="1" applyFill="1" applyAlignment="1">
      <alignment horizontal="center"/>
    </xf>
    <xf numFmtId="1" fontId="20" fillId="6" borderId="1" xfId="0" applyNumberFormat="1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64" fontId="4" fillId="6" borderId="1" xfId="0" applyNumberFormat="1" applyFont="1" applyFill="1" applyBorder="1" applyAlignment="1">
      <alignment horizontal="center"/>
    </xf>
    <xf numFmtId="1" fontId="4" fillId="7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" fontId="4" fillId="6" borderId="1" xfId="0" applyNumberFormat="1" applyFont="1" applyFill="1" applyBorder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2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20" fillId="5" borderId="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wrapText="1"/>
    </xf>
    <xf numFmtId="0" fontId="20" fillId="7" borderId="1" xfId="0" applyFont="1" applyFill="1" applyBorder="1" applyAlignment="1">
      <alignment horizontal="center" wrapText="1"/>
    </xf>
    <xf numFmtId="0" fontId="20" fillId="6" borderId="1" xfId="0" applyFont="1" applyFill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20" fillId="26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22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0" fillId="25" borderId="1" xfId="0" applyFont="1" applyFill="1" applyBorder="1" applyAlignment="1">
      <alignment horizontal="center" wrapText="1"/>
    </xf>
    <xf numFmtId="0" fontId="23" fillId="6" borderId="1" xfId="0" applyFont="1" applyFill="1" applyBorder="1" applyAlignment="1">
      <alignment horizontal="center" wrapText="1"/>
    </xf>
    <xf numFmtId="0" fontId="20" fillId="5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9" fillId="6" borderId="1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164" fontId="20" fillId="5" borderId="1" xfId="0" applyNumberFormat="1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28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65" fontId="20" fillId="0" borderId="1" xfId="0" applyNumberFormat="1" applyFont="1" applyBorder="1" applyAlignment="1">
      <alignment horizontal="center"/>
    </xf>
    <xf numFmtId="164" fontId="20" fillId="6" borderId="1" xfId="0" applyNumberFormat="1" applyFont="1" applyFill="1" applyBorder="1" applyAlignment="1">
      <alignment horizontal="center"/>
    </xf>
    <xf numFmtId="0" fontId="19" fillId="5" borderId="0" xfId="0" applyFont="1" applyFill="1" applyAlignment="1">
      <alignment horizontal="center" wrapText="1"/>
    </xf>
    <xf numFmtId="0" fontId="19" fillId="20" borderId="1" xfId="0" applyFont="1" applyFill="1" applyBorder="1" applyAlignment="1">
      <alignment horizontal="center" wrapText="1"/>
    </xf>
    <xf numFmtId="1" fontId="19" fillId="2" borderId="1" xfId="0" applyNumberFormat="1" applyFont="1" applyFill="1" applyBorder="1" applyAlignment="1">
      <alignment horizontal="center"/>
    </xf>
    <xf numFmtId="164" fontId="19" fillId="6" borderId="1" xfId="0" applyNumberFormat="1" applyFont="1" applyFill="1" applyBorder="1" applyAlignment="1">
      <alignment horizontal="center"/>
    </xf>
    <xf numFmtId="1" fontId="19" fillId="5" borderId="1" xfId="0" applyNumberFormat="1" applyFont="1" applyFill="1" applyBorder="1" applyAlignment="1">
      <alignment horizontal="center"/>
    </xf>
    <xf numFmtId="1" fontId="19" fillId="7" borderId="1" xfId="0" applyNumberFormat="1" applyFont="1" applyFill="1" applyBorder="1" applyAlignment="1">
      <alignment horizontal="center"/>
    </xf>
    <xf numFmtId="1" fontId="19" fillId="6" borderId="1" xfId="0" applyNumberFormat="1" applyFont="1" applyFill="1" applyBorder="1" applyAlignment="1">
      <alignment horizontal="center"/>
    </xf>
    <xf numFmtId="164" fontId="19" fillId="5" borderId="1" xfId="0" applyNumberFormat="1" applyFont="1" applyFill="1" applyBorder="1" applyAlignment="1">
      <alignment horizontal="center"/>
    </xf>
    <xf numFmtId="1" fontId="22" fillId="5" borderId="1" xfId="0" applyNumberFormat="1" applyFont="1" applyFill="1" applyBorder="1" applyAlignment="1">
      <alignment horizontal="center"/>
    </xf>
    <xf numFmtId="1" fontId="19" fillId="0" borderId="1" xfId="0" applyNumberFormat="1" applyFont="1" applyBorder="1" applyAlignment="1">
      <alignment horizontal="center"/>
    </xf>
    <xf numFmtId="49" fontId="19" fillId="5" borderId="0" xfId="0" applyNumberFormat="1" applyFont="1" applyFill="1" applyAlignment="1">
      <alignment horizontal="center"/>
    </xf>
    <xf numFmtId="164" fontId="19" fillId="18" borderId="8" xfId="0" applyNumberFormat="1" applyFont="1" applyFill="1" applyBorder="1" applyAlignment="1">
      <alignment horizontal="center"/>
    </xf>
    <xf numFmtId="164" fontId="19" fillId="18" borderId="9" xfId="0" applyNumberFormat="1" applyFont="1" applyFill="1" applyBorder="1" applyAlignment="1">
      <alignment horizontal="center"/>
    </xf>
    <xf numFmtId="0" fontId="19" fillId="20" borderId="1" xfId="0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19" borderId="0" xfId="0" applyFont="1" applyFill="1" applyAlignment="1">
      <alignment horizontal="center"/>
    </xf>
    <xf numFmtId="49" fontId="19" fillId="19" borderId="0" xfId="0" applyNumberFormat="1" applyFont="1" applyFill="1" applyAlignment="1">
      <alignment horizontal="center"/>
    </xf>
    <xf numFmtId="0" fontId="19" fillId="22" borderId="1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5" borderId="1" xfId="0" applyFont="1" applyFill="1" applyBorder="1" applyAlignment="1">
      <alignment horizontal="center" wrapText="1"/>
    </xf>
    <xf numFmtId="1" fontId="24" fillId="5" borderId="1" xfId="0" applyNumberFormat="1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 wrapText="1"/>
    </xf>
    <xf numFmtId="0" fontId="24" fillId="5" borderId="1" xfId="0" applyFont="1" applyFill="1" applyBorder="1" applyAlignment="1">
      <alignment horizontal="center"/>
    </xf>
    <xf numFmtId="164" fontId="19" fillId="8" borderId="1" xfId="0" applyNumberFormat="1" applyFont="1" applyFill="1" applyBorder="1" applyAlignment="1">
      <alignment horizontal="center"/>
    </xf>
    <xf numFmtId="0" fontId="19" fillId="9" borderId="1" xfId="0" applyFont="1" applyFill="1" applyBorder="1" applyAlignment="1">
      <alignment horizontal="center"/>
    </xf>
    <xf numFmtId="166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 vertical="top"/>
    </xf>
    <xf numFmtId="2" fontId="4" fillId="0" borderId="1" xfId="0" applyNumberFormat="1" applyFont="1" applyBorder="1" applyAlignment="1">
      <alignment horizontal="center"/>
    </xf>
    <xf numFmtId="164" fontId="4" fillId="29" borderId="1" xfId="0" applyNumberFormat="1" applyFont="1" applyFill="1" applyBorder="1" applyAlignment="1">
      <alignment horizontal="center"/>
    </xf>
    <xf numFmtId="1" fontId="25" fillId="30" borderId="10" xfId="0" applyNumberFormat="1" applyFont="1" applyFill="1" applyBorder="1" applyAlignment="1">
      <alignment horizontal="center"/>
    </xf>
    <xf numFmtId="164" fontId="25" fillId="30" borderId="1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2" fontId="4" fillId="29" borderId="1" xfId="0" applyNumberFormat="1" applyFont="1" applyFill="1" applyBorder="1" applyAlignment="1">
      <alignment horizontal="center"/>
    </xf>
    <xf numFmtId="1" fontId="25" fillId="30" borderId="11" xfId="0" applyNumberFormat="1" applyFont="1" applyFill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" fontId="4" fillId="0" borderId="13" xfId="0" applyNumberFormat="1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2" fontId="4" fillId="29" borderId="13" xfId="0" applyNumberFormat="1" applyFont="1" applyFill="1" applyBorder="1" applyAlignment="1">
      <alignment horizontal="center"/>
    </xf>
    <xf numFmtId="2" fontId="4" fillId="0" borderId="13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" fontId="1" fillId="29" borderId="12" xfId="0" applyNumberFormat="1" applyFont="1" applyFill="1" applyBorder="1" applyAlignment="1">
      <alignment horizontal="center"/>
    </xf>
    <xf numFmtId="1" fontId="1" fillId="29" borderId="13" xfId="0" applyNumberFormat="1" applyFont="1" applyFill="1" applyBorder="1" applyAlignment="1">
      <alignment horizontal="center"/>
    </xf>
    <xf numFmtId="1" fontId="25" fillId="30" borderId="14" xfId="0" applyNumberFormat="1" applyFont="1" applyFill="1" applyBorder="1" applyAlignment="1">
      <alignment horizontal="center"/>
    </xf>
    <xf numFmtId="1" fontId="4" fillId="0" borderId="15" xfId="0" applyNumberFormat="1" applyFont="1" applyBorder="1" applyAlignment="1">
      <alignment horizontal="center"/>
    </xf>
    <xf numFmtId="1" fontId="4" fillId="0" borderId="16" xfId="0" applyNumberFormat="1" applyFont="1" applyBorder="1" applyAlignment="1">
      <alignment horizontal="center"/>
    </xf>
    <xf numFmtId="1" fontId="4" fillId="0" borderId="17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16" xfId="0" applyNumberFormat="1" applyFont="1" applyBorder="1" applyAlignment="1">
      <alignment horizontal="center"/>
    </xf>
    <xf numFmtId="164" fontId="4" fillId="29" borderId="16" xfId="0" applyNumberFormat="1" applyFont="1" applyFill="1" applyBorder="1" applyAlignment="1">
      <alignment horizontal="center"/>
    </xf>
    <xf numFmtId="2" fontId="4" fillId="29" borderId="16" xfId="0" applyNumberFormat="1" applyFont="1" applyFill="1" applyBorder="1" applyAlignment="1">
      <alignment horizontal="center"/>
    </xf>
    <xf numFmtId="2" fontId="4" fillId="29" borderId="17" xfId="0" applyNumberFormat="1" applyFont="1" applyFill="1" applyBorder="1" applyAlignment="1">
      <alignment horizontal="center"/>
    </xf>
    <xf numFmtId="2" fontId="4" fillId="0" borderId="16" xfId="0" applyNumberFormat="1" applyFont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164" fontId="4" fillId="0" borderId="17" xfId="0" applyNumberFormat="1" applyFont="1" applyBorder="1" applyAlignment="1">
      <alignment horizontal="center"/>
    </xf>
    <xf numFmtId="1" fontId="1" fillId="29" borderId="15" xfId="0" applyNumberFormat="1" applyFont="1" applyFill="1" applyBorder="1" applyAlignment="1">
      <alignment horizontal="center"/>
    </xf>
    <xf numFmtId="1" fontId="1" fillId="29" borderId="17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pivotButton="1" applyAlignment="1">
      <alignment wrapText="1"/>
    </xf>
    <xf numFmtId="49" fontId="23" fillId="0" borderId="1" xfId="0" applyNumberFormat="1" applyFont="1" applyBorder="1" applyAlignment="1">
      <alignment horizontal="center"/>
    </xf>
    <xf numFmtId="0" fontId="20" fillId="31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19" fillId="8" borderId="7" xfId="0" applyFont="1" applyFill="1" applyBorder="1" applyAlignment="1">
      <alignment horizontal="center"/>
    </xf>
    <xf numFmtId="164" fontId="19" fillId="10" borderId="10" xfId="0" applyNumberFormat="1" applyFont="1" applyFill="1" applyBorder="1" applyAlignment="1">
      <alignment horizontal="center"/>
    </xf>
    <xf numFmtId="2" fontId="19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11" borderId="19" xfId="0" applyFont="1" applyFill="1" applyBorder="1" applyAlignment="1">
      <alignment horizontal="center"/>
    </xf>
    <xf numFmtId="164" fontId="19" fillId="0" borderId="5" xfId="0" applyNumberFormat="1" applyFont="1" applyBorder="1" applyAlignment="1">
      <alignment horizontal="center"/>
    </xf>
    <xf numFmtId="2" fontId="19" fillId="0" borderId="19" xfId="0" applyNumberFormat="1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3" borderId="7" xfId="0" applyFont="1" applyFill="1" applyBorder="1" applyAlignment="1">
      <alignment horizontal="center"/>
    </xf>
    <xf numFmtId="2" fontId="19" fillId="0" borderId="7" xfId="0" applyNumberFormat="1" applyFont="1" applyBorder="1" applyAlignment="1">
      <alignment horizontal="center"/>
    </xf>
    <xf numFmtId="10" fontId="19" fillId="0" borderId="7" xfId="0" applyNumberFormat="1" applyFont="1" applyBorder="1" applyAlignment="1">
      <alignment horizontal="center"/>
    </xf>
    <xf numFmtId="0" fontId="4" fillId="11" borderId="18" xfId="0" applyFont="1" applyFill="1" applyBorder="1" applyAlignment="1">
      <alignment horizontal="center"/>
    </xf>
    <xf numFmtId="164" fontId="19" fillId="0" borderId="7" xfId="0" applyNumberFormat="1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19" fillId="5" borderId="10" xfId="0" applyFont="1" applyFill="1" applyBorder="1" applyAlignment="1">
      <alignment horizontal="center"/>
    </xf>
    <xf numFmtId="2" fontId="19" fillId="0" borderId="10" xfId="0" applyNumberFormat="1" applyFont="1" applyBorder="1" applyAlignment="1">
      <alignment horizontal="center"/>
    </xf>
    <xf numFmtId="0" fontId="19" fillId="6" borderId="10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164" fontId="19" fillId="0" borderId="10" xfId="0" applyNumberFormat="1" applyFont="1" applyBorder="1" applyAlignment="1">
      <alignment horizontal="center"/>
    </xf>
    <xf numFmtId="0" fontId="22" fillId="5" borderId="10" xfId="0" applyFont="1" applyFill="1" applyBorder="1" applyAlignment="1">
      <alignment horizontal="center"/>
    </xf>
    <xf numFmtId="0" fontId="20" fillId="6" borderId="10" xfId="0" applyFont="1" applyFill="1" applyBorder="1" applyAlignment="1">
      <alignment horizontal="center"/>
    </xf>
    <xf numFmtId="0" fontId="20" fillId="5" borderId="10" xfId="0" applyFont="1" applyFill="1" applyBorder="1" applyAlignment="1">
      <alignment horizontal="center"/>
    </xf>
    <xf numFmtId="0" fontId="20" fillId="25" borderId="10" xfId="0" applyFont="1" applyFill="1" applyBorder="1" applyAlignment="1">
      <alignment horizontal="center"/>
    </xf>
    <xf numFmtId="1" fontId="20" fillId="2" borderId="1" xfId="0" applyNumberFormat="1" applyFont="1" applyFill="1" applyBorder="1" applyAlignment="1">
      <alignment horizontal="center"/>
    </xf>
    <xf numFmtId="1" fontId="20" fillId="5" borderId="1" xfId="0" applyNumberFormat="1" applyFont="1" applyFill="1" applyBorder="1" applyAlignment="1">
      <alignment horizontal="center"/>
    </xf>
    <xf numFmtId="1" fontId="20" fillId="7" borderId="1" xfId="0" applyNumberFormat="1" applyFont="1" applyFill="1" applyBorder="1" applyAlignment="1">
      <alignment horizontal="center"/>
    </xf>
    <xf numFmtId="0" fontId="20" fillId="6" borderId="2" xfId="0" applyFont="1" applyFill="1" applyBorder="1" applyAlignment="1">
      <alignment horizontal="center"/>
    </xf>
    <xf numFmtId="0" fontId="20" fillId="26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164" fontId="20" fillId="6" borderId="10" xfId="0" applyNumberFormat="1" applyFont="1" applyFill="1" applyBorder="1" applyAlignment="1">
      <alignment horizontal="center"/>
    </xf>
    <xf numFmtId="164" fontId="20" fillId="5" borderId="10" xfId="0" applyNumberFormat="1" applyFont="1" applyFill="1" applyBorder="1" applyAlignment="1">
      <alignment horizontal="center"/>
    </xf>
    <xf numFmtId="164" fontId="20" fillId="0" borderId="10" xfId="0" applyNumberFormat="1" applyFont="1" applyBorder="1" applyAlignment="1">
      <alignment horizontal="center"/>
    </xf>
    <xf numFmtId="0" fontId="20" fillId="5" borderId="7" xfId="0" applyFont="1" applyFill="1" applyBorder="1" applyAlignment="1">
      <alignment horizontal="center"/>
    </xf>
    <xf numFmtId="0" fontId="20" fillId="6" borderId="18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49" fontId="20" fillId="5" borderId="1" xfId="0" applyNumberFormat="1" applyFont="1" applyFill="1" applyBorder="1" applyAlignment="1">
      <alignment horizontal="center"/>
    </xf>
    <xf numFmtId="164" fontId="20" fillId="3" borderId="1" xfId="0" applyNumberFormat="1" applyFont="1" applyFill="1" applyBorder="1" applyAlignment="1">
      <alignment horizontal="center"/>
    </xf>
    <xf numFmtId="1" fontId="20" fillId="3" borderId="1" xfId="0" applyNumberFormat="1" applyFont="1" applyFill="1" applyBorder="1" applyAlignment="1">
      <alignment horizontal="center"/>
    </xf>
    <xf numFmtId="2" fontId="20" fillId="6" borderId="1" xfId="0" applyNumberFormat="1" applyFont="1" applyFill="1" applyBorder="1" applyAlignment="1">
      <alignment horizontal="center"/>
    </xf>
    <xf numFmtId="1" fontId="20" fillId="28" borderId="1" xfId="0" applyNumberFormat="1" applyFont="1" applyFill="1" applyBorder="1" applyAlignment="1">
      <alignment horizontal="center"/>
    </xf>
    <xf numFmtId="2" fontId="20" fillId="0" borderId="1" xfId="0" applyNumberFormat="1" applyFont="1" applyBorder="1" applyAlignment="1">
      <alignment horizontal="center"/>
    </xf>
    <xf numFmtId="1" fontId="20" fillId="25" borderId="1" xfId="0" applyNumberFormat="1" applyFont="1" applyFill="1" applyBorder="1" applyAlignment="1">
      <alignment horizontal="center"/>
    </xf>
    <xf numFmtId="2" fontId="20" fillId="26" borderId="1" xfId="0" applyNumberFormat="1" applyFont="1" applyFill="1" applyBorder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0" fontId="23" fillId="5" borderId="1" xfId="0" applyFont="1" applyFill="1" applyBorder="1" applyAlignment="1">
      <alignment horizontal="center"/>
    </xf>
    <xf numFmtId="0" fontId="27" fillId="0" borderId="0" xfId="0" applyFont="1"/>
    <xf numFmtId="164" fontId="23" fillId="6" borderId="1" xfId="0" applyNumberFormat="1" applyFont="1" applyFill="1" applyBorder="1" applyAlignment="1">
      <alignment horizontal="center"/>
    </xf>
    <xf numFmtId="1" fontId="20" fillId="31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8" fillId="29" borderId="21" xfId="0" applyFont="1" applyFill="1" applyBorder="1" applyAlignment="1">
      <alignment horizontal="center" vertical="center" wrapText="1"/>
    </xf>
    <xf numFmtId="0" fontId="8" fillId="29" borderId="20" xfId="0" applyFont="1" applyFill="1" applyBorder="1" applyAlignment="1">
      <alignment horizontal="center" vertical="center" wrapText="1"/>
    </xf>
    <xf numFmtId="1" fontId="25" fillId="30" borderId="23" xfId="0" applyNumberFormat="1" applyFont="1" applyFill="1" applyBorder="1" applyAlignment="1">
      <alignment horizontal="center"/>
    </xf>
    <xf numFmtId="2" fontId="4" fillId="0" borderId="24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" fontId="25" fillId="30" borderId="25" xfId="0" applyNumberFormat="1" applyFont="1" applyFill="1" applyBorder="1" applyAlignment="1">
      <alignment horizontal="center"/>
    </xf>
    <xf numFmtId="1" fontId="25" fillId="30" borderId="26" xfId="0" applyNumberFormat="1" applyFont="1" applyFill="1" applyBorder="1" applyAlignment="1">
      <alignment horizontal="center"/>
    </xf>
    <xf numFmtId="164" fontId="25" fillId="30" borderId="26" xfId="0" applyNumberFormat="1" applyFont="1" applyFill="1" applyBorder="1" applyAlignment="1">
      <alignment horizontal="center"/>
    </xf>
    <xf numFmtId="1" fontId="25" fillId="30" borderId="27" xfId="0" applyNumberFormat="1" applyFont="1" applyFill="1" applyBorder="1" applyAlignment="1">
      <alignment horizontal="center"/>
    </xf>
    <xf numFmtId="1" fontId="4" fillId="0" borderId="28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4" fillId="0" borderId="29" xfId="0" applyNumberFormat="1" applyFont="1" applyBorder="1" applyAlignment="1">
      <alignment horizontal="center"/>
    </xf>
    <xf numFmtId="164" fontId="4" fillId="0" borderId="28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29" borderId="5" xfId="0" applyNumberFormat="1" applyFont="1" applyFill="1" applyBorder="1" applyAlignment="1">
      <alignment horizontal="center"/>
    </xf>
    <xf numFmtId="2" fontId="4" fillId="29" borderId="5" xfId="0" applyNumberFormat="1" applyFont="1" applyFill="1" applyBorder="1" applyAlignment="1">
      <alignment horizontal="center"/>
    </xf>
    <xf numFmtId="2" fontId="4" fillId="29" borderId="29" xfId="0" applyNumberFormat="1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2" fontId="4" fillId="0" borderId="29" xfId="0" applyNumberFormat="1" applyFont="1" applyBorder="1" applyAlignment="1">
      <alignment horizontal="center"/>
    </xf>
    <xf numFmtId="2" fontId="4" fillId="0" borderId="28" xfId="0" applyNumberFormat="1" applyFont="1" applyBorder="1" applyAlignment="1">
      <alignment horizontal="center"/>
    </xf>
    <xf numFmtId="164" fontId="4" fillId="0" borderId="29" xfId="0" applyNumberFormat="1" applyFont="1" applyBorder="1" applyAlignment="1">
      <alignment horizontal="center"/>
    </xf>
    <xf numFmtId="1" fontId="1" fillId="29" borderId="28" xfId="0" applyNumberFormat="1" applyFont="1" applyFill="1" applyBorder="1" applyAlignment="1">
      <alignment horizontal="center"/>
    </xf>
    <xf numFmtId="1" fontId="1" fillId="29" borderId="29" xfId="0" applyNumberFormat="1" applyFont="1" applyFill="1" applyBorder="1" applyAlignment="1">
      <alignment horizontal="center"/>
    </xf>
    <xf numFmtId="2" fontId="4" fillId="0" borderId="19" xfId="0" applyNumberFormat="1" applyFont="1" applyBorder="1" applyAlignment="1">
      <alignment horizontal="center"/>
    </xf>
    <xf numFmtId="0" fontId="19" fillId="3" borderId="2" xfId="0" applyFont="1" applyFill="1" applyBorder="1" applyAlignment="1">
      <alignment horizontal="center"/>
    </xf>
    <xf numFmtId="0" fontId="19" fillId="17" borderId="6" xfId="0" applyFont="1" applyFill="1" applyBorder="1" applyAlignment="1">
      <alignment horizontal="center"/>
    </xf>
    <xf numFmtId="1" fontId="19" fillId="4" borderId="0" xfId="0" applyNumberFormat="1" applyFont="1" applyFill="1" applyAlignment="1">
      <alignment horizontal="center" wrapText="1"/>
    </xf>
    <xf numFmtId="0" fontId="19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 wrapText="1"/>
    </xf>
    <xf numFmtId="0" fontId="19" fillId="17" borderId="3" xfId="0" applyFont="1" applyFill="1" applyBorder="1" applyAlignment="1">
      <alignment horizontal="center"/>
    </xf>
    <xf numFmtId="1" fontId="19" fillId="4" borderId="1" xfId="0" applyNumberFormat="1" applyFont="1" applyFill="1" applyBorder="1" applyAlignment="1">
      <alignment horizontal="center" wrapText="1"/>
    </xf>
    <xf numFmtId="0" fontId="19" fillId="0" borderId="6" xfId="0" applyFont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19" fillId="4" borderId="4" xfId="0" applyFont="1" applyFill="1" applyBorder="1" applyAlignment="1">
      <alignment horizontal="center" wrapText="1"/>
    </xf>
    <xf numFmtId="0" fontId="19" fillId="3" borderId="4" xfId="0" applyFont="1" applyFill="1" applyBorder="1" applyAlignment="1">
      <alignment horizontal="center" wrapText="1"/>
    </xf>
    <xf numFmtId="1" fontId="20" fillId="7" borderId="7" xfId="0" applyNumberFormat="1" applyFont="1" applyFill="1" applyBorder="1" applyAlignment="1">
      <alignment horizontal="center"/>
    </xf>
    <xf numFmtId="0" fontId="19" fillId="7" borderId="7" xfId="0" applyFont="1" applyFill="1" applyBorder="1" applyAlignment="1">
      <alignment horizontal="center"/>
    </xf>
    <xf numFmtId="164" fontId="20" fillId="6" borderId="2" xfId="0" applyNumberFormat="1" applyFont="1" applyFill="1" applyBorder="1" applyAlignment="1">
      <alignment horizontal="center"/>
    </xf>
    <xf numFmtId="0" fontId="20" fillId="26" borderId="2" xfId="0" applyFont="1" applyFill="1" applyBorder="1" applyAlignment="1">
      <alignment horizontal="center"/>
    </xf>
    <xf numFmtId="1" fontId="20" fillId="6" borderId="2" xfId="0" applyNumberFormat="1" applyFont="1" applyFill="1" applyBorder="1" applyAlignment="1">
      <alignment horizontal="center"/>
    </xf>
    <xf numFmtId="1" fontId="19" fillId="6" borderId="2" xfId="0" applyNumberFormat="1" applyFont="1" applyFill="1" applyBorder="1" applyAlignment="1">
      <alignment horizontal="center"/>
    </xf>
    <xf numFmtId="0" fontId="19" fillId="19" borderId="5" xfId="0" applyFont="1" applyFill="1" applyBorder="1" applyAlignment="1">
      <alignment horizontal="center"/>
    </xf>
    <xf numFmtId="0" fontId="19" fillId="18" borderId="8" xfId="0" applyFont="1" applyFill="1" applyBorder="1" applyAlignment="1">
      <alignment horizontal="center"/>
    </xf>
    <xf numFmtId="164" fontId="19" fillId="10" borderId="0" xfId="0" applyNumberFormat="1" applyFont="1" applyFill="1" applyAlignment="1">
      <alignment horizontal="center"/>
    </xf>
    <xf numFmtId="0" fontId="19" fillId="18" borderId="5" xfId="0" applyFont="1" applyFill="1" applyBorder="1" applyAlignment="1">
      <alignment horizontal="center"/>
    </xf>
    <xf numFmtId="0" fontId="19" fillId="19" borderId="8" xfId="0" applyFont="1" applyFill="1" applyBorder="1" applyAlignment="1">
      <alignment horizontal="center"/>
    </xf>
    <xf numFmtId="164" fontId="4" fillId="18" borderId="0" xfId="0" applyNumberFormat="1" applyFont="1" applyFill="1" applyAlignment="1">
      <alignment horizontal="center"/>
    </xf>
    <xf numFmtId="0" fontId="19" fillId="23" borderId="0" xfId="0" applyFont="1" applyFill="1" applyAlignment="1">
      <alignment horizontal="center" wrapText="1"/>
    </xf>
    <xf numFmtId="0" fontId="19" fillId="18" borderId="7" xfId="0" applyFont="1" applyFill="1" applyBorder="1" applyAlignment="1">
      <alignment horizontal="center"/>
    </xf>
    <xf numFmtId="0" fontId="4" fillId="19" borderId="5" xfId="0" applyFont="1" applyFill="1" applyBorder="1" applyAlignment="1">
      <alignment horizontal="center"/>
    </xf>
    <xf numFmtId="49" fontId="4" fillId="19" borderId="8" xfId="0" applyNumberFormat="1" applyFont="1" applyFill="1" applyBorder="1" applyAlignment="1">
      <alignment horizontal="center"/>
    </xf>
    <xf numFmtId="164" fontId="19" fillId="8" borderId="0" xfId="0" applyNumberFormat="1" applyFont="1" applyFill="1" applyAlignment="1">
      <alignment horizontal="center"/>
    </xf>
    <xf numFmtId="164" fontId="19" fillId="18" borderId="10" xfId="0" applyNumberFormat="1" applyFont="1" applyFill="1" applyBorder="1" applyAlignment="1">
      <alignment horizontal="center"/>
    </xf>
    <xf numFmtId="49" fontId="19" fillId="18" borderId="8" xfId="0" applyNumberFormat="1" applyFont="1" applyFill="1" applyBorder="1" applyAlignment="1">
      <alignment horizontal="center"/>
    </xf>
    <xf numFmtId="164" fontId="19" fillId="21" borderId="10" xfId="0" applyNumberFormat="1" applyFont="1" applyFill="1" applyBorder="1" applyAlignment="1">
      <alignment horizontal="center"/>
    </xf>
    <xf numFmtId="0" fontId="19" fillId="19" borderId="4" xfId="0" applyFont="1" applyFill="1" applyBorder="1" applyAlignment="1">
      <alignment horizontal="center"/>
    </xf>
    <xf numFmtId="49" fontId="19" fillId="18" borderId="0" xfId="0" applyNumberFormat="1" applyFont="1" applyFill="1" applyAlignment="1">
      <alignment horizontal="center"/>
    </xf>
    <xf numFmtId="0" fontId="19" fillId="18" borderId="9" xfId="0" applyFont="1" applyFill="1" applyBorder="1" applyAlignment="1">
      <alignment horizontal="center"/>
    </xf>
    <xf numFmtId="164" fontId="19" fillId="19" borderId="9" xfId="0" applyNumberFormat="1" applyFont="1" applyFill="1" applyBorder="1" applyAlignment="1">
      <alignment horizontal="center"/>
    </xf>
    <xf numFmtId="0" fontId="19" fillId="18" borderId="4" xfId="0" applyFont="1" applyFill="1" applyBorder="1" applyAlignment="1">
      <alignment horizontal="center"/>
    </xf>
    <xf numFmtId="0" fontId="19" fillId="19" borderId="9" xfId="0" applyFont="1" applyFill="1" applyBorder="1" applyAlignment="1">
      <alignment horizontal="center"/>
    </xf>
    <xf numFmtId="49" fontId="4" fillId="18" borderId="9" xfId="0" applyNumberFormat="1" applyFont="1" applyFill="1" applyBorder="1" applyAlignment="1">
      <alignment horizontal="center"/>
    </xf>
    <xf numFmtId="0" fontId="4" fillId="18" borderId="0" xfId="0" applyFont="1" applyFill="1" applyAlignment="1">
      <alignment horizontal="center"/>
    </xf>
    <xf numFmtId="0" fontId="19" fillId="23" borderId="0" xfId="0" applyFont="1" applyFill="1" applyAlignment="1">
      <alignment horizontal="center"/>
    </xf>
    <xf numFmtId="0" fontId="19" fillId="19" borderId="6" xfId="0" applyFont="1" applyFill="1" applyBorder="1" applyAlignment="1">
      <alignment horizontal="center"/>
    </xf>
    <xf numFmtId="49" fontId="4" fillId="18" borderId="6" xfId="0" applyNumberFormat="1" applyFont="1" applyFill="1" applyBorder="1" applyAlignment="1">
      <alignment horizontal="center"/>
    </xf>
    <xf numFmtId="0" fontId="19" fillId="18" borderId="6" xfId="0" applyFont="1" applyFill="1" applyBorder="1" applyAlignment="1">
      <alignment horizontal="center"/>
    </xf>
    <xf numFmtId="49" fontId="19" fillId="18" borderId="6" xfId="0" applyNumberFormat="1" applyFont="1" applyFill="1" applyBorder="1" applyAlignment="1">
      <alignment horizontal="center"/>
    </xf>
    <xf numFmtId="1" fontId="20" fillId="6" borderId="10" xfId="0" applyNumberFormat="1" applyFont="1" applyFill="1" applyBorder="1" applyAlignment="1">
      <alignment horizontal="center"/>
    </xf>
    <xf numFmtId="2" fontId="20" fillId="5" borderId="10" xfId="0" applyNumberFormat="1" applyFont="1" applyFill="1" applyBorder="1" applyAlignment="1">
      <alignment horizontal="center"/>
    </xf>
    <xf numFmtId="1" fontId="20" fillId="0" borderId="10" xfId="0" applyNumberFormat="1" applyFont="1" applyBorder="1" applyAlignment="1">
      <alignment horizontal="center"/>
    </xf>
    <xf numFmtId="0" fontId="23" fillId="5" borderId="10" xfId="0" applyFont="1" applyFill="1" applyBorder="1" applyAlignment="1">
      <alignment horizontal="center"/>
    </xf>
    <xf numFmtId="164" fontId="19" fillId="6" borderId="10" xfId="0" applyNumberFormat="1" applyFont="1" applyFill="1" applyBorder="1" applyAlignment="1">
      <alignment horizontal="center"/>
    </xf>
    <xf numFmtId="1" fontId="20" fillId="5" borderId="10" xfId="0" applyNumberFormat="1" applyFont="1" applyFill="1" applyBorder="1" applyAlignment="1">
      <alignment horizontal="center"/>
    </xf>
    <xf numFmtId="49" fontId="22" fillId="5" borderId="1" xfId="0" applyNumberFormat="1" applyFont="1" applyFill="1" applyBorder="1" applyAlignment="1">
      <alignment horizontal="center"/>
    </xf>
    <xf numFmtId="49" fontId="19" fillId="5" borderId="1" xfId="0" applyNumberFormat="1" applyFont="1" applyFill="1" applyBorder="1" applyAlignment="1">
      <alignment horizontal="center"/>
    </xf>
    <xf numFmtId="1" fontId="19" fillId="5" borderId="10" xfId="0" applyNumberFormat="1" applyFont="1" applyFill="1" applyBorder="1" applyAlignment="1">
      <alignment horizontal="center"/>
    </xf>
    <xf numFmtId="164" fontId="19" fillId="5" borderId="10" xfId="0" applyNumberFormat="1" applyFont="1" applyFill="1" applyBorder="1" applyAlignment="1">
      <alignment horizontal="center"/>
    </xf>
    <xf numFmtId="1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2" fillId="3" borderId="1" xfId="0" applyFont="1" applyFill="1" applyBorder="1" applyAlignment="1">
      <alignment horizontal="center"/>
    </xf>
    <xf numFmtId="0" fontId="20" fillId="24" borderId="10" xfId="0" applyFont="1" applyFill="1" applyBorder="1" applyAlignment="1">
      <alignment horizontal="center"/>
    </xf>
    <xf numFmtId="164" fontId="20" fillId="25" borderId="1" xfId="0" applyNumberFormat="1" applyFont="1" applyFill="1" applyBorder="1" applyAlignment="1">
      <alignment horizontal="center"/>
    </xf>
    <xf numFmtId="164" fontId="20" fillId="26" borderId="1" xfId="0" applyNumberFormat="1" applyFont="1" applyFill="1" applyBorder="1" applyAlignment="1">
      <alignment horizontal="center"/>
    </xf>
    <xf numFmtId="0" fontId="19" fillId="6" borderId="5" xfId="0" applyFont="1" applyFill="1" applyBorder="1" applyAlignment="1">
      <alignment horizontal="center"/>
    </xf>
    <xf numFmtId="2" fontId="19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3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9" fillId="8" borderId="10" xfId="0" applyFont="1" applyFill="1" applyBorder="1" applyAlignment="1">
      <alignment horizontal="center"/>
    </xf>
  </cellXfs>
  <cellStyles count="1">
    <cellStyle name="Normal" xfId="0" builtinId="0"/>
  </cellStyles>
  <dxfs count="299">
    <dxf>
      <font>
        <b/>
        <i val="0"/>
        <color rgb="FFFF0000"/>
      </font>
    </dxf>
    <dxf>
      <alignment wrapText="1"/>
    </dxf>
    <dxf>
      <alignment wrapText="1"/>
    </dxf>
    <dxf>
      <numFmt numFmtId="2" formatCode="0.00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center" textRotation="0" indent="0" justifyLastLine="0" shrinkToFit="0" readingOrder="0"/>
      <border diagonalUp="0" diagonalDown="0">
        <left style="thin">
          <color rgb="FF000000"/>
        </left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164" formatCode="0.0"/>
      <alignment horizontal="center" textRotation="0" indent="0" justifyLastLine="0" shrinkToFit="0" readingOrder="0"/>
      <border diagonalUp="0" diagonalDown="0">
        <left style="thin">
          <color rgb="FF000000"/>
        </left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  <border diagonalUp="0" diagonalDown="0">
        <left style="medium">
          <color indexed="64"/>
        </left>
        <right style="thin">
          <color rgb="FF00000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gradientFill degree="90">
          <stop position="0">
            <color theme="2" tint="-0.25098422193060094"/>
          </stop>
          <stop position="1">
            <color theme="2" tint="-0.49803155613879818"/>
          </stop>
        </gradient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0.0"/>
      <fill>
        <gradientFill degree="90">
          <stop position="0">
            <color theme="2" tint="-0.25098422193060094"/>
          </stop>
          <stop position="1">
            <color theme="2" tint="-0.49803155613879818"/>
          </stop>
        </gradient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gradientFill degree="90">
          <stop position="0">
            <color theme="2" tint="-0.25098422193060094"/>
          </stop>
          <stop position="1">
            <color theme="2" tint="-0.49803155613879818"/>
          </stop>
        </gradient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gradientFill degree="90">
          <stop position="0">
            <color theme="2" tint="-0.25098422193060094"/>
          </stop>
          <stop position="1">
            <color theme="2" tint="-0.49803155613879818"/>
          </stop>
        </gradient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gradientFill degree="90">
          <stop position="0">
            <color theme="2" tint="-0.25098422193060094"/>
          </stop>
          <stop position="1">
            <color theme="2" tint="-0.49803155613879818"/>
          </stop>
        </gradient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gradientFill degree="90">
          <stop position="0">
            <color theme="2" tint="-0.25098422193060094"/>
          </stop>
          <stop position="1">
            <color theme="2" tint="-0.49803155613879818"/>
          </stop>
        </gradient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center" textRotation="0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FFC000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FFC000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customschemas.google.com/relationships/workbookmetadata" Target="metadata"/><Relationship Id="rId5" Type="http://schemas.microsoft.com/office/2007/relationships/slicerCache" Target="slicerCaches/slicerCache1.xml"/><Relationship Id="rId15" Type="http://schemas.openxmlformats.org/officeDocument/2006/relationships/calcChain" Target="calcChain.xml"/><Relationship Id="rId10" Type="http://schemas.microsoft.com/office/2007/relationships/slicerCache" Target="slicerCaches/slicerCache6.xml"/><Relationship Id="rId4" Type="http://schemas.openxmlformats.org/officeDocument/2006/relationships/pivotCacheDefinition" Target="pivotCache/pivotCacheDefinition1.xml"/><Relationship Id="rId9" Type="http://schemas.microsoft.com/office/2007/relationships/slicerCache" Target="slicerCaches/slicerCache5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0</xdr:row>
      <xdr:rowOff>0</xdr:rowOff>
    </xdr:from>
    <xdr:to>
      <xdr:col>3</xdr:col>
      <xdr:colOff>1038225</xdr:colOff>
      <xdr:row>11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Ano">
              <a:extLst>
                <a:ext uri="{FF2B5EF4-FFF2-40B4-BE49-F238E27FC236}">
                  <a16:creationId xmlns:a16="http://schemas.microsoft.com/office/drawing/2014/main" id="{44A34317-3703-487D-86B1-7D9D8336AB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62275" y="0"/>
              <a:ext cx="9810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1028701</xdr:colOff>
      <xdr:row>0</xdr:row>
      <xdr:rowOff>0</xdr:rowOff>
    </xdr:from>
    <xdr:to>
      <xdr:col>4</xdr:col>
      <xdr:colOff>85725</xdr:colOff>
      <xdr:row>12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Missão">
              <a:extLst>
                <a:ext uri="{FF2B5EF4-FFF2-40B4-BE49-F238E27FC236}">
                  <a16:creationId xmlns:a16="http://schemas.microsoft.com/office/drawing/2014/main" id="{3D8690E2-7E66-4AFD-9B81-CDD5A45096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iss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3826" y="0"/>
              <a:ext cx="1142999" cy="2838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219075</xdr:colOff>
      <xdr:row>0</xdr:row>
      <xdr:rowOff>0</xdr:rowOff>
    </xdr:from>
    <xdr:to>
      <xdr:col>11</xdr:col>
      <xdr:colOff>114300</xdr:colOff>
      <xdr:row>17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Aluno">
              <a:extLst>
                <a:ext uri="{FF2B5EF4-FFF2-40B4-BE49-F238E27FC236}">
                  <a16:creationId xmlns:a16="http://schemas.microsoft.com/office/drawing/2014/main" id="{0BED9CD5-7E42-4221-B5A4-61B9F2D668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lu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58175" y="0"/>
              <a:ext cx="1114425" cy="3733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57150</xdr:colOff>
      <xdr:row>0</xdr:row>
      <xdr:rowOff>0</xdr:rowOff>
    </xdr:from>
    <xdr:to>
      <xdr:col>9</xdr:col>
      <xdr:colOff>228600</xdr:colOff>
      <xdr:row>5</xdr:row>
      <xdr:rowOff>114299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Cor da pele">
              <a:extLst>
                <a:ext uri="{FF2B5EF4-FFF2-40B4-BE49-F238E27FC236}">
                  <a16:creationId xmlns:a16="http://schemas.microsoft.com/office/drawing/2014/main" id="{5DBC4AD8-BD6B-40C8-930B-A22606F01E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r da pel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77050" y="0"/>
              <a:ext cx="1390650" cy="14477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76200</xdr:colOff>
      <xdr:row>0</xdr:row>
      <xdr:rowOff>0</xdr:rowOff>
    </xdr:from>
    <xdr:to>
      <xdr:col>7</xdr:col>
      <xdr:colOff>76200</xdr:colOff>
      <xdr:row>4</xdr:row>
      <xdr:rowOff>428625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Lesão Renal Aguda">
              <a:extLst>
                <a:ext uri="{FF2B5EF4-FFF2-40B4-BE49-F238E27FC236}">
                  <a16:creationId xmlns:a16="http://schemas.microsoft.com/office/drawing/2014/main" id="{A80CEAE8-07F2-4A60-886C-1BD4F218EF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esão Renal Agu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7300" y="0"/>
              <a:ext cx="1828800" cy="1190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85724</xdr:colOff>
      <xdr:row>4</xdr:row>
      <xdr:rowOff>400052</xdr:rowOff>
    </xdr:from>
    <xdr:to>
      <xdr:col>7</xdr:col>
      <xdr:colOff>76199</xdr:colOff>
      <xdr:row>8</xdr:row>
      <xdr:rowOff>142876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Rabdomiólise">
              <a:extLst>
                <a:ext uri="{FF2B5EF4-FFF2-40B4-BE49-F238E27FC236}">
                  <a16:creationId xmlns:a16="http://schemas.microsoft.com/office/drawing/2014/main" id="{E1F82FF0-991E-46D7-B90E-AB380F7A38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bdomióli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76824" y="1162052"/>
              <a:ext cx="1819275" cy="8858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AGO AZEVEDO DE ARRUDA" refreshedDate="45527.643040972223" createdVersion="8" refreshedVersion="8" minRefreshableVersion="3" recordCount="410" xr:uid="{BF92ADD6-453A-43CA-826D-ABC30ADBDE52}">
  <cacheSource type="worksheet">
    <worksheetSource name="Tabela13"/>
  </cacheSource>
  <cacheFields count="97">
    <cacheField name="Ano" numFmtId="1">
      <sharedItems containsSemiMixedTypes="0" containsString="0" containsNumber="1" containsInteger="1" minValue="2017" maxValue="2023" count="5">
        <n v="2018"/>
        <n v="2022"/>
        <n v="2017"/>
        <n v="2019"/>
        <n v="2023"/>
      </sharedItems>
    </cacheField>
    <cacheField name="Missão" numFmtId="1">
      <sharedItems containsMixedTypes="1" containsNumber="1" containsInteger="1" minValue="0" maxValue="0" count="10">
        <s v="CIASC"/>
        <s v="Marambaia"/>
        <s v="Itatiaia"/>
        <s v="Manaus"/>
        <s v="Ladário"/>
        <s v="Arraial"/>
        <s v="Natal"/>
        <s v="Avelar"/>
        <s v="Tonelero"/>
        <n v="0" u="1"/>
      </sharedItems>
    </cacheField>
    <cacheField name="Aluno" numFmtId="1">
      <sharedItems containsSemiMixedTypes="0" containsString="0" containsNumber="1" containsInteger="1" minValue="3089" maxValue="3374" count="145">
        <n v="3150"/>
        <n v="3155"/>
        <n v="3156"/>
        <n v="3159"/>
        <n v="3165"/>
        <n v="3169"/>
        <n v="3175"/>
        <n v="3180"/>
        <n v="3181"/>
        <n v="3183"/>
        <n v="3184"/>
        <n v="3185"/>
        <n v="3186"/>
        <n v="3187"/>
        <n v="3189"/>
        <n v="3190"/>
        <n v="3192"/>
        <n v="3193"/>
        <n v="3194"/>
        <n v="3195"/>
        <n v="3196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4"/>
        <n v="3255"/>
        <n v="3256"/>
        <n v="3257"/>
        <n v="3258"/>
        <n v="3259"/>
        <n v="3260"/>
        <n v="3114"/>
        <n v="3116"/>
        <n v="3119"/>
        <n v="3122"/>
        <n v="3123"/>
        <n v="3125"/>
        <n v="3128"/>
        <n v="3129"/>
        <n v="3134"/>
        <n v="3136"/>
        <n v="3138"/>
        <n v="3143"/>
        <n v="3089"/>
        <n v="3090"/>
        <n v="3091"/>
        <n v="3092"/>
        <n v="3093"/>
        <n v="3094"/>
        <n v="3095"/>
        <n v="3102"/>
        <n v="3103"/>
        <n v="3105"/>
        <n v="3106"/>
        <n v="3108"/>
        <n v="3197"/>
        <n v="3200"/>
        <n v="3202"/>
        <n v="3205"/>
        <n v="3213"/>
        <n v="3214"/>
        <n v="3215"/>
        <n v="3216"/>
        <n v="3219"/>
        <n v="3221"/>
        <n v="3222"/>
        <n v="3229"/>
        <n v="3235"/>
        <n v="3261"/>
        <n v="3262"/>
        <n v="3267"/>
        <n v="3268"/>
        <n v="3274"/>
        <n v="3277"/>
        <n v="3278"/>
        <n v="3282"/>
        <n v="3283"/>
        <n v="3289"/>
        <n v="3291"/>
        <n v="3292"/>
        <n v="3296"/>
        <n v="3305"/>
        <n v="3306"/>
        <n v="3309"/>
        <n v="3311"/>
        <n v="3317"/>
        <n v="3328"/>
        <n v="3330"/>
        <n v="3331"/>
        <n v="3343"/>
        <n v="3347"/>
        <n v="3348"/>
        <n v="3350"/>
        <n v="3364"/>
        <n v="3374"/>
        <n v="3295"/>
        <n v="3340"/>
        <n v="3264"/>
        <n v="3263" u="1"/>
        <n v="3265" u="1"/>
        <n v="3266" u="1"/>
        <n v="3269" u="1"/>
        <n v="3270" u="1"/>
        <n v="3273" u="1"/>
        <n v="3276" u="1"/>
        <n v="3279" u="1"/>
        <n v="3280" u="1"/>
        <n v="3281" u="1"/>
        <n v="3284" u="1"/>
        <n v="3286" u="1"/>
        <n v="3293" u="1"/>
        <n v="3294" u="1"/>
        <n v="3297" u="1"/>
        <n v="3299" u="1"/>
        <n v="3300" u="1"/>
        <n v="3308" u="1"/>
        <n v="3310" u="1"/>
        <n v="3312" u="1"/>
        <n v="3314" u="1"/>
        <n v="3320" u="1"/>
        <n v="3321" u="1"/>
        <n v="3322" u="1"/>
        <n v="3324" u="1"/>
        <n v="3327" u="1"/>
        <n v="3329" u="1"/>
        <n v="3332" u="1"/>
        <n v="3333" u="1"/>
        <n v="3337" u="1"/>
        <n v="3341" u="1"/>
        <n v="3342" u="1"/>
        <n v="3345" u="1"/>
        <n v="3346" u="1"/>
      </sharedItems>
    </cacheField>
    <cacheField name="Idade" numFmtId="1">
      <sharedItems containsMixedTypes="1" containsNumber="1" containsInteger="1" minValue="0" maxValue="39"/>
    </cacheField>
    <cacheField name="Peso Kg" numFmtId="164">
      <sharedItems containsSemiMixedTypes="0" containsString="0" containsNumber="1" minValue="0" maxValue="96"/>
    </cacheField>
    <cacheField name="Cor da pele" numFmtId="1">
      <sharedItems containsMixedTypes="1" containsNumber="1" containsInteger="1" minValue="0" maxValue="2" count="4">
        <n v="1"/>
        <n v="2"/>
        <n v="0"/>
        <s v="-"/>
      </sharedItems>
    </cacheField>
    <cacheField name="ACTN3" numFmtId="1">
      <sharedItems/>
    </cacheField>
    <cacheField name="AGT" numFmtId="1">
      <sharedItems/>
    </cacheField>
    <cacheField name="ECA" numFmtId="1">
      <sharedItems/>
    </cacheField>
    <cacheField name="BDKRB2" numFmtId="1">
      <sharedItems/>
    </cacheField>
    <cacheField name="Score Força%" numFmtId="1">
      <sharedItems containsMixedTypes="1" containsNumber="1" minValue="0" maxValue="212.5"/>
    </cacheField>
    <cacheField name="Score Resistência %" numFmtId="1">
      <sharedItems containsMixedTypes="1" containsNumber="1" minValue="-112.5" maxValue="87.5"/>
    </cacheField>
    <cacheField name="Pré CK (U/L)" numFmtId="1">
      <sharedItems containsSemiMixedTypes="0" containsString="0" containsNumber="1" containsInteger="1" minValue="51" maxValue="17776"/>
    </cacheField>
    <cacheField name="Pós CK (U/L)" numFmtId="1">
      <sharedItems containsMixedTypes="1" containsNumber="1" containsInteger="1" minValue="82" maxValue="48308"/>
    </cacheField>
    <cacheField name="Pré CK MB U/L" numFmtId="1">
      <sharedItems containsMixedTypes="1" containsNumber="1" containsInteger="1" minValue="3" maxValue="135"/>
    </cacheField>
    <cacheField name="Pós CK MB U/L" numFmtId="1">
      <sharedItems containsMixedTypes="1" containsNumber="1" containsInteger="1" minValue="3" maxValue="821"/>
    </cacheField>
    <cacheField name="Pré Lactato (mmol/L)" numFmtId="1">
      <sharedItems containsMixedTypes="1" containsNumber="1" minValue="1" maxValue="45047"/>
    </cacheField>
    <cacheField name="Pós Lactato (mmol/L)" numFmtId="1">
      <sharedItems containsMixedTypes="1" containsNumber="1" minValue="1.2" maxValue="10"/>
    </cacheField>
    <cacheField name="Pré LDH (U/L)" numFmtId="1">
      <sharedItems containsMixedTypes="1" containsNumber="1" minValue="2.5" maxValue="1861"/>
    </cacheField>
    <cacheField name="Pós LDH (U/L)" numFmtId="1">
      <sharedItems containsMixedTypes="1" containsNumber="1" containsInteger="1" minValue="93" maxValue="6127"/>
    </cacheField>
    <cacheField name="Pré AST (U/L)" numFmtId="1">
      <sharedItems containsMixedTypes="1" containsNumber="1" containsInteger="1" minValue="17" maxValue="431"/>
    </cacheField>
    <cacheField name="Pós AST (U/L)" numFmtId="1">
      <sharedItems containsMixedTypes="1" containsNumber="1" containsInteger="1" minValue="18" maxValue="1736"/>
    </cacheField>
    <cacheField name="Pré Albumina (g/dL)" numFmtId="164">
      <sharedItems containsMixedTypes="1" containsNumber="1" minValue="3.6" maxValue="5.8"/>
    </cacheField>
    <cacheField name="Pós Albumina (g/dL)" numFmtId="164">
      <sharedItems containsMixedTypes="1" containsNumber="1" minValue="2.1" maxValue="5.8"/>
    </cacheField>
    <cacheField name="Pré TGP (g/dL)" numFmtId="1">
      <sharedItems containsMixedTypes="1" containsNumber="1" containsInteger="1" minValue="16" maxValue="486"/>
    </cacheField>
    <cacheField name="Pós TGP (g/dL)" numFmtId="1">
      <sharedItems containsMixedTypes="1" containsNumber="1" containsInteger="1" minValue="14" maxValue="511"/>
    </cacheField>
    <cacheField name="Pré GGT U/L" numFmtId="1">
      <sharedItems containsMixedTypes="1" containsNumber="1" containsInteger="1" minValue="10" maxValue="135"/>
    </cacheField>
    <cacheField name="Pós GGT U/L" numFmtId="1">
      <sharedItems containsMixedTypes="1" containsNumber="1" containsInteger="1" minValue="10" maxValue="312"/>
    </cacheField>
    <cacheField name="Pré Ac. Úrico (mg/dL)" numFmtId="164">
      <sharedItems containsMixedTypes="1" containsNumber="1" minValue="2.6" maxValue="8.4"/>
    </cacheField>
    <cacheField name="Pós Ac. Úrico (mg/dL)2" numFmtId="164">
      <sharedItems containsMixedTypes="1" containsNumber="1" minValue="3.4" maxValue="44964"/>
    </cacheField>
    <cacheField name="Pré TFG   (ml/min/1.73 m2)" numFmtId="164">
      <sharedItems containsSemiMixedTypes="0" containsString="0" containsNumber="1" minValue="49.277519357398788" maxValue="144.26282870151979"/>
    </cacheField>
    <cacheField name="Pós TFG   (ml/min/1.73 m2)" numFmtId="164">
      <sharedItems containsMixedTypes="1" containsNumber="1" minValue="43.700862116564139" maxValue="136.5342808821735"/>
    </cacheField>
    <cacheField name="Pré Ureia mg/dL" numFmtId="1">
      <sharedItems containsSemiMixedTypes="0" containsString="0" containsNumber="1" minValue="4.8" maxValue="78"/>
    </cacheField>
    <cacheField name="Pós Ureia mg/dL" numFmtId="1">
      <sharedItems containsMixedTypes="1" containsNumber="1" containsInteger="1" minValue="20" maxValue="103"/>
    </cacheField>
    <cacheField name="Pré creatinina mg/dL" numFmtId="164">
      <sharedItems containsSemiMixedTypes="0" containsString="0" containsNumber="1" minValue="0.5" maxValue="1.9"/>
    </cacheField>
    <cacheField name="Pós creatinina mg/dL" numFmtId="164">
      <sharedItems containsMixedTypes="1" containsNumber="1" minValue="0.6" maxValue="2.1"/>
    </cacheField>
    <cacheField name="Delta CREATININA mg/dL" numFmtId="164">
      <sharedItems containsMixedTypes="1" containsNumber="1" minValue="0" maxValue="1.3"/>
    </cacheField>
    <cacheField name="Pré Fósforo mg/dL" numFmtId="164">
      <sharedItems containsMixedTypes="1" containsNumber="1" minValue="2.4" maxValue="6.4"/>
    </cacheField>
    <cacheField name="Pós Fósforo mg/dL" numFmtId="164">
      <sharedItems containsMixedTypes="1" containsNumber="1" minValue="2.5" maxValue="45021"/>
    </cacheField>
    <cacheField name="Pré Proteína Total (g/dL)" numFmtId="164">
      <sharedItems containsMixedTypes="1" containsNumber="1" minValue="4.0999999999999996" maxValue="10.7"/>
    </cacheField>
    <cacheField name="Pós Proteína Total (g/dL)" numFmtId="164">
      <sharedItems containsMixedTypes="1" containsNumber="1" minValue="4.0999999999999996" maxValue="11"/>
    </cacheField>
    <cacheField name="Pré FE (ug/dL)" numFmtId="1">
      <sharedItems containsMixedTypes="1" containsNumber="1" containsInteger="1" minValue="10" maxValue="187"/>
    </cacheField>
    <cacheField name="Pós FE (ug/dL)" numFmtId="1">
      <sharedItems containsMixedTypes="1" containsNumber="1" containsInteger="1" minValue="10" maxValue="158"/>
    </cacheField>
    <cacheField name="Pré calcio mg/dL" numFmtId="164">
      <sharedItems containsMixedTypes="1" containsNumber="1" minValue="1" maxValue="13.9"/>
    </cacheField>
    <cacheField name="Pós calcio mg/dL" numFmtId="164">
      <sharedItems containsMixedTypes="1" containsNumber="1" minValue="0.2" maxValue="14.2"/>
    </cacheField>
    <cacheField name="Pré Potássio mmol/L" numFmtId="164">
      <sharedItems containsMixedTypes="1" containsNumber="1" minValue="2.2999999999999998" maxValue="6.8"/>
    </cacheField>
    <cacheField name="Pós Potássio mmol/L" numFmtId="164">
      <sharedItems containsMixedTypes="1" containsNumber="1" minValue="2.6" maxValue="7.8"/>
    </cacheField>
    <cacheField name="Glicose pré" numFmtId="1">
      <sharedItems containsMixedTypes="1" containsNumber="1" containsInteger="1" minValue="54" maxValue="161"/>
    </cacheField>
    <cacheField name="Glicose pós" numFmtId="1">
      <sharedItems containsMixedTypes="1" containsNumber="1" containsInteger="1" minValue="0" maxValue="180"/>
    </cacheField>
    <cacheField name="Pré Sódio mmol/L" numFmtId="1">
      <sharedItems containsMixedTypes="1" containsNumber="1" containsInteger="1" minValue="128" maxValue="170"/>
    </cacheField>
    <cacheField name="Pós Sódio mmol/L" numFmtId="1">
      <sharedItems containsMixedTypes="1" containsNumber="1" containsInteger="1" minValue="79" maxValue="441"/>
    </cacheField>
    <cacheField name="Pré Magnésio mg/dL" numFmtId="164">
      <sharedItems containsMixedTypes="1" containsNumber="1" minValue="0.4" maxValue="44928"/>
    </cacheField>
    <cacheField name="Pós Magnésio mg/dL" numFmtId="164">
      <sharedItems containsMixedTypes="1" containsNumber="1" minValue="1.5" maxValue="3.3"/>
    </cacheField>
    <cacheField name="Pré Cloro mmol/L" numFmtId="1">
      <sharedItems containsMixedTypes="1" containsNumber="1" containsInteger="1" minValue="80" maxValue="134"/>
    </cacheField>
    <cacheField name="Pós Cloro mmol/L" numFmtId="1">
      <sharedItems containsMixedTypes="1" containsNumber="1" containsInteger="1" minValue="68" maxValue="136"/>
    </cacheField>
    <cacheField name="Osmolalidade sérica PRÉ BD4(mOsm/kg): 1,86(Na + K) + 1,15(Gli /18) + (Ureia/6) + 14_x0009__x0009__x0009_" numFmtId="2">
      <sharedItems containsMixedTypes="1" containsNumber="1" minValue="269.86988888888891" maxValue="352.21133333333336"/>
    </cacheField>
    <cacheField name="Osmolalidade sérica PÓS BD4(mOsm/kg): 1,86(Na + K) + 1,15(Gli /18) + (Ureia/6) + 14_x0009__x0009__x0009_" numFmtId="2">
      <sharedItems containsMixedTypes="1" containsNumber="1" minValue="171.02600000000001" maxValue="847.53333333333342"/>
    </cacheField>
    <cacheField name="Pré RBC 10^6/mm³" numFmtId="164">
      <sharedItems containsMixedTypes="1" containsNumber="1" minValue="3.5" maxValue="6.77"/>
    </cacheField>
    <cacheField name="Pós RBC 10^6/mm³" numFmtId="164">
      <sharedItems containsMixedTypes="1" containsNumber="1" minValue="0.35" maxValue="6.63"/>
    </cacheField>
    <cacheField name="Pré HGB g/dL" numFmtId="164">
      <sharedItems containsMixedTypes="1" containsNumber="1" minValue="10.9" maxValue="16.5"/>
    </cacheField>
    <cacheField name="Pós HGB g/dL" numFmtId="164">
      <sharedItems containsMixedTypes="1" containsNumber="1" minValue="3.2" maxValue="17.100000000000001"/>
    </cacheField>
    <cacheField name="Pré HCT %" numFmtId="164">
      <sharedItems containsMixedTypes="1" containsNumber="1" minValue="34.299999999999997" maxValue="98.5"/>
    </cacheField>
    <cacheField name="Pós HCT %" numFmtId="164">
      <sharedItems containsMixedTypes="1" containsNumber="1" minValue="24.8" maxValue="51.4"/>
    </cacheField>
    <cacheField name="Pré MCV fL" numFmtId="164">
      <sharedItems containsMixedTypes="1" containsNumber="1" minValue="59.1" maxValue="105.7"/>
    </cacheField>
    <cacheField name="Pós MCV fL" numFmtId="164">
      <sharedItems containsMixedTypes="1" containsNumber="1" minValue="58.9" maxValue="101.2"/>
    </cacheField>
    <cacheField name="Pré MCH pg" numFmtId="164">
      <sharedItems containsMixedTypes="1" containsNumber="1" minValue="19.899999999999999" maxValue="34"/>
    </cacheField>
    <cacheField name="Pós MCH pg" numFmtId="164">
      <sharedItems containsMixedTypes="1" containsNumber="1" minValue="19.3" maxValue="92.1"/>
    </cacheField>
    <cacheField name="Pré MCHC g/dL" numFmtId="164">
      <sharedItems containsMixedTypes="1" containsNumber="1" minValue="27.3" maxValue="35.4"/>
    </cacheField>
    <cacheField name="Pós MCHC g/dL" numFmtId="164">
      <sharedItems containsMixedTypes="1" containsNumber="1" minValue="30.3" maxValue="129"/>
    </cacheField>
    <cacheField name="Pré PLT 10³/mm³" numFmtId="1">
      <sharedItems containsMixedTypes="1" containsNumber="1" containsInteger="1" minValue="113" maxValue="520"/>
    </cacheField>
    <cacheField name="Pós PLT 10³/mm³" numFmtId="1">
      <sharedItems containsMixedTypes="1" containsNumber="1" containsInteger="1" minValue="80" maxValue="500"/>
    </cacheField>
    <cacheField name="Pré RDW %" numFmtId="164">
      <sharedItems containsMixedTypes="1" containsNumber="1" minValue="10.8" maxValue="18.399999999999999"/>
    </cacheField>
    <cacheField name="Pós RDW %" numFmtId="164">
      <sharedItems containsMixedTypes="1" containsNumber="1" minValue="11.2" maxValue="34.5"/>
    </cacheField>
    <cacheField name="Pré RET %" numFmtId="2">
      <sharedItems containsMixedTypes="1" containsNumber="1" minValue="6.9400000000000003E-2" maxValue="35.700000000000003"/>
    </cacheField>
    <cacheField name="Pós RET %" numFmtId="2">
      <sharedItems containsMixedTypes="1" containsNumber="1" minValue="4.3799999999999999E-2" maxValue="35.299999999999997"/>
    </cacheField>
    <cacheField name="Pré WBC 10³/mm³" numFmtId="2">
      <sharedItems containsMixedTypes="1" containsNumber="1" minValue="2.0699999999999998" maxValue="17.809999999999999"/>
    </cacheField>
    <cacheField name="Pós WBC 10³/mm³" numFmtId="2">
      <sharedItems containsMixedTypes="1" containsNumber="1" minValue="2.92" maxValue="61"/>
    </cacheField>
    <cacheField name="Pré NEUT %" numFmtId="164">
      <sharedItems containsMixedTypes="1" containsNumber="1" minValue="0.60499999999999998" maxValue="671"/>
    </cacheField>
    <cacheField name="Pós NEUT %" numFmtId="164">
      <sharedItems containsMixedTypes="1" containsNumber="1" minValue="3.73" maxValue="93.6"/>
    </cacheField>
    <cacheField name="Pré LINF %" numFmtId="164">
      <sharedItems containsMixedTypes="1" containsNumber="1" minValue="1.83" maxValue="75.599999999999994"/>
    </cacheField>
    <cacheField name="Pós LINF %" numFmtId="164">
      <sharedItems containsMixedTypes="1" containsNumber="1" minValue="3.73" maxValue="81.2"/>
    </cacheField>
    <cacheField name="Pré MONO %" numFmtId="164">
      <sharedItems containsMixedTypes="1" containsNumber="1" minValue="0.81632653061224492" maxValue="18.2"/>
    </cacheField>
    <cacheField name="Pós MONO %" numFmtId="164">
      <sharedItems containsMixedTypes="1" containsNumber="1" minValue="0.66" maxValue="23"/>
    </cacheField>
    <cacheField name="Pré EOS %" numFmtId="164">
      <sharedItems containsMixedTypes="1" containsNumber="1" minValue="0" maxValue="21.4"/>
    </cacheField>
    <cacheField name="Pós EOS %" numFmtId="164">
      <sharedItems containsMixedTypes="1" containsNumber="1" minValue="0" maxValue="25.1"/>
    </cacheField>
    <cacheField name="Pré BASO %" numFmtId="164">
      <sharedItems containsMixedTypes="1" containsNumber="1" minValue="0" maxValue="8.9"/>
    </cacheField>
    <cacheField name="Pós BASO %" numFmtId="164">
      <sharedItems containsMixedTypes="1" containsNumber="1" minValue="0" maxValue="5.8"/>
    </cacheField>
    <cacheField name="Lesão Renal Aguda" numFmtId="1">
      <sharedItems count="5">
        <s v="NÃO"/>
        <s v="SIM"/>
        <s v="Dados insuficientes"/>
        <b v="0" u="1"/>
        <b v="1" u="1"/>
      </sharedItems>
    </cacheField>
    <cacheField name="Rabdomiólise" numFmtId="1">
      <sharedItems count="2">
        <s v="NÃO"/>
        <s v="SIM"/>
      </sharedItems>
    </cacheField>
    <cacheField name="Massa magra" numFmtId="164">
      <sharedItems containsMixedTypes="1" containsNumber="1" minValue="0" maxValue="82.441199999999995"/>
    </cacheField>
    <cacheField name="MCT KG" numFmtId="164">
      <sharedItems containsMixedTypes="1" containsNumber="1" minValue="0" maxValue="97.1"/>
    </cacheField>
    <cacheField name="ESTATURA cm" numFmtId="1">
      <sharedItems containsMixedTypes="1" containsNumber="1" minValue="0" maxValue="192.5"/>
    </cacheField>
    <cacheField name="VO2max estimado" numFmtId="1">
      <sharedItems containsMixedTypes="1" containsNumber="1" minValue="0" maxValue="56.66"/>
    </cacheField>
    <cacheField name="Handgrip     Dominante" numFmtId="1">
      <sharedItems containsMixedTypes="1" containsNumber="1" minValue="0" maxValue="80"/>
    </cacheField>
    <cacheField name="Handgrip Contrário" numFmtId="1">
      <sharedItems containsMixedTypes="1" containsNumber="1" minValue="0" maxValue="88"/>
    </cacheField>
    <cacheField name="% gordura" numFmtId="2">
      <sharedItems containsMixedTypes="1" containsNumber="1" minValue="0" maxValue="20.22"/>
    </cacheField>
    <cacheField name="Campo1" numFmtId="0" formula="Idade" databaseField="0"/>
  </cacheFields>
  <extLst>
    <ext xmlns:x14="http://schemas.microsoft.com/office/spreadsheetml/2009/9/main" uri="{725AE2AE-9491-48be-B2B4-4EB974FC3084}">
      <x14:pivotCacheDefinition pivotCacheId="183276362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0">
  <r>
    <x v="0"/>
    <x v="0"/>
    <x v="0"/>
    <n v="33"/>
    <n v="88"/>
    <x v="0"/>
    <s v="XX"/>
    <s v="MT"/>
    <s v="ID"/>
    <s v="(-9,-9)"/>
    <n v="25"/>
    <n v="75"/>
    <n v="337"/>
    <n v="664"/>
    <n v="3"/>
    <n v="16"/>
    <s v="-"/>
    <s v="-"/>
    <n v="629"/>
    <n v="796"/>
    <n v="33"/>
    <n v="48"/>
    <n v="4.5999999999999996"/>
    <n v="4"/>
    <n v="37"/>
    <n v="63"/>
    <n v="16"/>
    <n v="17"/>
    <n v="5.0999999999999996"/>
    <n v="5.9"/>
    <n v="94.947150652744313"/>
    <n v="85.533385678368745"/>
    <n v="39"/>
    <n v="43"/>
    <n v="1.1000000000000001"/>
    <n v="1.2"/>
    <n v="9.9999999999999867E-2"/>
    <n v="3.6"/>
    <n v="3.6"/>
    <n v="7.8"/>
    <n v="6.7"/>
    <s v="-"/>
    <s v="-"/>
    <n v="9.9"/>
    <n v="9.1"/>
    <n v="5.2"/>
    <n v="4.5999999999999996"/>
    <n v="103"/>
    <n v="110"/>
    <n v="145"/>
    <n v="146"/>
    <n v="2"/>
    <n v="2"/>
    <n v="102"/>
    <n v="106"/>
    <n v="306.45255555555559"/>
    <n v="308.31044444444444"/>
    <n v="4.38"/>
    <n v="4.37"/>
    <n v="13.5"/>
    <n v="13.3"/>
    <n v="40.9"/>
    <n v="39.4"/>
    <n v="93.4"/>
    <n v="90.2"/>
    <n v="30.8"/>
    <n v="30.4"/>
    <n v="33"/>
    <n v="33.799999999999997"/>
    <n v="299"/>
    <n v="289"/>
    <n v="12.8"/>
    <n v="12.2"/>
    <n v="1.83"/>
    <n v="1.52"/>
    <n v="7.38"/>
    <n v="8.17"/>
    <n v="49.1"/>
    <n v="72.599999999999994"/>
    <n v="39"/>
    <n v="21.1"/>
    <n v="8.3000000000000007"/>
    <n v="5.3"/>
    <n v="3.3"/>
    <n v="0.9"/>
    <n v="0.3"/>
    <n v="0.1"/>
    <x v="0"/>
    <x v="0"/>
    <n v="75.827849999999998"/>
    <n v="84.3"/>
    <n v="181.5"/>
    <n v="52.78"/>
    <n v="35"/>
    <n v="37"/>
    <n v="10.050000000000001"/>
  </r>
  <r>
    <x v="0"/>
    <x v="0"/>
    <x v="1"/>
    <n v="26"/>
    <n v="74"/>
    <x v="0"/>
    <s v="RR"/>
    <s v="MT"/>
    <s v="II"/>
    <s v="(+9,-9)"/>
    <n v="50"/>
    <n v="50"/>
    <n v="687"/>
    <n v="2246"/>
    <n v="6"/>
    <n v="38"/>
    <s v="-"/>
    <s v="-"/>
    <n v="720"/>
    <n v="1182"/>
    <n v="49"/>
    <n v="105"/>
    <n v="4.9000000000000004"/>
    <n v="4.5999999999999996"/>
    <n v="57"/>
    <n v="93"/>
    <n v="38"/>
    <n v="37"/>
    <n v="3.6"/>
    <n v="5.0999999999999996"/>
    <n v="120.79866842153496"/>
    <n v="125.17286966375688"/>
    <n v="57"/>
    <n v="49"/>
    <n v="0.9"/>
    <n v="0.8"/>
    <n v="0"/>
    <n v="4"/>
    <n v="3.1"/>
    <n v="7.9"/>
    <n v="7.4"/>
    <s v="-"/>
    <s v="-"/>
    <n v="10.1"/>
    <n v="9.4"/>
    <n v="4.5999999999999996"/>
    <n v="4.3"/>
    <n v="95"/>
    <n v="114"/>
    <n v="142"/>
    <n v="141"/>
    <n v="2.2000000000000002"/>
    <n v="1.9"/>
    <n v="102"/>
    <n v="103"/>
    <n v="302.24544444444444"/>
    <n v="299.70800000000008"/>
    <s v="-"/>
    <n v="4.6399999999999997"/>
    <s v="-"/>
    <n v="13.9"/>
    <s v="-"/>
    <n v="40.6"/>
    <s v="-"/>
    <n v="87.5"/>
    <s v="-"/>
    <n v="30"/>
    <s v="-"/>
    <n v="34.200000000000003"/>
    <n v="268"/>
    <n v="304"/>
    <s v="-"/>
    <n v="13.4"/>
    <s v="-"/>
    <n v="1.47"/>
    <s v="-"/>
    <n v="9.3800000000000008"/>
    <s v="-"/>
    <n v="72"/>
    <s v="-"/>
    <n v="12.5"/>
    <s v="-"/>
    <n v="15"/>
    <s v="-"/>
    <n v="0.3"/>
    <s v="-"/>
    <n v="0.2"/>
    <x v="0"/>
    <x v="1"/>
    <n v="71.28528"/>
    <n v="75.900000000000006"/>
    <n v="171"/>
    <n v="54.68"/>
    <n v="42"/>
    <n v="43"/>
    <n v="6.08"/>
  </r>
  <r>
    <x v="0"/>
    <x v="0"/>
    <x v="2"/>
    <n v="26"/>
    <n v="76"/>
    <x v="0"/>
    <s v="RX"/>
    <s v="MM"/>
    <s v="ID"/>
    <s v="(+9,+9)"/>
    <n v="50"/>
    <n v="50"/>
    <n v="841"/>
    <n v="4616"/>
    <n v="43"/>
    <n v="71"/>
    <s v="-"/>
    <s v="-"/>
    <n v="895"/>
    <n v="1531"/>
    <n v="57"/>
    <n v="145"/>
    <n v="4.9000000000000004"/>
    <n v="4.8"/>
    <n v="58"/>
    <n v="113"/>
    <n v="26"/>
    <n v="23"/>
    <n v="3.9"/>
    <n v="4.5"/>
    <n v="85.533385678368745"/>
    <n v="85.533385678368745"/>
    <n v="50"/>
    <n v="39"/>
    <n v="1.2"/>
    <n v="1.2"/>
    <n v="0"/>
    <n v="3.2"/>
    <n v="3.5"/>
    <n v="7.8"/>
    <n v="7.4"/>
    <s v="-"/>
    <s v="-"/>
    <n v="9.6999999999999993"/>
    <n v="10.199999999999999"/>
    <n v="5.2"/>
    <n v="4.5"/>
    <n v="99"/>
    <n v="98"/>
    <n v="145"/>
    <n v="146"/>
    <n v="2.2000000000000002"/>
    <n v="2.2000000000000002"/>
    <n v="105"/>
    <n v="100"/>
    <n v="308.03033333333332"/>
    <n v="306.69111111111113"/>
    <s v="-"/>
    <n v="4.7699999999999996"/>
    <s v="-"/>
    <n v="14.5"/>
    <s v="-"/>
    <n v="42.7"/>
    <s v="-"/>
    <n v="89.5"/>
    <s v="-"/>
    <n v="30.4"/>
    <s v="-"/>
    <n v="34"/>
    <s v="-"/>
    <n v="268"/>
    <s v="-"/>
    <n v="12.1"/>
    <s v="-"/>
    <n v="1.2"/>
    <s v="-"/>
    <n v="7.48"/>
    <s v="-"/>
    <n v="82.8"/>
    <s v="-"/>
    <n v="11.2"/>
    <s v="-"/>
    <n v="5.6"/>
    <s v="-"/>
    <n v="0.1"/>
    <s v="-"/>
    <n v="0.3"/>
    <x v="0"/>
    <x v="1"/>
    <n v="72.293760000000006"/>
    <n v="79.2"/>
    <n v="174"/>
    <n v="53.64"/>
    <n v="49.5"/>
    <n v="49.5"/>
    <n v="8.7200000000000006"/>
  </r>
  <r>
    <x v="0"/>
    <x v="0"/>
    <x v="3"/>
    <n v="25"/>
    <n v="84"/>
    <x v="0"/>
    <s v="RR"/>
    <s v="TT"/>
    <s v="DD"/>
    <s v="(+9,-9)"/>
    <s v="-"/>
    <s v="-"/>
    <n v="363"/>
    <n v="2611"/>
    <n v="5"/>
    <n v="53"/>
    <s v="-"/>
    <s v="-"/>
    <n v="349"/>
    <n v="666"/>
    <n v="46"/>
    <n v="138"/>
    <n v="4.8"/>
    <n v="4.0999999999999996"/>
    <n v="42"/>
    <n v="100"/>
    <n v="13"/>
    <n v="10"/>
    <n v="5.4"/>
    <n v="5.9"/>
    <n v="77.700020894732489"/>
    <n v="94.947150652744313"/>
    <n v="49"/>
    <n v="45"/>
    <n v="1.3"/>
    <n v="1.1000000000000001"/>
    <n v="0"/>
    <n v="4.0999999999999996"/>
    <n v="3"/>
    <n v="7.7"/>
    <n v="6.7"/>
    <s v="-"/>
    <s v="-"/>
    <n v="10"/>
    <n v="9.4"/>
    <n v="6.2"/>
    <n v="4.5999999999999996"/>
    <n v="94"/>
    <n v="144"/>
    <n v="144"/>
    <n v="143"/>
    <n v="2.1"/>
    <n v="2"/>
    <n v="106"/>
    <n v="108"/>
    <n v="307.54422222222223"/>
    <n v="305.23599999999999"/>
    <n v="5.22"/>
    <n v="4.5199999999999996"/>
    <n v="14.9"/>
    <n v="13.1"/>
    <n v="47.7"/>
    <n v="38.700000000000003"/>
    <n v="91.4"/>
    <n v="85.6"/>
    <n v="28.5"/>
    <n v="29"/>
    <n v="31.2"/>
    <n v="33.9"/>
    <n v="242"/>
    <n v="246"/>
    <n v="12.9"/>
    <n v="12.4"/>
    <s v="-"/>
    <n v="1.1100000000000001"/>
    <n v="4.91"/>
    <n v="5.79"/>
    <n v="52"/>
    <n v="67.8"/>
    <n v="34.6"/>
    <n v="21.6"/>
    <n v="11.2"/>
    <n v="6.2"/>
    <n v="1.2"/>
    <n v="3.5"/>
    <n v="1"/>
    <n v="0.9"/>
    <x v="0"/>
    <x v="1"/>
    <n v="75.355769999999993"/>
    <n v="84.3"/>
    <n v="178"/>
    <n v="52.69"/>
    <n v="60"/>
    <n v="57"/>
    <n v="10.61"/>
  </r>
  <r>
    <x v="0"/>
    <x v="0"/>
    <x v="4"/>
    <n v="33"/>
    <n v="82"/>
    <x v="0"/>
    <s v="RR"/>
    <s v="MT"/>
    <s v="II"/>
    <s v="(+9,-9)"/>
    <n v="50"/>
    <n v="50"/>
    <n v="192"/>
    <n v="1111"/>
    <n v="3"/>
    <n v="15"/>
    <s v="-"/>
    <s v="-"/>
    <n v="643"/>
    <n v="1089"/>
    <n v="32"/>
    <n v="94"/>
    <n v="4.8"/>
    <n v="4.3"/>
    <n v="32"/>
    <n v="85"/>
    <n v="39"/>
    <n v="40"/>
    <n v="5.7"/>
    <n v="5.2"/>
    <n v="106.45183652429932"/>
    <n v="106.45183652429932"/>
    <n v="43"/>
    <n v="52"/>
    <n v="1"/>
    <n v="1"/>
    <n v="0"/>
    <n v="3.6"/>
    <n v="3.3"/>
    <n v="7.7"/>
    <n v="6.7"/>
    <s v="-"/>
    <s v="-"/>
    <n v="9.3000000000000007"/>
    <n v="9.5"/>
    <n v="4.8"/>
    <n v="4.5"/>
    <n v="96"/>
    <n v="142"/>
    <n v="142"/>
    <n v="142"/>
    <n v="2"/>
    <n v="1.9"/>
    <n v="102"/>
    <n v="103"/>
    <n v="300.34800000000007"/>
    <n v="304.22888888888889"/>
    <n v="4.37"/>
    <n v="4.0599999999999996"/>
    <n v="13.3"/>
    <n v="12.5"/>
    <n v="41.9"/>
    <n v="37.5"/>
    <n v="95.9"/>
    <n v="92.4"/>
    <n v="30.4"/>
    <n v="30.8"/>
    <n v="31.7"/>
    <n v="33.299999999999997"/>
    <n v="192"/>
    <n v="259"/>
    <n v="11.7"/>
    <n v="12.1"/>
    <s v="-"/>
    <n v="2.27"/>
    <n v="6.31"/>
    <n v="10.56"/>
    <n v="79.099999999999994"/>
    <n v="82.6"/>
    <n v="15.2"/>
    <n v="10.9"/>
    <n v="4.0999999999999996"/>
    <n v="5.5"/>
    <n v="1.1000000000000001"/>
    <n v="0.9"/>
    <n v="0.5"/>
    <n v="0.1"/>
    <x v="0"/>
    <x v="1"/>
    <n v="67.787359999999993"/>
    <n v="79.599999999999994"/>
    <n v="182"/>
    <n v="51.21"/>
    <n v="51"/>
    <n v="49"/>
    <n v="14.84"/>
  </r>
  <r>
    <x v="0"/>
    <x v="0"/>
    <x v="5"/>
    <n v="31"/>
    <n v="92"/>
    <x v="0"/>
    <s v="XX"/>
    <s v="MT"/>
    <s v="ID"/>
    <s v="(-9,-9)"/>
    <n v="100"/>
    <n v="0"/>
    <n v="437"/>
    <n v="2840"/>
    <n v="4"/>
    <n v="40"/>
    <s v="-"/>
    <s v="-"/>
    <n v="685"/>
    <n v="1090"/>
    <n v="65"/>
    <n v="162"/>
    <n v="4.9000000000000004"/>
    <n v="4.5"/>
    <n v="54"/>
    <n v="110"/>
    <n v="20"/>
    <n v="20"/>
    <n v="7.9"/>
    <n v="8.6"/>
    <n v="85.533385678368745"/>
    <n v="106.45183652429932"/>
    <n v="37"/>
    <n v="47"/>
    <n v="1.2"/>
    <n v="1"/>
    <n v="0"/>
    <n v="3.1"/>
    <n v="3.6"/>
    <n v="8.5"/>
    <n v="7.7"/>
    <s v="-"/>
    <s v="-"/>
    <n v="9.8000000000000007"/>
    <n v="9.5"/>
    <n v="5.6"/>
    <n v="4.8"/>
    <n v="110"/>
    <n v="105"/>
    <n v="146"/>
    <n v="146"/>
    <n v="2.1"/>
    <n v="2.1"/>
    <n v="105"/>
    <n v="106"/>
    <n v="309.17044444444446"/>
    <n v="309.02966666666669"/>
    <n v="4.62"/>
    <n v="4.24"/>
    <n v="13.6"/>
    <n v="12.6"/>
    <n v="43.7"/>
    <n v="38.200000000000003"/>
    <n v="94.6"/>
    <n v="90.1"/>
    <n v="29.4"/>
    <n v="29.7"/>
    <n v="31.1"/>
    <n v="33"/>
    <n v="279"/>
    <n v="305"/>
    <n v="13.1"/>
    <n v="13.4"/>
    <s v="-"/>
    <n v="1.68"/>
    <n v="9.18"/>
    <n v="12.45"/>
    <n v="80.900000000000006"/>
    <n v="81.2"/>
    <n v="13.4"/>
    <n v="10.199999999999999"/>
    <n v="5.2"/>
    <n v="7.9"/>
    <n v="0.1"/>
    <n v="0.4"/>
    <n v="0.4"/>
    <n v="0.3"/>
    <x v="0"/>
    <x v="1"/>
    <n v="74.95620000000001"/>
    <n v="90.2"/>
    <n v="184.5"/>
    <n v="48.67"/>
    <n v="54"/>
    <n v="47"/>
    <n v="16.899999999999999"/>
  </r>
  <r>
    <x v="0"/>
    <x v="0"/>
    <x v="6"/>
    <n v="32"/>
    <n v="96"/>
    <x v="1"/>
    <s v="RX"/>
    <s v="MM"/>
    <s v="ID"/>
    <s v="(+9,+9)"/>
    <n v="45.8333333333333"/>
    <n v="54.1666666666667"/>
    <n v="719"/>
    <n v="13785"/>
    <n v="15"/>
    <n v="255"/>
    <s v="-"/>
    <s v="-"/>
    <n v="694"/>
    <n v="2598"/>
    <n v="61"/>
    <n v="293"/>
    <n v="5"/>
    <n v="4.5"/>
    <n v="57"/>
    <n v="169"/>
    <n v="26"/>
    <n v="25"/>
    <n v="4.7"/>
    <n v="4.7"/>
    <n v="94.947150652744313"/>
    <n v="106.45183652429932"/>
    <n v="50"/>
    <n v="46"/>
    <n v="1.1000000000000001"/>
    <n v="1"/>
    <n v="0"/>
    <n v="4"/>
    <n v="3"/>
    <n v="8.6"/>
    <n v="7.8"/>
    <s v="-"/>
    <s v="-"/>
    <n v="10.199999999999999"/>
    <n v="9.6999999999999993"/>
    <n v="5.3"/>
    <n v="4.4000000000000004"/>
    <n v="99"/>
    <n v="119"/>
    <n v="143"/>
    <n v="143"/>
    <n v="2"/>
    <n v="2.1"/>
    <n v="105"/>
    <n v="107"/>
    <n v="304.49633333333333"/>
    <n v="303.43344444444449"/>
    <n v="4.8899999999999997"/>
    <n v="4.57"/>
    <n v="14.5"/>
    <n v="13.7"/>
    <n v="46.1"/>
    <n v="40.799999999999997"/>
    <n v="94.3"/>
    <n v="89.3"/>
    <n v="29.7"/>
    <n v="30"/>
    <n v="31.5"/>
    <n v="33.6"/>
    <n v="154"/>
    <n v="206"/>
    <n v="12.8"/>
    <n v="12.8"/>
    <s v="-"/>
    <n v="1.27"/>
    <n v="2.0699999999999998"/>
    <n v="9.34"/>
    <n v="49.7"/>
    <n v="74.2"/>
    <n v="38.200000000000003"/>
    <n v="17.899999999999999"/>
    <n v="9.6999999999999993"/>
    <n v="6.9"/>
    <n v="1"/>
    <n v="0.9"/>
    <n v="1.4"/>
    <n v="0.1"/>
    <x v="0"/>
    <x v="1"/>
    <n v="82.029080000000008"/>
    <n v="90.7"/>
    <n v="191"/>
    <n v="50.01"/>
    <n v="56.5"/>
    <n v="54.5"/>
    <n v="9.56"/>
  </r>
  <r>
    <x v="0"/>
    <x v="0"/>
    <x v="7"/>
    <n v="30"/>
    <n v="78"/>
    <x v="0"/>
    <s v="RX"/>
    <s v="TT"/>
    <s v="DD"/>
    <s v="(-9,-9)"/>
    <n v="54.1666666666667"/>
    <n v="45.8333333333333"/>
    <n v="605"/>
    <n v="1330"/>
    <n v="3"/>
    <n v="37"/>
    <s v="-"/>
    <s v="-"/>
    <n v="583"/>
    <n v="996"/>
    <n v="46"/>
    <n v="89"/>
    <n v="4.7"/>
    <n v="4"/>
    <n v="39"/>
    <n v="87"/>
    <n v="14"/>
    <n v="15"/>
    <n v="4.5999999999999996"/>
    <n v="6.3"/>
    <n v="94.947150652744313"/>
    <n v="106.45183652429932"/>
    <n v="35"/>
    <n v="33"/>
    <n v="1.1000000000000001"/>
    <n v="1"/>
    <n v="0"/>
    <n v="3.3"/>
    <n v="3.5"/>
    <n v="7.2"/>
    <n v="6.2"/>
    <s v="-"/>
    <s v="-"/>
    <n v="9.4"/>
    <n v="9"/>
    <n v="5.0999999999999996"/>
    <n v="4.3"/>
    <n v="106"/>
    <n v="142"/>
    <n v="143"/>
    <n v="144"/>
    <n v="2"/>
    <n v="2"/>
    <n v="105"/>
    <n v="105"/>
    <n v="302.07155555555556"/>
    <n v="304.41022222222227"/>
    <n v="4.9800000000000004"/>
    <n v="4.74"/>
    <n v="15.1"/>
    <n v="14.3"/>
    <n v="46.6"/>
    <n v="42.3"/>
    <n v="93.6"/>
    <n v="89.2"/>
    <n v="30.3"/>
    <n v="30.2"/>
    <n v="32.4"/>
    <n v="33.799999999999997"/>
    <n v="168"/>
    <n v="230"/>
    <n v="13.4"/>
    <n v="13.2"/>
    <s v="-"/>
    <n v="1.46"/>
    <n v="8.6999999999999993"/>
    <n v="9.6300000000000008"/>
    <n v="78.900000000000006"/>
    <n v="79"/>
    <n v="15.3"/>
    <n v="13.3"/>
    <n v="5.2"/>
    <n v="7.3"/>
    <n v="0.1"/>
    <n v="0.2"/>
    <n v="0.5"/>
    <n v="0.2"/>
    <x v="0"/>
    <x v="1"/>
    <n v="67.7637"/>
    <n v="76.5"/>
    <n v="177"/>
    <n v="51.95"/>
    <n v="41"/>
    <n v="38"/>
    <n v="11.42"/>
  </r>
  <r>
    <x v="0"/>
    <x v="0"/>
    <x v="8"/>
    <n v="28"/>
    <n v="86.6"/>
    <x v="0"/>
    <s v="RX"/>
    <s v="MT"/>
    <s v="ID"/>
    <s v="(+9,-9)"/>
    <n v="54.1666666666667"/>
    <n v="45.8333333333333"/>
    <n v="792"/>
    <n v="9004"/>
    <n v="57"/>
    <n v="61"/>
    <s v="-"/>
    <s v="-"/>
    <n v="1471"/>
    <n v="1436"/>
    <n v="123"/>
    <n v="126"/>
    <n v="4.8"/>
    <n v="4.9000000000000004"/>
    <n v="56"/>
    <n v="62"/>
    <n v="21"/>
    <n v="21"/>
    <n v="4.8"/>
    <s v="-"/>
    <n v="71.088527013625097"/>
    <n v="77.700020894732489"/>
    <n v="47"/>
    <n v="48"/>
    <n v="1.4"/>
    <n v="1.3"/>
    <n v="0"/>
    <n v="3.6"/>
    <n v="3.7"/>
    <n v="7.7"/>
    <n v="7.9"/>
    <s v="-"/>
    <s v="-"/>
    <n v="9.9"/>
    <n v="10.199999999999999"/>
    <n v="5.5"/>
    <n v="5.6"/>
    <n v="106"/>
    <n v="114"/>
    <n v="145"/>
    <n v="143"/>
    <n v="2.1"/>
    <s v="-"/>
    <n v="105"/>
    <s v="-"/>
    <n v="308.53555555555556"/>
    <n v="305.67933333333337"/>
    <n v="5.14"/>
    <n v="4.53"/>
    <n v="15.4"/>
    <n v="14"/>
    <n v="48.6"/>
    <n v="41.1"/>
    <n v="94.6"/>
    <n v="90.7"/>
    <n v="30"/>
    <n v="30.9"/>
    <n v="31.7"/>
    <n v="34.1"/>
    <n v="265"/>
    <n v="267"/>
    <n v="12.7"/>
    <n v="13"/>
    <s v="-"/>
    <n v="1.26"/>
    <n v="14.07"/>
    <n v="13.27"/>
    <s v="-"/>
    <n v="86.7"/>
    <s v="-"/>
    <n v="7.6"/>
    <n v="3"/>
    <n v="5.3"/>
    <n v="0.5"/>
    <n v="0.2"/>
    <n v="0.1"/>
    <n v="0.2"/>
    <x v="0"/>
    <x v="1"/>
    <n v="77.353679999999997"/>
    <n v="84.3"/>
    <n v="190"/>
    <n v="51.12"/>
    <n v="54.5"/>
    <n v="50.5"/>
    <n v="8.24"/>
  </r>
  <r>
    <x v="0"/>
    <x v="0"/>
    <x v="9"/>
    <n v="26"/>
    <n v="90"/>
    <x v="0"/>
    <s v="-"/>
    <s v="-"/>
    <s v="-"/>
    <s v="-"/>
    <s v="-"/>
    <s v="-"/>
    <n v="494"/>
    <n v="2787"/>
    <n v="3"/>
    <n v="47"/>
    <s v="-"/>
    <s v="-"/>
    <n v="659"/>
    <n v="1468"/>
    <n v="41"/>
    <n v="127"/>
    <n v="4.8"/>
    <n v="4.3"/>
    <n v="42"/>
    <n v="121"/>
    <n v="21"/>
    <n v="19"/>
    <n v="4.7"/>
    <n v="5.3"/>
    <n v="106.45183652429932"/>
    <n v="120.79866842153496"/>
    <n v="36"/>
    <n v="35"/>
    <n v="1"/>
    <n v="0.9"/>
    <n v="0"/>
    <n v="4.2"/>
    <n v="3.8"/>
    <n v="8.3000000000000007"/>
    <n v="7.2"/>
    <s v="-"/>
    <s v="-"/>
    <n v="9.6"/>
    <n v="9.6"/>
    <n v="5.4"/>
    <n v="4.7"/>
    <n v="89"/>
    <n v="111"/>
    <n v="142"/>
    <n v="142"/>
    <n v="2.1"/>
    <n v="2"/>
    <n v="102"/>
    <n v="104"/>
    <n v="299.85011111111118"/>
    <n v="299.78699999999992"/>
    <n v="4.99"/>
    <n v="4.45"/>
    <n v="15.1"/>
    <n v="13.5"/>
    <n v="47.3"/>
    <n v="39.700000000000003"/>
    <n v="94.8"/>
    <n v="89.2"/>
    <n v="30.3"/>
    <n v="30.3"/>
    <n v="31.9"/>
    <n v="34"/>
    <n v="302"/>
    <n v="328"/>
    <n v="12.3"/>
    <n v="12.3"/>
    <s v="-"/>
    <n v="2.31"/>
    <n v="9.2200000000000006"/>
    <n v="10.8"/>
    <n v="78"/>
    <n v="75.400000000000006"/>
    <n v="15.2"/>
    <n v="15.3"/>
    <n v="5.3"/>
    <n v="7.2"/>
    <n v="1.4"/>
    <n v="1.9"/>
    <n v="0.1"/>
    <n v="0.2"/>
    <x v="0"/>
    <x v="1"/>
    <n v="82.441199999999995"/>
    <n v="92"/>
    <n v="174.4"/>
    <n v="49.71"/>
    <n v="55"/>
    <n v="55.5"/>
    <n v="10.39"/>
  </r>
  <r>
    <x v="0"/>
    <x v="0"/>
    <x v="10"/>
    <n v="29"/>
    <n v="76"/>
    <x v="0"/>
    <s v="RR"/>
    <s v="MT"/>
    <s v="II"/>
    <s v="(+9,-9)"/>
    <n v="51"/>
    <n v="51"/>
    <n v="410"/>
    <n v="1457"/>
    <n v="3"/>
    <n v="16"/>
    <s v="-"/>
    <s v="-"/>
    <n v="733"/>
    <n v="1747"/>
    <n v="36"/>
    <n v="205"/>
    <n v="5.0999999999999996"/>
    <n v="4.0999999999999996"/>
    <n v="44"/>
    <n v="191"/>
    <n v="65"/>
    <n v="312"/>
    <n v="4.8"/>
    <n v="6.2"/>
    <n v="77.700020894732489"/>
    <n v="94.947150652744313"/>
    <n v="37"/>
    <n v="31"/>
    <n v="1.3"/>
    <n v="1.1000000000000001"/>
    <n v="0"/>
    <n v="3.1"/>
    <n v="3.1"/>
    <n v="8.5"/>
    <n v="6.9"/>
    <s v="-"/>
    <s v="-"/>
    <n v="10.199999999999999"/>
    <n v="9.5"/>
    <n v="4.9000000000000004"/>
    <n v="4.2"/>
    <n v="105"/>
    <n v="116"/>
    <n v="146"/>
    <n v="143"/>
    <n v="2"/>
    <n v="2.1"/>
    <n v="103"/>
    <n v="102"/>
    <n v="307.54900000000004"/>
    <n v="300.36977777777776"/>
    <n v="5.43"/>
    <n v="4.66"/>
    <n v="14.6"/>
    <n v="12.5"/>
    <n v="46"/>
    <n v="38.299999999999997"/>
    <n v="84.7"/>
    <n v="82.2"/>
    <n v="26.9"/>
    <n v="26.8"/>
    <n v="31.7"/>
    <n v="32.6"/>
    <n v="186"/>
    <n v="239"/>
    <n v="14.9"/>
    <n v="14.9"/>
    <s v="-"/>
    <n v="1.1499999999999999"/>
    <n v="9.42"/>
    <n v="10"/>
    <n v="76.900000000000006"/>
    <n v="80.599999999999994"/>
    <n v="11"/>
    <n v="7.9"/>
    <n v="11.9"/>
    <n v="11.1"/>
    <n v="0"/>
    <n v="0.4"/>
    <n v="0.2"/>
    <n v="0"/>
    <x v="0"/>
    <x v="1"/>
    <n v="68.507199999999997"/>
    <n v="75.2"/>
    <n v="177.6"/>
    <n v="52.26"/>
    <n v="47.5"/>
    <n v="46"/>
    <n v="8.9"/>
  </r>
  <r>
    <x v="0"/>
    <x v="0"/>
    <x v="11"/>
    <n v="29"/>
    <n v="80"/>
    <x v="0"/>
    <s v="-"/>
    <s v="-"/>
    <s v="-"/>
    <s v="-"/>
    <s v="-"/>
    <s v="-"/>
    <n v="211"/>
    <n v="809"/>
    <n v="3"/>
    <n v="7"/>
    <s v="-"/>
    <s v="-"/>
    <n v="672"/>
    <n v="981"/>
    <n v="50"/>
    <n v="128"/>
    <n v="5.2"/>
    <n v="4.5999999999999996"/>
    <n v="54"/>
    <n v="152"/>
    <n v="44"/>
    <n v="50"/>
    <n v="5.8"/>
    <n v="6.3"/>
    <n v="94.947150652744313"/>
    <n v="106.45183652429932"/>
    <n v="44"/>
    <n v="45"/>
    <n v="1.1000000000000001"/>
    <n v="1"/>
    <n v="0"/>
    <n v="3.5"/>
    <n v="2.7"/>
    <n v="7.8"/>
    <n v="7"/>
    <s v="-"/>
    <s v="-"/>
    <n v="10.199999999999999"/>
    <n v="9.5"/>
    <n v="5.8"/>
    <n v="4"/>
    <n v="98"/>
    <n v="90"/>
    <n v="143"/>
    <n v="146"/>
    <n v="2"/>
    <n v="2.4"/>
    <n v="104"/>
    <n v="104"/>
    <n v="304.36244444444446"/>
    <n v="306.25"/>
    <n v="4.25"/>
    <n v="3.82"/>
    <n v="14.3"/>
    <n v="12.8"/>
    <n v="44.7"/>
    <n v="38.5"/>
    <n v="105.2"/>
    <n v="100.8"/>
    <n v="33.6"/>
    <n v="33.5"/>
    <n v="32"/>
    <n v="33.200000000000003"/>
    <n v="214"/>
    <n v="237"/>
    <n v="12.5"/>
    <n v="12.4"/>
    <s v="-"/>
    <n v="2.2599999999999998"/>
    <n v="9.3800000000000008"/>
    <n v="8.9700000000000006"/>
    <n v="85.1"/>
    <n v="81.5"/>
    <n v="10.3"/>
    <n v="11"/>
    <n v="4.0999999999999996"/>
    <n v="6.6"/>
    <n v="0.3"/>
    <n v="0.7"/>
    <n v="0.2"/>
    <n v="0.2"/>
    <x v="0"/>
    <x v="0"/>
    <n v="66.938670000000002"/>
    <n v="78.3"/>
    <n v="174"/>
    <n v="52.94"/>
    <n v="52"/>
    <n v="44.5"/>
    <n v="14.51"/>
  </r>
  <r>
    <x v="0"/>
    <x v="0"/>
    <x v="12"/>
    <n v="27"/>
    <n v="79"/>
    <x v="1"/>
    <s v="XX"/>
    <s v="MT"/>
    <s v="ID"/>
    <s v="(-9,-9)"/>
    <n v="25"/>
    <n v="75"/>
    <n v="652"/>
    <n v="2029"/>
    <n v="8"/>
    <n v="27"/>
    <s v="-"/>
    <s v="-"/>
    <n v="669"/>
    <n v="1082"/>
    <n v="55"/>
    <n v="126"/>
    <n v="5"/>
    <n v="4.5"/>
    <n v="44"/>
    <n v="112"/>
    <n v="29"/>
    <n v="25"/>
    <n v="4.7"/>
    <n v="4.7"/>
    <n v="94.947150652744313"/>
    <n v="106.45183652429932"/>
    <n v="39"/>
    <n v="43"/>
    <n v="1.1000000000000001"/>
    <n v="1"/>
    <n v="0"/>
    <n v="4.0999999999999996"/>
    <n v="3.4"/>
    <n v="8.3000000000000007"/>
    <n v="7.4"/>
    <s v="-"/>
    <s v="-"/>
    <n v="10.6"/>
    <n v="9.8000000000000007"/>
    <n v="4.9000000000000004"/>
    <n v="4.4000000000000004"/>
    <n v="99"/>
    <n v="105"/>
    <n v="144"/>
    <n v="138"/>
    <n v="2.1"/>
    <n v="2.2000000000000002"/>
    <n v="100"/>
    <n v="103"/>
    <n v="303.779"/>
    <n v="292.73900000000003"/>
    <n v="5.01"/>
    <n v="4.68"/>
    <n v="14.2"/>
    <n v="13.4"/>
    <n v="45.5"/>
    <n v="41.3"/>
    <n v="90.8"/>
    <n v="88.2"/>
    <n v="28.3"/>
    <n v="28.6"/>
    <n v="31.2"/>
    <n v="32.4"/>
    <n v="251"/>
    <n v="275"/>
    <n v="13.2"/>
    <n v="13.4"/>
    <s v="-"/>
    <n v="1.52"/>
    <n v="8.56"/>
    <n v="8.67"/>
    <n v="72.8"/>
    <n v="71.599999999999994"/>
    <n v="19.5"/>
    <n v="18.5"/>
    <n v="6.8"/>
    <n v="7.6"/>
    <n v="0.7"/>
    <n v="1.6"/>
    <n v="0.2"/>
    <n v="0.7"/>
    <x v="0"/>
    <x v="1"/>
    <n v="73.124520000000004"/>
    <n v="78.900000000000006"/>
    <n v="181.5"/>
    <n v="51.65"/>
    <n v="47.5"/>
    <n v="47.5"/>
    <n v="7.32"/>
  </r>
  <r>
    <x v="0"/>
    <x v="0"/>
    <x v="13"/>
    <n v="25"/>
    <n v="90"/>
    <x v="0"/>
    <s v="RX"/>
    <s v="MM"/>
    <s v="II"/>
    <s v="(+9,-9)"/>
    <n v="25"/>
    <n v="75"/>
    <n v="944"/>
    <n v="2302"/>
    <n v="3"/>
    <n v="33"/>
    <s v="-"/>
    <s v="-"/>
    <n v="664"/>
    <n v="974"/>
    <n v="57"/>
    <n v="93"/>
    <n v="5.0999999999999996"/>
    <n v="4.5"/>
    <n v="45"/>
    <n v="74"/>
    <n v="33"/>
    <n v="27"/>
    <s v="-"/>
    <n v="5.3"/>
    <n v="85.533385678368745"/>
    <n v="94.947150652744313"/>
    <n v="42"/>
    <n v="41"/>
    <n v="1.2"/>
    <n v="1.1000000000000001"/>
    <n v="0"/>
    <n v="4.7"/>
    <n v="3.8"/>
    <n v="8.5"/>
    <n v="7.3"/>
    <s v="-"/>
    <s v="-"/>
    <n v="10.4"/>
    <n v="9.6"/>
    <n v="6"/>
    <n v="4.2"/>
    <n v="100"/>
    <n v="93"/>
    <n v="144"/>
    <n v="142"/>
    <s v="-"/>
    <n v="2.2000000000000002"/>
    <s v="-"/>
    <n v="103"/>
    <n v="306.38888888888891"/>
    <n v="298.70699999999999"/>
    <n v="4.84"/>
    <n v="4.3099999999999996"/>
    <n v="14.3"/>
    <n v="13"/>
    <n v="44.1"/>
    <n v="37.299999999999997"/>
    <n v="91.1"/>
    <n v="86.5"/>
    <n v="29.5"/>
    <n v="30.2"/>
    <n v="32.4"/>
    <n v="34.9"/>
    <n v="209"/>
    <n v="278"/>
    <n v="12.8"/>
    <n v="12.7"/>
    <s v="-"/>
    <n v="1.26"/>
    <n v="3.7"/>
    <n v="11.37"/>
    <n v="53.8"/>
    <n v="73.099999999999994"/>
    <n v="32.700000000000003"/>
    <n v="17.5"/>
    <n v="8.6"/>
    <n v="5.4"/>
    <n v="4.0999999999999996"/>
    <n v="3.4"/>
    <n v="0.8"/>
    <n v="0.6"/>
    <x v="0"/>
    <x v="1"/>
    <n v="79.512460000000004"/>
    <n v="85.7"/>
    <n v="185"/>
    <n v="52.04"/>
    <n v="50"/>
    <n v="50"/>
    <n v="7.22"/>
  </r>
  <r>
    <x v="0"/>
    <x v="0"/>
    <x v="14"/>
    <n v="28"/>
    <n v="78"/>
    <x v="1"/>
    <s v="RR"/>
    <s v="MT"/>
    <s v="ID"/>
    <s v="(+9,-9)"/>
    <n v="212.5"/>
    <n v="-112.5"/>
    <n v="168"/>
    <n v="958"/>
    <n v="8"/>
    <n v="18"/>
    <s v="-"/>
    <s v="-"/>
    <n v="831"/>
    <n v="1341"/>
    <n v="60"/>
    <n v="160"/>
    <n v="5.2"/>
    <n v="4.5999999999999996"/>
    <n v="67"/>
    <n v="176"/>
    <n v="82"/>
    <n v="113"/>
    <n v="6.9"/>
    <n v="5.5"/>
    <n v="85.533385678368745"/>
    <n v="120.79866842153496"/>
    <n v="42"/>
    <n v="42"/>
    <n v="1.2"/>
    <n v="0.9"/>
    <n v="0"/>
    <n v="5.0999999999999996"/>
    <n v="3.5"/>
    <n v="8.4"/>
    <n v="7.2"/>
    <s v="-"/>
    <s v="-"/>
    <n v="10.3"/>
    <n v="9.5"/>
    <n v="5.9"/>
    <n v="4.8"/>
    <n v="95"/>
    <n v="100"/>
    <n v="143"/>
    <n v="145"/>
    <n v="2.1"/>
    <n v="2.2999999999999998"/>
    <n v="101"/>
    <n v="106"/>
    <n v="304.02344444444446"/>
    <n v="306.01688888888896"/>
    <n v="4.9800000000000004"/>
    <n v="4.34"/>
    <n v="15.6"/>
    <n v="13.7"/>
    <n v="48.6"/>
    <n v="39.9"/>
    <n v="97.6"/>
    <n v="91.9"/>
    <n v="31.3"/>
    <n v="31.6"/>
    <n v="32.1"/>
    <n v="34.299999999999997"/>
    <n v="205"/>
    <n v="229"/>
    <n v="13.3"/>
    <n v="13"/>
    <s v="-"/>
    <n v="2.39"/>
    <n v="10.09"/>
    <n v="14.12"/>
    <n v="72.900000000000006"/>
    <n v="82.7"/>
    <n v="18.3"/>
    <n v="9.9"/>
    <n v="7.4"/>
    <n v="6.9"/>
    <n v="1.2"/>
    <n v="0.4"/>
    <n v="0.2"/>
    <n v="0.1"/>
    <x v="0"/>
    <x v="0"/>
    <n v="70.76357999999999"/>
    <n v="78.599999999999994"/>
    <n v="179"/>
    <n v="53.31"/>
    <n v="50"/>
    <n v="44"/>
    <n v="9.9700000000000006"/>
  </r>
  <r>
    <x v="0"/>
    <x v="0"/>
    <x v="15"/>
    <n v="29"/>
    <n v="81"/>
    <x v="0"/>
    <s v="-"/>
    <s v="-"/>
    <s v="-"/>
    <s v="-"/>
    <s v="-"/>
    <s v="-"/>
    <n v="257"/>
    <n v="3061"/>
    <n v="17"/>
    <n v="41"/>
    <s v="-"/>
    <s v="-"/>
    <n v="1039"/>
    <n v="1764"/>
    <n v="89"/>
    <n v="154"/>
    <n v="4.8"/>
    <n v="3.9"/>
    <n v="67"/>
    <n v="114"/>
    <n v="40"/>
    <n v="32"/>
    <n v="4.5999999999999996"/>
    <n v="3.7"/>
    <n v="120.79866842153496"/>
    <n v="125.17286966375688"/>
    <n v="37"/>
    <n v="34"/>
    <n v="0.9"/>
    <n v="0.8"/>
    <n v="0"/>
    <n v="3.4"/>
    <n v="2.9"/>
    <n v="8"/>
    <n v="6.6"/>
    <s v="-"/>
    <s v="-"/>
    <n v="9.6999999999999993"/>
    <n v="8.9"/>
    <n v="5.4"/>
    <n v="3.9"/>
    <n v="96"/>
    <n v="103"/>
    <n v="141"/>
    <n v="143"/>
    <n v="2.1"/>
    <n v="2.1"/>
    <n v="102"/>
    <n v="104"/>
    <n v="298.60400000000004"/>
    <n v="299.4812222222223"/>
    <n v="4.34"/>
    <n v="3.78"/>
    <n v="13.2"/>
    <n v="11.6"/>
    <n v="41.6"/>
    <n v="34.299999999999997"/>
    <n v="95.9"/>
    <n v="90.7"/>
    <n v="30.4"/>
    <n v="30.7"/>
    <n v="31.7"/>
    <n v="33.799999999999997"/>
    <n v="268"/>
    <n v="266"/>
    <n v="13.6"/>
    <n v="13.7"/>
    <s v="-"/>
    <n v="1.1299999999999999"/>
    <n v="8.77"/>
    <n v="7.68"/>
    <n v="81.8"/>
    <n v="82.6"/>
    <n v="12"/>
    <n v="12"/>
    <n v="5.8"/>
    <n v="4.9000000000000004"/>
    <n v="0.2"/>
    <n v="0.4"/>
    <n v="0.2"/>
    <n v="0.1"/>
    <x v="0"/>
    <x v="1"/>
    <n v="72.151949999999999"/>
    <n v="81.5"/>
    <n v="175"/>
    <n v="51.49"/>
    <n v="49.5"/>
    <n v="41"/>
    <n v="11.47"/>
  </r>
  <r>
    <x v="0"/>
    <x v="0"/>
    <x v="16"/>
    <n v="28"/>
    <n v="68"/>
    <x v="1"/>
    <s v="RX"/>
    <s v="MT"/>
    <s v="DD"/>
    <s v="(-9,-9)"/>
    <n v="45.8333333333333"/>
    <n v="54.1666666666667"/>
    <n v="298"/>
    <n v="2145"/>
    <n v="25"/>
    <n v="52"/>
    <s v="-"/>
    <s v="-"/>
    <n v="639"/>
    <n v="2012"/>
    <n v="67"/>
    <n v="229"/>
    <n v="5.0999999999999996"/>
    <n v="4.0999999999999996"/>
    <n v="55"/>
    <n v="148"/>
    <n v="57"/>
    <n v="109"/>
    <n v="5.4"/>
    <n v="5.3"/>
    <n v="106.45183652429932"/>
    <n v="120.79866842153496"/>
    <n v="39"/>
    <n v="41"/>
    <n v="1"/>
    <n v="0.9"/>
    <n v="0"/>
    <n v="3.7"/>
    <n v="2.5"/>
    <n v="8.5"/>
    <n v="6.8"/>
    <s v="-"/>
    <s v="-"/>
    <n v="9.4"/>
    <n v="8.6"/>
    <n v="4.7"/>
    <n v="4.2"/>
    <s v="-"/>
    <n v="104"/>
    <n v="139"/>
    <n v="139"/>
    <n v="2.2000000000000002"/>
    <n v="1.9"/>
    <n v="98"/>
    <n v="99"/>
    <s v="Dados Insuficientes"/>
    <n v="293.82977777777774"/>
    <n v="4.67"/>
    <n v="3.93"/>
    <n v="14.3"/>
    <n v="12.3"/>
    <n v="45.6"/>
    <n v="36.5"/>
    <n v="97.6"/>
    <n v="92.9"/>
    <n v="30.6"/>
    <n v="31.3"/>
    <n v="31.4"/>
    <n v="33.700000000000003"/>
    <n v="189"/>
    <n v="215"/>
    <n v="12.1"/>
    <n v="11.9"/>
    <s v="-"/>
    <n v="1.19"/>
    <n v="6.89"/>
    <n v="9.33"/>
    <n v="83"/>
    <n v="86.6"/>
    <n v="9.1"/>
    <n v="10.4"/>
    <n v="7.5"/>
    <n v="2.8"/>
    <n v="0.3"/>
    <n v="0.1"/>
    <n v="0.1"/>
    <n v="0.1"/>
    <x v="0"/>
    <x v="1"/>
    <n v="54.321839999999995"/>
    <n v="64.8"/>
    <n v="175"/>
    <n v="55.46"/>
    <n v="50"/>
    <n v="46"/>
    <n v="16.170000000000002"/>
  </r>
  <r>
    <x v="0"/>
    <x v="0"/>
    <x v="17"/>
    <n v="29"/>
    <n v="83"/>
    <x v="2"/>
    <s v="-"/>
    <s v="-"/>
    <s v="-"/>
    <s v="-"/>
    <s v="-"/>
    <s v="-"/>
    <n v="84"/>
    <n v="917"/>
    <n v="3"/>
    <n v="15"/>
    <s v="-"/>
    <s v="-"/>
    <n v="471"/>
    <n v="757"/>
    <n v="26"/>
    <n v="65"/>
    <n v="4.9000000000000004"/>
    <n v="4.4000000000000004"/>
    <n v="23"/>
    <n v="71"/>
    <n v="17"/>
    <n v="17"/>
    <n v="5.6"/>
    <n v="5.3"/>
    <n v="94.947150652744313"/>
    <n v="106.45183652429932"/>
    <n v="38"/>
    <n v="36"/>
    <n v="1.1000000000000001"/>
    <n v="1"/>
    <n v="0"/>
    <n v="4.3"/>
    <n v="3.6"/>
    <n v="8.1999999999999993"/>
    <n v="7.3"/>
    <s v="-"/>
    <s v="-"/>
    <n v="9.8000000000000007"/>
    <n v="9.5"/>
    <n v="6"/>
    <n v="5.0999999999999996"/>
    <n v="99"/>
    <n v="115"/>
    <n v="145"/>
    <n v="145"/>
    <n v="2.2000000000000002"/>
    <n v="2.2999999999999998"/>
    <n v="104"/>
    <n v="103"/>
    <n v="307.51833333333332"/>
    <n v="306.53322222222221"/>
    <n v="4.5"/>
    <n v="4.1100000000000003"/>
    <n v="13.5"/>
    <n v="12.5"/>
    <n v="42.4"/>
    <n v="37.1"/>
    <n v="94.2"/>
    <n v="90.3"/>
    <n v="30"/>
    <n v="30.4"/>
    <n v="31.8"/>
    <n v="33.700000000000003"/>
    <n v="300"/>
    <n v="318"/>
    <n v="12.6"/>
    <n v="12.8"/>
    <s v="-"/>
    <n v="1.75"/>
    <n v="8.11"/>
    <n v="11.22"/>
    <n v="73.099999999999994"/>
    <n v="84.4"/>
    <n v="18.899999999999999"/>
    <n v="9.8000000000000007"/>
    <n v="7.5"/>
    <n v="5.3"/>
    <n v="0.4"/>
    <n v="0.2"/>
    <n v="0.1"/>
    <n v="0.3"/>
    <x v="0"/>
    <x v="0"/>
    <n v="72.809100000000001"/>
    <n v="81.900000000000006"/>
    <n v="180.5"/>
    <n v="51.93"/>
    <n v="44.5"/>
    <n v="46.5"/>
    <n v="11.1"/>
  </r>
  <r>
    <x v="0"/>
    <x v="0"/>
    <x v="18"/>
    <n v="28"/>
    <n v="82"/>
    <x v="0"/>
    <s v="-"/>
    <s v="-"/>
    <s v="-"/>
    <s v="-"/>
    <s v="-"/>
    <s v="-"/>
    <n v="113"/>
    <n v="1366"/>
    <n v="3"/>
    <n v="23"/>
    <s v="-"/>
    <s v="-"/>
    <n v="526"/>
    <n v="1089"/>
    <n v="38"/>
    <n v="87"/>
    <n v="4.8"/>
    <n v="4.5"/>
    <n v="18"/>
    <n v="47"/>
    <n v="11"/>
    <n v="10"/>
    <n v="6.8"/>
    <n v="6.5"/>
    <n v="94.947150652744313"/>
    <n v="106.45183652429932"/>
    <n v="37"/>
    <n v="31"/>
    <n v="1.1000000000000001"/>
    <n v="1"/>
    <n v="0"/>
    <n v="3.6"/>
    <n v="3.6"/>
    <n v="8.3000000000000007"/>
    <n v="7.6"/>
    <s v="-"/>
    <s v="-"/>
    <n v="9.6999999999999993"/>
    <n v="9.6"/>
    <n v="4.9000000000000004"/>
    <n v="4.9000000000000004"/>
    <n v="99"/>
    <n v="123"/>
    <n v="141"/>
    <n v="143"/>
    <n v="2.2000000000000002"/>
    <n v="2.4"/>
    <n v="101"/>
    <n v="103"/>
    <n v="297.8656666666667"/>
    <n v="302.11900000000009"/>
    <n v="4.91"/>
    <n v="4.45"/>
    <n v="14.4"/>
    <n v="13"/>
    <n v="45"/>
    <n v="38.9"/>
    <n v="91.6"/>
    <n v="87.4"/>
    <n v="29.3"/>
    <n v="29.2"/>
    <n v="32"/>
    <n v="33.4"/>
    <n v="292"/>
    <n v="334"/>
    <n v="13.5"/>
    <n v="13.4"/>
    <s v="-"/>
    <n v="1.74"/>
    <n v="7.67"/>
    <n v="8.34"/>
    <n v="76.3"/>
    <n v="77.8"/>
    <n v="15.1"/>
    <n v="13.3"/>
    <n v="8.1"/>
    <n v="8.1999999999999993"/>
    <n v="0.4"/>
    <n v="0.6"/>
    <n v="0.1"/>
    <n v="0.1"/>
    <x v="0"/>
    <x v="1"/>
    <n v="71.943809999999999"/>
    <n v="81.099999999999994"/>
    <n v="178"/>
    <n v="51.6"/>
    <n v="45.5"/>
    <n v="43"/>
    <n v="11.29"/>
  </r>
  <r>
    <x v="0"/>
    <x v="0"/>
    <x v="19"/>
    <n v="26"/>
    <n v="69"/>
    <x v="0"/>
    <s v="-"/>
    <s v="-"/>
    <s v="-"/>
    <s v="-"/>
    <s v="-"/>
    <s v="-"/>
    <n v="432"/>
    <n v="912"/>
    <n v="3"/>
    <n v="15"/>
    <s v="-"/>
    <s v="-"/>
    <n v="531"/>
    <n v="807"/>
    <n v="36"/>
    <n v="66"/>
    <n v="5.0999999999999996"/>
    <n v="4.7"/>
    <n v="34"/>
    <n v="65"/>
    <n v="20"/>
    <n v="18"/>
    <n v="4.5999999999999996"/>
    <n v="4.7"/>
    <n v="125.17286966375688"/>
    <n v="125.17286966375688"/>
    <n v="27"/>
    <n v="35"/>
    <n v="0.8"/>
    <n v="0.8"/>
    <n v="0"/>
    <n v="3.6"/>
    <n v="3.7"/>
    <n v="8.6999999999999993"/>
    <n v="7.6"/>
    <s v="-"/>
    <s v="-"/>
    <n v="9.6"/>
    <n v="9.6"/>
    <n v="4.4000000000000004"/>
    <n v="4.3"/>
    <n v="98"/>
    <n v="166"/>
    <n v="145"/>
    <n v="145"/>
    <n v="2.1"/>
    <n v="2.2000000000000002"/>
    <n v="99"/>
    <n v="101"/>
    <n v="302.64511111111113"/>
    <n v="308.1368888888889"/>
    <n v="4.83"/>
    <n v="4.5199999999999996"/>
    <n v="14.9"/>
    <n v="14.1"/>
    <n v="47"/>
    <n v="41.5"/>
    <n v="97.3"/>
    <n v="91.8"/>
    <n v="30.8"/>
    <n v="31.2"/>
    <n v="31.7"/>
    <n v="34"/>
    <n v="294"/>
    <n v="317"/>
    <n v="13.2"/>
    <n v="13.1"/>
    <s v="-"/>
    <n v="1.42"/>
    <n v="10.49"/>
    <n v="10.16"/>
    <n v="83"/>
    <n v="74.7"/>
    <n v="9.6"/>
    <n v="15.8"/>
    <n v="7.1"/>
    <n v="8.5"/>
    <n v="0.1"/>
    <n v="0.8"/>
    <n v="0.2"/>
    <n v="0.2"/>
    <x v="0"/>
    <x v="0"/>
    <n v="62.5396"/>
    <n v="68"/>
    <n v="173"/>
    <n v="55.9"/>
    <n v="39"/>
    <n v="39"/>
    <n v="8.0299999999999994"/>
  </r>
  <r>
    <x v="0"/>
    <x v="0"/>
    <x v="20"/>
    <n v="27"/>
    <n v="83"/>
    <x v="0"/>
    <s v="-"/>
    <s v="-"/>
    <s v="-"/>
    <s v="-"/>
    <s v="-"/>
    <s v="-"/>
    <n v="220"/>
    <n v="1335"/>
    <n v="6"/>
    <n v="18"/>
    <s v="-"/>
    <s v="-"/>
    <n v="696"/>
    <n v="1032"/>
    <n v="50"/>
    <n v="56"/>
    <n v="5.3"/>
    <n v="4.7"/>
    <n v="54"/>
    <n v="74"/>
    <n v="28"/>
    <n v="24"/>
    <n v="7.3"/>
    <n v="6.4"/>
    <n v="85.533385678368745"/>
    <n v="94.947150652744313"/>
    <n v="43"/>
    <n v="40"/>
    <n v="1.2"/>
    <n v="1.1000000000000001"/>
    <n v="0"/>
    <n v="4"/>
    <n v="3.6"/>
    <n v="8.9"/>
    <n v="7.7"/>
    <s v="-"/>
    <s v="-"/>
    <n v="9.9"/>
    <n v="9.5"/>
    <n v="6.1"/>
    <n v="4.5999999999999996"/>
    <n v="114"/>
    <n v="124"/>
    <n v="145"/>
    <n v="144"/>
    <n v="2.2999999999999998"/>
    <n v="2.2999999999999998"/>
    <n v="103"/>
    <n v="101"/>
    <n v="309.49600000000004"/>
    <n v="304.98488888888892"/>
    <n v="5.51"/>
    <n v="5.16"/>
    <n v="15.3"/>
    <n v="14.4"/>
    <n v="47.5"/>
    <n v="42.6"/>
    <n v="86.2"/>
    <n v="82.6"/>
    <n v="27.8"/>
    <n v="27.9"/>
    <n v="32.200000000000003"/>
    <n v="33.799999999999997"/>
    <n v="187"/>
    <n v="261"/>
    <n v="12.5"/>
    <n v="12.3"/>
    <s v="-"/>
    <n v="1.1299999999999999"/>
    <n v="7.45"/>
    <n v="9.69"/>
    <n v="77.5"/>
    <n v="76.3"/>
    <n v="16.8"/>
    <n v="16.2"/>
    <n v="4.7"/>
    <n v="6"/>
    <n v="0.7"/>
    <n v="1.3"/>
    <n v="0.3"/>
    <n v="0.2"/>
    <x v="0"/>
    <x v="1"/>
    <n v="70.30368"/>
    <n v="82.4"/>
    <n v="168"/>
    <n v="50.7"/>
    <n v="60"/>
    <n v="58"/>
    <n v="14.68"/>
  </r>
  <r>
    <x v="0"/>
    <x v="1"/>
    <x v="1"/>
    <n v="26"/>
    <n v="74"/>
    <x v="0"/>
    <s v="RR"/>
    <s v="MT"/>
    <s v="II"/>
    <s v="(+9,-9)"/>
    <n v="50"/>
    <n v="50"/>
    <n v="570"/>
    <n v="2493"/>
    <n v="32"/>
    <n v="79"/>
    <n v="1.9"/>
    <n v="1.9"/>
    <n v="838"/>
    <n v="1747"/>
    <n v="76"/>
    <n v="189"/>
    <n v="4.2"/>
    <n v="4.5"/>
    <n v="100"/>
    <n v="183"/>
    <n v="41"/>
    <n v="42"/>
    <s v="-"/>
    <n v="7.9"/>
    <n v="125.17286966375688"/>
    <n v="94.947150652744313"/>
    <n v="46"/>
    <n v="68"/>
    <n v="0.8"/>
    <n v="1.1000000000000001"/>
    <n v="0.30000000000000004"/>
    <n v="3.6"/>
    <n v="6.2"/>
    <n v="7"/>
    <n v="7.8"/>
    <s v="-"/>
    <n v="88"/>
    <n v="9.5"/>
    <n v="10.1"/>
    <n v="4.2"/>
    <n v="4.5"/>
    <n v="81"/>
    <n v="60"/>
    <n v="138"/>
    <n v="146"/>
    <n v="2.1"/>
    <n v="1.8"/>
    <n v="101"/>
    <n v="104"/>
    <n v="291.33366666666672"/>
    <n v="309.09666666666664"/>
    <n v="4.41"/>
    <n v="4.4000000000000004"/>
    <n v="13.2"/>
    <n v="13.2"/>
    <n v="39.200000000000003"/>
    <n v="39.200000000000003"/>
    <n v="88.9"/>
    <n v="89.1"/>
    <n v="29.9"/>
    <n v="30"/>
    <n v="33.700000000000003"/>
    <n v="33.700000000000003"/>
    <n v="348"/>
    <n v="421"/>
    <n v="14"/>
    <n v="14.2"/>
    <n v="1.92"/>
    <n v="1.89"/>
    <n v="7.21"/>
    <n v="12.28"/>
    <n v="59.6"/>
    <n v="75.599999999999994"/>
    <n v="28.4"/>
    <n v="14.7"/>
    <n v="10.3"/>
    <n v="9.5"/>
    <n v="1.1000000000000001"/>
    <n v="0"/>
    <n v="0.6"/>
    <n v="0.2"/>
    <x v="1"/>
    <x v="1"/>
    <n v="71.28528"/>
    <n v="75.900000000000006"/>
    <n v="171"/>
    <n v="54.68"/>
    <n v="42"/>
    <n v="43"/>
    <n v="6.08"/>
  </r>
  <r>
    <x v="0"/>
    <x v="1"/>
    <x v="2"/>
    <n v="26"/>
    <n v="76"/>
    <x v="0"/>
    <s v="RX"/>
    <s v="MM"/>
    <s v="ID"/>
    <s v="(+9,+9)"/>
    <n v="50"/>
    <n v="50"/>
    <n v="543"/>
    <n v="1600"/>
    <n v="31"/>
    <n v="111"/>
    <n v="2.4"/>
    <n v="2.4"/>
    <n v="962"/>
    <n v="1546"/>
    <n v="57"/>
    <n v="166"/>
    <n v="4.5"/>
    <n v="4.4000000000000004"/>
    <n v="73"/>
    <n v="112"/>
    <n v="26"/>
    <n v="24"/>
    <s v="-"/>
    <n v="5.4"/>
    <n v="106.45183652429932"/>
    <n v="85.533385678368745"/>
    <n v="48"/>
    <n v="60"/>
    <n v="1"/>
    <n v="1.2"/>
    <n v="0.19999999999999996"/>
    <n v="3.9"/>
    <n v="4.9000000000000004"/>
    <n v="7.6"/>
    <n v="7.9"/>
    <s v="-"/>
    <n v="158"/>
    <n v="9.6999999999999993"/>
    <n v="9.8000000000000007"/>
    <n v="4.7"/>
    <n v="4.5"/>
    <n v="77"/>
    <n v="64"/>
    <n v="143"/>
    <n v="145"/>
    <n v="2"/>
    <n v="1.9"/>
    <n v="101"/>
    <n v="106"/>
    <n v="301.6414444444444"/>
    <n v="306.1588888888889"/>
    <n v="5.0999999999999996"/>
    <n v="4.54"/>
    <n v="15.6"/>
    <n v="14"/>
    <n v="46.3"/>
    <n v="41.1"/>
    <n v="90.8"/>
    <n v="90.5"/>
    <n v="30.6"/>
    <n v="30.8"/>
    <n v="33.700000000000003"/>
    <n v="34.1"/>
    <n v="272"/>
    <n v="308"/>
    <n v="12.4"/>
    <n v="12.7"/>
    <n v="1.39"/>
    <n v="1.19"/>
    <n v="4.22"/>
    <n v="11.66"/>
    <n v="54.6"/>
    <n v="76.900000000000006"/>
    <n v="33.9"/>
    <n v="16"/>
    <n v="8.5"/>
    <n v="6.9"/>
    <n v="2.1"/>
    <n v="0"/>
    <n v="0.9"/>
    <n v="0.2"/>
    <x v="0"/>
    <x v="1"/>
    <n v="72.293760000000006"/>
    <n v="79.2"/>
    <n v="174"/>
    <n v="53.64"/>
    <n v="49.5"/>
    <n v="49.5"/>
    <n v="8.7200000000000006"/>
  </r>
  <r>
    <x v="0"/>
    <x v="1"/>
    <x v="3"/>
    <n v="25"/>
    <n v="84"/>
    <x v="0"/>
    <s v="RR"/>
    <s v="TT"/>
    <s v="DD"/>
    <s v="(+9,-9)"/>
    <n v="0"/>
    <n v="0"/>
    <n v="309"/>
    <n v="1144"/>
    <n v="25"/>
    <n v="64"/>
    <n v="1.6"/>
    <n v="2.8"/>
    <n v="300"/>
    <n v="594"/>
    <n v="52"/>
    <n v="115"/>
    <n v="3.8"/>
    <n v="4.5999999999999996"/>
    <n v="97"/>
    <n v="146"/>
    <n v="69"/>
    <n v="54"/>
    <s v="-"/>
    <n v="6.8"/>
    <n v="106.45183652429932"/>
    <n v="85.533385678368745"/>
    <n v="39"/>
    <n v="57"/>
    <n v="1"/>
    <n v="1.2"/>
    <n v="0.19999999999999996"/>
    <n v="3.5"/>
    <n v="5.3"/>
    <n v="6.3"/>
    <n v="7.9"/>
    <s v="-"/>
    <n v="125"/>
    <n v="8.8000000000000007"/>
    <n v="10.4"/>
    <n v="4.5999999999999996"/>
    <n v="4.9000000000000004"/>
    <n v="82"/>
    <n v="72"/>
    <n v="142"/>
    <n v="141"/>
    <n v="2"/>
    <n v="1.7"/>
    <n v="104"/>
    <n v="100"/>
    <n v="298.41488888888887"/>
    <n v="299.47400000000005"/>
    <n v="4.5999999999999996"/>
    <n v="4.76"/>
    <n v="13.1"/>
    <n v="13.8"/>
    <n v="40.200000000000003"/>
    <n v="41"/>
    <n v="87.4"/>
    <n v="86.1"/>
    <n v="28.5"/>
    <n v="29"/>
    <n v="32.6"/>
    <n v="33.700000000000003"/>
    <n v="281"/>
    <n v="307"/>
    <n v="12.8"/>
    <n v="12.7"/>
    <n v="1.29"/>
    <n v="1.25"/>
    <n v="4.5"/>
    <n v="7.33"/>
    <n v="37.1"/>
    <n v="65.3"/>
    <n v="47.6"/>
    <n v="26.7"/>
    <n v="9.3000000000000007"/>
    <n v="7"/>
    <n v="4.7"/>
    <n v="0.3"/>
    <n v="1.3"/>
    <n v="0.7"/>
    <x v="0"/>
    <x v="1"/>
    <n v="75.355769999999993"/>
    <n v="84.3"/>
    <n v="178"/>
    <n v="52.69"/>
    <n v="60"/>
    <n v="57"/>
    <n v="10.61"/>
  </r>
  <r>
    <x v="0"/>
    <x v="1"/>
    <x v="4"/>
    <n v="33"/>
    <n v="82"/>
    <x v="0"/>
    <s v="RR"/>
    <s v="MT"/>
    <s v="II"/>
    <s v="(+9,-9)"/>
    <n v="50"/>
    <n v="50"/>
    <n v="187"/>
    <n v="1419"/>
    <n v="11"/>
    <n v="56"/>
    <n v="2.1"/>
    <n v="3.3"/>
    <n v="626"/>
    <n v="1666"/>
    <n v="45"/>
    <n v="113"/>
    <n v="4"/>
    <n v="4.0999999999999996"/>
    <n v="63"/>
    <n v="149"/>
    <n v="41"/>
    <n v="85"/>
    <s v="-"/>
    <n v="6.9"/>
    <n v="120.79866842153496"/>
    <n v="94.947150652744313"/>
    <n v="43"/>
    <n v="80"/>
    <n v="0.9"/>
    <n v="1.1000000000000001"/>
    <n v="0.20000000000000007"/>
    <n v="4.0999999999999996"/>
    <n v="5.2"/>
    <n v="6.5"/>
    <n v="7.4"/>
    <s v="-"/>
    <n v="134"/>
    <n v="9.1"/>
    <n v="10.199999999999999"/>
    <n v="3.9"/>
    <n v="5.2"/>
    <n v="88"/>
    <n v="57"/>
    <n v="143"/>
    <n v="144"/>
    <n v="1.9"/>
    <n v="1.9"/>
    <n v="104"/>
    <n v="101"/>
    <n v="300.02288888888893"/>
    <n v="308.48699999999997"/>
    <n v="4.09"/>
    <n v="3.96"/>
    <n v="12.6"/>
    <n v="12.3"/>
    <n v="38.799999999999997"/>
    <n v="37.200000000000003"/>
    <n v="94.9"/>
    <n v="93.9"/>
    <n v="30.8"/>
    <n v="31.3"/>
    <n v="32.5"/>
    <n v="33.1"/>
    <n v="231"/>
    <n v="375"/>
    <n v="12.4"/>
    <n v="12.5"/>
    <n v="2.89"/>
    <n v="2.2200000000000002"/>
    <n v="6.31"/>
    <n v="18.93"/>
    <n v="55.5"/>
    <n v="78.8"/>
    <n v="32"/>
    <n v="11.5"/>
    <n v="7.4"/>
    <n v="9.6"/>
    <n v="4.5999999999999996"/>
    <n v="0"/>
    <n v="0.5"/>
    <n v="0.1"/>
    <x v="0"/>
    <x v="1"/>
    <n v="67.787359999999993"/>
    <n v="79.599999999999994"/>
    <n v="182"/>
    <n v="51.21"/>
    <n v="51"/>
    <n v="49"/>
    <n v="14.84"/>
  </r>
  <r>
    <x v="0"/>
    <x v="1"/>
    <x v="5"/>
    <n v="31"/>
    <n v="92"/>
    <x v="0"/>
    <s v="XX"/>
    <s v="MT"/>
    <s v="ID"/>
    <s v="(-9,-9)"/>
    <n v="100"/>
    <n v="0"/>
    <n v="993"/>
    <n v="1392"/>
    <n v="35"/>
    <n v="50"/>
    <n v="1.5"/>
    <n v="1.8"/>
    <n v="964"/>
    <n v="1380"/>
    <n v="121"/>
    <n v="137"/>
    <n v="3.8"/>
    <n v="4.3"/>
    <n v="114"/>
    <n v="122"/>
    <n v="17"/>
    <n v="20"/>
    <s v="-"/>
    <n v="9.3000000000000007"/>
    <n v="106.45183652429932"/>
    <n v="94.947150652744313"/>
    <n v="42"/>
    <n v="49"/>
    <n v="1"/>
    <n v="1.1000000000000001"/>
    <n v="0.10000000000000009"/>
    <n v="3.7"/>
    <n v="4.7"/>
    <n v="6.9"/>
    <n v="7.9"/>
    <s v="-"/>
    <n v="42"/>
    <n v="8.9"/>
    <n v="9.9"/>
    <n v="4.5999999999999996"/>
    <n v="4.5999999999999996"/>
    <s v="-"/>
    <n v="77"/>
    <n v="141"/>
    <n v="148"/>
    <n v="1.9"/>
    <n v="1.8"/>
    <n v="107"/>
    <n v="105"/>
    <s v="Dados Insuficientes"/>
    <n v="310.92211111111112"/>
    <n v="4.05"/>
    <n v="4.17"/>
    <n v="11.8"/>
    <n v="12.1"/>
    <n v="37.1"/>
    <n v="38.1"/>
    <n v="91.6"/>
    <n v="91.4"/>
    <n v="29.1"/>
    <n v="29"/>
    <n v="31.8"/>
    <n v="31.8"/>
    <n v="286"/>
    <n v="344"/>
    <n v="13.9"/>
    <n v="14.1"/>
    <s v="-"/>
    <n v="1.39"/>
    <n v="7.48"/>
    <n v="11.99"/>
    <n v="64.3"/>
    <n v="76.8"/>
    <n v="19.5"/>
    <n v="15.3"/>
    <n v="13.5"/>
    <n v="7.3"/>
    <n v="2.4"/>
    <n v="0.3"/>
    <n v="0.3"/>
    <n v="0.3"/>
    <x v="0"/>
    <x v="1"/>
    <n v="74.95620000000001"/>
    <n v="90.2"/>
    <n v="184.5"/>
    <n v="48.67"/>
    <n v="54"/>
    <n v="47"/>
    <n v="16.899999999999999"/>
  </r>
  <r>
    <x v="0"/>
    <x v="1"/>
    <x v="6"/>
    <n v="32"/>
    <n v="96"/>
    <x v="1"/>
    <s v="RX"/>
    <s v="MM"/>
    <s v="ID"/>
    <s v="(+9,+9)"/>
    <n v="45.8333333333333"/>
    <n v="54.1666666666667"/>
    <n v="1190"/>
    <n v="2464"/>
    <n v="48"/>
    <n v="69"/>
    <n v="1.6"/>
    <n v="2.8"/>
    <n v="982"/>
    <n v="1419"/>
    <n v="95"/>
    <n v="134"/>
    <n v="4.3"/>
    <n v="4.5999999999999996"/>
    <n v="159"/>
    <n v="153"/>
    <n v="32"/>
    <n v="30"/>
    <s v="-"/>
    <n v="5.2"/>
    <n v="120.79866842153496"/>
    <n v="94.947150652744313"/>
    <n v="39"/>
    <n v="59"/>
    <n v="0.9"/>
    <n v="1.1000000000000001"/>
    <n v="0.20000000000000007"/>
    <n v="3.7"/>
    <n v="5.0999999999999996"/>
    <n v="7.4"/>
    <n v="8.3000000000000007"/>
    <s v="-"/>
    <n v="113"/>
    <n v="9.5"/>
    <n v="10.4"/>
    <n v="4.4000000000000004"/>
    <n v="4.7"/>
    <n v="56"/>
    <n v="77"/>
    <n v="144"/>
    <n v="142"/>
    <n v="1.9"/>
    <n v="1.9"/>
    <n v="109"/>
    <n v="106"/>
    <n v="300.10177777777778"/>
    <n v="301.6147777777777"/>
    <n v="4.5599999999999996"/>
    <n v="4.3899999999999997"/>
    <n v="13.5"/>
    <n v="13.3"/>
    <n v="41.7"/>
    <n v="39.5"/>
    <n v="91.4"/>
    <n v="90"/>
    <n v="29.6"/>
    <n v="30.3"/>
    <n v="32.4"/>
    <n v="33.700000000000003"/>
    <n v="224"/>
    <n v="238"/>
    <n v="13.3"/>
    <n v="13.4"/>
    <n v="1.26"/>
    <n v="0.92"/>
    <n v="7.57"/>
    <n v="9.69"/>
    <n v="57.8"/>
    <n v="71.5"/>
    <n v="32.200000000000003"/>
    <n v="21.4"/>
    <n v="7.5"/>
    <n v="6.6"/>
    <n v="2.1"/>
    <n v="0.3"/>
    <n v="0.4"/>
    <n v="0.2"/>
    <x v="0"/>
    <x v="1"/>
    <n v="82.029080000000008"/>
    <n v="90.7"/>
    <n v="191"/>
    <n v="50.01"/>
    <n v="56.5"/>
    <n v="54.5"/>
    <n v="9.56"/>
  </r>
  <r>
    <x v="0"/>
    <x v="1"/>
    <x v="7"/>
    <n v="39"/>
    <n v="78"/>
    <x v="0"/>
    <s v="RX"/>
    <s v="TT"/>
    <s v="DD"/>
    <s v="(-9,-9)"/>
    <n v="54.1666666666667"/>
    <n v="45.8333333333333"/>
    <n v="335"/>
    <n v="3073"/>
    <n v="19"/>
    <n v="59"/>
    <n v="1.6"/>
    <n v="2.4"/>
    <n v="653"/>
    <n v="1532"/>
    <n v="43"/>
    <n v="194"/>
    <n v="3.7"/>
    <n v="4.0999999999999996"/>
    <n v="57"/>
    <n v="138"/>
    <n v="19"/>
    <n v="32"/>
    <s v="-"/>
    <n v="8.6999999999999993"/>
    <n v="94.947150652744313"/>
    <n v="85.533385678368745"/>
    <n v="42"/>
    <n v="64"/>
    <n v="1.1000000000000001"/>
    <n v="1.2"/>
    <n v="9.9999999999999867E-2"/>
    <n v="3.5"/>
    <n v="4.8"/>
    <n v="5.9"/>
    <n v="6.5"/>
    <s v="-"/>
    <n v="102"/>
    <n v="8.6999999999999993"/>
    <n v="9.6999999999999993"/>
    <n v="4.5"/>
    <n v="4.8"/>
    <n v="83"/>
    <n v="96"/>
    <n v="143"/>
    <n v="148"/>
    <n v="1.9"/>
    <n v="2.1"/>
    <n v="108"/>
    <n v="105"/>
    <n v="300.65277777777783"/>
    <n v="315.00800000000004"/>
    <n v="4.63"/>
    <n v="4.67"/>
    <n v="14.2"/>
    <n v="14.3"/>
    <n v="43.4"/>
    <n v="43.5"/>
    <n v="93.7"/>
    <n v="93.1"/>
    <n v="30.7"/>
    <n v="30.6"/>
    <n v="32.700000000000003"/>
    <n v="32.9"/>
    <n v="212"/>
    <n v="274"/>
    <n v="14.3"/>
    <n v="14.3"/>
    <n v="2"/>
    <n v="1.6"/>
    <n v="5.99"/>
    <n v="13.87"/>
    <n v="51.6"/>
    <n v="89"/>
    <n v="33.200000000000003"/>
    <n v="7.4"/>
    <n v="11.4"/>
    <n v="3.5"/>
    <n v="2.8"/>
    <n v="0"/>
    <n v="1"/>
    <n v="0.1"/>
    <x v="0"/>
    <x v="1"/>
    <n v="67.7637"/>
    <n v="76.5"/>
    <n v="177"/>
    <n v="51.95"/>
    <n v="41"/>
    <n v="38"/>
    <n v="11.42"/>
  </r>
  <r>
    <x v="0"/>
    <x v="1"/>
    <x v="8"/>
    <n v="28"/>
    <n v="86.6"/>
    <x v="2"/>
    <s v="RX"/>
    <s v="MT"/>
    <s v="ID"/>
    <s v="(+9,-9)"/>
    <n v="54.1666666666667"/>
    <n v="45.8333333333333"/>
    <n v="278"/>
    <n v="939"/>
    <n v="13"/>
    <n v="46"/>
    <n v="2.2999999999999998"/>
    <n v="2.5"/>
    <n v="630"/>
    <n v="1105"/>
    <n v="39"/>
    <n v="88"/>
    <n v="4.2"/>
    <n v="4.3"/>
    <n v="56"/>
    <n v="114"/>
    <n v="26"/>
    <n v="36"/>
    <s v="-"/>
    <n v="5.5"/>
    <n v="77.700020894732489"/>
    <n v="85.533385678368745"/>
    <n v="61"/>
    <n v="55"/>
    <n v="1.3"/>
    <n v="1.2"/>
    <n v="0"/>
    <n v="4.0999999999999996"/>
    <n v="5.3"/>
    <n v="6.8"/>
    <n v="7.6"/>
    <s v="-"/>
    <n v="137"/>
    <n v="9.5"/>
    <n v="10.199999999999999"/>
    <n v="4.8"/>
    <n v="4.7"/>
    <n v="84"/>
    <n v="91"/>
    <n v="144"/>
    <n v="141"/>
    <n v="1.9"/>
    <n v="1.9"/>
    <n v="106"/>
    <n v="100"/>
    <n v="306.30133333333339"/>
    <n v="299.98255555555556"/>
    <n v="4.92"/>
    <n v="4.72"/>
    <n v="15.2"/>
    <n v="14.4"/>
    <n v="45.8"/>
    <n v="43.2"/>
    <n v="93.1"/>
    <n v="91.5"/>
    <n v="30.9"/>
    <n v="30.5"/>
    <n v="33.200000000000003"/>
    <n v="33.299999999999997"/>
    <n v="287"/>
    <n v="331"/>
    <n v="13.5"/>
    <n v="13.3"/>
    <n v="1.43"/>
    <n v="1.19"/>
    <n v="7.26"/>
    <n v="10.35"/>
    <n v="64"/>
    <n v="72.7"/>
    <n v="22.3"/>
    <n v="15"/>
    <n v="9.9"/>
    <n v="11.8"/>
    <n v="3.2"/>
    <n v="0.3"/>
    <n v="0.6"/>
    <n v="0.2"/>
    <x v="0"/>
    <x v="0"/>
    <n v="77.353679999999997"/>
    <n v="84.3"/>
    <n v="190"/>
    <n v="51.12"/>
    <n v="54.5"/>
    <n v="50.5"/>
    <n v="8.24"/>
  </r>
  <r>
    <x v="0"/>
    <x v="1"/>
    <x v="9"/>
    <n v="26"/>
    <n v="65"/>
    <x v="0"/>
    <s v="-"/>
    <s v="-"/>
    <s v="-"/>
    <s v="-"/>
    <s v="-"/>
    <s v="-"/>
    <n v="486"/>
    <n v="5161"/>
    <n v="28"/>
    <n v="107"/>
    <n v="2"/>
    <n v="3.6"/>
    <n v="788"/>
    <n v="1761"/>
    <n v="52"/>
    <n v="202"/>
    <n v="4.5"/>
    <n v="4.3"/>
    <n v="84"/>
    <n v="139"/>
    <n v="31"/>
    <n v="25"/>
    <s v="-"/>
    <n v="7.2"/>
    <n v="120.79866842153496"/>
    <n v="106.45183652429932"/>
    <n v="34"/>
    <n v="47"/>
    <n v="0.9"/>
    <n v="1"/>
    <n v="9.9999999999999978E-2"/>
    <n v="4.4000000000000004"/>
    <n v="4.5999999999999996"/>
    <n v="7.6"/>
    <n v="7.4"/>
    <s v="-"/>
    <n v="48"/>
    <n v="9.4"/>
    <n v="9.5"/>
    <n v="4.4000000000000004"/>
    <n v="4.3"/>
    <n v="70"/>
    <n v="83"/>
    <n v="143"/>
    <n v="141"/>
    <n v="2.1"/>
    <n v="1.7"/>
    <n v="105"/>
    <n v="100"/>
    <n v="298.30288888888896"/>
    <n v="297.39411111111116"/>
    <n v="4.68"/>
    <n v="4.26"/>
    <n v="13.4"/>
    <n v="13.8"/>
    <n v="41.4"/>
    <n v="40.200000000000003"/>
    <n v="88.5"/>
    <n v="94.4"/>
    <n v="28.6"/>
    <n v="32.4"/>
    <n v="32.4"/>
    <n v="34.299999999999997"/>
    <n v="279"/>
    <n v="286"/>
    <n v="12.9"/>
    <n v="14.1"/>
    <n v="1.55"/>
    <n v="2.2000000000000002"/>
    <n v="6.96"/>
    <n v="13.09"/>
    <n v="52.1"/>
    <n v="76.5"/>
    <n v="31.6"/>
    <n v="15.1"/>
    <n v="9.8000000000000007"/>
    <n v="8.1999999999999993"/>
    <n v="6.2"/>
    <n v="0.1"/>
    <n v="0.3"/>
    <n v="0.1"/>
    <x v="0"/>
    <x v="1"/>
    <n v="82.441199999999995"/>
    <n v="92"/>
    <n v="174.4"/>
    <n v="49.71"/>
    <n v="55"/>
    <n v="55.5"/>
    <n v="10.39"/>
  </r>
  <r>
    <x v="0"/>
    <x v="1"/>
    <x v="10"/>
    <n v="29"/>
    <n v="76"/>
    <x v="0"/>
    <s v="RR"/>
    <s v="MT"/>
    <s v="II"/>
    <s v="(+9,-9)"/>
    <n v="51"/>
    <n v="51"/>
    <n v="582"/>
    <n v="1379"/>
    <n v="17"/>
    <n v="42"/>
    <n v="1.9"/>
    <n v="3.5"/>
    <n v="876"/>
    <n v="1719"/>
    <n v="47"/>
    <n v="89"/>
    <n v="4"/>
    <n v="4.3"/>
    <n v="60"/>
    <n v="103"/>
    <n v="119"/>
    <n v="106"/>
    <s v="-"/>
    <n v="8.6999999999999993"/>
    <n v="120.79866842153496"/>
    <n v="77.700020894732489"/>
    <n v="24"/>
    <n v="50"/>
    <n v="0.9"/>
    <n v="1.3"/>
    <n v="0.4"/>
    <n v="3.5"/>
    <n v="5.5"/>
    <n v="6.3"/>
    <n v="7.8"/>
    <s v="-"/>
    <n v="71"/>
    <n v="9.3000000000000007"/>
    <n v="10.1"/>
    <n v="3.8"/>
    <n v="4.4000000000000004"/>
    <n v="60"/>
    <n v="71"/>
    <n v="142"/>
    <n v="146"/>
    <n v="2"/>
    <n v="2.1"/>
    <n v="105"/>
    <n v="103"/>
    <n v="293.02133333333336"/>
    <n v="306.61344444444444"/>
    <s v="-"/>
    <n v="4.8499999999999996"/>
    <s v="-"/>
    <n v="13.1"/>
    <s v="-"/>
    <n v="40.299999999999997"/>
    <s v="-"/>
    <n v="83.1"/>
    <s v="-"/>
    <n v="27"/>
    <s v="-"/>
    <n v="32.5"/>
    <s v="-"/>
    <n v="305"/>
    <s v="-"/>
    <n v="15.1"/>
    <s v="-"/>
    <n v="1.43"/>
    <s v="-"/>
    <n v="15.71"/>
    <s v="-"/>
    <n v="80.900000000000006"/>
    <s v="-"/>
    <n v="13.4"/>
    <s v="-"/>
    <n v="5.2"/>
    <s v="-"/>
    <n v="0.4"/>
    <s v="-"/>
    <n v="0.1"/>
    <x v="1"/>
    <x v="1"/>
    <n v="68.507199999999997"/>
    <n v="75.2"/>
    <n v="177.6"/>
    <n v="52.26"/>
    <n v="47.5"/>
    <n v="46"/>
    <n v="8.9"/>
  </r>
  <r>
    <x v="0"/>
    <x v="1"/>
    <x v="12"/>
    <n v="27"/>
    <n v="79"/>
    <x v="1"/>
    <s v="XX"/>
    <s v="MT"/>
    <s v="ID"/>
    <s v="(-9,-9)"/>
    <n v="25"/>
    <n v="75"/>
    <n v="979"/>
    <n v="2274"/>
    <n v="28"/>
    <n v="64"/>
    <n v="2.2000000000000002"/>
    <n v="2"/>
    <n v="903"/>
    <n v="1752"/>
    <n v="97"/>
    <n v="182"/>
    <n v="3.8"/>
    <n v="4.5"/>
    <n v="87"/>
    <n v="172"/>
    <n v="21"/>
    <n v="28"/>
    <s v="-"/>
    <n v="6"/>
    <n v="120.79866842153496"/>
    <n v="120.79866842153496"/>
    <n v="47"/>
    <n v="55"/>
    <n v="0.9"/>
    <n v="0.9"/>
    <n v="0"/>
    <n v="4.0999999999999996"/>
    <n v="5"/>
    <n v="6.4"/>
    <n v="8"/>
    <s v="-"/>
    <n v="94"/>
    <n v="9.3000000000000007"/>
    <n v="10.4"/>
    <n v="4.9000000000000004"/>
    <n v="4.5999999999999996"/>
    <n v="83"/>
    <n v="92"/>
    <n v="142"/>
    <n v="140"/>
    <n v="2.1"/>
    <n v="2"/>
    <n v="102"/>
    <n v="98"/>
    <n v="300.37011111111116"/>
    <n v="298.0004444444445"/>
    <n v="4.45"/>
    <n v="4.6399999999999997"/>
    <n v="12.6"/>
    <n v="13.5"/>
    <n v="40.299999999999997"/>
    <n v="41.6"/>
    <n v="90.6"/>
    <n v="89.7"/>
    <n v="28.3"/>
    <n v="29.1"/>
    <n v="31.3"/>
    <n v="32.5"/>
    <n v="275"/>
    <n v="313"/>
    <n v="14"/>
    <n v="14.2"/>
    <n v="2"/>
    <n v="1.96"/>
    <n v="5.59"/>
    <n v="11.89"/>
    <n v="46.9"/>
    <n v="89.5"/>
    <n v="41.7"/>
    <n v="5.0999999999999996"/>
    <n v="9.1"/>
    <n v="5.3"/>
    <n v="1.8"/>
    <n v="0"/>
    <n v="0.5"/>
    <n v="0.1"/>
    <x v="0"/>
    <x v="1"/>
    <n v="73.124520000000004"/>
    <n v="78.900000000000006"/>
    <n v="181.5"/>
    <n v="51.65"/>
    <n v="47.5"/>
    <n v="47.5"/>
    <n v="7.32"/>
  </r>
  <r>
    <x v="0"/>
    <x v="1"/>
    <x v="13"/>
    <n v="25"/>
    <n v="90"/>
    <x v="0"/>
    <s v="RX"/>
    <s v="MM"/>
    <s v="II"/>
    <s v="(+9,-9)"/>
    <n v="25"/>
    <n v="75"/>
    <n v="589"/>
    <n v="1538"/>
    <n v="26"/>
    <n v="50"/>
    <n v="1.9"/>
    <n v="2.8"/>
    <n v="687"/>
    <n v="1093"/>
    <n v="64"/>
    <n v="114"/>
    <n v="4.0999999999999996"/>
    <n v="4.7"/>
    <n v="76"/>
    <n v="128"/>
    <n v="35"/>
    <n v="52"/>
    <s v="-"/>
    <n v="6.8"/>
    <n v="106.45183652429932"/>
    <n v="77.700020894732489"/>
    <n v="43"/>
    <n v="58"/>
    <n v="1"/>
    <n v="1.3"/>
    <n v="0.30000000000000004"/>
    <n v="3.7"/>
    <n v="5.5"/>
    <n v="7.3"/>
    <n v="8.6999999999999993"/>
    <s v="-"/>
    <n v="45"/>
    <n v="9.1999999999999993"/>
    <n v="10.6"/>
    <n v="4.5"/>
    <n v="4.5999999999999996"/>
    <n v="86"/>
    <n v="67"/>
    <n v="140"/>
    <n v="146"/>
    <n v="1.9"/>
    <n v="2"/>
    <n v="105"/>
    <n v="104"/>
    <n v="295.43111111111119"/>
    <n v="308.06322222222224"/>
    <n v="4.34"/>
    <n v="4.3899999999999997"/>
    <n v="12.8"/>
    <n v="13.1"/>
    <n v="38.1"/>
    <n v="38.4"/>
    <n v="87.8"/>
    <n v="87.5"/>
    <n v="29.5"/>
    <n v="29.8"/>
    <n v="33.6"/>
    <n v="34.1"/>
    <n v="319"/>
    <n v="385"/>
    <n v="12.8"/>
    <n v="13.2"/>
    <n v="1.24"/>
    <n v="1.29"/>
    <n v="7.24"/>
    <n v="15.27"/>
    <n v="60"/>
    <n v="82.4"/>
    <n v="26.9"/>
    <n v="9.1999999999999993"/>
    <n v="7.6"/>
    <n v="8.1"/>
    <n v="4.8"/>
    <n v="0.1"/>
    <n v="0.7"/>
    <n v="0.2"/>
    <x v="1"/>
    <x v="1"/>
    <n v="79.512460000000004"/>
    <n v="85.7"/>
    <n v="185"/>
    <n v="52.04"/>
    <n v="50"/>
    <n v="50"/>
    <n v="7.22"/>
  </r>
  <r>
    <x v="0"/>
    <x v="1"/>
    <x v="14"/>
    <n v="28"/>
    <n v="77"/>
    <x v="1"/>
    <s v="RR"/>
    <s v="MT"/>
    <s v="ID"/>
    <s v="(+9,-9)"/>
    <n v="212.5"/>
    <n v="-112.5"/>
    <n v="316"/>
    <n v="1048"/>
    <s v="-"/>
    <n v="47"/>
    <n v="1.2"/>
    <n v="4"/>
    <n v="816"/>
    <n v="1581"/>
    <n v="79"/>
    <n v="102"/>
    <n v="4.2"/>
    <n v="4.8"/>
    <n v="155"/>
    <n v="127"/>
    <n v="135"/>
    <n v="109"/>
    <s v="-"/>
    <n v="8.3000000000000007"/>
    <n v="120.79866842153496"/>
    <n v="85.533385678368745"/>
    <n v="37"/>
    <n v="54"/>
    <n v="0.9"/>
    <n v="1.2"/>
    <n v="0.29999999999999993"/>
    <n v="5.0999999999999996"/>
    <n v="5.8"/>
    <n v="6.9"/>
    <n v="7.9"/>
    <s v="-"/>
    <n v="156"/>
    <n v="9.1999999999999993"/>
    <n v="10.199999999999999"/>
    <n v="4.8"/>
    <n v="4.9000000000000004"/>
    <n v="91"/>
    <n v="32"/>
    <n v="145"/>
    <n v="147"/>
    <n v="2.1"/>
    <n v="2"/>
    <n v="104"/>
    <n v="103"/>
    <n v="304.6085555555556"/>
    <n v="307.57844444444447"/>
    <n v="4.3099999999999996"/>
    <n v="4.32"/>
    <n v="13.4"/>
    <n v="13.8"/>
    <n v="40.700000000000003"/>
    <n v="40.700000000000003"/>
    <n v="94.4"/>
    <n v="94.2"/>
    <n v="31.1"/>
    <n v="31.9"/>
    <n v="32.9"/>
    <n v="33.9"/>
    <n v="229"/>
    <n v="286"/>
    <n v="13.8"/>
    <n v="14.1"/>
    <n v="2.16"/>
    <n v="2.4500000000000002"/>
    <n v="6.36"/>
    <n v="13.19"/>
    <n v="57.7"/>
    <n v="76.8"/>
    <n v="29.1"/>
    <n v="14.9"/>
    <n v="11"/>
    <n v="8.1"/>
    <n v="2"/>
    <n v="0.1"/>
    <n v="0.2"/>
    <n v="0.1"/>
    <x v="1"/>
    <x v="1"/>
    <n v="70.76357999999999"/>
    <n v="78.599999999999994"/>
    <n v="179"/>
    <n v="53.31"/>
    <n v="50"/>
    <n v="44"/>
    <n v="9.9700000000000006"/>
  </r>
  <r>
    <x v="0"/>
    <x v="1"/>
    <x v="15"/>
    <n v="29"/>
    <n v="81"/>
    <x v="0"/>
    <s v="-"/>
    <s v="-"/>
    <s v="-"/>
    <s v="-"/>
    <s v="-"/>
    <s v="-"/>
    <n v="731"/>
    <n v="3200"/>
    <n v="31"/>
    <n v="102"/>
    <n v="1.3"/>
    <n v="2.2999999999999998"/>
    <n v="1221"/>
    <n v="2672"/>
    <n v="96"/>
    <n v="301"/>
    <n v="4"/>
    <n v="4.3"/>
    <n v="101"/>
    <n v="148"/>
    <n v="37"/>
    <n v="36"/>
    <s v="-"/>
    <n v="5.8"/>
    <n v="130.32381263076621"/>
    <n v="106.45183652429932"/>
    <n v="31"/>
    <n v="55"/>
    <n v="0.7"/>
    <n v="1"/>
    <n v="0.30000000000000004"/>
    <n v="3.4"/>
    <n v="5.0999999999999996"/>
    <n v="6.7"/>
    <n v="7.8"/>
    <s v="-"/>
    <n v="39"/>
    <n v="8.9"/>
    <n v="9.6999999999999993"/>
    <n v="3.4"/>
    <n v="5.0999999999999996"/>
    <n v="93"/>
    <n v="97"/>
    <n v="143"/>
    <n v="141"/>
    <n v="1.3"/>
    <n v="1.9"/>
    <n v="102"/>
    <n v="99"/>
    <n v="297.41233333333338"/>
    <n v="301.10988888888886"/>
    <n v="4.09"/>
    <n v="3.97"/>
    <n v="12.5"/>
    <n v="12.1"/>
    <n v="38.4"/>
    <n v="36.5"/>
    <n v="93.9"/>
    <n v="91.9"/>
    <n v="30.6"/>
    <n v="30.5"/>
    <n v="32.6"/>
    <n v="33.200000000000003"/>
    <n v="286"/>
    <n v="338"/>
    <n v="14.8"/>
    <n v="14"/>
    <n v="1.52"/>
    <n v="0.93"/>
    <n v="4.78"/>
    <n v="10.38"/>
    <n v="62"/>
    <n v="80"/>
    <n v="26.4"/>
    <n v="11.8"/>
    <n v="7.9"/>
    <n v="8.1"/>
    <n v="3.3"/>
    <n v="0"/>
    <n v="0.4"/>
    <n v="0.1"/>
    <x v="1"/>
    <x v="1"/>
    <n v="72.151949999999999"/>
    <n v="81.5"/>
    <n v="175"/>
    <n v="51.49"/>
    <n v="49.5"/>
    <n v="41"/>
    <n v="11.47"/>
  </r>
  <r>
    <x v="0"/>
    <x v="1"/>
    <x v="17"/>
    <n v="29"/>
    <n v="83"/>
    <x v="2"/>
    <s v="-"/>
    <s v="-"/>
    <s v="-"/>
    <s v="-"/>
    <s v="-"/>
    <s v="-"/>
    <n v="261"/>
    <n v="843"/>
    <n v="17"/>
    <n v="36"/>
    <n v="1.7"/>
    <n v="4.3"/>
    <n v="476"/>
    <n v="854"/>
    <n v="36"/>
    <n v="65"/>
    <n v="4.5"/>
    <n v="4.5999999999999996"/>
    <n v="46"/>
    <n v="74"/>
    <n v="21"/>
    <n v="28"/>
    <s v="-"/>
    <n v="5"/>
    <n v="125.17286966375688"/>
    <n v="106.45183652429932"/>
    <n v="34"/>
    <n v="46"/>
    <n v="0.8"/>
    <n v="1"/>
    <n v="0.19999999999999996"/>
    <n v="3.6"/>
    <n v="5.2"/>
    <n v="7.3"/>
    <n v="8"/>
    <s v="-"/>
    <n v="42"/>
    <n v="9.6"/>
    <n v="9.9"/>
    <n v="5"/>
    <n v="4.8"/>
    <n v="86"/>
    <n v="115"/>
    <n v="144"/>
    <n v="144"/>
    <n v="2.2000000000000002"/>
    <n v="1.8"/>
    <n v="103"/>
    <n v="103"/>
    <n v="302.30111111111114"/>
    <n v="305.78188888888894"/>
    <n v="4.6100000000000003"/>
    <n v="4.1100000000000003"/>
    <n v="14.1"/>
    <n v="12.6"/>
    <n v="42.1"/>
    <n v="37.5"/>
    <n v="91.3"/>
    <n v="91.2"/>
    <n v="30.6"/>
    <n v="30.7"/>
    <n v="33.5"/>
    <n v="33.6"/>
    <n v="365"/>
    <n v="403"/>
    <n v="13.1"/>
    <n v="13.1"/>
    <n v="1.43"/>
    <n v="1.37"/>
    <n v="6.24"/>
    <n v="15.92"/>
    <n v="57.3"/>
    <n v="78.2"/>
    <n v="30.6"/>
    <n v="12.9"/>
    <n v="9"/>
    <n v="8.6999999999999993"/>
    <n v="2.6"/>
    <n v="0"/>
    <n v="0.5"/>
    <n v="0.2"/>
    <x v="0"/>
    <x v="0"/>
    <n v="72.809100000000001"/>
    <n v="81.900000000000006"/>
    <n v="180.5"/>
    <n v="51.93"/>
    <n v="44.5"/>
    <n v="46.5"/>
    <n v="11.1"/>
  </r>
  <r>
    <x v="0"/>
    <x v="1"/>
    <x v="18"/>
    <n v="28"/>
    <n v="81"/>
    <x v="0"/>
    <s v="-"/>
    <s v="-"/>
    <s v="-"/>
    <s v="-"/>
    <s v="-"/>
    <s v="-"/>
    <n v="274"/>
    <n v="1224"/>
    <n v="19"/>
    <n v="48"/>
    <n v="1.7"/>
    <n v="2.4"/>
    <n v="643"/>
    <n v="1211"/>
    <n v="51"/>
    <n v="99"/>
    <n v="4.5"/>
    <n v="4.4000000000000004"/>
    <n v="37"/>
    <n v="55"/>
    <n v="12"/>
    <n v="15"/>
    <s v="-"/>
    <n v="7.2"/>
    <n v="120.79866842153496"/>
    <n v="94.947150652744313"/>
    <n v="24"/>
    <n v="46"/>
    <n v="0.9"/>
    <n v="1.1000000000000001"/>
    <n v="0.20000000000000007"/>
    <n v="4.2"/>
    <n v="4.3"/>
    <n v="7.5"/>
    <n v="8.1"/>
    <s v="-"/>
    <n v="107"/>
    <n v="9.8000000000000007"/>
    <n v="10"/>
    <n v="4.5"/>
    <n v="4.9000000000000004"/>
    <n v="61"/>
    <n v="97"/>
    <n v="144"/>
    <n v="144"/>
    <n v="2.2999999999999998"/>
    <n v="1.9"/>
    <n v="101"/>
    <n v="102"/>
    <n v="298.10722222222228"/>
    <n v="304.81788888888889"/>
    <n v="4.79"/>
    <n v="4.4000000000000004"/>
    <n v="13.9"/>
    <n v="12.9"/>
    <n v="43.1"/>
    <n v="39"/>
    <n v="90"/>
    <n v="88.6"/>
    <n v="29"/>
    <n v="29.3"/>
    <n v="32.299999999999997"/>
    <n v="33.1"/>
    <n v="331"/>
    <n v="377"/>
    <n v="13.8"/>
    <n v="13.8"/>
    <n v="1.46"/>
    <n v="1.18"/>
    <n v="4.78"/>
    <n v="8.25"/>
    <n v="45.4"/>
    <n v="70.3"/>
    <n v="41.2"/>
    <n v="19.899999999999999"/>
    <n v="11.3"/>
    <n v="9.5"/>
    <n v="1.7"/>
    <n v="0.1"/>
    <n v="0.4"/>
    <n v="0.2"/>
    <x v="0"/>
    <x v="1"/>
    <n v="71.943809999999999"/>
    <n v="81.099999999999994"/>
    <n v="178"/>
    <n v="51.6"/>
    <n v="45.5"/>
    <n v="43"/>
    <n v="11.29"/>
  </r>
  <r>
    <x v="0"/>
    <x v="1"/>
    <x v="19"/>
    <n v="26"/>
    <n v="68"/>
    <x v="0"/>
    <s v="-"/>
    <s v="-"/>
    <s v="-"/>
    <s v="-"/>
    <s v="-"/>
    <s v="-"/>
    <n v="224"/>
    <n v="592"/>
    <n v="16"/>
    <n v="33"/>
    <n v="2.5"/>
    <n v="1.5"/>
    <n v="569"/>
    <n v="704"/>
    <n v="40"/>
    <n v="63"/>
    <n v="4.7"/>
    <n v="4.0999999999999996"/>
    <n v="51"/>
    <n v="63"/>
    <n v="21"/>
    <n v="22"/>
    <s v="-"/>
    <n v="4.9000000000000004"/>
    <n v="130.32381263076621"/>
    <n v="125.17286966375688"/>
    <n v="31"/>
    <n v="43"/>
    <n v="0.7"/>
    <n v="0.8"/>
    <n v="0.10000000000000009"/>
    <n v="3.5"/>
    <n v="4.0999999999999996"/>
    <n v="7.7"/>
    <n v="7.4"/>
    <s v="-"/>
    <n v="38"/>
    <n v="9.6"/>
    <n v="9.8000000000000007"/>
    <n v="4.2"/>
    <n v="4.3"/>
    <n v="83"/>
    <n v="119"/>
    <n v="144"/>
    <n v="139"/>
    <n v="2.1"/>
    <n v="1.7"/>
    <n v="101"/>
    <n v="97"/>
    <n v="300.12144444444442"/>
    <n v="295.30744444444446"/>
    <n v="4.53"/>
    <n v="4.3899999999999997"/>
    <n v="14"/>
    <n v="13.5"/>
    <n v="42.5"/>
    <n v="40.299999999999997"/>
    <n v="93.8"/>
    <n v="91.8"/>
    <n v="30.9"/>
    <n v="30.8"/>
    <n v="32.9"/>
    <n v="33.5"/>
    <n v="294"/>
    <n v="351"/>
    <n v="13.7"/>
    <n v="13.4"/>
    <n v="1.72"/>
    <n v="1.32"/>
    <n v="7.62"/>
    <n v="10.66"/>
    <n v="59.7"/>
    <n v="76.900000000000006"/>
    <n v="27.3"/>
    <n v="12"/>
    <n v="9.6999999999999993"/>
    <n v="10.9"/>
    <n v="2.9"/>
    <n v="0"/>
    <n v="0.4"/>
    <n v="0.2"/>
    <x v="0"/>
    <x v="0"/>
    <n v="62.5396"/>
    <n v="68"/>
    <n v="173"/>
    <n v="55.9"/>
    <n v="39"/>
    <n v="39"/>
    <n v="8.0299999999999994"/>
  </r>
  <r>
    <x v="0"/>
    <x v="1"/>
    <x v="20"/>
    <n v="27"/>
    <n v="80"/>
    <x v="0"/>
    <s v="-"/>
    <s v="-"/>
    <s v="-"/>
    <s v="-"/>
    <s v="-"/>
    <s v="-"/>
    <n v="532"/>
    <n v="2695"/>
    <n v="20"/>
    <n v="60"/>
    <n v="1.8"/>
    <n v="2.4"/>
    <n v="932"/>
    <n v="1526"/>
    <n v="39"/>
    <n v="113"/>
    <n v="4.3"/>
    <n v="4.8"/>
    <n v="62"/>
    <n v="99"/>
    <n v="25"/>
    <n v="29"/>
    <s v="-"/>
    <n v="7.8"/>
    <n v="85.533385678368745"/>
    <n v="85.533385678368745"/>
    <n v="35"/>
    <n v="54"/>
    <n v="1.2"/>
    <n v="1.2"/>
    <n v="0"/>
    <n v="3.6"/>
    <n v="5.3"/>
    <n v="7"/>
    <n v="8.6"/>
    <s v="-"/>
    <n v="68"/>
    <n v="9.1"/>
    <n v="10.3"/>
    <n v="5.9"/>
    <n v="4.9000000000000004"/>
    <n v="86"/>
    <n v="78"/>
    <n v="144"/>
    <n v="143"/>
    <n v="2.1"/>
    <n v="1.9"/>
    <n v="102"/>
    <n v="99"/>
    <n v="304.1417777777778"/>
    <n v="303.0773333333334"/>
    <n v="5.0999999999999996"/>
    <n v="5.23"/>
    <n v="14.1"/>
    <n v="14.7"/>
    <n v="42.9"/>
    <n v="43.4"/>
    <n v="84.1"/>
    <n v="83"/>
    <n v="27.6"/>
    <n v="28.1"/>
    <n v="32.9"/>
    <n v="33.9"/>
    <n v="277"/>
    <n v="278"/>
    <n v="13"/>
    <n v="13.1"/>
    <n v="1.22"/>
    <n v="1.31"/>
    <n v="5.66"/>
    <n v="10.64"/>
    <n v="42.4"/>
    <n v="69.3"/>
    <n v="43.5"/>
    <n v="21.7"/>
    <n v="9.5"/>
    <n v="7"/>
    <n v="4.0999999999999996"/>
    <n v="1.5"/>
    <n v="0.5"/>
    <n v="0.5"/>
    <x v="0"/>
    <x v="1"/>
    <n v="70.30368"/>
    <n v="82.4"/>
    <n v="168"/>
    <n v="50.7"/>
    <n v="60"/>
    <n v="58"/>
    <n v="14.68"/>
  </r>
  <r>
    <x v="0"/>
    <x v="2"/>
    <x v="1"/>
    <n v="26"/>
    <n v="70"/>
    <x v="0"/>
    <s v="RR"/>
    <s v="MT"/>
    <s v="II"/>
    <s v="(+9,-9)"/>
    <n v="50"/>
    <n v="50"/>
    <n v="258"/>
    <n v="932"/>
    <n v="15"/>
    <n v="36"/>
    <n v="1.7"/>
    <n v="1.8"/>
    <n v="507"/>
    <n v="719"/>
    <n v="28"/>
    <n v="67"/>
    <n v="4.8"/>
    <n v="4.5"/>
    <n v="50"/>
    <n v="61"/>
    <n v="28"/>
    <n v="27"/>
    <n v="4.4000000000000004"/>
    <n v="5.2"/>
    <n v="120.79866842153496"/>
    <n v="120.79866842153496"/>
    <n v="64"/>
    <n v="50"/>
    <n v="0.9"/>
    <n v="0.9"/>
    <n v="0"/>
    <n v="4.2"/>
    <n v="5.0999999999999996"/>
    <n v="7.9"/>
    <n v="7.6"/>
    <n v="103"/>
    <n v="80"/>
    <n v="10.1"/>
    <n v="10"/>
    <n v="4.3"/>
    <n v="4.4000000000000004"/>
    <n v="116"/>
    <n v="96"/>
    <n v="145"/>
    <n v="144"/>
    <n v="1.5"/>
    <n v="2"/>
    <n v="100"/>
    <n v="102"/>
    <n v="309.77577777777782"/>
    <n v="304.49066666666664"/>
    <n v="5.08"/>
    <n v="4.75"/>
    <n v="14.7"/>
    <n v="13.8"/>
    <n v="44.6"/>
    <n v="42.2"/>
    <s v="-"/>
    <n v="88.8"/>
    <s v="-"/>
    <n v="29.1"/>
    <s v="-"/>
    <n v="32.700000000000003"/>
    <s v="-"/>
    <n v="268"/>
    <s v="-"/>
    <n v="13.4"/>
    <n v="1.44"/>
    <n v="1.42"/>
    <n v="7.33"/>
    <n v="6.98"/>
    <s v="-"/>
    <n v="71.599999999999994"/>
    <s v="-"/>
    <n v="18.5"/>
    <s v="-"/>
    <n v="8.6999999999999993"/>
    <s v="-"/>
    <n v="0.9"/>
    <s v="-"/>
    <n v="0.3"/>
    <x v="0"/>
    <x v="0"/>
    <n v="71.28528"/>
    <n v="75.900000000000006"/>
    <n v="171"/>
    <n v="54.68"/>
    <n v="42"/>
    <n v="43"/>
    <n v="6.08"/>
  </r>
  <r>
    <x v="0"/>
    <x v="2"/>
    <x v="2"/>
    <n v="26"/>
    <n v="74"/>
    <x v="0"/>
    <s v="RX"/>
    <s v="MM"/>
    <s v="ID"/>
    <s v="(+9,+9)"/>
    <n v="50"/>
    <n v="50"/>
    <n v="234"/>
    <n v="936"/>
    <n v="15"/>
    <n v="37"/>
    <n v="2.7"/>
    <n v="2.6"/>
    <n v="528"/>
    <n v="672"/>
    <n v="27"/>
    <n v="64"/>
    <n v="4.9000000000000004"/>
    <n v="4.5"/>
    <n v="40"/>
    <n v="52"/>
    <n v="28"/>
    <n v="27"/>
    <n v="4"/>
    <n v="4.7"/>
    <n v="94.947150652744313"/>
    <n v="94.947150652744313"/>
    <n v="41"/>
    <n v="40"/>
    <n v="1.1000000000000001"/>
    <n v="1.1000000000000001"/>
    <n v="0"/>
    <n v="3.5"/>
    <n v="4.2"/>
    <n v="8.1"/>
    <n v="7.4"/>
    <n v="83"/>
    <n v="117"/>
    <n v="10.199999999999999"/>
    <n v="9.9"/>
    <n v="4"/>
    <n v="4.7"/>
    <n v="108"/>
    <n v="116"/>
    <n v="147"/>
    <n v="147"/>
    <n v="2.1"/>
    <n v="2.2000000000000002"/>
    <n v="98"/>
    <n v="105"/>
    <n v="308.59333333333331"/>
    <n v="310.23977777777776"/>
    <n v="5.26"/>
    <n v="4.96"/>
    <n v="15.9"/>
    <n v="14.9"/>
    <n v="47.4"/>
    <n v="45"/>
    <s v="-"/>
    <n v="90.7"/>
    <s v="-"/>
    <n v="30"/>
    <s v="-"/>
    <n v="33.1"/>
    <s v="-"/>
    <n v="220"/>
    <s v="-"/>
    <n v="12.5"/>
    <n v="1.7"/>
    <n v="1.05"/>
    <n v="6.3"/>
    <n v="5.69"/>
    <s v="-"/>
    <n v="71.099999999999994"/>
    <s v="-"/>
    <n v="19.7"/>
    <s v="-"/>
    <n v="8.1"/>
    <s v="-"/>
    <n v="0.7"/>
    <s v="-"/>
    <n v="0.4"/>
    <x v="0"/>
    <x v="0"/>
    <n v="72.293760000000006"/>
    <n v="79.2"/>
    <n v="174"/>
    <n v="53.64"/>
    <n v="49.5"/>
    <n v="49.5"/>
    <n v="8.7200000000000006"/>
  </r>
  <r>
    <x v="0"/>
    <x v="2"/>
    <x v="3"/>
    <n v="25"/>
    <n v="84"/>
    <x v="0"/>
    <s v="RR"/>
    <s v="TT"/>
    <s v="DD"/>
    <s v="(+9,-9)"/>
    <s v="-"/>
    <s v="-"/>
    <n v="230"/>
    <n v="446"/>
    <n v="14"/>
    <n v="26"/>
    <n v="1.2"/>
    <n v="2.5"/>
    <n v="220"/>
    <n v="303"/>
    <n v="32"/>
    <n v="44"/>
    <n v="4.4000000000000004"/>
    <n v="4.3"/>
    <n v="51"/>
    <n v="50"/>
    <n v="23"/>
    <n v="21"/>
    <n v="6.1"/>
    <n v="5.7"/>
    <n v="77.700020894732489"/>
    <n v="94.947150652744313"/>
    <n v="50"/>
    <n v="47"/>
    <n v="1.3"/>
    <n v="1.1000000000000001"/>
    <n v="0"/>
    <n v="4.2"/>
    <n v="4.5"/>
    <n v="7.4"/>
    <n v="7.2"/>
    <n v="65"/>
    <n v="109"/>
    <n v="10.1"/>
    <n v="9.8000000000000007"/>
    <n v="4.0999999999999996"/>
    <n v="4.7"/>
    <n v="56"/>
    <n v="89"/>
    <n v="148"/>
    <n v="145"/>
    <n v="2"/>
    <n v="1.7"/>
    <n v="102"/>
    <n v="106"/>
    <n v="308.8171111111111"/>
    <n v="305.96144444444445"/>
    <n v="5.16"/>
    <n v="4.8499999999999996"/>
    <n v="14.4"/>
    <n v="13.5"/>
    <n v="45.3"/>
    <n v="42.4"/>
    <s v="-"/>
    <n v="87.4"/>
    <s v="-"/>
    <n v="27.8"/>
    <s v="-"/>
    <n v="31.8"/>
    <s v="-"/>
    <n v="238"/>
    <s v="-"/>
    <n v="13.2"/>
    <n v="1.52"/>
    <n v="1.1399999999999999"/>
    <n v="4.2300000000000004"/>
    <n v="5.62"/>
    <s v="-"/>
    <n v="60.6"/>
    <s v="-"/>
    <n v="25.4"/>
    <s v="-"/>
    <n v="8.5"/>
    <s v="-"/>
    <n v="4.8"/>
    <s v="-"/>
    <n v="0.7"/>
    <x v="0"/>
    <x v="0"/>
    <n v="75.355769999999993"/>
    <n v="84.3"/>
    <n v="178"/>
    <n v="52.69"/>
    <n v="60"/>
    <n v="57"/>
    <n v="10.61"/>
  </r>
  <r>
    <x v="0"/>
    <x v="2"/>
    <x v="4"/>
    <n v="33"/>
    <n v="82"/>
    <x v="0"/>
    <s v="RR"/>
    <s v="MT"/>
    <s v="II"/>
    <s v="(+9,-9)"/>
    <n v="50"/>
    <n v="50"/>
    <n v="467"/>
    <n v="550"/>
    <n v="4"/>
    <n v="19"/>
    <n v="1.4"/>
    <n v="2.6"/>
    <n v="477"/>
    <n v="599"/>
    <n v="40"/>
    <n v="46"/>
    <n v="4.7"/>
    <n v="4.4000000000000004"/>
    <n v="46"/>
    <n v="45"/>
    <n v="41"/>
    <n v="38"/>
    <n v="6.8"/>
    <n v="6.2"/>
    <n v="94.947150652744313"/>
    <n v="106.45183652429932"/>
    <n v="52"/>
    <n v="48"/>
    <n v="1.1000000000000001"/>
    <n v="1"/>
    <n v="0"/>
    <n v="4.8"/>
    <n v="4.0999999999999996"/>
    <n v="7.8"/>
    <n v="7.3"/>
    <n v="66"/>
    <n v="118"/>
    <n v="10.1"/>
    <n v="9.5"/>
    <n v="4.5999999999999996"/>
    <n v="4.4000000000000004"/>
    <n v="97"/>
    <n v="118"/>
    <n v="147"/>
    <n v="147"/>
    <n v="1.9"/>
    <n v="1.9"/>
    <n v="97"/>
    <n v="104"/>
    <n v="310.83988888888888"/>
    <n v="311.14288888888893"/>
    <n v="4.5999999999999996"/>
    <n v="4.1900000000000004"/>
    <n v="13.9"/>
    <n v="12.6"/>
    <n v="42.9"/>
    <n v="38.700000000000003"/>
    <s v="-"/>
    <n v="92.4"/>
    <s v="-"/>
    <n v="30.1"/>
    <s v="-"/>
    <n v="32.6"/>
    <s v="-"/>
    <n v="237"/>
    <s v="-"/>
    <n v="12"/>
    <n v="1.93"/>
    <n v="1.1100000000000001"/>
    <n v="8.66"/>
    <n v="8.35"/>
    <s v="-"/>
    <n v="79.099999999999994"/>
    <s v="-"/>
    <n v="14.9"/>
    <s v="-"/>
    <n v="4.5999999999999996"/>
    <s v="-"/>
    <n v="1.2"/>
    <s v="-"/>
    <n v="0.2"/>
    <x v="0"/>
    <x v="0"/>
    <n v="67.787359999999993"/>
    <n v="79.599999999999994"/>
    <n v="182"/>
    <n v="51.21"/>
    <n v="51"/>
    <n v="49"/>
    <n v="14.84"/>
  </r>
  <r>
    <x v="0"/>
    <x v="2"/>
    <x v="5"/>
    <n v="31"/>
    <n v="79"/>
    <x v="0"/>
    <s v="XX"/>
    <s v="MT"/>
    <s v="ID"/>
    <s v="(-9,-9)"/>
    <n v="100"/>
    <n v="0"/>
    <n v="261"/>
    <n v="965"/>
    <n v="3"/>
    <n v="26"/>
    <n v="1.4"/>
    <n v="2.4"/>
    <n v="497"/>
    <n v="607"/>
    <n v="33"/>
    <n v="75"/>
    <n v="4.8"/>
    <n v="4.4000000000000004"/>
    <n v="48"/>
    <n v="59"/>
    <n v="30"/>
    <n v="39"/>
    <n v="7.9"/>
    <n v="9.4"/>
    <n v="85.533385678368745"/>
    <n v="94.947150652744313"/>
    <n v="34"/>
    <n v="51"/>
    <n v="1.2"/>
    <n v="1.1000000000000001"/>
    <n v="0"/>
    <n v="3.9"/>
    <n v="4.9000000000000004"/>
    <n v="8.6"/>
    <n v="8.4"/>
    <n v="27"/>
    <n v="149"/>
    <n v="10"/>
    <n v="9.4"/>
    <n v="4.7"/>
    <n v="4.4000000000000004"/>
    <n v="89"/>
    <n v="85"/>
    <n v="148"/>
    <n v="150"/>
    <n v="1.9"/>
    <n v="2.4"/>
    <n v="100"/>
    <n v="105"/>
    <n v="309.37477777777781"/>
    <n v="315.11455555555557"/>
    <n v="5.1100000000000003"/>
    <n v="4.49"/>
    <n v="14.6"/>
    <n v="12.9"/>
    <n v="46.1"/>
    <n v="40.1"/>
    <s v="-"/>
    <n v="89.3"/>
    <s v="-"/>
    <n v="28.7"/>
    <s v="-"/>
    <n v="32.200000000000003"/>
    <s v="-"/>
    <n v="260"/>
    <s v="-"/>
    <n v="13.2"/>
    <n v="1.25"/>
    <n v="1.02"/>
    <n v="10.65"/>
    <n v="8.41"/>
    <s v="-"/>
    <n v="72.400000000000006"/>
    <s v="-"/>
    <n v="17.100000000000001"/>
    <s v="-"/>
    <n v="9"/>
    <s v="-"/>
    <n v="1"/>
    <s v="-"/>
    <n v="0.5"/>
    <x v="0"/>
    <x v="0"/>
    <n v="74.95620000000001"/>
    <n v="90.2"/>
    <n v="184.5"/>
    <n v="48.67"/>
    <n v="54"/>
    <n v="47"/>
    <n v="16.899999999999999"/>
  </r>
  <r>
    <x v="0"/>
    <x v="2"/>
    <x v="6"/>
    <n v="32"/>
    <n v="89"/>
    <x v="1"/>
    <s v="RX"/>
    <s v="MM"/>
    <s v="ID"/>
    <s v="(+9,+9)"/>
    <n v="45.8333333333333"/>
    <n v="54.1666666666667"/>
    <n v="253"/>
    <n v="1353"/>
    <n v="21"/>
    <n v="41"/>
    <n v="1"/>
    <n v="2.2000000000000002"/>
    <n v="521"/>
    <n v="745"/>
    <n v="33"/>
    <n v="66"/>
    <n v="5"/>
    <n v="4.7"/>
    <n v="47"/>
    <n v="48"/>
    <n v="29"/>
    <n v="26"/>
    <n v="5.6"/>
    <n v="5.2"/>
    <n v="94.947150652744313"/>
    <n v="106.45183652429932"/>
    <n v="48"/>
    <n v="47"/>
    <n v="1.1000000000000001"/>
    <n v="1"/>
    <n v="0"/>
    <n v="3.9"/>
    <n v="4.5999999999999996"/>
    <n v="9.1"/>
    <n v="8.4"/>
    <n v="91"/>
    <n v="123"/>
    <n v="10.8"/>
    <n v="9.6999999999999993"/>
    <n v="4.5999999999999996"/>
    <n v="4.5"/>
    <n v="90"/>
    <n v="121"/>
    <n v="144"/>
    <n v="146"/>
    <n v="2.1"/>
    <n v="1.9"/>
    <n v="100"/>
    <n v="106"/>
    <n v="304.14600000000002"/>
    <n v="309.49388888888888"/>
    <n v="5.29"/>
    <n v="4.8499999999999996"/>
    <n v="15.6"/>
    <n v="14.1"/>
    <n v="47.4"/>
    <n v="43.5"/>
    <s v="-"/>
    <n v="89.7"/>
    <s v="-"/>
    <n v="29.1"/>
    <s v="-"/>
    <n v="32.4"/>
    <s v="-"/>
    <n v="186"/>
    <s v="-"/>
    <n v="12.9"/>
    <n v="1.49"/>
    <n v="0.93"/>
    <n v="6.31"/>
    <n v="8.6300000000000008"/>
    <s v="-"/>
    <n v="72.3"/>
    <s v="-"/>
    <n v="18.8"/>
    <s v="-"/>
    <n v="6.7"/>
    <s v="-"/>
    <n v="2"/>
    <s v="-"/>
    <n v="0.2"/>
    <x v="0"/>
    <x v="1"/>
    <n v="82.029080000000008"/>
    <n v="90.7"/>
    <n v="191"/>
    <n v="50.01"/>
    <n v="56.5"/>
    <n v="54.5"/>
    <n v="9.56"/>
  </r>
  <r>
    <x v="0"/>
    <x v="2"/>
    <x v="7"/>
    <n v="30"/>
    <n v="96"/>
    <x v="0"/>
    <s v="RX"/>
    <s v="TT"/>
    <s v="DD"/>
    <s v="(-9,-9)"/>
    <n v="54.1666666666667"/>
    <n v="45.8333333333333"/>
    <n v="147"/>
    <n v="854"/>
    <n v="6"/>
    <n v="35"/>
    <n v="1.6"/>
    <n v="3.8"/>
    <n v="435"/>
    <n v="586"/>
    <n v="24"/>
    <n v="69"/>
    <n v="4.2"/>
    <n v="4.4000000000000004"/>
    <n v="40"/>
    <n v="50"/>
    <n v="22"/>
    <n v="23"/>
    <n v="5.3"/>
    <n v="5.9"/>
    <n v="94.947150652744313"/>
    <n v="94.947150652744313"/>
    <n v="39"/>
    <n v="44"/>
    <n v="1.1000000000000001"/>
    <n v="1.1000000000000001"/>
    <n v="0"/>
    <n v="3.7"/>
    <n v="5"/>
    <n v="7.3"/>
    <n v="7.3"/>
    <n v="66"/>
    <n v="126"/>
    <n v="9.8000000000000007"/>
    <n v="9.9"/>
    <n v="3.9"/>
    <n v="5"/>
    <n v="89"/>
    <n v="110"/>
    <n v="147"/>
    <n v="149"/>
    <n v="1.8"/>
    <n v="1.8"/>
    <n v="101"/>
    <n v="105"/>
    <n v="306.86011111111117"/>
    <n v="314.80111111111108"/>
    <n v="5.14"/>
    <n v="5.03"/>
    <n v="15.5"/>
    <n v="15"/>
    <n v="46.9"/>
    <n v="47.1"/>
    <s v="-"/>
    <n v="93.6"/>
    <s v="-"/>
    <n v="29.8"/>
    <s v="-"/>
    <n v="31.8"/>
    <s v="-"/>
    <n v="218"/>
    <s v="-"/>
    <n v="14.1"/>
    <n v="2.2000000000000002"/>
    <n v="1.41"/>
    <n v="7.9"/>
    <n v="10.62"/>
    <s v="-"/>
    <n v="76.2"/>
    <s v="-"/>
    <n v="15.6"/>
    <s v="-"/>
    <n v="6.6"/>
    <s v="-"/>
    <n v="1.2"/>
    <s v="-"/>
    <n v="0.4"/>
    <x v="0"/>
    <x v="0"/>
    <n v="67.7637"/>
    <n v="76.5"/>
    <n v="177"/>
    <n v="51.95"/>
    <n v="41"/>
    <n v="38"/>
    <n v="11.42"/>
  </r>
  <r>
    <x v="0"/>
    <x v="2"/>
    <x v="8"/>
    <n v="28"/>
    <n v="82"/>
    <x v="2"/>
    <s v="RX"/>
    <s v="MT"/>
    <s v="ID"/>
    <s v="(+9,-9)"/>
    <n v="54.1666666666667"/>
    <n v="45.8333333333333"/>
    <n v="254"/>
    <n v="863"/>
    <n v="11"/>
    <n v="26"/>
    <n v="1.8"/>
    <n v="2.8"/>
    <n v="559"/>
    <n v="761"/>
    <n v="27"/>
    <n v="60"/>
    <n v="4.5999999999999996"/>
    <n v="4.5999999999999996"/>
    <n v="42"/>
    <n v="45"/>
    <n v="27"/>
    <n v="27"/>
    <n v="5.3"/>
    <n v="6.1"/>
    <n v="77.700020894732489"/>
    <n v="77.700020894732489"/>
    <n v="44"/>
    <n v="58"/>
    <n v="1.3"/>
    <n v="1.3"/>
    <n v="0"/>
    <n v="4.5999999999999996"/>
    <n v="4.3"/>
    <n v="7.8"/>
    <n v="7.6"/>
    <n v="128"/>
    <n v="156"/>
    <n v="10.1"/>
    <n v="10.14"/>
    <n v="4.4000000000000004"/>
    <n v="4.9000000000000004"/>
    <n v="135"/>
    <n v="106"/>
    <n v="146"/>
    <n v="147"/>
    <n v="1.7"/>
    <n v="2"/>
    <n v="99"/>
    <n v="103"/>
    <n v="309.70233333333334"/>
    <n v="312.97288888888897"/>
    <n v="5.27"/>
    <n v="4.97"/>
    <n v="16"/>
    <n v="15"/>
    <n v="47.9"/>
    <n v="45.5"/>
    <s v="-"/>
    <n v="91.5"/>
    <s v="-"/>
    <n v="30.2"/>
    <s v="-"/>
    <n v="33"/>
    <s v="-"/>
    <n v="262"/>
    <s v="-"/>
    <n v="12.9"/>
    <n v="1.67"/>
    <n v="0.89"/>
    <n v="11.63"/>
    <n v="13.4"/>
    <s v="-"/>
    <n v="10.1"/>
    <s v="-"/>
    <n v="81.2"/>
    <s v="-"/>
    <n v="10.1"/>
    <s v="-"/>
    <n v="7.8"/>
    <s v="-"/>
    <n v="0.7"/>
    <x v="0"/>
    <x v="0"/>
    <n v="77.353679999999997"/>
    <n v="84.3"/>
    <n v="190"/>
    <n v="51.12"/>
    <n v="54.5"/>
    <n v="50.5"/>
    <n v="8.24"/>
  </r>
  <r>
    <x v="0"/>
    <x v="2"/>
    <x v="9"/>
    <n v="26"/>
    <n v="90"/>
    <x v="0"/>
    <s v="-"/>
    <s v="-"/>
    <s v="-"/>
    <s v="-"/>
    <s v="-"/>
    <s v="-"/>
    <n v="820"/>
    <n v="982"/>
    <n v="14"/>
    <n v="26"/>
    <n v="2.2999999999999998"/>
    <n v="2"/>
    <n v="511"/>
    <n v="604"/>
    <n v="50"/>
    <n v="56"/>
    <n v="4.5999999999999996"/>
    <n v="4.2"/>
    <n v="53"/>
    <n v="47"/>
    <n v="24"/>
    <n v="24"/>
    <n v="5.2"/>
    <n v="5.4"/>
    <n v="106.45183652429932"/>
    <n v="120.79866842153496"/>
    <n v="29"/>
    <n v="33"/>
    <n v="1"/>
    <n v="0.9"/>
    <n v="0"/>
    <n v="4.3"/>
    <n v="4.0999999999999996"/>
    <n v="7.9"/>
    <n v="7.6"/>
    <n v="62"/>
    <n v="86"/>
    <n v="9.6999999999999993"/>
    <n v="9.4"/>
    <n v="2.2999999999999998"/>
    <n v="4.4000000000000004"/>
    <n v="96"/>
    <n v="91"/>
    <n v="147"/>
    <n v="146"/>
    <n v="1.9"/>
    <n v="2"/>
    <n v="100"/>
    <n v="105"/>
    <n v="302.66466666666668"/>
    <n v="305.0578888888889"/>
    <n v="4.93"/>
    <n v="4.54"/>
    <n v="14.4"/>
    <n v="13.2"/>
    <n v="43.8"/>
    <n v="40.200000000000003"/>
    <s v="-"/>
    <n v="88.5"/>
    <s v="-"/>
    <n v="29.1"/>
    <s v="-"/>
    <n v="32.799999999999997"/>
    <s v="-"/>
    <n v="257"/>
    <s v="-"/>
    <n v="12.6"/>
    <n v="1.46"/>
    <n v="1.1200000000000001"/>
    <n v="7.34"/>
    <n v="8.36"/>
    <s v="-"/>
    <n v="73.5"/>
    <s v="-"/>
    <n v="15.6"/>
    <s v="-"/>
    <n v="7.3"/>
    <s v="-"/>
    <n v="3.5"/>
    <s v="-"/>
    <n v="0.1"/>
    <x v="0"/>
    <x v="0"/>
    <n v="82.441199999999995"/>
    <n v="92"/>
    <n v="174.4"/>
    <n v="49.71"/>
    <n v="55"/>
    <n v="55.5"/>
    <n v="10.39"/>
  </r>
  <r>
    <x v="0"/>
    <x v="2"/>
    <x v="10"/>
    <n v="29"/>
    <n v="85"/>
    <x v="0"/>
    <s v="RR"/>
    <s v="MT"/>
    <s v="II"/>
    <s v="(+9,-9)"/>
    <n v="51"/>
    <n v="51"/>
    <n v="197"/>
    <n v="911"/>
    <n v="6"/>
    <n v="22"/>
    <n v="1.8"/>
    <n v="3"/>
    <n v="533"/>
    <n v="742"/>
    <n v="27"/>
    <n v="51"/>
    <n v="4.7"/>
    <n v="4.7"/>
    <n v="43"/>
    <n v="47"/>
    <n v="72"/>
    <n v="67"/>
    <n v="5.6"/>
    <n v="5.0999999999999996"/>
    <n v="106.45183652429932"/>
    <n v="106.45183652429932"/>
    <n v="27"/>
    <n v="35"/>
    <n v="1"/>
    <n v="1"/>
    <n v="0"/>
    <n v="4.2"/>
    <n v="4.2"/>
    <n v="8.5"/>
    <n v="8"/>
    <n v="87"/>
    <n v="98"/>
    <n v="10.4"/>
    <n v="10"/>
    <n v="4.5999999999999996"/>
    <n v="4.8"/>
    <n v="93"/>
    <n v="92"/>
    <n v="149"/>
    <n v="148"/>
    <n v="2.1"/>
    <n v="2.1"/>
    <n v="100"/>
    <n v="103"/>
    <n v="310.13766666666669"/>
    <n v="309.91911111111114"/>
    <n v="5.99"/>
    <n v="5.51"/>
    <n v="16.2"/>
    <n v="14.4"/>
    <n v="49.7"/>
    <n v="45.9"/>
    <s v="-"/>
    <n v="83.3"/>
    <s v="-"/>
    <n v="26.1"/>
    <s v="-"/>
    <n v="31.4"/>
    <s v="-"/>
    <n v="226"/>
    <s v="-"/>
    <n v="14.1"/>
    <n v="1.36"/>
    <n v="0.9"/>
    <n v="7.22"/>
    <n v="7.71"/>
    <s v="-"/>
    <n v="76.099999999999994"/>
    <s v="-"/>
    <n v="14.8"/>
    <s v="-"/>
    <n v="7.1"/>
    <s v="-"/>
    <n v="1.9"/>
    <s v="-"/>
    <n v="0.1"/>
    <x v="0"/>
    <x v="0"/>
    <n v="68.507199999999997"/>
    <n v="75.2"/>
    <n v="177.6"/>
    <n v="52.26"/>
    <n v="47.5"/>
    <n v="46"/>
    <n v="8.9"/>
  </r>
  <r>
    <x v="0"/>
    <x v="2"/>
    <x v="13"/>
    <n v="25"/>
    <n v="85"/>
    <x v="0"/>
    <s v="RX"/>
    <s v="MM"/>
    <s v="II"/>
    <s v="(+9,-9)"/>
    <n v="25"/>
    <n v="75"/>
    <n v="239"/>
    <n v="1416"/>
    <n v="3"/>
    <n v="31"/>
    <n v="1.1000000000000001"/>
    <n v="2"/>
    <n v="404"/>
    <n v="593"/>
    <n v="36"/>
    <n v="92"/>
    <n v="4.5"/>
    <n v="4.5999999999999996"/>
    <n v="61"/>
    <n v="87"/>
    <n v="42"/>
    <n v="44"/>
    <n v="5.8"/>
    <n v="7.4"/>
    <n v="106.45183652429932"/>
    <n v="94.947150652744313"/>
    <n v="37"/>
    <n v="50"/>
    <n v="1"/>
    <n v="1.1000000000000001"/>
    <n v="0.10000000000000009"/>
    <n v="4.9000000000000004"/>
    <n v="5.4"/>
    <n v="8.1"/>
    <n v="8.1999999999999993"/>
    <n v="74"/>
    <n v="108"/>
    <n v="10.199999999999999"/>
    <n v="9.5"/>
    <n v="4.5999999999999996"/>
    <n v="4.8"/>
    <n v="87"/>
    <n v="87"/>
    <n v="147"/>
    <n v="147"/>
    <n v="2.1"/>
    <n v="2.2000000000000002"/>
    <n v="99"/>
    <n v="103"/>
    <n v="307.70100000000002"/>
    <n v="310.23966666666666"/>
    <n v="4.76"/>
    <n v="4.58"/>
    <n v="14.1"/>
    <n v="13.1"/>
    <n v="41.8"/>
    <n v="40.5"/>
    <s v="-"/>
    <n v="88.4"/>
    <s v="-"/>
    <n v="28.6"/>
    <s v="-"/>
    <n v="32.299999999999997"/>
    <s v="-"/>
    <n v="250"/>
    <s v="-"/>
    <n v="13.6"/>
    <n v="1.46"/>
    <n v="1.1599999999999999"/>
    <n v="7.35"/>
    <n v="7.62"/>
    <s v="-"/>
    <n v="62"/>
    <s v="-"/>
    <n v="25.5"/>
    <s v="-"/>
    <n v="8.3000000000000007"/>
    <s v="-"/>
    <n v="3.9"/>
    <s v="-"/>
    <n v="0.3"/>
    <x v="0"/>
    <x v="1"/>
    <n v="79.512460000000004"/>
    <n v="85.7"/>
    <n v="185"/>
    <n v="52.04"/>
    <n v="50"/>
    <n v="50"/>
    <n v="7.22"/>
  </r>
  <r>
    <x v="0"/>
    <x v="2"/>
    <x v="14"/>
    <n v="28"/>
    <n v="77"/>
    <x v="1"/>
    <s v="RR"/>
    <s v="MT"/>
    <s v="ID"/>
    <s v="(+9,-9)"/>
    <n v="212.5"/>
    <n v="-112.5"/>
    <n v="198"/>
    <n v="670"/>
    <n v="4"/>
    <n v="269"/>
    <n v="1.9"/>
    <n v="3.4"/>
    <n v="501"/>
    <n v="740"/>
    <n v="32"/>
    <n v="75"/>
    <n v="5"/>
    <n v="4.9000000000000004"/>
    <n v="40"/>
    <n v="66"/>
    <n v="44"/>
    <n v="61"/>
    <n v="7"/>
    <n v="7.8"/>
    <n v="106.45183652429932"/>
    <n v="120.79866842153496"/>
    <n v="26"/>
    <n v="44"/>
    <n v="1"/>
    <n v="0.9"/>
    <n v="0"/>
    <n v="4.3"/>
    <n v="6"/>
    <n v="8.4"/>
    <n v="7.9"/>
    <n v="128"/>
    <n v="113"/>
    <n v="10.3"/>
    <n v="10.1"/>
    <n v="4.3"/>
    <n v="5"/>
    <n v="114"/>
    <n v="83"/>
    <n v="150"/>
    <n v="152"/>
    <n v="2.1"/>
    <n v="2.1"/>
    <n v="101"/>
    <n v="106"/>
    <n v="312.61466666666672"/>
    <n v="318.6561111111111"/>
    <n v="5.07"/>
    <n v="4.74"/>
    <n v="15.5"/>
    <n v="14.6"/>
    <n v="46.8"/>
    <n v="44.4"/>
    <s v="-"/>
    <n v="93.7"/>
    <s v="-"/>
    <n v="30.8"/>
    <s v="-"/>
    <n v="32.9"/>
    <s v="-"/>
    <n v="208"/>
    <s v="-"/>
    <n v="13.2"/>
    <n v="1.88"/>
    <n v="1.24"/>
    <n v="8.51"/>
    <n v="11.85"/>
    <s v="-"/>
    <n v="81.2"/>
    <s v="-"/>
    <n v="12.6"/>
    <s v="-"/>
    <n v="5.8"/>
    <s v="-"/>
    <n v="0.3"/>
    <s v="-"/>
    <n v="0.1"/>
    <x v="0"/>
    <x v="0"/>
    <n v="70.76357999999999"/>
    <n v="78.599999999999994"/>
    <n v="179"/>
    <n v="53.31"/>
    <n v="50"/>
    <n v="44"/>
    <n v="9.9700000000000006"/>
  </r>
  <r>
    <x v="0"/>
    <x v="2"/>
    <x v="15"/>
    <n v="29"/>
    <n v="80"/>
    <x v="0"/>
    <s v="-"/>
    <s v="-"/>
    <s v="-"/>
    <s v="-"/>
    <s v="-"/>
    <s v="-"/>
    <n v="402"/>
    <n v="2045"/>
    <n v="11"/>
    <n v="36"/>
    <n v="1.4"/>
    <n v="2.5"/>
    <n v="598"/>
    <n v="917"/>
    <n v="48"/>
    <n v="102"/>
    <n v="4.5999999999999996"/>
    <n v="4.5"/>
    <n v="46"/>
    <n v="52"/>
    <n v="31"/>
    <n v="29"/>
    <n v="4.8"/>
    <n v="4.8"/>
    <n v="120.79866842153496"/>
    <n v="120.79866842153496"/>
    <n v="33"/>
    <n v="41"/>
    <n v="0.9"/>
    <n v="0.9"/>
    <n v="0"/>
    <n v="4.3"/>
    <n v="5.3"/>
    <n v="8.3000000000000007"/>
    <n v="7.9"/>
    <n v="100"/>
    <n v="96"/>
    <n v="10"/>
    <n v="9.4"/>
    <n v="4.2"/>
    <n v="4.8"/>
    <n v="86"/>
    <n v="99"/>
    <n v="145"/>
    <n v="149"/>
    <n v="2.1"/>
    <n v="2"/>
    <n v="98"/>
    <n v="107"/>
    <n v="302.50644444444447"/>
    <n v="313.22633333333334"/>
    <n v="4.9000000000000004"/>
    <n v="4.5999999999999996"/>
    <n v="14.6"/>
    <n v="13.6"/>
    <n v="45.6"/>
    <n v="42.3"/>
    <s v="-"/>
    <n v="92"/>
    <s v="-"/>
    <n v="29.6"/>
    <s v="-"/>
    <n v="32.200000000000003"/>
    <s v="-"/>
    <n v="262"/>
    <s v="-"/>
    <n v="13.4"/>
    <n v="1.23"/>
    <n v="0.57999999999999996"/>
    <n v="5.26"/>
    <n v="6.25"/>
    <s v="-"/>
    <n v="73.599999999999994"/>
    <s v="-"/>
    <n v="17.899999999999999"/>
    <s v="-"/>
    <n v="6.6"/>
    <s v="-"/>
    <n v="1.6"/>
    <s v="-"/>
    <n v="0.3"/>
    <x v="0"/>
    <x v="1"/>
    <n v="72.151949999999999"/>
    <n v="81.5"/>
    <n v="175"/>
    <n v="51.49"/>
    <n v="49.5"/>
    <n v="41"/>
    <n v="11.47"/>
  </r>
  <r>
    <x v="0"/>
    <x v="2"/>
    <x v="17"/>
    <n v="29"/>
    <n v="83"/>
    <x v="0"/>
    <s v="-"/>
    <s v="-"/>
    <s v="-"/>
    <s v="-"/>
    <s v="-"/>
    <s v="-"/>
    <n v="106"/>
    <n v="238"/>
    <n v="3"/>
    <n v="15"/>
    <n v="2.1"/>
    <n v="3.2"/>
    <n v="281"/>
    <n v="343"/>
    <n v="21"/>
    <n v="28"/>
    <n v="4.5"/>
    <n v="4.5999999999999996"/>
    <n v="35"/>
    <n v="30"/>
    <n v="22"/>
    <n v="25"/>
    <n v="5.3"/>
    <n v="5.3"/>
    <n v="120.79866842153496"/>
    <n v="120.79866842153496"/>
    <n v="30"/>
    <n v="40"/>
    <n v="0.9"/>
    <n v="0.9"/>
    <n v="0"/>
    <n v="3.7"/>
    <n v="4.2"/>
    <n v="7.8"/>
    <n v="7.6"/>
    <n v="71"/>
    <n v="99"/>
    <n v="9.8000000000000007"/>
    <n v="9.8000000000000007"/>
    <n v="4.5"/>
    <n v="4.5999999999999996"/>
    <n v="99"/>
    <n v="164"/>
    <n v="148"/>
    <n v="150"/>
    <n v="2"/>
    <n v="2.2000000000000002"/>
    <n v="100"/>
    <n v="106"/>
    <n v="308.97500000000002"/>
    <n v="318.70044444444443"/>
    <n v="4.8899999999999997"/>
    <n v="4.2300000000000004"/>
    <n v="14.6"/>
    <n v="12.7"/>
    <n v="45.6"/>
    <n v="39.1"/>
    <s v="-"/>
    <n v="90.1"/>
    <s v="-"/>
    <n v="29.3"/>
    <s v="-"/>
    <n v="32.5"/>
    <s v="-"/>
    <n v="252"/>
    <s v="-"/>
    <n v="12.7"/>
    <n v="1.43"/>
    <n v="1.07"/>
    <n v="7.25"/>
    <n v="8.2899999999999991"/>
    <s v="-"/>
    <n v="65.900000000000006"/>
    <s v="-"/>
    <n v="23.8"/>
    <s v="-"/>
    <n v="10"/>
    <s v="-"/>
    <n v="0.2"/>
    <s v="-"/>
    <n v="0.1"/>
    <x v="0"/>
    <x v="0"/>
    <n v="72.809100000000001"/>
    <n v="81.900000000000006"/>
    <n v="180.5"/>
    <n v="51.93"/>
    <n v="44.5"/>
    <n v="46.5"/>
    <n v="11.1"/>
  </r>
  <r>
    <x v="0"/>
    <x v="2"/>
    <x v="18"/>
    <n v="28"/>
    <n v="81"/>
    <x v="0"/>
    <s v="-"/>
    <s v="-"/>
    <s v="-"/>
    <s v="-"/>
    <s v="-"/>
    <s v="-"/>
    <n v="143"/>
    <n v="509"/>
    <n v="3"/>
    <n v="17"/>
    <n v="1.8"/>
    <n v="2.7"/>
    <n v="406"/>
    <n v="583"/>
    <n v="24"/>
    <n v="43"/>
    <n v="4.4000000000000004"/>
    <n v="4.5"/>
    <n v="31"/>
    <n v="16"/>
    <n v="13"/>
    <n v="16"/>
    <n v="6.8"/>
    <n v="7.6"/>
    <n v="106.45183652429932"/>
    <n v="106.45183652429932"/>
    <n v="33"/>
    <n v="34"/>
    <n v="1"/>
    <n v="1"/>
    <n v="0"/>
    <n v="4"/>
    <n v="3.8"/>
    <n v="7.9"/>
    <n v="7.8"/>
    <n v="94"/>
    <n v="137"/>
    <n v="9.9"/>
    <n v="9.8000000000000007"/>
    <n v="4.9000000000000004"/>
    <n v="4.5999999999999996"/>
    <n v="127"/>
    <n v="90"/>
    <n v="144"/>
    <n v="148"/>
    <n v="2"/>
    <n v="2.1"/>
    <n v="100"/>
    <n v="107"/>
    <n v="304.56788888888889"/>
    <n v="309.2526666666667"/>
    <n v="4.96"/>
    <n v="4.84"/>
    <n v="14.1"/>
    <n v="13.7"/>
    <n v="44.3"/>
    <n v="42.7"/>
    <s v="-"/>
    <n v="88.2"/>
    <s v="-"/>
    <n v="28.3"/>
    <s v="-"/>
    <n v="32.1"/>
    <s v="-"/>
    <n v="283"/>
    <s v="-"/>
    <n v="13.5"/>
    <n v="1.95"/>
    <n v="1.42"/>
    <n v="5.43"/>
    <n v="6.07"/>
    <s v="-"/>
    <n v="65.8"/>
    <s v="-"/>
    <n v="22.7"/>
    <s v="-"/>
    <n v="10"/>
    <s v="-"/>
    <n v="1.2"/>
    <s v="-"/>
    <n v="0.3"/>
    <x v="0"/>
    <x v="0"/>
    <n v="71.943809999999999"/>
    <n v="81.099999999999994"/>
    <n v="178"/>
    <n v="51.6"/>
    <n v="45.5"/>
    <n v="43"/>
    <n v="11.29"/>
  </r>
  <r>
    <x v="0"/>
    <x v="2"/>
    <x v="19"/>
    <n v="26"/>
    <n v="68"/>
    <x v="0"/>
    <s v="-"/>
    <s v="-"/>
    <s v="-"/>
    <s v="-"/>
    <s v="-"/>
    <s v="-"/>
    <n v="87"/>
    <n v="271"/>
    <n v="3"/>
    <n v="20"/>
    <n v="1.6"/>
    <n v="2.5"/>
    <n v="392"/>
    <n v="511"/>
    <n v="31"/>
    <n v="47"/>
    <n v="4.9000000000000004"/>
    <n v="5"/>
    <n v="59"/>
    <n v="80"/>
    <n v="23"/>
    <n v="25"/>
    <n v="4.8"/>
    <n v="4.9000000000000004"/>
    <n v="120.79866842153496"/>
    <n v="125.17286966375688"/>
    <n v="35"/>
    <n v="41"/>
    <n v="0.9"/>
    <n v="0.8"/>
    <n v="0"/>
    <n v="4.3"/>
    <n v="4.7"/>
    <n v="9"/>
    <n v="8.5"/>
    <n v="86"/>
    <n v="150"/>
    <n v="10.5"/>
    <n v="10.4"/>
    <n v="4.0999999999999996"/>
    <n v="4.5999999999999996"/>
    <n v="88"/>
    <n v="95"/>
    <n v="146"/>
    <n v="151"/>
    <n v="2.2000000000000002"/>
    <n v="2.1"/>
    <n v="95"/>
    <n v="103"/>
    <n v="304.6415555555555"/>
    <n v="316.31877777777777"/>
    <n v="5.07"/>
    <n v="4.9800000000000004"/>
    <n v="15.7"/>
    <n v="15.2"/>
    <n v="43.9"/>
    <n v="45.8"/>
    <s v="-"/>
    <n v="92"/>
    <s v="-"/>
    <n v="30.5"/>
    <s v="-"/>
    <n v="33.200000000000003"/>
    <s v="-"/>
    <n v="293"/>
    <s v="-"/>
    <n v="13"/>
    <n v="1.72"/>
    <n v="0.96"/>
    <n v="10.73"/>
    <n v="8.2899999999999991"/>
    <s v="-"/>
    <n v="73.3"/>
    <s v="-"/>
    <n v="17.7"/>
    <s v="-"/>
    <n v="6.9"/>
    <s v="-"/>
    <n v="1.7"/>
    <s v="-"/>
    <n v="0.4"/>
    <x v="0"/>
    <x v="0"/>
    <n v="62.5396"/>
    <n v="68"/>
    <n v="173"/>
    <n v="55.9"/>
    <n v="39"/>
    <n v="39"/>
    <n v="8.0299999999999994"/>
  </r>
  <r>
    <x v="0"/>
    <x v="2"/>
    <x v="20"/>
    <n v="27"/>
    <n v="80"/>
    <x v="0"/>
    <s v="-"/>
    <s v="-"/>
    <s v="-"/>
    <s v="-"/>
    <s v="-"/>
    <s v="-"/>
    <n v="225"/>
    <n v="976"/>
    <n v="4"/>
    <n v="23"/>
    <n v="1.4"/>
    <n v="2.9"/>
    <n v="501"/>
    <n v="763"/>
    <n v="29"/>
    <n v="55"/>
    <n v="4.5"/>
    <n v="4.7"/>
    <n v="41"/>
    <n v="62"/>
    <n v="32"/>
    <n v="33"/>
    <n v="6.3"/>
    <n v="7.1"/>
    <n v="94.947150652744313"/>
    <n v="94.947150652744313"/>
    <n v="25"/>
    <n v="44"/>
    <n v="1.1000000000000001"/>
    <n v="1.1000000000000001"/>
    <n v="0"/>
    <n v="4.3"/>
    <n v="4.7"/>
    <n v="7.9"/>
    <n v="8"/>
    <n v="77"/>
    <n v="84"/>
    <n v="9.6999999999999993"/>
    <n v="9.9"/>
    <n v="4.5999999999999996"/>
    <n v="4.8"/>
    <n v="123"/>
    <n v="119"/>
    <n v="147"/>
    <n v="149"/>
    <n v="2.1"/>
    <n v="2.1"/>
    <n v="99"/>
    <n v="105"/>
    <n v="308.00100000000003"/>
    <n v="315.00411111111111"/>
    <n v="5.54"/>
    <n v="5.39"/>
    <n v="14.9"/>
    <n v="14.7"/>
    <n v="47.1"/>
    <n v="44.7"/>
    <s v="-"/>
    <n v="82.9"/>
    <s v="-"/>
    <n v="27.3"/>
    <s v="-"/>
    <n v="32.9"/>
    <s v="-"/>
    <n v="239"/>
    <s v="-"/>
    <n v="13"/>
    <n v="1.22"/>
    <n v="0.86"/>
    <n v="7.05"/>
    <n v="5.49"/>
    <s v="-"/>
    <n v="60.1"/>
    <s v="-"/>
    <n v="30.1"/>
    <s v="-"/>
    <n v="7.3"/>
    <s v="-"/>
    <n v="2"/>
    <s v="-"/>
    <n v="0.5"/>
    <x v="0"/>
    <x v="0"/>
    <n v="70.30368"/>
    <n v="82.4"/>
    <n v="168"/>
    <n v="50.7"/>
    <n v="60"/>
    <n v="58"/>
    <n v="14.68"/>
  </r>
  <r>
    <x v="0"/>
    <x v="3"/>
    <x v="1"/>
    <n v="26"/>
    <n v="70"/>
    <x v="0"/>
    <s v="RR"/>
    <s v="MT"/>
    <s v="II"/>
    <s v="(+9,-9)"/>
    <n v="50"/>
    <n v="50"/>
    <n v="154"/>
    <n v="1198"/>
    <n v="3"/>
    <n v="32"/>
    <s v="-"/>
    <s v="-"/>
    <n v="486"/>
    <n v="1062"/>
    <n v="25"/>
    <n v="84"/>
    <n v="4.8"/>
    <n v="4.4000000000000004"/>
    <n v="38"/>
    <n v="26"/>
    <n v="23"/>
    <n v="25"/>
    <n v="4.7"/>
    <n v="7.8"/>
    <n v="56.313750545959742"/>
    <n v="94.947150652744313"/>
    <n v="46"/>
    <n v="63"/>
    <n v="1.7"/>
    <n v="1.1000000000000001"/>
    <n v="0"/>
    <n v="4.2"/>
    <n v="4.2"/>
    <n v="7.6"/>
    <n v="6.9"/>
    <n v="101"/>
    <s v="-"/>
    <n v="9.1"/>
    <n v="10"/>
    <n v="4.3"/>
    <n v="4.8"/>
    <n v="99"/>
    <n v="84"/>
    <n v="144"/>
    <n v="143"/>
    <n v="2"/>
    <n v="2.2000000000000002"/>
    <n v="102"/>
    <n v="111"/>
    <n v="303.8296666666667"/>
    <n v="304.77466666666669"/>
    <n v="5.04"/>
    <n v="4.16"/>
    <n v="14.6"/>
    <n v="12.8"/>
    <n v="45.2"/>
    <n v="38.1"/>
    <n v="89.7"/>
    <n v="91.6"/>
    <n v="29"/>
    <n v="30.8"/>
    <n v="32.299999999999997"/>
    <n v="33.6"/>
    <n v="295"/>
    <n v="242"/>
    <n v="12.9"/>
    <n v="11.8"/>
    <n v="0.98"/>
    <s v="-"/>
    <n v="6.62"/>
    <n v="7.39"/>
    <n v="61.1"/>
    <n v="62"/>
    <n v="29.3"/>
    <n v="22"/>
    <n v="8.5"/>
    <n v="15"/>
    <n v="0.8"/>
    <n v="1"/>
    <n v="0.3"/>
    <n v="0"/>
    <x v="0"/>
    <x v="1"/>
    <n v="71.28528"/>
    <n v="75.900000000000006"/>
    <n v="171"/>
    <n v="54.68"/>
    <n v="42"/>
    <n v="43"/>
    <n v="6.08"/>
  </r>
  <r>
    <x v="0"/>
    <x v="3"/>
    <x v="2"/>
    <n v="26"/>
    <n v="74"/>
    <x v="0"/>
    <s v="RX"/>
    <s v="MM"/>
    <s v="ID"/>
    <s v="(+9,+9)"/>
    <n v="50"/>
    <n v="50"/>
    <n v="289"/>
    <n v="2259"/>
    <n v="3"/>
    <n v="45"/>
    <s v="-"/>
    <s v="-"/>
    <n v="632"/>
    <s v="-"/>
    <n v="27"/>
    <s v="-"/>
    <n v="4.9000000000000004"/>
    <s v="-"/>
    <n v="38"/>
    <s v="-"/>
    <n v="22"/>
    <s v="-"/>
    <n v="3.9"/>
    <s v="-"/>
    <n v="49.277519357398788"/>
    <n v="94.947150652744313"/>
    <n v="43"/>
    <n v="45"/>
    <n v="1.9"/>
    <n v="1.1000000000000001"/>
    <n v="0"/>
    <n v="5"/>
    <n v="4.0999999999999996"/>
    <n v="7.5"/>
    <s v="-"/>
    <n v="140"/>
    <s v="-"/>
    <n v="9"/>
    <n v="9.9"/>
    <n v="4.9000000000000004"/>
    <n v="4.3"/>
    <n v="96"/>
    <n v="89"/>
    <n v="146"/>
    <n v="146"/>
    <n v="2"/>
    <n v="2.2999999999999998"/>
    <n v="101"/>
    <n v="104"/>
    <n v="307.97400000000005"/>
    <n v="306.74411111111118"/>
    <n v="5.0999999999999996"/>
    <n v="4.09"/>
    <n v="15.3"/>
    <n v="12.9"/>
    <n v="46.9"/>
    <n v="38.6"/>
    <n v="92"/>
    <n v="94.4"/>
    <n v="30"/>
    <n v="31.5"/>
    <n v="32.6"/>
    <n v="33.4"/>
    <n v="234"/>
    <n v="194"/>
    <n v="11.8"/>
    <n v="11.4"/>
    <n v="0.41"/>
    <s v="-"/>
    <n v="5.44"/>
    <n v="5.46"/>
    <n v="59.2"/>
    <n v="66"/>
    <n v="31.6"/>
    <n v="22"/>
    <n v="6.4"/>
    <n v="10"/>
    <n v="2.2000000000000002"/>
    <n v="2"/>
    <n v="0.6"/>
    <n v="0"/>
    <x v="0"/>
    <x v="1"/>
    <n v="72.293760000000006"/>
    <n v="79.2"/>
    <n v="174"/>
    <n v="53.64"/>
    <n v="49.5"/>
    <n v="49.5"/>
    <n v="8.7200000000000006"/>
  </r>
  <r>
    <x v="0"/>
    <x v="3"/>
    <x v="3"/>
    <n v="25"/>
    <n v="84"/>
    <x v="0"/>
    <s v="RR"/>
    <s v="TT"/>
    <s v="DD"/>
    <s v="(+9,-9)"/>
    <s v="-"/>
    <s v="-"/>
    <n v="280"/>
    <n v="1177"/>
    <n v="55"/>
    <n v="45"/>
    <s v="-"/>
    <s v="-"/>
    <n v="306"/>
    <s v="-"/>
    <n v="49"/>
    <s v="-"/>
    <n v="4.5999999999999996"/>
    <s v="-"/>
    <n v="58"/>
    <s v="-"/>
    <n v="15"/>
    <s v="-"/>
    <n v="5"/>
    <s v="-"/>
    <n v="85.533385678368745"/>
    <n v="71.088527013625097"/>
    <n v="36"/>
    <n v="56"/>
    <n v="1.2"/>
    <n v="1.4"/>
    <n v="0.19999999999999996"/>
    <n v="5.2"/>
    <n v="4.2"/>
    <n v="7.6"/>
    <s v="-"/>
    <n v="121"/>
    <s v="-"/>
    <n v="9.1999999999999993"/>
    <n v="10"/>
    <n v="5"/>
    <n v="4.4000000000000004"/>
    <n v="102"/>
    <n v="107"/>
    <n v="146"/>
    <n v="143"/>
    <n v="1.9"/>
    <n v="2"/>
    <n v="103"/>
    <n v="104"/>
    <n v="307.37666666666667"/>
    <n v="304.33344444444447"/>
    <n v="5.43"/>
    <n v="4.46"/>
    <n v="15.2"/>
    <n v="13.5"/>
    <n v="47.6"/>
    <n v="39.700000000000003"/>
    <n v="87.7"/>
    <n v="89"/>
    <n v="28"/>
    <n v="30.3"/>
    <n v="31.9"/>
    <n v="34"/>
    <n v="263"/>
    <n v="252"/>
    <n v="12.5"/>
    <n v="11.3"/>
    <n v="0.95"/>
    <s v="-"/>
    <n v="3.87"/>
    <n v="6.88"/>
    <n v="38.200000000000003"/>
    <n v="58"/>
    <n v="51.2"/>
    <n v="30"/>
    <n v="7.8"/>
    <n v="11"/>
    <n v="1.8"/>
    <n v="1"/>
    <n v="1"/>
    <n v="0"/>
    <x v="0"/>
    <x v="1"/>
    <n v="75.355769999999993"/>
    <n v="84.3"/>
    <n v="178"/>
    <n v="52.69"/>
    <n v="60"/>
    <n v="57"/>
    <n v="10.61"/>
  </r>
  <r>
    <x v="0"/>
    <x v="3"/>
    <x v="4"/>
    <n v="33"/>
    <n v="79"/>
    <x v="0"/>
    <s v="RR"/>
    <s v="MT"/>
    <s v="II"/>
    <s v="(+9,-9)"/>
    <n v="50"/>
    <n v="50"/>
    <n v="96"/>
    <n v="2700"/>
    <n v="3"/>
    <n v="40"/>
    <s v="-"/>
    <s v="-"/>
    <n v="557"/>
    <n v="1451"/>
    <n v="22"/>
    <n v="96"/>
    <n v="4.8"/>
    <n v="4.2"/>
    <n v="33"/>
    <n v="25"/>
    <n v="25"/>
    <n v="23"/>
    <n v="5.5"/>
    <n v="7.6"/>
    <n v="85.533385678368745"/>
    <n v="77.700020894732489"/>
    <n v="44"/>
    <n v="80"/>
    <n v="1.2"/>
    <n v="1.3"/>
    <n v="0.10000000000000009"/>
    <n v="4.2"/>
    <n v="4.4000000000000004"/>
    <n v="7.6"/>
    <n v="6.5"/>
    <n v="104"/>
    <s v="-"/>
    <n v="8.9"/>
    <n v="9.8000000000000007"/>
    <n v="4.5999999999999996"/>
    <n v="5.0999999999999996"/>
    <n v="143"/>
    <n v="92"/>
    <n v="146"/>
    <n v="142"/>
    <n v="2"/>
    <n v="2.2000000000000002"/>
    <n v="101"/>
    <n v="108"/>
    <n v="310.58544444444442"/>
    <n v="306.8171111111111"/>
    <n v="4.4400000000000004"/>
    <n v="3.43"/>
    <n v="13.2"/>
    <n v="10.7"/>
    <n v="42.1"/>
    <n v="32.799999999999997"/>
    <n v="94.8"/>
    <n v="95.6"/>
    <n v="29.7"/>
    <n v="31.2"/>
    <n v="31.4"/>
    <n v="32.6"/>
    <n v="239"/>
    <n v="168"/>
    <n v="11.9"/>
    <n v="11.5"/>
    <n v="1.78"/>
    <s v="-"/>
    <n v="7.11"/>
    <n v="6.93"/>
    <n v="69.900000000000006"/>
    <n v="60"/>
    <n v="22.9"/>
    <n v="24"/>
    <n v="4.0999999999999996"/>
    <n v="15"/>
    <n v="3"/>
    <n v="1"/>
    <n v="0.1"/>
    <n v="0"/>
    <x v="0"/>
    <x v="1"/>
    <n v="67.787359999999993"/>
    <n v="79.599999999999994"/>
    <n v="182"/>
    <n v="51.21"/>
    <n v="51"/>
    <n v="49"/>
    <n v="14.84"/>
  </r>
  <r>
    <x v="0"/>
    <x v="3"/>
    <x v="5"/>
    <n v="31"/>
    <n v="89"/>
    <x v="0"/>
    <s v="XX"/>
    <s v="MT"/>
    <s v="ID"/>
    <s v="(-9,-9)"/>
    <n v="100"/>
    <n v="0"/>
    <n v="230"/>
    <n v="1417"/>
    <n v="3"/>
    <n v="27"/>
    <s v="-"/>
    <s v="-"/>
    <n v="617"/>
    <n v="1326"/>
    <n v="32"/>
    <n v="106"/>
    <n v="4.5999999999999996"/>
    <n v="4.0999999999999996"/>
    <n v="46"/>
    <n v="22"/>
    <n v="19"/>
    <n v="24"/>
    <n v="8"/>
    <n v="10.1"/>
    <n v="85.533385678368745"/>
    <n v="94.947150652744313"/>
    <n v="35"/>
    <n v="46"/>
    <n v="1.2"/>
    <n v="1.1000000000000001"/>
    <n v="0"/>
    <n v="4.9000000000000004"/>
    <n v="4.7"/>
    <n v="7.9"/>
    <n v="7.6"/>
    <n v="90"/>
    <s v="-"/>
    <n v="8.5"/>
    <n v="9.5"/>
    <n v="4.7"/>
    <n v="5.2"/>
    <n v="98"/>
    <n v="90"/>
    <n v="148"/>
    <n v="140"/>
    <n v="2.1"/>
    <n v="2.4"/>
    <n v="104"/>
    <n v="108"/>
    <n v="310.11644444444443"/>
    <n v="297.48866666666669"/>
    <n v="4.54"/>
    <n v="4"/>
    <n v="12.9"/>
    <n v="12.2"/>
    <n v="42"/>
    <n v="36.1"/>
    <n v="92.5"/>
    <n v="90.3"/>
    <n v="28.4"/>
    <n v="30.5"/>
    <n v="30.7"/>
    <n v="33.799999999999997"/>
    <n v="270"/>
    <n v="226"/>
    <n v="13.9"/>
    <n v="12.9"/>
    <n v="1"/>
    <s v="-"/>
    <n v="9.42"/>
    <n v="8.74"/>
    <n v="67"/>
    <n v="69"/>
    <n v="24.2"/>
    <n v="20"/>
    <n v="7.6"/>
    <n v="10"/>
    <n v="0.8"/>
    <n v="1"/>
    <n v="0.4"/>
    <n v="0"/>
    <x v="0"/>
    <x v="1"/>
    <n v="74.95620000000001"/>
    <n v="90.2"/>
    <n v="184.5"/>
    <n v="48.67"/>
    <n v="54"/>
    <n v="47"/>
    <n v="16.899999999999999"/>
  </r>
  <r>
    <x v="0"/>
    <x v="3"/>
    <x v="6"/>
    <n v="32"/>
    <n v="96"/>
    <x v="1"/>
    <s v="RX"/>
    <s v="MM"/>
    <s v="ID"/>
    <s v="(+9,+9)"/>
    <n v="45.8333333333333"/>
    <n v="54.1666666666667"/>
    <n v="478"/>
    <n v="7093"/>
    <n v="7"/>
    <n v="61"/>
    <s v="-"/>
    <s v="-"/>
    <n v="586"/>
    <n v="740"/>
    <n v="34"/>
    <n v="156"/>
    <n v="4.5999999999999996"/>
    <n v="4.0999999999999996"/>
    <n v="44"/>
    <n v="48"/>
    <n v="21"/>
    <n v="23"/>
    <n v="4.3"/>
    <n v="6.4"/>
    <n v="77.700020894732489"/>
    <n v="94.947150652744313"/>
    <n v="46"/>
    <n v="56"/>
    <n v="1.3"/>
    <n v="1.1000000000000001"/>
    <n v="0"/>
    <n v="4.5"/>
    <n v="3.8"/>
    <n v="8"/>
    <n v="7.3"/>
    <n v="73"/>
    <s v="-"/>
    <n v="9.14"/>
    <n v="9.9"/>
    <n v="4.4000000000000004"/>
    <n v="5"/>
    <n v="105"/>
    <n v="112"/>
    <n v="143"/>
    <n v="138"/>
    <n v="1.8"/>
    <n v="2.2999999999999998"/>
    <n v="104"/>
    <n v="109"/>
    <n v="302.53900000000004"/>
    <n v="296.4688888888889"/>
    <n v="4.92"/>
    <n v="4.2"/>
    <n v="14.4"/>
    <n v="12.9"/>
    <n v="44.2"/>
    <n v="38.799999999999997"/>
    <n v="89.8"/>
    <n v="92.4"/>
    <n v="29.3"/>
    <n v="30.7"/>
    <n v="32.6"/>
    <n v="33.200000000000003"/>
    <n v="175"/>
    <n v="149"/>
    <n v="12.6"/>
    <n v="11.6"/>
    <n v="0.44"/>
    <s v="-"/>
    <n v="6.13"/>
    <n v="7.47"/>
    <n v="42.5"/>
    <n v="58"/>
    <n v="46.3"/>
    <n v="27"/>
    <n v="7.8"/>
    <n v="11"/>
    <n v="2.9"/>
    <n v="3"/>
    <n v="0.5"/>
    <n v="1"/>
    <x v="0"/>
    <x v="1"/>
    <n v="82.029080000000008"/>
    <n v="90.7"/>
    <n v="191"/>
    <n v="50.01"/>
    <n v="56.5"/>
    <n v="54.5"/>
    <n v="9.56"/>
  </r>
  <r>
    <x v="0"/>
    <x v="3"/>
    <x v="8"/>
    <n v="28"/>
    <n v="82"/>
    <x v="0"/>
    <s v="RX"/>
    <s v="MT"/>
    <s v="ID"/>
    <s v="(+9,-9)"/>
    <n v="54.1666666666667"/>
    <n v="45.8333333333333"/>
    <n v="170"/>
    <n v="1374"/>
    <n v="3"/>
    <n v="31"/>
    <s v="-"/>
    <s v="-"/>
    <n v="528"/>
    <n v="236"/>
    <n v="25"/>
    <s v="-"/>
    <n v="4.5999999999999996"/>
    <s v="-"/>
    <n v="36"/>
    <s v="-"/>
    <n v="19"/>
    <s v="-"/>
    <n v="4.2"/>
    <s v="-"/>
    <n v="85.533385678368745"/>
    <n v="77.700020894732489"/>
    <n v="34"/>
    <n v="45"/>
    <n v="1.2"/>
    <n v="1.3"/>
    <n v="0.10000000000000009"/>
    <n v="4.8"/>
    <n v="3.7"/>
    <n v="7.4"/>
    <s v="-"/>
    <n v="102"/>
    <s v="-"/>
    <n v="9.1"/>
    <n v="10"/>
    <n v="4.7"/>
    <n v="4.5"/>
    <n v="88"/>
    <n v="93"/>
    <n v="145"/>
    <n v="147"/>
    <n v="2.1"/>
    <n v="2.1"/>
    <n v="101"/>
    <n v="104"/>
    <n v="303.7308888888889"/>
    <n v="309.23166666666668"/>
    <n v="5.09"/>
    <n v="4.26"/>
    <n v="15.7"/>
    <n v="13.6"/>
    <n v="47.7"/>
    <n v="40.6"/>
    <n v="93.7"/>
    <n v="95.3"/>
    <n v="30.8"/>
    <n v="31.9"/>
    <n v="32.9"/>
    <n v="33.5"/>
    <n v="261"/>
    <n v="187"/>
    <n v="12.2"/>
    <n v="11.2"/>
    <n v="0.35"/>
    <s v="-"/>
    <n v="7.22"/>
    <n v="7.45"/>
    <n v="66.8"/>
    <n v="66"/>
    <n v="21.6"/>
    <n v="21"/>
    <n v="7.3"/>
    <n v="12"/>
    <n v="4"/>
    <n v="1"/>
    <n v="0.3"/>
    <n v="0"/>
    <x v="0"/>
    <x v="1"/>
    <n v="77.353679999999997"/>
    <n v="84.3"/>
    <n v="190"/>
    <n v="51.12"/>
    <n v="54.5"/>
    <n v="50.5"/>
    <n v="8.24"/>
  </r>
  <r>
    <x v="0"/>
    <x v="3"/>
    <x v="9"/>
    <n v="26"/>
    <n v="90"/>
    <x v="0"/>
    <s v="-"/>
    <s v="-"/>
    <s v="-"/>
    <s v="-"/>
    <s v="-"/>
    <s v="-"/>
    <n v="288"/>
    <n v="3021"/>
    <n v="3"/>
    <n v="25"/>
    <s v="-"/>
    <s v="-"/>
    <n v="673"/>
    <n v="784"/>
    <n v="30"/>
    <n v="67"/>
    <n v="4.5"/>
    <n v="2.9"/>
    <n v="46"/>
    <n v="40"/>
    <n v="21"/>
    <n v="17"/>
    <n v="4.2"/>
    <n v="5.2"/>
    <n v="106.45183652429932"/>
    <n v="120.79866842153496"/>
    <n v="23"/>
    <n v="30"/>
    <n v="1"/>
    <n v="0.9"/>
    <n v="0"/>
    <n v="4.3"/>
    <n v="3.5"/>
    <n v="7.7"/>
    <n v="5.5"/>
    <n v="111"/>
    <s v="-"/>
    <n v="9"/>
    <n v="7.6"/>
    <n v="4.5999999999999996"/>
    <n v="3.8"/>
    <n v="100"/>
    <n v="86"/>
    <n v="144"/>
    <n v="125"/>
    <n v="2.1"/>
    <n v="1.8"/>
    <n v="100"/>
    <n v="97"/>
    <n v="300.61822222222224"/>
    <n v="264.06244444444451"/>
    <n v="4.82"/>
    <n v="3.83"/>
    <n v="13.9"/>
    <n v="11.8"/>
    <n v="43.5"/>
    <n v="35.1"/>
    <n v="90.2"/>
    <n v="91.6"/>
    <n v="28.8"/>
    <n v="30.8"/>
    <n v="32"/>
    <n v="33.6"/>
    <n v="321"/>
    <n v="220"/>
    <n v="12.6"/>
    <n v="11.8"/>
    <n v="0.71"/>
    <s v="-"/>
    <n v="6.26"/>
    <n v="7.66"/>
    <n v="54.4"/>
    <n v="62"/>
    <n v="31.3"/>
    <n v="25"/>
    <n v="8.5"/>
    <n v="11"/>
    <n v="5.6"/>
    <n v="2"/>
    <n v="0.2"/>
    <n v="0"/>
    <x v="0"/>
    <x v="1"/>
    <n v="82.441199999999995"/>
    <n v="92"/>
    <n v="174.4"/>
    <n v="49.71"/>
    <n v="55"/>
    <n v="55.5"/>
    <n v="10.39"/>
  </r>
  <r>
    <x v="0"/>
    <x v="3"/>
    <x v="13"/>
    <n v="25"/>
    <n v="85"/>
    <x v="0"/>
    <s v="RX"/>
    <s v="MM"/>
    <s v="II"/>
    <s v="(+9,-9)"/>
    <n v="25"/>
    <n v="75"/>
    <n v="206"/>
    <n v="1593"/>
    <n v="3"/>
    <n v="22"/>
    <s v="-"/>
    <s v="-"/>
    <n v="396"/>
    <n v="779"/>
    <n v="30"/>
    <n v="78"/>
    <n v="4.7"/>
    <n v="4.4000000000000004"/>
    <n v="48"/>
    <n v="29"/>
    <n v="32"/>
    <n v="39"/>
    <n v="4.5"/>
    <n v="7"/>
    <n v="106.45183652429932"/>
    <n v="94.947150652744313"/>
    <n v="38"/>
    <n v="50"/>
    <n v="1"/>
    <n v="1.1000000000000001"/>
    <n v="0.10000000000000009"/>
    <n v="4.5999999999999996"/>
    <n v="3.9"/>
    <n v="8"/>
    <n v="7.5"/>
    <n v="123"/>
    <s v="-"/>
    <n v="9.1"/>
    <n v="10.4"/>
    <n v="4.9000000000000004"/>
    <n v="4.8"/>
    <n v="86"/>
    <n v="89"/>
    <n v="146"/>
    <n v="143"/>
    <n v="2.1"/>
    <n v="2.5"/>
    <n v="103"/>
    <n v="110"/>
    <n v="306.50177777777782"/>
    <n v="302.92744444444446"/>
    <n v="4.93"/>
    <n v="4.34"/>
    <n v="14.2"/>
    <n v="13.1"/>
    <n v="44.3"/>
    <n v="39.6"/>
    <n v="89.9"/>
    <n v="91.2"/>
    <n v="28.8"/>
    <n v="30.2"/>
    <n v="32.1"/>
    <n v="33.1"/>
    <n v="278"/>
    <n v="243"/>
    <n v="13.1"/>
    <n v="12.7"/>
    <n v="0.31"/>
    <s v="-"/>
    <n v="6.52"/>
    <n v="7.54"/>
    <n v="55.6"/>
    <n v="55"/>
    <n v="30.2"/>
    <n v="31"/>
    <n v="8.6999999999999993"/>
    <n v="9"/>
    <n v="5.2"/>
    <n v="4"/>
    <n v="0.3"/>
    <n v="1"/>
    <x v="0"/>
    <x v="1"/>
    <n v="79.512460000000004"/>
    <n v="85.7"/>
    <n v="185"/>
    <n v="52.04"/>
    <n v="50"/>
    <n v="50"/>
    <n v="7.22"/>
  </r>
  <r>
    <x v="0"/>
    <x v="3"/>
    <x v="14"/>
    <n v="28"/>
    <n v="77"/>
    <x v="1"/>
    <s v="RR"/>
    <s v="MT"/>
    <s v="ID"/>
    <s v="(+9,-9)"/>
    <n v="212.5"/>
    <n v="-112.5"/>
    <n v="85"/>
    <n v="4520"/>
    <n v="3"/>
    <n v="39"/>
    <s v="-"/>
    <s v="-"/>
    <n v="484"/>
    <n v="1430"/>
    <n v="21"/>
    <n v="121"/>
    <n v="4.7"/>
    <n v="4.5999999999999996"/>
    <n v="38"/>
    <n v="33"/>
    <n v="30"/>
    <n v="37"/>
    <n v="6.6"/>
    <n v="9.1"/>
    <n v="94.947150652744313"/>
    <n v="85.533385678368745"/>
    <n v="23"/>
    <n v="59"/>
    <n v="1.1000000000000001"/>
    <n v="1.2"/>
    <n v="9.9999999999999867E-2"/>
    <n v="4.5"/>
    <n v="4.5"/>
    <n v="7.3"/>
    <n v="7.1"/>
    <n v="106"/>
    <s v="-"/>
    <n v="9"/>
    <n v="10.4"/>
    <n v="4.8"/>
    <n v="5.3"/>
    <n v="105"/>
    <n v="75"/>
    <n v="145"/>
    <n v="145"/>
    <n v="2"/>
    <n v="2.4"/>
    <n v="102"/>
    <n v="110"/>
    <n v="303.16966666666667"/>
    <n v="308.18300000000005"/>
    <n v="4.76"/>
    <n v="4.0199999999999996"/>
    <n v="14.6"/>
    <n v="13.3"/>
    <n v="44.6"/>
    <n v="39"/>
    <n v="93.7"/>
    <n v="97"/>
    <n v="30.7"/>
    <n v="33.1"/>
    <n v="32.700000000000003"/>
    <n v="34.1"/>
    <n v="200"/>
    <n v="153"/>
    <n v="12.6"/>
    <n v="12.3"/>
    <n v="0.87"/>
    <s v="-"/>
    <n v="7.02"/>
    <n v="7.08"/>
    <n v="62.4"/>
    <n v="54"/>
    <n v="29.5"/>
    <n v="30"/>
    <n v="6.4"/>
    <n v="14"/>
    <n v="1.6"/>
    <n v="2"/>
    <n v="0.1"/>
    <n v="0"/>
    <x v="0"/>
    <x v="1"/>
    <n v="70.76357999999999"/>
    <n v="78.599999999999994"/>
    <n v="179"/>
    <n v="53.31"/>
    <n v="50"/>
    <n v="44"/>
    <n v="9.9700000000000006"/>
  </r>
  <r>
    <x v="0"/>
    <x v="3"/>
    <x v="15"/>
    <n v="29"/>
    <n v="80"/>
    <x v="0"/>
    <s v="-"/>
    <s v="-"/>
    <s v="-"/>
    <s v="-"/>
    <s v="-"/>
    <s v="-"/>
    <n v="603"/>
    <n v="6580"/>
    <n v="3"/>
    <n v="98"/>
    <s v="-"/>
    <s v="-"/>
    <n v="796"/>
    <n v="1866"/>
    <n v="53"/>
    <n v="177"/>
    <n v="4.4000000000000004"/>
    <n v="4.3"/>
    <n v="45"/>
    <n v="42"/>
    <n v="21"/>
    <n v="21"/>
    <n v="4.0999999999999996"/>
    <n v="6.6"/>
    <n v="106.45183652429932"/>
    <n v="106.45183652429932"/>
    <n v="43"/>
    <n v="54"/>
    <n v="1"/>
    <n v="1"/>
    <n v="0"/>
    <n v="4.3"/>
    <n v="5.0999999999999996"/>
    <n v="7.3"/>
    <n v="7.4"/>
    <n v="68"/>
    <s v="-"/>
    <n v="8.5"/>
    <n v="10.1"/>
    <n v="4.4000000000000004"/>
    <n v="5.3"/>
    <n v="99"/>
    <n v="93"/>
    <n v="143"/>
    <n v="146"/>
    <n v="1.9"/>
    <n v="2.5"/>
    <n v="100"/>
    <n v="112"/>
    <n v="301.65566666666672"/>
    <n v="310.35966666666673"/>
    <n v="4.5199999999999996"/>
    <n v="4.1100000000000003"/>
    <n v="13.2"/>
    <n v="12.8"/>
    <n v="42.2"/>
    <n v="38.1"/>
    <n v="93.4"/>
    <n v="92.7"/>
    <n v="29.2"/>
    <n v="31.1"/>
    <n v="31.3"/>
    <n v="33.6"/>
    <n v="244"/>
    <n v="201"/>
    <n v="13.2"/>
    <n v="11.3"/>
    <n v="0.17"/>
    <s v="-"/>
    <n v="5.81"/>
    <n v="5.84"/>
    <n v="63.9"/>
    <n v="67"/>
    <n v="27.9"/>
    <n v="24"/>
    <n v="6.4"/>
    <n v="8"/>
    <n v="1.5"/>
    <n v="1"/>
    <n v="0.3"/>
    <n v="0"/>
    <x v="0"/>
    <x v="1"/>
    <n v="72.151949999999999"/>
    <n v="81.5"/>
    <n v="175"/>
    <n v="51.49"/>
    <n v="49.5"/>
    <n v="41"/>
    <n v="11.47"/>
  </r>
  <r>
    <x v="0"/>
    <x v="3"/>
    <x v="17"/>
    <n v="29"/>
    <n v="83"/>
    <x v="2"/>
    <s v="-"/>
    <s v="-"/>
    <s v="-"/>
    <s v="-"/>
    <s v="-"/>
    <s v="-"/>
    <n v="83"/>
    <n v="916"/>
    <n v="3"/>
    <n v="8"/>
    <s v="-"/>
    <s v="-"/>
    <n v="334"/>
    <n v="792"/>
    <n v="17"/>
    <n v="59"/>
    <n v="4.5"/>
    <n v="3.7"/>
    <n v="30"/>
    <n v="28"/>
    <n v="19"/>
    <n v="18"/>
    <n v="5.2"/>
    <n v="6.4"/>
    <n v="85.533385678368745"/>
    <n v="120.79866842153496"/>
    <n v="33"/>
    <n v="32"/>
    <n v="1.2"/>
    <n v="0.9"/>
    <n v="0"/>
    <n v="4.5999999999999996"/>
    <n v="4.5"/>
    <n v="7.5"/>
    <n v="6.6"/>
    <n v="108"/>
    <s v="-"/>
    <n v="8.9"/>
    <n v="8.9"/>
    <n v="5.0999999999999996"/>
    <n v="4.3"/>
    <n v="96"/>
    <n v="92"/>
    <n v="149"/>
    <n v="138"/>
    <n v="2.4"/>
    <n v="2.4"/>
    <n v="102"/>
    <n v="104"/>
    <n v="312.2593333333333"/>
    <n v="289.88911111111116"/>
    <n v="4.6399999999999997"/>
    <n v="3.88"/>
    <n v="13.7"/>
    <n v="12.2"/>
    <n v="42.3"/>
    <n v="35.700000000000003"/>
    <n v="91.2"/>
    <n v="92"/>
    <n v="29.5"/>
    <n v="31.4"/>
    <n v="32.4"/>
    <n v="34.200000000000003"/>
    <n v="293"/>
    <n v="255"/>
    <n v="12.6"/>
    <n v="11.2"/>
    <n v="0.19"/>
    <s v="-"/>
    <n v="6.95"/>
    <n v="7.4"/>
    <n v="56.4"/>
    <n v="67"/>
    <n v="35.1"/>
    <n v="18"/>
    <n v="7.2"/>
    <n v="12"/>
    <n v="1"/>
    <n v="2"/>
    <n v="0.3"/>
    <n v="1"/>
    <x v="0"/>
    <x v="0"/>
    <n v="72.809100000000001"/>
    <n v="81.900000000000006"/>
    <n v="180.5"/>
    <n v="51.93"/>
    <n v="44.5"/>
    <n v="46.5"/>
    <n v="11.1"/>
  </r>
  <r>
    <x v="0"/>
    <x v="3"/>
    <x v="18"/>
    <n v="28"/>
    <n v="81"/>
    <x v="0"/>
    <s v="-"/>
    <s v="-"/>
    <s v="-"/>
    <s v="-"/>
    <s v="-"/>
    <s v="-"/>
    <n v="103"/>
    <n v="2961"/>
    <n v="3"/>
    <n v="46"/>
    <s v="-"/>
    <s v="-"/>
    <n v="499"/>
    <n v="1023"/>
    <n v="21"/>
    <n v="110"/>
    <n v="4.7"/>
    <n v="3.7"/>
    <n v="21"/>
    <n v="30"/>
    <n v="14"/>
    <n v="16"/>
    <n v="4.0999999999999996"/>
    <n v="6.3"/>
    <n v="106.45183652429932"/>
    <n v="120.79866842153496"/>
    <n v="33"/>
    <n v="38"/>
    <n v="1"/>
    <n v="0.9"/>
    <n v="0"/>
    <n v="4.3"/>
    <n v="4"/>
    <n v="8"/>
    <n v="6.8"/>
    <n v="99"/>
    <s v="-"/>
    <n v="8.9"/>
    <n v="9.1999999999999993"/>
    <n v="4.8"/>
    <n v="4.7"/>
    <n v="122"/>
    <n v="102"/>
    <n v="143"/>
    <n v="137"/>
    <n v="2"/>
    <n v="2.2999999999999998"/>
    <n v="100"/>
    <n v="103"/>
    <n v="302.20244444444444"/>
    <n v="290.41199999999998"/>
    <n v="5.21"/>
    <n v="4.08"/>
    <n v="15.2"/>
    <n v="12.1"/>
    <n v="46.1"/>
    <n v="36.6"/>
    <n v="88.5"/>
    <n v="89.7"/>
    <n v="29.2"/>
    <n v="29.7"/>
    <n v="33"/>
    <n v="33.1"/>
    <n v="236"/>
    <n v="319"/>
    <n v="12.8"/>
    <n v="12.7"/>
    <n v="0.25"/>
    <s v="-"/>
    <n v="4.97"/>
    <n v="4.75"/>
    <n v="56.5"/>
    <n v="54"/>
    <n v="32.799999999999997"/>
    <n v="31"/>
    <n v="9.1"/>
    <n v="13"/>
    <n v="1.2"/>
    <n v="2"/>
    <n v="0.4"/>
    <n v="0"/>
    <x v="0"/>
    <x v="1"/>
    <n v="71.943809999999999"/>
    <n v="81.099999999999994"/>
    <n v="178"/>
    <n v="51.6"/>
    <n v="45.5"/>
    <n v="43"/>
    <n v="11.29"/>
  </r>
  <r>
    <x v="0"/>
    <x v="3"/>
    <x v="19"/>
    <n v="26"/>
    <n v="68"/>
    <x v="0"/>
    <s v="-"/>
    <s v="-"/>
    <s v="-"/>
    <s v="-"/>
    <s v="-"/>
    <s v="-"/>
    <n v="100"/>
    <n v="1211"/>
    <n v="3"/>
    <n v="26"/>
    <s v="-"/>
    <s v="-"/>
    <n v="441"/>
    <n v="1039"/>
    <n v="23"/>
    <n v="77"/>
    <n v="5.0999999999999996"/>
    <n v="4.5"/>
    <n v="37"/>
    <n v="27"/>
    <n v="19"/>
    <n v="20"/>
    <n v="4.2"/>
    <n v="6.2"/>
    <n v="125.17286966375688"/>
    <n v="125.17286966375688"/>
    <n v="28"/>
    <n v="50"/>
    <n v="0.8"/>
    <n v="0.8"/>
    <n v="0"/>
    <n v="4.5"/>
    <n v="4.4000000000000004"/>
    <n v="8.1999999999999993"/>
    <n v="7.6"/>
    <n v="110"/>
    <s v="-"/>
    <n v="9.1999999999999993"/>
    <n v="9.8000000000000007"/>
    <n v="4.2"/>
    <n v="4.5999999999999996"/>
    <n v="90"/>
    <n v="93"/>
    <n v="145"/>
    <n v="138"/>
    <n v="2.1"/>
    <n v="2.4"/>
    <n v="98"/>
    <n v="102"/>
    <n v="301.92866666666669"/>
    <n v="293.51099999999997"/>
    <n v="5.1100000000000003"/>
    <n v="4.22"/>
    <n v="15.5"/>
    <n v="13.8"/>
    <n v="48.1"/>
    <n v="39.5"/>
    <n v="94.1"/>
    <n v="93.6"/>
    <n v="30.3"/>
    <n v="32.700000000000003"/>
    <n v="32.200000000000003"/>
    <n v="34.9"/>
    <n v="222"/>
    <n v="240"/>
    <n v="12.7"/>
    <n v="13"/>
    <n v="0.37"/>
    <s v="-"/>
    <n v="7"/>
    <n v="6.99"/>
    <n v="57.3"/>
    <n v="59"/>
    <n v="30.1"/>
    <n v="26"/>
    <n v="10.6"/>
    <n v="12"/>
    <n v="1.6"/>
    <n v="2"/>
    <n v="0.4"/>
    <n v="1"/>
    <x v="0"/>
    <x v="1"/>
    <n v="62.5396"/>
    <n v="68"/>
    <n v="173"/>
    <n v="55.9"/>
    <n v="39"/>
    <n v="39"/>
    <n v="8.0299999999999994"/>
  </r>
  <r>
    <x v="0"/>
    <x v="3"/>
    <x v="20"/>
    <n v="27"/>
    <n v="80"/>
    <x v="0"/>
    <s v="-"/>
    <s v="-"/>
    <s v="-"/>
    <s v="-"/>
    <s v="-"/>
    <s v="-"/>
    <n v="215"/>
    <n v="6479"/>
    <n v="3"/>
    <n v="23"/>
    <s v="-"/>
    <s v="-"/>
    <n v="607"/>
    <n v="862"/>
    <n v="23"/>
    <n v="82"/>
    <n v="4.5999999999999996"/>
    <n v="3.8"/>
    <n v="27"/>
    <n v="29"/>
    <n v="25"/>
    <n v="21"/>
    <n v="5.7"/>
    <n v="7.9"/>
    <n v="94.947150652744313"/>
    <n v="94.947150652744313"/>
    <n v="31"/>
    <n v="51"/>
    <n v="1.1000000000000001"/>
    <n v="1.1000000000000001"/>
    <n v="0"/>
    <n v="4.0999999999999996"/>
    <n v="3.9"/>
    <n v="7.8"/>
    <n v="6.8"/>
    <n v="82"/>
    <s v="-"/>
    <n v="8.4"/>
    <n v="9.1999999999999993"/>
    <n v="4.5"/>
    <n v="4.5"/>
    <n v="95"/>
    <n v="91"/>
    <n v="144"/>
    <n v="137"/>
    <n v="2.1"/>
    <n v="2.2000000000000002"/>
    <n v="101"/>
    <n v="103"/>
    <n v="301.44611111111118"/>
    <n v="291.50388888888887"/>
    <n v="5.43"/>
    <n v="4.5599999999999996"/>
    <n v="14.8"/>
    <n v="13.1"/>
    <n v="45.7"/>
    <n v="38.9"/>
    <n v="84.2"/>
    <n v="85.3"/>
    <n v="27.3"/>
    <n v="28.7"/>
    <n v="32.4"/>
    <n v="33.700000000000003"/>
    <n v="262"/>
    <n v="225"/>
    <n v="12.7"/>
    <n v="12.1"/>
    <n v="1.22"/>
    <s v="-"/>
    <n v="6.29"/>
    <n v="7.47"/>
    <n v="49.1"/>
    <n v="56"/>
    <n v="42.6"/>
    <n v="34"/>
    <n v="5.9"/>
    <n v="8"/>
    <n v="1.9"/>
    <n v="2"/>
    <n v="0.5"/>
    <n v="0"/>
    <x v="0"/>
    <x v="1"/>
    <n v="70.30368"/>
    <n v="82.4"/>
    <n v="168"/>
    <n v="50.7"/>
    <n v="60"/>
    <n v="58"/>
    <n v="14.68"/>
  </r>
  <r>
    <x v="0"/>
    <x v="4"/>
    <x v="1"/>
    <n v="26"/>
    <n v="70"/>
    <x v="0"/>
    <s v="RR"/>
    <s v="MT"/>
    <s v="II"/>
    <s v="(+9,-9)"/>
    <n v="50"/>
    <n v="50"/>
    <n v="681"/>
    <n v="429"/>
    <s v="-"/>
    <s v="-"/>
    <s v="-"/>
    <s v="-"/>
    <s v="-"/>
    <s v="-"/>
    <s v="-"/>
    <s v="-"/>
    <n v="3.94"/>
    <n v="4"/>
    <s v="-"/>
    <s v="-"/>
    <s v="-"/>
    <s v="-"/>
    <n v="4.8"/>
    <n v="6.2"/>
    <n v="125.17286966375688"/>
    <n v="77.700020894732489"/>
    <n v="46"/>
    <n v="39"/>
    <n v="0.8"/>
    <n v="1.3"/>
    <n v="0.5"/>
    <n v="4.3"/>
    <n v="5.6"/>
    <s v="-"/>
    <s v="-"/>
    <s v="-"/>
    <s v="-"/>
    <n v="9.4"/>
    <n v="9.5"/>
    <s v="-"/>
    <s v="-"/>
    <n v="102"/>
    <n v="107"/>
    <s v="-"/>
    <s v="-"/>
    <s v="-"/>
    <s v="-"/>
    <s v="-"/>
    <s v="-"/>
    <s v="Dados Insuficientes"/>
    <s v="Dados Insuficientes"/>
    <n v="4"/>
    <n v="4.2"/>
    <n v="12"/>
    <n v="12.4"/>
    <n v="36.6"/>
    <n v="37.700000000000003"/>
    <n v="90.4"/>
    <s v="-"/>
    <n v="29.6"/>
    <s v="-"/>
    <n v="32.799999999999997"/>
    <s v="-"/>
    <n v="338"/>
    <s v="-"/>
    <n v="13.9"/>
    <s v="-"/>
    <s v="-"/>
    <s v="-"/>
    <n v="10.06"/>
    <s v="-"/>
    <n v="74"/>
    <s v="-"/>
    <n v="13"/>
    <s v="-"/>
    <n v="8"/>
    <s v="-"/>
    <n v="1"/>
    <s v="-"/>
    <n v="0"/>
    <s v="-"/>
    <x v="1"/>
    <x v="0"/>
    <n v="71.28528"/>
    <n v="75.900000000000006"/>
    <n v="171"/>
    <n v="54.68"/>
    <n v="42"/>
    <n v="43"/>
    <n v="6.08"/>
  </r>
  <r>
    <x v="0"/>
    <x v="4"/>
    <x v="2"/>
    <n v="26"/>
    <n v="74"/>
    <x v="0"/>
    <s v="RX"/>
    <s v="MM"/>
    <s v="ID"/>
    <s v="(+9,+9)"/>
    <n v="50"/>
    <n v="50"/>
    <n v="408"/>
    <n v="356"/>
    <s v="-"/>
    <s v="-"/>
    <s v="-"/>
    <s v="-"/>
    <s v="-"/>
    <s v="-"/>
    <s v="-"/>
    <s v="-"/>
    <n v="4.3499999999999996"/>
    <n v="3.7"/>
    <s v="-"/>
    <s v="-"/>
    <s v="-"/>
    <s v="-"/>
    <n v="4"/>
    <n v="3.5"/>
    <n v="103.95202461130837"/>
    <n v="77.700020894732489"/>
    <n v="37"/>
    <n v="43"/>
    <n v="1.02"/>
    <n v="1.3"/>
    <n v="0.28000000000000003"/>
    <n v="3.01"/>
    <n v="4.4000000000000004"/>
    <s v="-"/>
    <s v="-"/>
    <s v="-"/>
    <s v="-"/>
    <n v="8.5"/>
    <n v="9"/>
    <s v="-"/>
    <s v="-"/>
    <n v="94"/>
    <n v="65"/>
    <s v="-"/>
    <s v="-"/>
    <s v="-"/>
    <s v="-"/>
    <s v="-"/>
    <s v="-"/>
    <s v="Dados Insuficientes"/>
    <s v="Dados Insuficientes"/>
    <n v="4.5"/>
    <n v="4.5999999999999996"/>
    <n v="13.7"/>
    <n v="14.1"/>
    <n v="41.5"/>
    <n v="42.2"/>
    <n v="92.6"/>
    <n v="91.5"/>
    <n v="30.6"/>
    <n v="30.6"/>
    <n v="33"/>
    <n v="33.4"/>
    <n v="226"/>
    <n v="287"/>
    <n v="13.1"/>
    <n v="12.4"/>
    <s v="-"/>
    <s v="-"/>
    <n v="7.46"/>
    <n v="6.97"/>
    <n v="76"/>
    <n v="69"/>
    <n v="15"/>
    <n v="23"/>
    <n v="8"/>
    <n v="7"/>
    <n v="1"/>
    <n v="1"/>
    <n v="0"/>
    <n v="0"/>
    <x v="0"/>
    <x v="0"/>
    <n v="72.293760000000006"/>
    <n v="79.2"/>
    <n v="174"/>
    <n v="53.64"/>
    <n v="49.5"/>
    <n v="49.5"/>
    <n v="8.7200000000000006"/>
  </r>
  <r>
    <x v="0"/>
    <x v="4"/>
    <x v="3"/>
    <n v="25"/>
    <n v="84"/>
    <x v="0"/>
    <s v="RR"/>
    <s v="TT"/>
    <s v="DD"/>
    <s v="(+9,-9)"/>
    <s v="-"/>
    <s v="-"/>
    <n v="286"/>
    <n v="356"/>
    <s v="-"/>
    <s v="-"/>
    <s v="-"/>
    <s v="-"/>
    <s v="-"/>
    <s v="-"/>
    <s v="-"/>
    <s v="-"/>
    <n v="4.1399999999999997"/>
    <n v="4.0999999999999996"/>
    <s v="-"/>
    <s v="-"/>
    <s v="-"/>
    <s v="-"/>
    <n v="5.3"/>
    <n v="5.4"/>
    <n v="95.993397029611103"/>
    <n v="85.533385678368745"/>
    <n v="40"/>
    <n v="37"/>
    <n v="1.0900000000000001"/>
    <n v="1.2"/>
    <n v="0.10999999999999988"/>
    <n v="3.68"/>
    <n v="4.5999999999999996"/>
    <s v="-"/>
    <s v="-"/>
    <s v="-"/>
    <s v="-"/>
    <n v="9.1999999999999993"/>
    <n v="10"/>
    <s v="-"/>
    <s v="-"/>
    <s v="0"/>
    <n v="99"/>
    <s v="-"/>
    <s v="-"/>
    <s v="-"/>
    <s v="-"/>
    <s v="-"/>
    <s v="-"/>
    <s v="Dados Insuficientes"/>
    <s v="Dados Insuficientes"/>
    <n v="4.7"/>
    <n v="4.7"/>
    <n v="13.6"/>
    <n v="13.4"/>
    <n v="41.8"/>
    <n v="41"/>
    <n v="88.2"/>
    <n v="87.2"/>
    <n v="28.7"/>
    <n v="28.5"/>
    <n v="32.5"/>
    <n v="32.700000000000003"/>
    <n v="249"/>
    <n v="246"/>
    <n v="13.2"/>
    <n v="12.9"/>
    <s v="-"/>
    <s v="-"/>
    <n v="5.27"/>
    <n v="5.38"/>
    <n v="58"/>
    <n v="55"/>
    <n v="32"/>
    <n v="36"/>
    <n v="7"/>
    <n v="7"/>
    <n v="2"/>
    <n v="2"/>
    <n v="1"/>
    <n v="0"/>
    <x v="0"/>
    <x v="0"/>
    <n v="75.355769999999993"/>
    <n v="84.3"/>
    <n v="178"/>
    <n v="52.69"/>
    <n v="60"/>
    <n v="57"/>
    <n v="10.61"/>
  </r>
  <r>
    <x v="0"/>
    <x v="4"/>
    <x v="4"/>
    <n v="33"/>
    <n v="79"/>
    <x v="0"/>
    <s v="RR"/>
    <s v="MT"/>
    <s v="II"/>
    <s v="(+9,-9)"/>
    <n v="50"/>
    <n v="50"/>
    <n v="206"/>
    <s v="-"/>
    <s v="-"/>
    <s v="-"/>
    <s v="-"/>
    <s v="-"/>
    <s v="-"/>
    <s v="-"/>
    <s v="-"/>
    <s v="-"/>
    <n v="4.32"/>
    <s v="-"/>
    <s v="-"/>
    <s v="-"/>
    <s v="-"/>
    <s v="-"/>
    <n v="5.2"/>
    <s v="-"/>
    <n v="116.13780672934482"/>
    <s v="Dados Insuficientes"/>
    <n v="50"/>
    <s v="-"/>
    <n v="0.93"/>
    <s v="-"/>
    <s v="Dados Insuficientes"/>
    <n v="3.7"/>
    <s v="-"/>
    <s v="-"/>
    <s v="-"/>
    <s v="-"/>
    <s v="-"/>
    <n v="8.6999999999999993"/>
    <s v="-"/>
    <s v="-"/>
    <s v="-"/>
    <n v="81"/>
    <s v="0"/>
    <s v="-"/>
    <s v="-"/>
    <s v="-"/>
    <s v="-"/>
    <s v="-"/>
    <s v="-"/>
    <s v="Dados Insuficientes"/>
    <s v="Dados Insuficientes"/>
    <n v="3.5"/>
    <s v="-"/>
    <n v="10.9"/>
    <s v="-"/>
    <n v="34.299999999999997"/>
    <s v="-"/>
    <n v="99.1"/>
    <s v="-"/>
    <n v="31.5"/>
    <s v="-"/>
    <n v="31.8"/>
    <s v="-"/>
    <n v="237"/>
    <s v="-"/>
    <n v="13.5"/>
    <s v="-"/>
    <s v="-"/>
    <s v="-"/>
    <n v="8.91"/>
    <s v="-"/>
    <n v="80"/>
    <s v="-"/>
    <n v="13"/>
    <s v="-"/>
    <n v="6"/>
    <s v="-"/>
    <n v="1"/>
    <s v="-"/>
    <s v="-"/>
    <s v="-"/>
    <x v="2"/>
    <x v="1"/>
    <n v="67.787359999999993"/>
    <n v="79.599999999999994"/>
    <n v="182"/>
    <n v="51.21"/>
    <n v="51"/>
    <n v="49"/>
    <n v="14.84"/>
  </r>
  <r>
    <x v="0"/>
    <x v="4"/>
    <x v="6"/>
    <n v="32"/>
    <n v="96"/>
    <x v="1"/>
    <s v="RX"/>
    <s v="MM"/>
    <s v="ID"/>
    <s v="(+9,+9)"/>
    <n v="45.8333333333333"/>
    <n v="54.1666666666667"/>
    <n v="473"/>
    <n v="1239"/>
    <s v="-"/>
    <s v="-"/>
    <s v="-"/>
    <s v="-"/>
    <s v="-"/>
    <s v="-"/>
    <s v="-"/>
    <s v="-"/>
    <n v="4.09"/>
    <n v="4.2"/>
    <s v="-"/>
    <s v="-"/>
    <s v="-"/>
    <s v="-"/>
    <n v="4.9000000000000004"/>
    <n v="5.4"/>
    <n v="113.21001084835709"/>
    <s v="Dados Insuficientes"/>
    <n v="40"/>
    <n v="40"/>
    <n v="0.95"/>
    <s v="-"/>
    <s v="Dados Insuficientes"/>
    <n v="3.95"/>
    <n v="3.7"/>
    <s v="-"/>
    <s v="-"/>
    <s v="-"/>
    <s v="-"/>
    <n v="8.8000000000000007"/>
    <n v="10.3"/>
    <s v="-"/>
    <s v="-"/>
    <n v="93"/>
    <n v="86"/>
    <s v="-"/>
    <s v="-"/>
    <s v="-"/>
    <s v="-"/>
    <s v="-"/>
    <s v="-"/>
    <s v="Dados Insuficientes"/>
    <s v="Dados Insuficientes"/>
    <n v="4.5"/>
    <n v="4.4000000000000004"/>
    <n v="13.3"/>
    <n v="13.2"/>
    <n v="41.4"/>
    <n v="40.700000000000003"/>
    <n v="92"/>
    <n v="91.7"/>
    <n v="29.6"/>
    <n v="29.7"/>
    <n v="32.1"/>
    <n v="32.4"/>
    <n v="193"/>
    <n v="179"/>
    <n v="13.3"/>
    <n v="13"/>
    <s v="-"/>
    <s v="-"/>
    <n v="6.22"/>
    <n v="6.35"/>
    <n v="60"/>
    <n v="52"/>
    <n v="29"/>
    <n v="37"/>
    <n v="8"/>
    <n v="8"/>
    <n v="3"/>
    <n v="3"/>
    <n v="0"/>
    <n v="0"/>
    <x v="2"/>
    <x v="1"/>
    <n v="82.029080000000008"/>
    <n v="90.7"/>
    <n v="191"/>
    <n v="50.01"/>
    <n v="56.5"/>
    <n v="54.5"/>
    <n v="9.56"/>
  </r>
  <r>
    <x v="0"/>
    <x v="4"/>
    <x v="8"/>
    <n v="28"/>
    <n v="82"/>
    <x v="0"/>
    <s v="RX"/>
    <s v="MT"/>
    <s v="ID"/>
    <s v="(+9,-9)"/>
    <n v="54.1666666666667"/>
    <n v="45.8333333333333"/>
    <n v="433"/>
    <n v="1125"/>
    <s v="-"/>
    <s v="-"/>
    <s v="-"/>
    <s v="-"/>
    <s v="-"/>
    <s v="-"/>
    <s v="-"/>
    <s v="-"/>
    <n v="4.0199999999999996"/>
    <n v="3.5"/>
    <s v="-"/>
    <s v="-"/>
    <s v="-"/>
    <s v="-"/>
    <n v="4.5"/>
    <n v="5.0999999999999996"/>
    <n v="101.55776885587581"/>
    <s v="Dados Insuficientes"/>
    <n v="41"/>
    <n v="43"/>
    <n v="1.04"/>
    <s v="-"/>
    <s v="Dados Insuficientes"/>
    <n v="4.38"/>
    <n v="2.6"/>
    <s v="-"/>
    <s v="-"/>
    <s v="-"/>
    <s v="-"/>
    <n v="9.1999999999999993"/>
    <n v="10.1"/>
    <s v="-"/>
    <s v="-"/>
    <n v="83"/>
    <n v="82"/>
    <s v="-"/>
    <s v="-"/>
    <s v="-"/>
    <s v="-"/>
    <s v="-"/>
    <s v="-"/>
    <s v="Dados Insuficientes"/>
    <s v="Dados Insuficientes"/>
    <n v="4.5"/>
    <n v="4.7"/>
    <n v="13.8"/>
    <n v="14.4"/>
    <n v="41.6"/>
    <n v="43.6"/>
    <n v="93.5"/>
    <n v="93.6"/>
    <n v="31"/>
    <n v="30.9"/>
    <n v="33.200000000000003"/>
    <n v="33"/>
    <n v="242"/>
    <n v="273"/>
    <n v="12.7"/>
    <n v="12.7"/>
    <s v="-"/>
    <s v="-"/>
    <n v="10.199999999999999"/>
    <n v="8.43"/>
    <n v="78"/>
    <n v="67"/>
    <n v="13"/>
    <n v="22"/>
    <n v="7"/>
    <n v="9"/>
    <n v="2"/>
    <n v="2"/>
    <n v="0"/>
    <n v="0"/>
    <x v="2"/>
    <x v="1"/>
    <n v="77.353679999999997"/>
    <n v="84.3"/>
    <n v="190"/>
    <n v="51.12"/>
    <n v="54.5"/>
    <n v="50.5"/>
    <n v="8.24"/>
  </r>
  <r>
    <x v="0"/>
    <x v="4"/>
    <x v="9"/>
    <n v="26"/>
    <n v="90"/>
    <x v="0"/>
    <s v="-"/>
    <s v="-"/>
    <s v="-"/>
    <s v="-"/>
    <s v="-"/>
    <s v="-"/>
    <n v="285"/>
    <n v="971"/>
    <s v="-"/>
    <s v="-"/>
    <s v="-"/>
    <s v="-"/>
    <s v="-"/>
    <s v="-"/>
    <s v="-"/>
    <s v="-"/>
    <n v="4.1100000000000003"/>
    <n v="3.7"/>
    <s v="-"/>
    <s v="-"/>
    <s v="-"/>
    <s v="-"/>
    <n v="5.6"/>
    <n v="6.1"/>
    <n v="120.79866842153496"/>
    <n v="125.17286966375688"/>
    <n v="20"/>
    <n v="29"/>
    <n v="0.9"/>
    <n v="0.8"/>
    <n v="0"/>
    <n v="3.98"/>
    <n v="5"/>
    <s v="-"/>
    <s v="-"/>
    <s v="-"/>
    <s v="-"/>
    <n v="10"/>
    <n v="9.6"/>
    <s v="-"/>
    <s v="-"/>
    <n v="83"/>
    <n v="90"/>
    <s v="-"/>
    <s v="-"/>
    <s v="-"/>
    <s v="-"/>
    <s v="-"/>
    <s v="-"/>
    <s v="Dados Insuficientes"/>
    <s v="Dados Insuficientes"/>
    <n v="4.4000000000000004"/>
    <n v="4.3"/>
    <n v="13.1"/>
    <n v="12.8"/>
    <n v="39.6"/>
    <n v="38.4"/>
    <n v="89.8"/>
    <n v="89.1"/>
    <n v="29.7"/>
    <n v="29.7"/>
    <n v="33.1"/>
    <n v="33.299999999999997"/>
    <n v="316"/>
    <n v="329"/>
    <n v="13.5"/>
    <n v="13.3"/>
    <s v="-"/>
    <s v="-"/>
    <n v="10.26"/>
    <n v="61"/>
    <n v="66"/>
    <n v="28"/>
    <n v="19"/>
    <n v="28"/>
    <n v="7"/>
    <n v="8"/>
    <n v="5"/>
    <n v="3"/>
    <n v="0"/>
    <n v="0"/>
    <x v="0"/>
    <x v="0"/>
    <n v="82.441199999999995"/>
    <n v="92"/>
    <n v="174.4"/>
    <n v="49.71"/>
    <n v="55"/>
    <n v="55.5"/>
    <n v="10.39"/>
  </r>
  <r>
    <x v="0"/>
    <x v="4"/>
    <x v="13"/>
    <n v="25"/>
    <n v="85"/>
    <x v="0"/>
    <s v="RX"/>
    <s v="MM"/>
    <s v="II"/>
    <s v="(+9,-9)"/>
    <n v="25"/>
    <n v="75"/>
    <n v="348"/>
    <n v="3538"/>
    <s v="-"/>
    <s v="-"/>
    <s v="-"/>
    <s v="-"/>
    <s v="-"/>
    <s v="-"/>
    <s v="-"/>
    <s v="-"/>
    <n v="3.97"/>
    <n v="4.0999999999999996"/>
    <s v="-"/>
    <s v="-"/>
    <s v="-"/>
    <s v="-"/>
    <n v="5.0999999999999996"/>
    <n v="6.6"/>
    <n v="123.34201540009958"/>
    <n v="106.45183652429932"/>
    <n v="39"/>
    <n v="37"/>
    <n v="0.84"/>
    <n v="1"/>
    <n v="0.16000000000000003"/>
    <n v="4.13"/>
    <n v="2.8"/>
    <s v="-"/>
    <s v="-"/>
    <s v="-"/>
    <s v="-"/>
    <n v="10"/>
    <n v="9.6"/>
    <s v="-"/>
    <s v="-"/>
    <n v="91"/>
    <n v="83"/>
    <s v="-"/>
    <s v="-"/>
    <s v="-"/>
    <s v="-"/>
    <s v="-"/>
    <s v="-"/>
    <s v="Dados Insuficientes"/>
    <s v="Dados Insuficientes"/>
    <n v="4.0999999999999996"/>
    <n v="4.0999999999999996"/>
    <n v="12.3"/>
    <n v="12"/>
    <n v="37"/>
    <n v="36.299999999999997"/>
    <n v="89.4"/>
    <n v="88.8"/>
    <n v="29.7"/>
    <n v="29.3"/>
    <n v="33.200000000000003"/>
    <n v="33.1"/>
    <n v="229"/>
    <n v="250"/>
    <n v="13.4"/>
    <n v="13.4"/>
    <s v="-"/>
    <s v="-"/>
    <n v="7.26"/>
    <n v="7.67"/>
    <n v="67"/>
    <n v="64"/>
    <n v="20"/>
    <n v="23"/>
    <n v="8"/>
    <n v="7"/>
    <n v="5"/>
    <n v="3"/>
    <n v="0"/>
    <n v="0"/>
    <x v="0"/>
    <x v="1"/>
    <n v="79.512460000000004"/>
    <n v="85.7"/>
    <n v="185"/>
    <n v="52.04"/>
    <n v="50"/>
    <n v="50"/>
    <n v="7.22"/>
  </r>
  <r>
    <x v="0"/>
    <x v="4"/>
    <x v="14"/>
    <n v="28"/>
    <n v="77"/>
    <x v="1"/>
    <s v="RR"/>
    <s v="MT"/>
    <s v="ID"/>
    <s v="(+9,-9)"/>
    <n v="212.5"/>
    <n v="-112.5"/>
    <n v="239"/>
    <n v="275"/>
    <s v="-"/>
    <s v="-"/>
    <s v="-"/>
    <s v="-"/>
    <s v="-"/>
    <s v="-"/>
    <s v="-"/>
    <s v="-"/>
    <n v="5.05"/>
    <n v="4"/>
    <s v="-"/>
    <s v="-"/>
    <s v="-"/>
    <s v="-"/>
    <n v="5.9"/>
    <n v="7.3"/>
    <n v="122.04179048601726"/>
    <n v="94.947150652744313"/>
    <n v="36"/>
    <n v="37"/>
    <n v="0.87"/>
    <n v="1.1000000000000001"/>
    <n v="0.23000000000000009"/>
    <n v="4.54"/>
    <n v="4.4000000000000004"/>
    <s v="-"/>
    <s v="-"/>
    <s v="-"/>
    <s v="-"/>
    <n v="10.4"/>
    <n v="10"/>
    <s v="-"/>
    <s v="-"/>
    <n v="88"/>
    <n v="132"/>
    <s v="-"/>
    <s v="-"/>
    <s v="-"/>
    <s v="-"/>
    <s v="-"/>
    <s v="-"/>
    <s v="Dados Insuficientes"/>
    <s v="Dados Insuficientes"/>
    <n v="4.5999999999999996"/>
    <n v="4.5"/>
    <n v="14.5"/>
    <n v="14.3"/>
    <n v="43.2"/>
    <n v="42.4"/>
    <n v="94.1"/>
    <n v="93.6"/>
    <n v="31.6"/>
    <n v="31.6"/>
    <n v="33.6"/>
    <n v="33.700000000000003"/>
    <n v="187"/>
    <n v="192"/>
    <n v="13.8"/>
    <n v="13.7"/>
    <s v="-"/>
    <s v="-"/>
    <n v="17.809999999999999"/>
    <n v="9.15"/>
    <n v="89"/>
    <n v="73"/>
    <n v="2"/>
    <n v="18"/>
    <n v="4"/>
    <n v="8"/>
    <n v="0"/>
    <n v="1"/>
    <n v="0"/>
    <n v="0"/>
    <x v="0"/>
    <x v="0"/>
    <n v="70.76357999999999"/>
    <n v="78.599999999999994"/>
    <n v="179"/>
    <n v="53.31"/>
    <n v="50"/>
    <n v="44"/>
    <n v="9.9700000000000006"/>
  </r>
  <r>
    <x v="0"/>
    <x v="4"/>
    <x v="15"/>
    <n v="29"/>
    <n v="80"/>
    <x v="0"/>
    <s v="-"/>
    <s v="-"/>
    <s v="-"/>
    <s v="-"/>
    <s v="-"/>
    <s v="-"/>
    <n v="594"/>
    <n v="752"/>
    <s v="-"/>
    <s v="-"/>
    <s v="-"/>
    <s v="-"/>
    <s v="-"/>
    <s v="-"/>
    <s v="-"/>
    <s v="-"/>
    <n v="4.1900000000000004"/>
    <n v="3.9"/>
    <s v="-"/>
    <s v="-"/>
    <s v="-"/>
    <s v="-"/>
    <n v="4.5"/>
    <n v="5.7"/>
    <n v="126.6260868157064"/>
    <s v="Dados Insuficientes"/>
    <n v="36"/>
    <n v="39"/>
    <n v="0.77"/>
    <s v="-"/>
    <s v="Dados Insuficientes"/>
    <n v="3.46"/>
    <n v="3.4"/>
    <s v="-"/>
    <s v="-"/>
    <s v="-"/>
    <s v="-"/>
    <n v="8.6"/>
    <n v="10.199999999999999"/>
    <s v="-"/>
    <s v="-"/>
    <n v="90"/>
    <n v="78"/>
    <s v="-"/>
    <s v="-"/>
    <s v="-"/>
    <s v="-"/>
    <s v="-"/>
    <s v="-"/>
    <s v="Dados Insuficientes"/>
    <s v="Dados Insuficientes"/>
    <n v="4.3"/>
    <n v="4.2"/>
    <n v="13"/>
    <n v="12.5"/>
    <n v="40.5"/>
    <n v="38.9"/>
    <n v="94.2"/>
    <n v="93.5"/>
    <n v="30.2"/>
    <n v="30"/>
    <n v="32.1"/>
    <n v="32.1"/>
    <n v="236"/>
    <n v="241"/>
    <n v="14.4"/>
    <n v="14"/>
    <s v="-"/>
    <s v="-"/>
    <n v="5.45"/>
    <n v="6.33"/>
    <n v="73"/>
    <n v="69"/>
    <n v="18"/>
    <n v="24"/>
    <n v="7"/>
    <n v="6"/>
    <n v="1"/>
    <n v="1"/>
    <n v="0"/>
    <n v="0"/>
    <x v="2"/>
    <x v="0"/>
    <n v="72.151949999999999"/>
    <n v="81.5"/>
    <n v="175"/>
    <n v="51.49"/>
    <n v="49.5"/>
    <n v="41"/>
    <n v="11.47"/>
  </r>
  <r>
    <x v="0"/>
    <x v="4"/>
    <x v="17"/>
    <n v="29"/>
    <n v="83"/>
    <x v="2"/>
    <s v="-"/>
    <s v="-"/>
    <s v="-"/>
    <s v="-"/>
    <s v="-"/>
    <s v="-"/>
    <n v="189"/>
    <n v="242"/>
    <s v="-"/>
    <s v="-"/>
    <s v="-"/>
    <s v="-"/>
    <s v="-"/>
    <s v="-"/>
    <s v="-"/>
    <s v="-"/>
    <n v="4.0599999999999996"/>
    <n v="3.8"/>
    <s v="-"/>
    <s v="-"/>
    <s v="-"/>
    <s v="-"/>
    <n v="5.3"/>
    <n v="6"/>
    <n v="124.24290617716805"/>
    <n v="85.533385678368745"/>
    <n v="32"/>
    <n v="38"/>
    <n v="0.82"/>
    <n v="1.2"/>
    <n v="0.38"/>
    <n v="2.5099999999999998"/>
    <n v="5"/>
    <s v="-"/>
    <s v="-"/>
    <s v="-"/>
    <s v="-"/>
    <n v="8.6999999999999993"/>
    <n v="9.5"/>
    <s v="-"/>
    <s v="-"/>
    <n v="93"/>
    <n v="111"/>
    <s v="-"/>
    <s v="-"/>
    <s v="-"/>
    <s v="-"/>
    <s v="-"/>
    <s v="-"/>
    <s v="Dados Insuficientes"/>
    <s v="Dados Insuficientes"/>
    <n v="4.0999999999999996"/>
    <n v="4.0999999999999996"/>
    <n v="12.2"/>
    <n v="12.5"/>
    <n v="37.200000000000003"/>
    <n v="37.4"/>
    <n v="91.4"/>
    <n v="90.8"/>
    <n v="30"/>
    <n v="30.3"/>
    <n v="32.799999999999997"/>
    <n v="33.4"/>
    <n v="296"/>
    <n v="279"/>
    <n v="13.3"/>
    <n v="13.2"/>
    <s v="-"/>
    <s v="-"/>
    <n v="8.66"/>
    <n v="8.0299999999999994"/>
    <n v="72"/>
    <n v="72"/>
    <n v="19"/>
    <n v="20"/>
    <n v="7"/>
    <n v="7"/>
    <n v="2"/>
    <n v="1"/>
    <n v="0"/>
    <n v="0"/>
    <x v="1"/>
    <x v="0"/>
    <n v="72.809100000000001"/>
    <n v="81.900000000000006"/>
    <n v="180.5"/>
    <n v="51.93"/>
    <n v="44.5"/>
    <n v="46.5"/>
    <n v="11.1"/>
  </r>
  <r>
    <x v="0"/>
    <x v="4"/>
    <x v="18"/>
    <n v="28"/>
    <n v="81"/>
    <x v="0"/>
    <s v="-"/>
    <s v="-"/>
    <s v="-"/>
    <s v="-"/>
    <s v="-"/>
    <s v="-"/>
    <n v="363"/>
    <n v="396"/>
    <s v="-"/>
    <s v="-"/>
    <s v="-"/>
    <s v="-"/>
    <s v="-"/>
    <s v="-"/>
    <s v="-"/>
    <s v="-"/>
    <n v="4.8499999999999996"/>
    <n v="3.5"/>
    <s v="-"/>
    <s v="-"/>
    <s v="-"/>
    <s v="-"/>
    <n v="4.3"/>
    <n v="6.5"/>
    <n v="130.89135376132342"/>
    <n v="125.17286966375688"/>
    <n v="30"/>
    <n v="25"/>
    <n v="0.69"/>
    <n v="0.8"/>
    <n v="0.1100000000000001"/>
    <n v="3.35"/>
    <n v="10.5"/>
    <s v="-"/>
    <s v="-"/>
    <s v="-"/>
    <s v="-"/>
    <n v="10.1"/>
    <n v="10"/>
    <s v="-"/>
    <s v="-"/>
    <n v="105"/>
    <n v="100"/>
    <s v="-"/>
    <s v="-"/>
    <s v="-"/>
    <s v="-"/>
    <s v="-"/>
    <s v="-"/>
    <s v="Dados Insuficientes"/>
    <s v="Dados Insuficientes"/>
    <n v="4.5"/>
    <n v="4.0999999999999996"/>
    <n v="14.2"/>
    <n v="11.9"/>
    <n v="43.7"/>
    <n v="36.700000000000003"/>
    <n v="96.3"/>
    <n v="90"/>
    <n v="31.3"/>
    <n v="29.2"/>
    <n v="32.5"/>
    <n v="32.4"/>
    <n v="272"/>
    <n v="273"/>
    <n v="13.4"/>
    <n v="13.9"/>
    <s v="-"/>
    <s v="-"/>
    <n v="8.64"/>
    <n v="5.82"/>
    <n v="73"/>
    <n v="65"/>
    <n v="17"/>
    <n v="25"/>
    <n v="8"/>
    <n v="9"/>
    <n v="2"/>
    <n v="1"/>
    <n v="0"/>
    <n v="0"/>
    <x v="0"/>
    <x v="0"/>
    <n v="71.943809999999999"/>
    <n v="81.099999999999994"/>
    <n v="178"/>
    <n v="51.6"/>
    <n v="45.5"/>
    <n v="43"/>
    <n v="11.29"/>
  </r>
  <r>
    <x v="0"/>
    <x v="4"/>
    <x v="19"/>
    <n v="26"/>
    <n v="68"/>
    <x v="0"/>
    <s v="-"/>
    <s v="-"/>
    <s v="-"/>
    <s v="-"/>
    <s v="-"/>
    <s v="-"/>
    <n v="300"/>
    <n v="291"/>
    <s v="-"/>
    <s v="-"/>
    <s v="-"/>
    <s v="-"/>
    <s v="-"/>
    <s v="-"/>
    <s v="-"/>
    <s v="-"/>
    <n v="4.17"/>
    <n v="4.8"/>
    <s v="-"/>
    <s v="-"/>
    <s v="-"/>
    <s v="-"/>
    <n v="5.6"/>
    <n v="6.2"/>
    <n v="121.2069723014238"/>
    <n v="85.533385678368745"/>
    <n v="27"/>
    <n v="46"/>
    <n v="0.89"/>
    <n v="1.2"/>
    <n v="0.30999999999999994"/>
    <n v="2.9"/>
    <n v="3.8"/>
    <s v="-"/>
    <s v="-"/>
    <s v="-"/>
    <s v="-"/>
    <n v="9.1"/>
    <n v="10.3"/>
    <s v="-"/>
    <s v="-"/>
    <n v="91"/>
    <n v="85"/>
    <s v="-"/>
    <s v="-"/>
    <s v="-"/>
    <s v="-"/>
    <s v="-"/>
    <s v="-"/>
    <s v="Dados Insuficientes"/>
    <s v="Dados Insuficientes"/>
    <n v="4.3"/>
    <n v="4.5999999999999996"/>
    <n v="12.6"/>
    <n v="14.3"/>
    <n v="39.200000000000003"/>
    <n v="43.4"/>
    <n v="90.5"/>
    <n v="95.2"/>
    <n v="29.1"/>
    <n v="31.4"/>
    <n v="32.1"/>
    <n v="32.9"/>
    <n v="355"/>
    <n v="279"/>
    <n v="14.2"/>
    <n v="13.3"/>
    <s v="-"/>
    <s v="-"/>
    <n v="6.4"/>
    <n v="8.52"/>
    <n v="70"/>
    <n v="72"/>
    <n v="20"/>
    <n v="19"/>
    <n v="10"/>
    <n v="8"/>
    <n v="0"/>
    <n v="1"/>
    <n v="0"/>
    <n v="0"/>
    <x v="1"/>
    <x v="0"/>
    <n v="62.5396"/>
    <n v="68"/>
    <n v="173"/>
    <n v="55.9"/>
    <n v="39"/>
    <n v="39"/>
    <n v="8.0299999999999994"/>
  </r>
  <r>
    <x v="0"/>
    <x v="4"/>
    <x v="20"/>
    <n v="27"/>
    <n v="80"/>
    <x v="0"/>
    <s v="-"/>
    <s v="-"/>
    <s v="-"/>
    <s v="-"/>
    <s v="-"/>
    <s v="-"/>
    <n v="723"/>
    <n v="542"/>
    <s v="-"/>
    <s v="-"/>
    <s v="-"/>
    <s v="-"/>
    <s v="-"/>
    <s v="-"/>
    <s v="-"/>
    <s v="-"/>
    <n v="4.2"/>
    <n v="3.5"/>
    <s v="-"/>
    <s v="-"/>
    <s v="-"/>
    <s v="-"/>
    <n v="8"/>
    <n v="8"/>
    <n v="110.41474587496963"/>
    <n v="94.947150652744313"/>
    <n v="36"/>
    <n v="40"/>
    <n v="0.97"/>
    <n v="1.1000000000000001"/>
    <n v="0.13000000000000012"/>
    <n v="3.53"/>
    <n v="2.6"/>
    <s v="-"/>
    <s v="-"/>
    <s v="-"/>
    <s v="-"/>
    <n v="9"/>
    <n v="9.1"/>
    <s v="-"/>
    <s v="-"/>
    <n v="102"/>
    <n v="95"/>
    <s v="-"/>
    <s v="-"/>
    <s v="-"/>
    <s v="-"/>
    <s v="-"/>
    <s v="-"/>
    <s v="Dados Insuficientes"/>
    <s v="Dados Insuficientes"/>
    <n v="4.2"/>
    <n v="5"/>
    <n v="12.3"/>
    <n v="13.8"/>
    <n v="38.700000000000003"/>
    <n v="41.1"/>
    <n v="91.5"/>
    <n v="82.4"/>
    <n v="29.1"/>
    <n v="27.7"/>
    <n v="31.8"/>
    <n v="33.6"/>
    <n v="262"/>
    <n v="110"/>
    <n v="14.5"/>
    <n v="13.5"/>
    <s v="-"/>
    <s v="-"/>
    <n v="8.74"/>
    <n v="7.15"/>
    <n v="73"/>
    <n v="67"/>
    <n v="14"/>
    <n v="26"/>
    <n v="10"/>
    <n v="6"/>
    <n v="2"/>
    <n v="1"/>
    <n v="0"/>
    <n v="0"/>
    <x v="0"/>
    <x v="0"/>
    <n v="70.30368"/>
    <n v="82.4"/>
    <n v="168"/>
    <n v="50.7"/>
    <n v="60"/>
    <n v="58"/>
    <n v="14.68"/>
  </r>
  <r>
    <x v="0"/>
    <x v="5"/>
    <x v="1"/>
    <n v="26"/>
    <n v="70"/>
    <x v="0"/>
    <s v="RR"/>
    <s v="MT"/>
    <s v="II"/>
    <s v="(+9,-9)"/>
    <n v="50"/>
    <n v="50"/>
    <n v="103"/>
    <n v="117"/>
    <n v="4"/>
    <n v="3"/>
    <s v="-"/>
    <s v="-"/>
    <n v="549"/>
    <n v="486"/>
    <n v="25"/>
    <n v="24"/>
    <n v="4.5999999999999996"/>
    <n v="4.3"/>
    <n v="41"/>
    <n v="37"/>
    <n v="29"/>
    <n v="35"/>
    <n v="4.5999999999999996"/>
    <n v="5.0999999999999996"/>
    <n v="120.79866842153496"/>
    <n v="106.45183652429932"/>
    <n v="43"/>
    <n v="47"/>
    <n v="0.9"/>
    <n v="1"/>
    <n v="9.9999999999999978E-2"/>
    <n v="5.6"/>
    <n v="5.4"/>
    <n v="7.9"/>
    <n v="7.8"/>
    <n v="72"/>
    <n v="90"/>
    <n v="10.5"/>
    <n v="10.3"/>
    <n v="5.0999999999999996"/>
    <n v="4.4000000000000004"/>
    <n v="98"/>
    <n v="90"/>
    <n v="140"/>
    <n v="139"/>
    <n v="2.5"/>
    <n v="2.2000000000000002"/>
    <n v="104"/>
    <n v="101"/>
    <n v="297.31377777777783"/>
    <n v="294.30733333333336"/>
    <n v="4.62"/>
    <n v="4.68"/>
    <n v="13.3"/>
    <n v="13.2"/>
    <n v="40.6"/>
    <n v="41.7"/>
    <n v="87.9"/>
    <n v="89.1"/>
    <n v="28.8"/>
    <n v="28.2"/>
    <n v="32.799999999999997"/>
    <n v="31.7"/>
    <n v="362"/>
    <n v="285"/>
    <n v="13.4"/>
    <n v="13.7"/>
    <n v="1.66"/>
    <n v="1.68"/>
    <n v="7.11"/>
    <n v="7.55"/>
    <n v="61.1"/>
    <n v="57.7"/>
    <n v="27.7"/>
    <n v="31.9"/>
    <n v="9.8000000000000007"/>
    <n v="9.1"/>
    <n v="1.1000000000000001"/>
    <n v="1.2"/>
    <n v="0.3"/>
    <n v="0.1"/>
    <x v="0"/>
    <x v="0"/>
    <n v="71.28528"/>
    <n v="75.900000000000006"/>
    <n v="171"/>
    <n v="54.68"/>
    <n v="42"/>
    <n v="43"/>
    <n v="6.08"/>
  </r>
  <r>
    <x v="0"/>
    <x v="5"/>
    <x v="2"/>
    <n v="26"/>
    <n v="74"/>
    <x v="0"/>
    <s v="RX"/>
    <s v="MM"/>
    <s v="ID"/>
    <s v="(+9,+9)"/>
    <n v="50"/>
    <n v="50"/>
    <n v="129"/>
    <s v="-"/>
    <n v="4"/>
    <s v="-"/>
    <s v="-"/>
    <s v="-"/>
    <n v="497"/>
    <s v="-"/>
    <n v="23"/>
    <s v="-"/>
    <n v="4.4000000000000004"/>
    <s v="-"/>
    <n v="33"/>
    <s v="-"/>
    <n v="24"/>
    <s v="-"/>
    <n v="4.5"/>
    <s v="-"/>
    <n v="94.947150652744313"/>
    <s v="Dados Insuficientes"/>
    <n v="40"/>
    <s v="-"/>
    <n v="1.1000000000000001"/>
    <s v="-"/>
    <s v="Dados Insuficientes"/>
    <n v="5.4"/>
    <s v="-"/>
    <n v="7.2"/>
    <s v="-"/>
    <n v="112"/>
    <s v="-"/>
    <n v="10.5"/>
    <s v="-"/>
    <n v="4.5"/>
    <s v="-"/>
    <n v="63"/>
    <n v="82"/>
    <n v="140"/>
    <s v="-"/>
    <n v="2.2000000000000002"/>
    <s v="-"/>
    <n v="100"/>
    <s v="-"/>
    <n v="293.4616666666667"/>
    <s v="Dados Insuficientes"/>
    <n v="5.15"/>
    <n v="5.19"/>
    <n v="15.2"/>
    <n v="15.4"/>
    <n v="46.2"/>
    <n v="47.6"/>
    <n v="89.7"/>
    <n v="91.7"/>
    <n v="29.5"/>
    <n v="29.7"/>
    <n v="32.9"/>
    <n v="32.4"/>
    <n v="272"/>
    <n v="248"/>
    <n v="12.1"/>
    <n v="11.9"/>
    <n v="1.65"/>
    <s v="-"/>
    <n v="6.02"/>
    <n v="5.71"/>
    <n v="62.6"/>
    <n v="51.6"/>
    <n v="29.7"/>
    <n v="37.799999999999997"/>
    <n v="6"/>
    <n v="7.9"/>
    <n v="1.2"/>
    <n v="2.2999999999999998"/>
    <n v="0.5"/>
    <n v="0.4"/>
    <x v="2"/>
    <x v="1"/>
    <n v="72.293760000000006"/>
    <n v="79.2"/>
    <n v="174"/>
    <n v="53.64"/>
    <n v="49.5"/>
    <n v="49.5"/>
    <n v="8.7200000000000006"/>
  </r>
  <r>
    <x v="0"/>
    <x v="5"/>
    <x v="3"/>
    <n v="25"/>
    <n v="84"/>
    <x v="0"/>
    <s v="RR"/>
    <s v="TT"/>
    <s v="DD"/>
    <s v="(+9,-9)"/>
    <s v="-"/>
    <s v="-"/>
    <n v="130"/>
    <n v="148"/>
    <n v="3"/>
    <n v="4"/>
    <s v="-"/>
    <s v="-"/>
    <n v="342"/>
    <n v="203"/>
    <n v="32"/>
    <n v="30"/>
    <n v="4.3"/>
    <n v="4.2"/>
    <n v="30"/>
    <n v="37"/>
    <n v="18"/>
    <n v="18"/>
    <n v="5.0999999999999996"/>
    <n v="5.4"/>
    <n v="106.45183652429932"/>
    <n v="94.947150652744313"/>
    <n v="41"/>
    <n v="41"/>
    <n v="1"/>
    <n v="1.1000000000000001"/>
    <n v="0.10000000000000009"/>
    <n v="5"/>
    <n v="4.8"/>
    <n v="7.4"/>
    <n v="7.3"/>
    <n v="87"/>
    <n v="96"/>
    <n v="10.1"/>
    <n v="10"/>
    <n v="6"/>
    <n v="4.5"/>
    <n v="93"/>
    <n v="88"/>
    <n v="138"/>
    <n v="139"/>
    <n v="2"/>
    <n v="2.1"/>
    <n v="104"/>
    <n v="104"/>
    <n v="294.61500000000001"/>
    <n v="293.36555555555555"/>
    <n v="5.12"/>
    <n v="5.1100000000000003"/>
    <n v="14.2"/>
    <n v="14.3"/>
    <n v="44.2"/>
    <n v="45.2"/>
    <n v="86.3"/>
    <n v="88.5"/>
    <n v="27.7"/>
    <n v="28"/>
    <n v="32.1"/>
    <n v="31.6"/>
    <n v="245"/>
    <n v="246"/>
    <n v="12.5"/>
    <n v="12.6"/>
    <n v="1.48"/>
    <s v="-"/>
    <n v="5.15"/>
    <n v="5.48"/>
    <n v="45.5"/>
    <n v="34.200000000000003"/>
    <n v="43.3"/>
    <n v="51.8"/>
    <n v="8.3000000000000007"/>
    <n v="9.1"/>
    <n v="1.9"/>
    <n v="3.6"/>
    <n v="1"/>
    <n v="1.3"/>
    <x v="0"/>
    <x v="0"/>
    <n v="75.355769999999993"/>
    <n v="84.3"/>
    <n v="178"/>
    <n v="52.69"/>
    <n v="60"/>
    <n v="57"/>
    <n v="10.61"/>
  </r>
  <r>
    <x v="0"/>
    <x v="5"/>
    <x v="5"/>
    <n v="31"/>
    <n v="89"/>
    <x v="0"/>
    <s v="XX"/>
    <s v="MT"/>
    <s v="ID"/>
    <s v="(-9,-9)"/>
    <n v="100"/>
    <n v="0"/>
    <n v="202"/>
    <n v="181"/>
    <n v="3"/>
    <n v="3"/>
    <s v="-"/>
    <s v="-"/>
    <n v="485"/>
    <n v="510"/>
    <n v="29"/>
    <n v="37"/>
    <n v="4.2"/>
    <n v="4.4000000000000004"/>
    <n v="30"/>
    <n v="43"/>
    <n v="19"/>
    <n v="20"/>
    <n v="8.1"/>
    <n v="7.4"/>
    <n v="106.45183652429932"/>
    <n v="120.79866842153496"/>
    <n v="42"/>
    <n v="42"/>
    <n v="1"/>
    <n v="0.9"/>
    <n v="0"/>
    <n v="5.4"/>
    <n v="5.6"/>
    <n v="8"/>
    <n v="8.3000000000000007"/>
    <n v="76"/>
    <n v="94"/>
    <n v="10"/>
    <n v="9.9"/>
    <n v="4.9000000000000004"/>
    <n v="4.7"/>
    <n v="57"/>
    <n v="91"/>
    <n v="141"/>
    <n v="142"/>
    <n v="2.2000000000000002"/>
    <n v="2.2000000000000002"/>
    <n v="101"/>
    <n v="103"/>
    <n v="296.01566666666668"/>
    <n v="299.67588888888884"/>
    <n v="4.7"/>
    <n v="4.75"/>
    <n v="13.1"/>
    <n v="13.3"/>
    <n v="42.4"/>
    <n v="43.7"/>
    <n v="90.2"/>
    <n v="92"/>
    <n v="27.9"/>
    <n v="28"/>
    <n v="30.9"/>
    <n v="30.4"/>
    <n v="272"/>
    <n v="279"/>
    <n v="13.7"/>
    <n v="13.7"/>
    <n v="1.22"/>
    <s v="-"/>
    <n v="10.32"/>
    <n v="9.77"/>
    <n v="69.400000000000006"/>
    <n v="63.5"/>
    <n v="20.6"/>
    <n v="24.9"/>
    <n v="8.3000000000000007"/>
    <n v="9.6"/>
    <n v="1.3"/>
    <n v="1.3"/>
    <n v="0.4"/>
    <n v="0.7"/>
    <x v="0"/>
    <x v="0"/>
    <n v="74.95620000000001"/>
    <n v="90.2"/>
    <n v="184.5"/>
    <n v="48.67"/>
    <n v="54"/>
    <n v="47"/>
    <n v="16.899999999999999"/>
  </r>
  <r>
    <x v="0"/>
    <x v="5"/>
    <x v="6"/>
    <n v="32"/>
    <n v="96"/>
    <x v="1"/>
    <s v="RX"/>
    <s v="MM"/>
    <s v="ID"/>
    <s v="(+9,+9)"/>
    <n v="45.8333333333333"/>
    <n v="54.1666666666667"/>
    <n v="226"/>
    <n v="514"/>
    <n v="3"/>
    <n v="10"/>
    <s v="-"/>
    <s v="-"/>
    <n v="523"/>
    <n v="534"/>
    <n v="29"/>
    <n v="42"/>
    <n v="4.5999999999999996"/>
    <n v="4.3"/>
    <n v="39"/>
    <n v="51"/>
    <n v="22"/>
    <n v="23"/>
    <n v="4.5999999999999996"/>
    <n v="4.2"/>
    <n v="106.45183652429932"/>
    <n v="106.45183652429932"/>
    <n v="44"/>
    <n v="38"/>
    <n v="1"/>
    <n v="1"/>
    <n v="0"/>
    <n v="4.5"/>
    <n v="5.3"/>
    <n v="8.5"/>
    <n v="7.8"/>
    <n v="83"/>
    <n v="106"/>
    <n v="10.7"/>
    <n v="10.3"/>
    <n v="5.6"/>
    <n v="4.3"/>
    <n v="84"/>
    <n v="87"/>
    <n v="139"/>
    <n v="138"/>
    <n v="2"/>
    <n v="1.8"/>
    <n v="102"/>
    <n v="103"/>
    <n v="295.65600000000001"/>
    <n v="290.56966666666671"/>
    <n v="5.04"/>
    <n v="4.9000000000000004"/>
    <n v="14.4"/>
    <n v="14"/>
    <n v="45.4"/>
    <n v="44.3"/>
    <n v="90.1"/>
    <n v="90.4"/>
    <n v="28.6"/>
    <n v="28.6"/>
    <n v="31.7"/>
    <n v="31.6"/>
    <n v="192"/>
    <n v="191"/>
    <n v="12.8"/>
    <n v="12.6"/>
    <n v="1.2"/>
    <s v="-"/>
    <n v="6.11"/>
    <n v="8.1"/>
    <n v="41.3"/>
    <n v="40"/>
    <n v="46.8"/>
    <n v="50.5"/>
    <n v="6.9"/>
    <n v="6.9"/>
    <n v="4.3"/>
    <n v="2.2000000000000002"/>
    <n v="0.7"/>
    <n v="0.4"/>
    <x v="0"/>
    <x v="0"/>
    <n v="82.029080000000008"/>
    <n v="90.7"/>
    <n v="191"/>
    <n v="50.01"/>
    <n v="56.5"/>
    <n v="54.5"/>
    <n v="9.56"/>
  </r>
  <r>
    <x v="0"/>
    <x v="5"/>
    <x v="8"/>
    <n v="28"/>
    <n v="82"/>
    <x v="2"/>
    <s v="RX"/>
    <s v="MT"/>
    <s v="ID"/>
    <s v="(+9,-9)"/>
    <n v="54.1666666666667"/>
    <n v="45.8333333333333"/>
    <n v="135"/>
    <n v="188"/>
    <n v="3"/>
    <n v="3"/>
    <s v="-"/>
    <s v="-"/>
    <n v="456"/>
    <n v="462"/>
    <n v="26"/>
    <n v="28"/>
    <n v="4.3"/>
    <n v="4.0999999999999996"/>
    <n v="37"/>
    <n v="35"/>
    <n v="19"/>
    <n v="20"/>
    <n v="4.4000000000000004"/>
    <n v="4.3"/>
    <n v="106.45183652429932"/>
    <n v="94.947150652744313"/>
    <n v="49"/>
    <n v="53"/>
    <n v="1"/>
    <n v="1.1000000000000001"/>
    <n v="0.10000000000000009"/>
    <n v="5.4"/>
    <n v="4.4000000000000004"/>
    <n v="7.2"/>
    <n v="7.2"/>
    <n v="74"/>
    <n v="126"/>
    <n v="10.1"/>
    <n v="10.1"/>
    <n v="5.3"/>
    <n v="4.7"/>
    <n v="105"/>
    <n v="94"/>
    <n v="138"/>
    <n v="139"/>
    <n v="2"/>
    <n v="1.8"/>
    <n v="102"/>
    <n v="102"/>
    <n v="295.41300000000001"/>
    <n v="296.12088888888883"/>
    <n v="4.9000000000000004"/>
    <n v="5.0199999999999996"/>
    <n v="14.7"/>
    <n v="15"/>
    <n v="44.9"/>
    <n v="47"/>
    <n v="91.6"/>
    <n v="93.6"/>
    <n v="30"/>
    <n v="29.9"/>
    <n v="32.700000000000003"/>
    <n v="31.9"/>
    <n v="253"/>
    <n v="236"/>
    <n v="12.4"/>
    <n v="12.5"/>
    <n v="1.34"/>
    <n v="1.21"/>
    <n v="6.7"/>
    <n v="6.37"/>
    <n v="67.2"/>
    <n v="50.8"/>
    <n v="22.2"/>
    <n v="33"/>
    <n v="7.8"/>
    <n v="11.9"/>
    <n v="2.5"/>
    <n v="3.8"/>
    <n v="0.3"/>
    <n v="0.5"/>
    <x v="0"/>
    <x v="0"/>
    <n v="77.353679999999997"/>
    <n v="84.3"/>
    <n v="190"/>
    <n v="51.12"/>
    <n v="54.5"/>
    <n v="50.5"/>
    <n v="8.24"/>
  </r>
  <r>
    <x v="0"/>
    <x v="5"/>
    <x v="9"/>
    <n v="26"/>
    <n v="90"/>
    <x v="0"/>
    <s v="-"/>
    <s v="-"/>
    <s v="-"/>
    <s v="-"/>
    <s v="-"/>
    <s v="-"/>
    <n v="114"/>
    <n v="151"/>
    <n v="3"/>
    <n v="9"/>
    <s v="-"/>
    <s v="-"/>
    <n v="390"/>
    <n v="466"/>
    <n v="21"/>
    <n v="23"/>
    <n v="3.9"/>
    <n v="4.2"/>
    <n v="29"/>
    <n v="34"/>
    <n v="17"/>
    <n v="21"/>
    <n v="4.4000000000000004"/>
    <n v="4.5999999999999996"/>
    <n v="125.17286966375688"/>
    <n v="125.17286966375688"/>
    <n v="34"/>
    <n v="29"/>
    <n v="0.8"/>
    <n v="0.8"/>
    <n v="0"/>
    <n v="5.0999999999999996"/>
    <n v="5.8"/>
    <n v="7.1"/>
    <n v="7.5"/>
    <n v="66"/>
    <n v="97"/>
    <n v="9.6"/>
    <n v="9.6999999999999993"/>
    <n v="4.4000000000000004"/>
    <n v="4.4000000000000004"/>
    <n v="72"/>
    <n v="84"/>
    <n v="140"/>
    <n v="140"/>
    <n v="1.9"/>
    <n v="2.1"/>
    <n v="103"/>
    <n v="104"/>
    <n v="292.85066666666671"/>
    <n v="292.78399999999999"/>
    <n v="4.68"/>
    <n v="4.8499999999999996"/>
    <n v="13.4"/>
    <n v="14"/>
    <n v="41.4"/>
    <n v="43.5"/>
    <n v="88.5"/>
    <n v="89.7"/>
    <n v="28.6"/>
    <n v="28.9"/>
    <n v="32.4"/>
    <n v="32.200000000000003"/>
    <n v="279"/>
    <n v="255"/>
    <n v="12.9"/>
    <n v="12.9"/>
    <n v="1.55"/>
    <n v="1.58"/>
    <n v="6.96"/>
    <n v="7.41"/>
    <n v="52.1"/>
    <n v="44.6"/>
    <n v="31.6"/>
    <n v="36.200000000000003"/>
    <n v="9.8000000000000007"/>
    <n v="10.8"/>
    <n v="6.2"/>
    <n v="8"/>
    <n v="0.3"/>
    <n v="0.4"/>
    <x v="0"/>
    <x v="0"/>
    <n v="82.441199999999995"/>
    <n v="92"/>
    <n v="174.4"/>
    <n v="49.71"/>
    <n v="55"/>
    <n v="55.5"/>
    <n v="10.39"/>
  </r>
  <r>
    <x v="0"/>
    <x v="5"/>
    <x v="13"/>
    <n v="25"/>
    <n v="85"/>
    <x v="0"/>
    <s v="RX"/>
    <s v="MM"/>
    <s v="II"/>
    <s v="(+9,-9)"/>
    <n v="25"/>
    <n v="75"/>
    <n v="145"/>
    <n v="116"/>
    <n v="3"/>
    <n v="3"/>
    <s v="-"/>
    <s v="-"/>
    <n v="442"/>
    <n v="360"/>
    <n v="40"/>
    <n v="29"/>
    <n v="4.8"/>
    <n v="4.0999999999999996"/>
    <n v="55"/>
    <n v="41"/>
    <n v="32"/>
    <n v="29"/>
    <n v="5.0999999999999996"/>
    <n v="4.8"/>
    <n v="106.45183652429932"/>
    <n v="106.45183652429932"/>
    <n v="36"/>
    <n v="30"/>
    <n v="1"/>
    <n v="1"/>
    <n v="0"/>
    <n v="5.3"/>
    <n v="5"/>
    <n v="8.3000000000000007"/>
    <n v="7.4"/>
    <n v="94"/>
    <n v="54"/>
    <n v="10.4"/>
    <n v="9.9"/>
    <n v="4.4000000000000004"/>
    <n v="4.5"/>
    <n v="59"/>
    <n v="90"/>
    <n v="141"/>
    <n v="140"/>
    <n v="2.2000000000000002"/>
    <n v="2.2000000000000002"/>
    <n v="103"/>
    <n v="101"/>
    <n v="294.21344444444446"/>
    <n v="293.52000000000004"/>
    <n v="4.93"/>
    <n v="4.62"/>
    <n v="14"/>
    <n v="13.3"/>
    <n v="42.5"/>
    <n v="40.5"/>
    <n v="86.2"/>
    <n v="87.7"/>
    <n v="28.4"/>
    <n v="28.8"/>
    <n v="32.9"/>
    <n v="32.799999999999997"/>
    <n v="289"/>
    <n v="293"/>
    <n v="12.9"/>
    <n v="12.8"/>
    <n v="1.35"/>
    <n v="1.25"/>
    <n v="6.56"/>
    <n v="8.9"/>
    <n v="58.3"/>
    <n v="59.8"/>
    <n v="26.2"/>
    <n v="29.7"/>
    <n v="8.6999999999999993"/>
    <n v="6.7"/>
    <n v="6.3"/>
    <n v="3.6"/>
    <n v="0.5"/>
    <n v="0.2"/>
    <x v="0"/>
    <x v="0"/>
    <n v="79.512460000000004"/>
    <n v="85.7"/>
    <n v="185"/>
    <n v="52.04"/>
    <n v="50"/>
    <n v="50"/>
    <n v="7.22"/>
  </r>
  <r>
    <x v="0"/>
    <x v="5"/>
    <x v="14"/>
    <n v="28"/>
    <n v="77"/>
    <x v="1"/>
    <s v="RR"/>
    <s v="MT"/>
    <s v="ID"/>
    <s v="(+9,-9)"/>
    <n v="212.5"/>
    <n v="-112.5"/>
    <n v="51"/>
    <n v="113"/>
    <n v="3"/>
    <n v="3"/>
    <s v="-"/>
    <s v="-"/>
    <n v="382"/>
    <n v="415"/>
    <n v="21"/>
    <n v="32"/>
    <n v="4.0999999999999996"/>
    <n v="4.2"/>
    <n v="33"/>
    <n v="49"/>
    <n v="38"/>
    <n v="52"/>
    <n v="6.3"/>
    <n v="5"/>
    <n v="120.79866842153496"/>
    <n v="125.17286966375688"/>
    <n v="35"/>
    <n v="45"/>
    <n v="0.9"/>
    <n v="0.8"/>
    <n v="0"/>
    <n v="5.0999999999999996"/>
    <n v="4.4000000000000004"/>
    <n v="7.1"/>
    <n v="7.1"/>
    <n v="85"/>
    <n v="150"/>
    <n v="9.9"/>
    <n v="10.199999999999999"/>
    <n v="4.5"/>
    <n v="4.4000000000000004"/>
    <n v="91"/>
    <n v="99"/>
    <n v="140"/>
    <n v="140"/>
    <n v="2"/>
    <n v="1.9"/>
    <n v="103"/>
    <n v="104"/>
    <n v="294.41722222222222"/>
    <n v="296.40899999999999"/>
    <n v="4.55"/>
    <n v="4.5"/>
    <n v="13.9"/>
    <n v="13.6"/>
    <n v="41.9"/>
    <n v="42"/>
    <n v="92.1"/>
    <n v="93.3"/>
    <n v="30.5"/>
    <n v="30.2"/>
    <n v="33.200000000000003"/>
    <n v="32.4"/>
    <n v="196"/>
    <n v="197"/>
    <n v="13"/>
    <n v="12.9"/>
    <n v="1.86"/>
    <n v="1.58"/>
    <n v="8.1199999999999992"/>
    <n v="15.11"/>
    <n v="65.099999999999994"/>
    <n v="77.3"/>
    <n v="26"/>
    <n v="15.1"/>
    <n v="7.8"/>
    <n v="7.4"/>
    <n v="1"/>
    <n v="0.1"/>
    <n v="0.1"/>
    <n v="0.1"/>
    <x v="0"/>
    <x v="0"/>
    <n v="70.76357999999999"/>
    <n v="78.599999999999994"/>
    <n v="179"/>
    <n v="53.31"/>
    <n v="50"/>
    <n v="44"/>
    <n v="9.9700000000000006"/>
  </r>
  <r>
    <x v="0"/>
    <x v="5"/>
    <x v="15"/>
    <n v="29"/>
    <n v="80"/>
    <x v="0"/>
    <s v="-"/>
    <s v="-"/>
    <s v="-"/>
    <s v="-"/>
    <s v="-"/>
    <s v="-"/>
    <n v="186"/>
    <n v="195"/>
    <n v="3"/>
    <n v="3"/>
    <s v="-"/>
    <s v="-"/>
    <n v="634"/>
    <n v="552"/>
    <n v="32"/>
    <n v="34"/>
    <n v="4.2"/>
    <n v="4.2"/>
    <n v="26"/>
    <n v="30"/>
    <n v="21"/>
    <n v="21"/>
    <n v="3.8"/>
    <n v="4.5999999999999996"/>
    <n v="125.17286966375688"/>
    <n v="120.79866842153496"/>
    <n v="33"/>
    <n v="43"/>
    <n v="0.8"/>
    <n v="0.9"/>
    <n v="9.9999999999999978E-2"/>
    <n v="4.7"/>
    <n v="4.5"/>
    <n v="7.2"/>
    <n v="7.2"/>
    <n v="54"/>
    <n v="98"/>
    <n v="9.6999999999999993"/>
    <n v="9.8000000000000007"/>
    <n v="4.5999999999999996"/>
    <n v="4.0999999999999996"/>
    <n v="71"/>
    <n v="91"/>
    <n v="139"/>
    <n v="139"/>
    <n v="2.1"/>
    <n v="2"/>
    <n v="100"/>
    <n v="101"/>
    <n v="291.1321111111111"/>
    <n v="293.14655555555555"/>
    <n v="4.6900000000000004"/>
    <n v="4.63"/>
    <n v="13.7"/>
    <n v="13.5"/>
    <n v="42.9"/>
    <n v="43.4"/>
    <n v="91.5"/>
    <n v="93.7"/>
    <n v="29.2"/>
    <n v="29.2"/>
    <n v="31.9"/>
    <n v="31.1"/>
    <n v="258"/>
    <n v="250"/>
    <n v="13.6"/>
    <n v="13.6"/>
    <n v="1"/>
    <n v="0.91"/>
    <n v="7.23"/>
    <n v="6.62"/>
    <n v="66.400000000000006"/>
    <n v="63.5"/>
    <n v="26"/>
    <n v="26.4"/>
    <n v="6.2"/>
    <n v="8"/>
    <n v="1"/>
    <n v="1.8"/>
    <n v="0.4"/>
    <n v="0.3"/>
    <x v="0"/>
    <x v="0"/>
    <n v="72.151949999999999"/>
    <n v="81.5"/>
    <n v="175"/>
    <n v="51.49"/>
    <n v="49.5"/>
    <n v="41"/>
    <n v="11.47"/>
  </r>
  <r>
    <x v="0"/>
    <x v="5"/>
    <x v="17"/>
    <n v="29"/>
    <n v="83"/>
    <x v="2"/>
    <s v="-"/>
    <s v="-"/>
    <s v="-"/>
    <s v="-"/>
    <s v="-"/>
    <s v="-"/>
    <n v="53"/>
    <n v="82"/>
    <n v="3"/>
    <n v="3"/>
    <s v="-"/>
    <s v="-"/>
    <n v="276"/>
    <n v="318"/>
    <n v="17"/>
    <n v="18"/>
    <n v="4.3"/>
    <n v="4.3"/>
    <n v="27"/>
    <n v="28"/>
    <n v="19"/>
    <n v="24"/>
    <n v="5.2"/>
    <n v="5.0999999999999996"/>
    <n v="120.79866842153496"/>
    <n v="120.79866842153496"/>
    <n v="32"/>
    <n v="38"/>
    <n v="0.9"/>
    <n v="0.9"/>
    <n v="0"/>
    <n v="5.8"/>
    <n v="5.3"/>
    <n v="7.3"/>
    <n v="7.6"/>
    <n v="78"/>
    <n v="119"/>
    <n v="9.6"/>
    <n v="10.3"/>
    <n v="4.4000000000000004"/>
    <n v="4.9000000000000004"/>
    <n v="95"/>
    <n v="90"/>
    <n v="140"/>
    <n v="141"/>
    <n v="2.1"/>
    <n v="2.2000000000000002"/>
    <n v="103"/>
    <n v="101"/>
    <n v="293.98677777777777"/>
    <n v="297.45733333333334"/>
    <n v="4.51"/>
    <n v="4.76"/>
    <n v="13.1"/>
    <n v="13.9"/>
    <n v="40.700000000000003"/>
    <n v="43.1"/>
    <n v="90.2"/>
    <n v="90.5"/>
    <n v="29"/>
    <n v="29.2"/>
    <n v="32.200000000000003"/>
    <n v="32.299999999999997"/>
    <n v="278"/>
    <n v="303"/>
    <n v="12.9"/>
    <n v="12.6"/>
    <n v="1.19"/>
    <n v="1.1599999999999999"/>
    <n v="7.82"/>
    <n v="8.4"/>
    <n v="60.1"/>
    <n v="54.5"/>
    <n v="26.9"/>
    <n v="35.1"/>
    <n v="10.4"/>
    <n v="8.3000000000000007"/>
    <n v="2.2000000000000002"/>
    <n v="1.7"/>
    <n v="0.4"/>
    <n v="0.4"/>
    <x v="0"/>
    <x v="0"/>
    <n v="72.809100000000001"/>
    <n v="81.900000000000006"/>
    <n v="180.5"/>
    <n v="51.93"/>
    <n v="44.5"/>
    <n v="46.5"/>
    <n v="11.1"/>
  </r>
  <r>
    <x v="0"/>
    <x v="5"/>
    <x v="18"/>
    <n v="28"/>
    <n v="81"/>
    <x v="0"/>
    <s v="-"/>
    <s v="-"/>
    <s v="-"/>
    <s v="-"/>
    <s v="-"/>
    <s v="-"/>
    <n v="53"/>
    <n v="110"/>
    <n v="3"/>
    <n v="3"/>
    <s v="-"/>
    <s v="-"/>
    <n v="367"/>
    <n v="437"/>
    <n v="20"/>
    <n v="27"/>
    <n v="4.2"/>
    <n v="4.2"/>
    <n v="16"/>
    <n v="22"/>
    <n v="11"/>
    <n v="16"/>
    <n v="6.3"/>
    <n v="6.6"/>
    <n v="106.45183652429932"/>
    <n v="106.45183652429932"/>
    <n v="25"/>
    <n v="42"/>
    <n v="1"/>
    <n v="1"/>
    <n v="0"/>
    <n v="4.3"/>
    <n v="4.5"/>
    <n v="7.6"/>
    <n v="7.9"/>
    <n v="90"/>
    <n v="107"/>
    <n v="9.6999999999999993"/>
    <n v="10"/>
    <n v="4.9000000000000004"/>
    <n v="4.5999999999999996"/>
    <n v="76"/>
    <n v="95"/>
    <n v="140"/>
    <n v="140"/>
    <n v="2.1"/>
    <n v="2.2000000000000002"/>
    <n v="102"/>
    <n v="102"/>
    <n v="292.53622222222225"/>
    <n v="296.02544444444447"/>
    <n v="4.6399999999999997"/>
    <n v="4.76"/>
    <n v="13"/>
    <n v="13.4"/>
    <n v="41"/>
    <n v="42.7"/>
    <n v="88.4"/>
    <n v="89.7"/>
    <n v="28"/>
    <n v="28.2"/>
    <n v="31.7"/>
    <n v="31.4"/>
    <n v="246"/>
    <n v="283"/>
    <n v="13.9"/>
    <n v="13.8"/>
    <n v="1.68"/>
    <n v="1.37"/>
    <n v="5.09"/>
    <n v="7.39"/>
    <n v="56.4"/>
    <n v="59.2"/>
    <n v="32"/>
    <n v="30.9"/>
    <n v="9.6"/>
    <n v="8.4"/>
    <n v="1.6"/>
    <n v="1.2"/>
    <n v="0.4"/>
    <n v="0.3"/>
    <x v="0"/>
    <x v="0"/>
    <n v="71.943809999999999"/>
    <n v="81.099999999999994"/>
    <n v="178"/>
    <n v="51.6"/>
    <n v="45.5"/>
    <n v="43"/>
    <n v="11.29"/>
  </r>
  <r>
    <x v="0"/>
    <x v="5"/>
    <x v="19"/>
    <n v="26"/>
    <n v="68"/>
    <x v="0"/>
    <s v="-"/>
    <s v="-"/>
    <s v="-"/>
    <s v="-"/>
    <s v="-"/>
    <s v="-"/>
    <n v="53"/>
    <n v="312"/>
    <n v="3"/>
    <n v="3"/>
    <s v="-"/>
    <s v="-"/>
    <n v="406"/>
    <n v="421"/>
    <n v="28"/>
    <n v="39"/>
    <n v="4.9000000000000004"/>
    <n v="4.5999999999999996"/>
    <n v="45"/>
    <n v="49"/>
    <n v="17"/>
    <n v="19"/>
    <n v="4.8"/>
    <n v="5"/>
    <n v="125.17286966375688"/>
    <n v="120.79866842153496"/>
    <n v="33"/>
    <n v="40"/>
    <n v="0.8"/>
    <n v="0.9"/>
    <n v="9.9999999999999978E-2"/>
    <n v="5.5"/>
    <n v="5.6"/>
    <n v="8"/>
    <n v="8.1"/>
    <n v="109"/>
    <n v="105"/>
    <n v="10"/>
    <n v="10.3"/>
    <n v="4.5999999999999996"/>
    <n v="4.5999999999999996"/>
    <n v="59"/>
    <n v="98"/>
    <n v="139"/>
    <n v="141"/>
    <n v="1.9"/>
    <n v="2.1"/>
    <n v="99"/>
    <n v="100"/>
    <n v="290.36544444444445"/>
    <n v="297.74377777777784"/>
    <n v="4.75"/>
    <n v="4.75"/>
    <n v="14.6"/>
    <n v="14.5"/>
    <n v="44.2"/>
    <n v="45.1"/>
    <n v="93.1"/>
    <n v="94.9"/>
    <n v="30.7"/>
    <n v="30.5"/>
    <n v="33"/>
    <n v="32.200000000000003"/>
    <n v="270"/>
    <n v="259"/>
    <n v="12.8"/>
    <n v="12.9"/>
    <n v="1.52"/>
    <n v="1.1000000000000001"/>
    <n v="8.9499999999999993"/>
    <n v="7.67"/>
    <n v="66.599999999999994"/>
    <n v="48.6"/>
    <n v="21.5"/>
    <n v="33.4"/>
    <n v="9.9"/>
    <n v="14"/>
    <n v="1.8"/>
    <n v="3.3"/>
    <n v="0.2"/>
    <n v="0.7"/>
    <x v="0"/>
    <x v="0"/>
    <n v="62.5396"/>
    <n v="68"/>
    <n v="173"/>
    <n v="55.9"/>
    <n v="39"/>
    <n v="39"/>
    <n v="8.0299999999999994"/>
  </r>
  <r>
    <x v="0"/>
    <x v="5"/>
    <x v="20"/>
    <n v="27"/>
    <n v="83"/>
    <x v="0"/>
    <s v="-"/>
    <s v="-"/>
    <s v="-"/>
    <s v="-"/>
    <s v="-"/>
    <s v="-"/>
    <n v="236"/>
    <n v="164"/>
    <n v="4"/>
    <n v="3"/>
    <s v="-"/>
    <s v="-"/>
    <n v="527"/>
    <n v="532"/>
    <n v="30"/>
    <n v="25"/>
    <n v="4.5"/>
    <n v="4.4000000000000004"/>
    <n v="39"/>
    <n v="43"/>
    <n v="26"/>
    <n v="33"/>
    <n v="6.5"/>
    <n v="6.7"/>
    <n v="94.947150652744313"/>
    <n v="94.947150652744313"/>
    <n v="39"/>
    <n v="38"/>
    <n v="1.1000000000000001"/>
    <n v="1.1000000000000001"/>
    <n v="0"/>
    <n v="5.0999999999999996"/>
    <n v="5.0999999999999996"/>
    <n v="7.8"/>
    <n v="8"/>
    <n v="71"/>
    <n v="95"/>
    <n v="9.8000000000000007"/>
    <n v="10.199999999999999"/>
    <n v="4.7"/>
    <n v="4.5"/>
    <n v="66"/>
    <n v="95"/>
    <n v="140"/>
    <n v="141"/>
    <n v="2.1"/>
    <n v="2.1"/>
    <n v="101"/>
    <n v="101"/>
    <n v="293.85866666666664"/>
    <n v="297.03277777777777"/>
    <n v="5.59"/>
    <n v="5.57"/>
    <n v="14.8"/>
    <n v="14.8"/>
    <n v="46.3"/>
    <n v="47.1"/>
    <n v="82.8"/>
    <n v="84.6"/>
    <n v="26.5"/>
    <n v="26.6"/>
    <n v="32"/>
    <n v="31.4"/>
    <n v="166"/>
    <n v="288"/>
    <n v="13"/>
    <n v="12.8"/>
    <n v="1.65"/>
    <n v="1.1299999999999999"/>
    <n v="7.06"/>
    <n v="9.8000000000000007"/>
    <n v="58.9"/>
    <n v="49.7"/>
    <n v="28.5"/>
    <n v="41.1"/>
    <n v="8.8000000000000007"/>
    <n v="7.1"/>
    <n v="3.4"/>
    <n v="1.7"/>
    <n v="0.4"/>
    <n v="0.4"/>
    <x v="0"/>
    <x v="0"/>
    <n v="70.30368"/>
    <n v="82.4"/>
    <n v="168"/>
    <n v="50.7"/>
    <n v="60"/>
    <n v="58"/>
    <n v="14.68"/>
  </r>
  <r>
    <x v="0"/>
    <x v="6"/>
    <x v="1"/>
    <n v="26"/>
    <n v="70"/>
    <x v="0"/>
    <s v="RR"/>
    <s v="MT"/>
    <s v="II"/>
    <s v="(+9,-9)"/>
    <n v="50"/>
    <n v="50"/>
    <n v="168"/>
    <n v="1767"/>
    <n v="23"/>
    <n v="35"/>
    <s v="-"/>
    <s v="-"/>
    <s v="-"/>
    <s v="-"/>
    <n v="28"/>
    <n v="90"/>
    <n v="4.5999999999999996"/>
    <n v="4.3"/>
    <n v="39"/>
    <n v="51"/>
    <s v="-"/>
    <s v="-"/>
    <n v="5.8"/>
    <n v="6.6"/>
    <n v="106.45183652429932"/>
    <n v="106.45183652429932"/>
    <n v="46"/>
    <n v="63"/>
    <n v="1"/>
    <n v="1"/>
    <n v="0"/>
    <s v="-"/>
    <s v="-"/>
    <n v="7.6"/>
    <n v="7.2"/>
    <s v="-"/>
    <s v="-"/>
    <n v="10.7"/>
    <n v="9.4"/>
    <n v="4.7"/>
    <n v="4.0999999999999996"/>
    <n v="100"/>
    <n v="86"/>
    <n v="143"/>
    <n v="139"/>
    <s v="-"/>
    <s v="-"/>
    <s v="-"/>
    <s v="-"/>
    <n v="302.77755555555558"/>
    <n v="296.16044444444447"/>
    <n v="5.15"/>
    <n v="4.43"/>
    <n v="14.4"/>
    <n v="12.6"/>
    <n v="45.1"/>
    <n v="38.6"/>
    <n v="87.6"/>
    <n v="87.1"/>
    <n v="28"/>
    <n v="28.4"/>
    <n v="31.9"/>
    <n v="32.6"/>
    <n v="257"/>
    <n v="270"/>
    <n v="13.5"/>
    <n v="14"/>
    <n v="1.52"/>
    <n v="1.17"/>
    <n v="7.13"/>
    <n v="8.5299999999999994"/>
    <n v="68.8"/>
    <n v="57.2"/>
    <n v="21.9"/>
    <n v="27.5"/>
    <n v="8"/>
    <n v="14.2"/>
    <n v="1.3"/>
    <n v="1.1000000000000001"/>
    <n v="0"/>
    <n v="0"/>
    <x v="0"/>
    <x v="1"/>
    <n v="71.28528"/>
    <n v="75.900000000000006"/>
    <n v="171"/>
    <n v="54.68"/>
    <n v="42"/>
    <n v="43"/>
    <n v="6.08"/>
  </r>
  <r>
    <x v="0"/>
    <x v="6"/>
    <x v="2"/>
    <n v="26"/>
    <n v="74"/>
    <x v="0"/>
    <s v="RX"/>
    <s v="MM"/>
    <s v="ID"/>
    <s v="(+9,+9)"/>
    <n v="50"/>
    <n v="50"/>
    <n v="183"/>
    <n v="1197"/>
    <n v="24"/>
    <n v="31"/>
    <s v="-"/>
    <s v="-"/>
    <s v="-"/>
    <s v="-"/>
    <n v="35"/>
    <n v="69"/>
    <n v="4.2"/>
    <n v="4.0999999999999996"/>
    <n v="29"/>
    <n v="45"/>
    <s v="-"/>
    <s v="-"/>
    <n v="4.8"/>
    <n v="5.2"/>
    <n v="85.533385678368745"/>
    <n v="94.947150652744313"/>
    <n v="45"/>
    <n v="36"/>
    <n v="1.2"/>
    <n v="1.1000000000000001"/>
    <n v="0"/>
    <s v="-"/>
    <s v="-"/>
    <n v="7"/>
    <n v="6.8"/>
    <s v="-"/>
    <s v="-"/>
    <n v="9.5"/>
    <n v="9.4"/>
    <n v="4.4000000000000004"/>
    <n v="3.6"/>
    <n v="117"/>
    <n v="87"/>
    <n v="141"/>
    <n v="141"/>
    <s v="-"/>
    <s v="-"/>
    <s v="-"/>
    <s v="-"/>
    <n v="299.41900000000004"/>
    <n v="294.51433333333335"/>
    <n v="5.08"/>
    <n v="4.47"/>
    <n v="14.8"/>
    <n v="13.3"/>
    <n v="45.8"/>
    <n v="39.799999999999997"/>
    <n v="90.2"/>
    <n v="89"/>
    <n v="29.1"/>
    <n v="29.8"/>
    <n v="32.299999999999997"/>
    <n v="33.4"/>
    <n v="210"/>
    <n v="80"/>
    <n v="11.8"/>
    <n v="12.1"/>
    <n v="1.43"/>
    <n v="1.19"/>
    <n v="4.68"/>
    <n v="6.42"/>
    <n v="74.099999999999994"/>
    <n v="53.4"/>
    <n v="19.7"/>
    <n v="33.6"/>
    <n v="5.6"/>
    <n v="8.4"/>
    <n v="0.6"/>
    <n v="4.4000000000000004"/>
    <n v="0"/>
    <n v="0.2"/>
    <x v="0"/>
    <x v="1"/>
    <n v="72.293760000000006"/>
    <n v="79.2"/>
    <n v="174"/>
    <n v="53.64"/>
    <n v="49.5"/>
    <n v="49.5"/>
    <n v="8.7200000000000006"/>
  </r>
  <r>
    <x v="0"/>
    <x v="6"/>
    <x v="3"/>
    <n v="25"/>
    <n v="84"/>
    <x v="0"/>
    <s v="RR"/>
    <s v="TT"/>
    <s v="DD"/>
    <s v="(+9,-9)"/>
    <s v="-"/>
    <s v="-"/>
    <n v="205"/>
    <n v="1070"/>
    <n v="22"/>
    <n v="26"/>
    <s v="-"/>
    <s v="-"/>
    <s v="-"/>
    <s v="-"/>
    <n v="30"/>
    <n v="61"/>
    <n v="4.3"/>
    <n v="4.0999999999999996"/>
    <n v="39"/>
    <n v="47"/>
    <s v="-"/>
    <s v="-"/>
    <n v="5.6"/>
    <n v="6.9"/>
    <n v="85.533385678368745"/>
    <n v="85.533385678368745"/>
    <n v="40"/>
    <n v="49"/>
    <n v="1.2"/>
    <n v="1.2"/>
    <n v="0"/>
    <s v="-"/>
    <s v="-"/>
    <n v="7.1"/>
    <n v="7"/>
    <s v="-"/>
    <s v="-"/>
    <n v="9.8000000000000007"/>
    <n v="9.1999999999999993"/>
    <n v="4"/>
    <n v="4"/>
    <n v="107"/>
    <n v="87"/>
    <n v="140"/>
    <n v="140"/>
    <s v="-"/>
    <s v="-"/>
    <s v="-"/>
    <s v="-"/>
    <n v="295.34277777777783"/>
    <n v="295.56500000000005"/>
    <n v="5.27"/>
    <n v="4.83"/>
    <n v="14.4"/>
    <n v="13.4"/>
    <n v="45.6"/>
    <n v="41.9"/>
    <n v="86.5"/>
    <n v="86.7"/>
    <n v="27.3"/>
    <n v="27.7"/>
    <n v="31.6"/>
    <n v="32"/>
    <n v="250"/>
    <n v="243"/>
    <n v="12.2"/>
    <n v="12.4"/>
    <n v="1.2"/>
    <n v="0.96"/>
    <n v="4.6399999999999997"/>
    <n v="6.85"/>
    <n v="50.7"/>
    <n v="46.8"/>
    <n v="40.700000000000003"/>
    <n v="41.6"/>
    <n v="6.9"/>
    <n v="9.8000000000000007"/>
    <n v="1.7"/>
    <n v="1.8"/>
    <n v="0"/>
    <n v="0"/>
    <x v="0"/>
    <x v="1"/>
    <n v="75.355769999999993"/>
    <n v="84.3"/>
    <n v="178"/>
    <n v="52.69"/>
    <n v="60"/>
    <n v="57"/>
    <n v="10.61"/>
  </r>
  <r>
    <x v="0"/>
    <x v="6"/>
    <x v="5"/>
    <n v="31"/>
    <n v="89"/>
    <x v="0"/>
    <s v="XX"/>
    <s v="MT"/>
    <s v="ID"/>
    <s v="(-9,-9)"/>
    <n v="100"/>
    <n v="0"/>
    <n v="181"/>
    <n v="1484"/>
    <n v="17"/>
    <n v="39"/>
    <s v="-"/>
    <s v="-"/>
    <s v="-"/>
    <s v="-"/>
    <n v="30"/>
    <n v="98"/>
    <n v="4.5999999999999996"/>
    <n v="4"/>
    <n v="41"/>
    <n v="54"/>
    <s v="-"/>
    <s v="-"/>
    <n v="8.4"/>
    <n v="10"/>
    <n v="94.947150652744313"/>
    <n v="85.533385678368745"/>
    <n v="46"/>
    <n v="56"/>
    <n v="1.1000000000000001"/>
    <n v="1.2"/>
    <n v="9.9999999999999867E-2"/>
    <s v="-"/>
    <s v="-"/>
    <n v="7.9"/>
    <n v="7.3"/>
    <s v="-"/>
    <s v="-"/>
    <n v="9.6999999999999993"/>
    <n v="8.6999999999999993"/>
    <n v="4.0999999999999996"/>
    <n v="4.0999999999999996"/>
    <n v="116"/>
    <n v="0"/>
    <n v="142"/>
    <n v="142"/>
    <s v="-"/>
    <s v="-"/>
    <s v="-"/>
    <s v="-"/>
    <n v="300.82377777777776"/>
    <n v="295.0793333333333"/>
    <n v="4.87"/>
    <n v="4.37"/>
    <n v="13.4"/>
    <n v="12.3"/>
    <n v="43.3"/>
    <n v="39.1"/>
    <n v="88.9"/>
    <n v="89.5"/>
    <n v="27.5"/>
    <n v="28.1"/>
    <n v="30.9"/>
    <n v="31.5"/>
    <n v="285"/>
    <n v="263"/>
    <n v="13.3"/>
    <n v="13.7"/>
    <n v="1.1200000000000001"/>
    <n v="1.18"/>
    <n v="11.19"/>
    <n v="10.24"/>
    <n v="77.599999999999994"/>
    <n v="59.7"/>
    <n v="16.2"/>
    <n v="28.3"/>
    <n v="5.6"/>
    <n v="10.4"/>
    <n v="0.6"/>
    <n v="1.6"/>
    <n v="0"/>
    <n v="0"/>
    <x v="0"/>
    <x v="1"/>
    <n v="74.95620000000001"/>
    <n v="90.2"/>
    <n v="184.5"/>
    <n v="48.67"/>
    <n v="54"/>
    <n v="47"/>
    <n v="16.899999999999999"/>
  </r>
  <r>
    <x v="0"/>
    <x v="6"/>
    <x v="6"/>
    <n v="32"/>
    <n v="96"/>
    <x v="1"/>
    <s v="RX"/>
    <s v="MM"/>
    <s v="ID"/>
    <s v="(+9,+9)"/>
    <n v="45.8333333333333"/>
    <n v="54.1666666666667"/>
    <n v="264"/>
    <n v="5508"/>
    <n v="23"/>
    <n v="72"/>
    <s v="-"/>
    <s v="-"/>
    <s v="-"/>
    <s v="-"/>
    <n v="32"/>
    <n v="132"/>
    <n v="4.5"/>
    <n v="4.0999999999999996"/>
    <n v="42"/>
    <n v="83"/>
    <s v="-"/>
    <s v="-"/>
    <n v="4.7"/>
    <n v="6.2"/>
    <n v="94.947150652744313"/>
    <n v="94.947150652744313"/>
    <n v="45"/>
    <n v="58"/>
    <n v="1.1000000000000001"/>
    <n v="1.1000000000000001"/>
    <n v="0"/>
    <s v="-"/>
    <s v="-"/>
    <n v="7.6"/>
    <n v="7.3"/>
    <s v="-"/>
    <s v="-"/>
    <n v="10.1"/>
    <n v="9.3000000000000007"/>
    <n v="4"/>
    <n v="3.6"/>
    <n v="114"/>
    <n v="0"/>
    <n v="142"/>
    <n v="140"/>
    <s v="-"/>
    <s v="-"/>
    <s v="-"/>
    <s v="-"/>
    <n v="300.34333333333336"/>
    <n v="290.76266666666669"/>
    <n v="4.8600000000000003"/>
    <n v="4.3899999999999997"/>
    <n v="13.8"/>
    <n v="12.5"/>
    <n v="43.6"/>
    <n v="39.5"/>
    <n v="89.7"/>
    <n v="90"/>
    <n v="28.4"/>
    <n v="28.5"/>
    <n v="31.7"/>
    <n v="31.6"/>
    <n v="169"/>
    <n v="171"/>
    <n v="12.2"/>
    <n v="12.6"/>
    <n v="1.17"/>
    <n v="1.07"/>
    <n v="5.52"/>
    <n v="8.99"/>
    <n v="52.9"/>
    <n v="48.4"/>
    <n v="36.6"/>
    <n v="40.299999999999997"/>
    <n v="7.6"/>
    <n v="9.1"/>
    <n v="2.9"/>
    <n v="2.2000000000000002"/>
    <n v="0"/>
    <n v="0"/>
    <x v="0"/>
    <x v="1"/>
    <n v="82.029080000000008"/>
    <n v="90.7"/>
    <n v="191"/>
    <n v="50.01"/>
    <n v="56.5"/>
    <n v="54.5"/>
    <n v="9.56"/>
  </r>
  <r>
    <x v="0"/>
    <x v="6"/>
    <x v="8"/>
    <n v="28"/>
    <n v="82"/>
    <x v="2"/>
    <s v="RX"/>
    <s v="MT"/>
    <s v="ID"/>
    <s v="(+9,-9)"/>
    <n v="54.1666666666667"/>
    <n v="45.8333333333333"/>
    <n v="197"/>
    <n v="1412"/>
    <n v="23"/>
    <n v="41"/>
    <s v="-"/>
    <s v="-"/>
    <s v="-"/>
    <s v="-"/>
    <n v="34"/>
    <n v="75"/>
    <n v="4.0999999999999996"/>
    <n v="4"/>
    <n v="27"/>
    <n v="48"/>
    <s v="-"/>
    <s v="-"/>
    <n v="4.5999999999999996"/>
    <n v="5.2"/>
    <n v="94.947150652744313"/>
    <n v="94.947150652744313"/>
    <n v="46"/>
    <n v="48"/>
    <n v="1.1000000000000001"/>
    <n v="1.1000000000000001"/>
    <n v="0"/>
    <s v="-"/>
    <s v="-"/>
    <n v="6.9"/>
    <n v="7"/>
    <s v="-"/>
    <s v="-"/>
    <n v="9.4"/>
    <n v="9.1999999999999993"/>
    <n v="4"/>
    <n v="4.3"/>
    <n v="117"/>
    <n v="0"/>
    <n v="141"/>
    <n v="138"/>
    <s v="-"/>
    <s v="-"/>
    <s v="-"/>
    <s v="-"/>
    <n v="298.8416666666667"/>
    <n v="286.67800000000005"/>
    <n v="4.87"/>
    <n v="4.6900000000000004"/>
    <n v="14.4"/>
    <n v="14"/>
    <n v="44.4"/>
    <n v="42.9"/>
    <n v="91.2"/>
    <n v="91.5"/>
    <n v="29.6"/>
    <n v="29.9"/>
    <n v="32.4"/>
    <n v="32.6"/>
    <n v="220"/>
    <n v="228"/>
    <n v="11.9"/>
    <n v="12.5"/>
    <n v="1.19"/>
    <n v="1.35"/>
    <n v="5.96"/>
    <n v="9.19"/>
    <n v="70.099999999999994"/>
    <n v="86.8"/>
    <n v="19.600000000000001"/>
    <n v="9"/>
    <n v="8.1"/>
    <n v="4.2"/>
    <n v="2.2000000000000002"/>
    <n v="0"/>
    <n v="0"/>
    <n v="0"/>
    <x v="0"/>
    <x v="1"/>
    <n v="77.353679999999997"/>
    <n v="84.3"/>
    <n v="190"/>
    <n v="51.12"/>
    <n v="54.5"/>
    <n v="50.5"/>
    <n v="8.24"/>
  </r>
  <r>
    <x v="0"/>
    <x v="6"/>
    <x v="9"/>
    <n v="26"/>
    <n v="90"/>
    <x v="0"/>
    <s v="-"/>
    <s v="-"/>
    <s v="-"/>
    <s v="-"/>
    <s v="-"/>
    <s v="-"/>
    <n v="177"/>
    <n v="540"/>
    <n v="24"/>
    <n v="26"/>
    <s v="-"/>
    <s v="-"/>
    <s v="-"/>
    <s v="-"/>
    <n v="25"/>
    <n v="34"/>
    <n v="4.0999999999999996"/>
    <n v="4"/>
    <n v="31"/>
    <n v="37"/>
    <s v="-"/>
    <s v="-"/>
    <n v="4.8"/>
    <n v="6.1"/>
    <n v="120.79866842153496"/>
    <n v="106.45183652429932"/>
    <n v="30"/>
    <n v="35"/>
    <n v="0.9"/>
    <n v="1"/>
    <n v="9.9999999999999978E-2"/>
    <s v="-"/>
    <s v="-"/>
    <n v="7.1"/>
    <n v="7.1"/>
    <s v="-"/>
    <s v="-"/>
    <n v="9.4"/>
    <n v="9"/>
    <n v="4"/>
    <n v="4"/>
    <n v="94"/>
    <n v="0"/>
    <n v="143"/>
    <n v="441"/>
    <s v="-"/>
    <s v="-"/>
    <s v="-"/>
    <s v="-"/>
    <n v="298.42555555555555"/>
    <n v="847.53333333333342"/>
    <n v="4.96"/>
    <n v="4.5"/>
    <n v="14"/>
    <n v="12.8"/>
    <n v="43.4"/>
    <n v="39.6"/>
    <n v="87.5"/>
    <n v="88"/>
    <n v="28.2"/>
    <n v="28.4"/>
    <n v="32.299999999999997"/>
    <n v="32.299999999999997"/>
    <n v="252"/>
    <n v="286"/>
    <n v="12.6"/>
    <n v="12.9"/>
    <n v="1.22"/>
    <n v="1.39"/>
    <n v="7.53"/>
    <n v="8.59"/>
    <n v="61"/>
    <n v="56.7"/>
    <n v="25"/>
    <n v="27.6"/>
    <n v="8.1"/>
    <n v="11.9"/>
    <n v="4.9000000000000004"/>
    <n v="3.8"/>
    <n v="0"/>
    <n v="0"/>
    <x v="0"/>
    <x v="0"/>
    <n v="82.441199999999995"/>
    <n v="92"/>
    <n v="174.4"/>
    <n v="49.71"/>
    <n v="55"/>
    <n v="55.5"/>
    <n v="10.39"/>
  </r>
  <r>
    <x v="0"/>
    <x v="6"/>
    <x v="13"/>
    <n v="25"/>
    <n v="85"/>
    <x v="0"/>
    <s v="RX"/>
    <s v="MM"/>
    <s v="II"/>
    <s v="(+9,-9)"/>
    <n v="25"/>
    <n v="75"/>
    <n v="143"/>
    <n v="1166"/>
    <n v="19"/>
    <n v="32"/>
    <s v="-"/>
    <s v="-"/>
    <s v="-"/>
    <s v="-"/>
    <n v="29"/>
    <n v="61"/>
    <n v="3.9"/>
    <n v="4.4000000000000004"/>
    <n v="51"/>
    <n v="57"/>
    <s v="-"/>
    <s v="-"/>
    <n v="5.3"/>
    <n v="7.8"/>
    <n v="106.45183652429932"/>
    <n v="85.533385678368745"/>
    <n v="41"/>
    <n v="52"/>
    <n v="1"/>
    <n v="1.2"/>
    <n v="0.19999999999999996"/>
    <s v="-"/>
    <s v="-"/>
    <n v="7"/>
    <n v="7.6"/>
    <s v="-"/>
    <s v="-"/>
    <n v="9.3000000000000007"/>
    <n v="9.5"/>
    <n v="4.5999999999999996"/>
    <n v="3.7"/>
    <n v="110"/>
    <n v="0"/>
    <n v="143"/>
    <n v="141"/>
    <s v="-"/>
    <s v="-"/>
    <s v="-"/>
    <s v="-"/>
    <n v="302.39711111111109"/>
    <n v="291.80866666666668"/>
    <n v="4.59"/>
    <n v="4.6399999999999997"/>
    <n v="13"/>
    <n v="13.2"/>
    <n v="40.299999999999997"/>
    <n v="39.9"/>
    <n v="87.8"/>
    <n v="86"/>
    <n v="28.3"/>
    <n v="28.4"/>
    <n v="32.299999999999997"/>
    <n v="33.1"/>
    <n v="286"/>
    <n v="272"/>
    <n v="12.5"/>
    <n v="12.6"/>
    <n v="1.04"/>
    <n v="0.85"/>
    <n v="10.71"/>
    <n v="9.02"/>
    <n v="74"/>
    <n v="59.4"/>
    <n v="17.2"/>
    <n v="27.4"/>
    <n v="5.8"/>
    <n v="10.4"/>
    <n v="2.9"/>
    <n v="2.8"/>
    <n v="0.1"/>
    <n v="0"/>
    <x v="0"/>
    <x v="1"/>
    <n v="79.512460000000004"/>
    <n v="85.7"/>
    <n v="185"/>
    <n v="52.04"/>
    <n v="50"/>
    <n v="50"/>
    <n v="7.22"/>
  </r>
  <r>
    <x v="0"/>
    <x v="6"/>
    <x v="14"/>
    <n v="28"/>
    <n v="77"/>
    <x v="1"/>
    <s v="RR"/>
    <s v="MT"/>
    <s v="ID"/>
    <s v="(+9,-9)"/>
    <n v="212.5"/>
    <n v="-112.5"/>
    <n v="87"/>
    <n v="434"/>
    <n v="17"/>
    <n v="25"/>
    <s v="-"/>
    <s v="-"/>
    <s v="-"/>
    <s v="-"/>
    <n v="23"/>
    <n v="45"/>
    <n v="4.4000000000000004"/>
    <n v="4.3"/>
    <n v="39"/>
    <n v="47"/>
    <s v="-"/>
    <s v="-"/>
    <n v="6.5"/>
    <n v="8.8000000000000007"/>
    <n v="120.79866842153496"/>
    <n v="106.45183652429932"/>
    <n v="40"/>
    <n v="55"/>
    <n v="0.9"/>
    <n v="1"/>
    <n v="9.9999999999999978E-2"/>
    <s v="-"/>
    <s v="-"/>
    <n v="7.2"/>
    <n v="7"/>
    <s v="-"/>
    <s v="-"/>
    <n v="9.8000000000000007"/>
    <n v="9.1"/>
    <n v="4.7"/>
    <n v="3.7"/>
    <n v="111"/>
    <n v="0"/>
    <n v="142"/>
    <n v="139"/>
    <s v="-"/>
    <s v="-"/>
    <s v="-"/>
    <s v="-"/>
    <n v="300.62033333333329"/>
    <n v="288.58866666666665"/>
    <n v="4.93"/>
    <n v="4.3600000000000003"/>
    <n v="14.8"/>
    <n v="13.1"/>
    <n v="45.7"/>
    <n v="39.9"/>
    <n v="92.7"/>
    <n v="91.5"/>
    <n v="30"/>
    <n v="30"/>
    <n v="32.4"/>
    <n v="32.799999999999997"/>
    <n v="208"/>
    <n v="160"/>
    <n v="12.5"/>
    <n v="12.8"/>
    <n v="1.7"/>
    <n v="1.5"/>
    <n v="8.76"/>
    <n v="9.9"/>
    <n v="71"/>
    <n v="50"/>
    <n v="21"/>
    <n v="40.200000000000003"/>
    <n v="6"/>
    <n v="9"/>
    <n v="1"/>
    <n v="0.8"/>
    <n v="0"/>
    <n v="0"/>
    <x v="0"/>
    <x v="0"/>
    <n v="70.76357999999999"/>
    <n v="78.599999999999994"/>
    <n v="179"/>
    <n v="53.31"/>
    <n v="50"/>
    <n v="44"/>
    <n v="9.9700000000000006"/>
  </r>
  <r>
    <x v="0"/>
    <x v="6"/>
    <x v="15"/>
    <n v="29"/>
    <n v="80"/>
    <x v="0"/>
    <s v="-"/>
    <s v="-"/>
    <s v="-"/>
    <s v="-"/>
    <s v="-"/>
    <s v="-"/>
    <n v="235"/>
    <n v="2769"/>
    <n v="22"/>
    <n v="39"/>
    <s v="-"/>
    <s v="-"/>
    <s v="-"/>
    <s v="-"/>
    <n v="37"/>
    <n v="94"/>
    <n v="4.4000000000000004"/>
    <n v="4.3"/>
    <n v="38"/>
    <n v="55"/>
    <s v="-"/>
    <s v="-"/>
    <n v="4.5"/>
    <n v="6.4"/>
    <n v="120.79866842153496"/>
    <n v="120.79866842153496"/>
    <n v="41"/>
    <n v="52"/>
    <n v="0.9"/>
    <n v="0.9"/>
    <n v="0"/>
    <s v="-"/>
    <s v="-"/>
    <n v="7.1"/>
    <n v="7.3"/>
    <s v="-"/>
    <s v="-"/>
    <n v="9.6999999999999993"/>
    <n v="9.1999999999999993"/>
    <n v="4"/>
    <n v="4"/>
    <n v="87"/>
    <n v="87"/>
    <n v="142"/>
    <n v="145"/>
    <s v="-"/>
    <s v="-"/>
    <s v="-"/>
    <s v="-"/>
    <n v="297.95166666666665"/>
    <n v="305.36500000000001"/>
    <n v="4.8899999999999997"/>
    <n v="4.49"/>
    <n v="14.1"/>
    <n v="13"/>
    <n v="44.6"/>
    <n v="41.2"/>
    <n v="91.2"/>
    <n v="91.8"/>
    <n v="28.8"/>
    <n v="29"/>
    <n v="31.6"/>
    <n v="31.6"/>
    <n v="242"/>
    <n v="220"/>
    <n v="13.4"/>
    <n v="14"/>
    <n v="1.1399999999999999"/>
    <n v="0.8"/>
    <n v="6.81"/>
    <n v="7.46"/>
    <n v="72"/>
    <n v="62.5"/>
    <n v="22"/>
    <n v="27.2"/>
    <n v="5"/>
    <n v="9.1"/>
    <n v="1"/>
    <n v="1.2"/>
    <n v="0"/>
    <n v="0"/>
    <x v="0"/>
    <x v="1"/>
    <n v="72.151949999999999"/>
    <n v="81.5"/>
    <n v="175"/>
    <n v="51.49"/>
    <n v="49.5"/>
    <n v="41"/>
    <n v="11.47"/>
  </r>
  <r>
    <x v="0"/>
    <x v="6"/>
    <x v="17"/>
    <n v="29"/>
    <n v="83"/>
    <x v="2"/>
    <s v="-"/>
    <s v="-"/>
    <s v="-"/>
    <s v="-"/>
    <s v="-"/>
    <s v="-"/>
    <n v="87"/>
    <n v="780"/>
    <n v="19"/>
    <n v="226"/>
    <s v="-"/>
    <s v="-"/>
    <s v="-"/>
    <s v="-"/>
    <n v="21"/>
    <n v="36"/>
    <n v="4.4000000000000004"/>
    <n v="3.9"/>
    <n v="25"/>
    <n v="38"/>
    <s v="-"/>
    <s v="-"/>
    <n v="5.7"/>
    <n v="6.7"/>
    <n v="106.45183652429932"/>
    <n v="120.79866842153496"/>
    <n v="38"/>
    <n v="36"/>
    <n v="1"/>
    <n v="0.9"/>
    <n v="0"/>
    <s v="-"/>
    <s v="-"/>
    <n v="7.2"/>
    <n v="6.8"/>
    <s v="-"/>
    <s v="-"/>
    <n v="9.6999999999999993"/>
    <n v="9"/>
    <n v="4.8"/>
    <n v="4.0999999999999996"/>
    <n v="121"/>
    <n v="88"/>
    <n v="144"/>
    <n v="138"/>
    <s v="-"/>
    <s v="-"/>
    <s v="-"/>
    <s v="-"/>
    <n v="304.8318888888889"/>
    <n v="289.92822222222219"/>
    <n v="4.74"/>
    <n v="3.85"/>
    <n v="13.8"/>
    <n v="11.3"/>
    <n v="42.4"/>
    <n v="34.4"/>
    <n v="89.5"/>
    <n v="89.4"/>
    <n v="29.1"/>
    <n v="29.4"/>
    <n v="32.5"/>
    <n v="32.799999999999997"/>
    <n v="286"/>
    <n v="255"/>
    <n v="12.2"/>
    <n v="12.7"/>
    <n v="1.1399999999999999"/>
    <n v="0.89"/>
    <n v="8.08"/>
    <n v="7.82"/>
    <n v="67.3"/>
    <n v="58.9"/>
    <n v="25.1"/>
    <n v="30.1"/>
    <n v="6.6"/>
    <n v="10"/>
    <n v="1"/>
    <n v="1"/>
    <n v="0"/>
    <n v="0"/>
    <x v="0"/>
    <x v="0"/>
    <n v="72.809100000000001"/>
    <n v="81.900000000000006"/>
    <n v="180.5"/>
    <n v="51.93"/>
    <n v="44.5"/>
    <n v="46.5"/>
    <n v="11.1"/>
  </r>
  <r>
    <x v="0"/>
    <x v="6"/>
    <x v="18"/>
    <n v="28"/>
    <n v="81"/>
    <x v="0"/>
    <s v="-"/>
    <s v="-"/>
    <s v="-"/>
    <s v="-"/>
    <s v="-"/>
    <s v="-"/>
    <n v="136"/>
    <n v="2000"/>
    <n v="19"/>
    <n v="48"/>
    <s v="-"/>
    <s v="-"/>
    <s v="-"/>
    <s v="-"/>
    <n v="26"/>
    <n v="111"/>
    <n v="4.3"/>
    <n v="4.0999999999999996"/>
    <n v="19"/>
    <n v="40"/>
    <s v="-"/>
    <s v="-"/>
    <n v="7.3"/>
    <n v="7"/>
    <n v="94.947150652744313"/>
    <n v="120.79866842153496"/>
    <n v="28"/>
    <n v="33"/>
    <n v="1.1000000000000001"/>
    <n v="0.9"/>
    <n v="0"/>
    <s v="-"/>
    <s v="-"/>
    <n v="7.5"/>
    <n v="7.1"/>
    <s v="-"/>
    <s v="-"/>
    <n v="9.9"/>
    <n v="9.1"/>
    <n v="4.9000000000000004"/>
    <n v="4.2"/>
    <n v="142"/>
    <n v="54"/>
    <n v="142"/>
    <n v="139"/>
    <s v="-"/>
    <s v="-"/>
    <s v="-"/>
    <s v="-"/>
    <n v="300.97288888888892"/>
    <n v="289.30199999999996"/>
    <n v="4.9400000000000004"/>
    <n v="4.08"/>
    <n v="13.7"/>
    <n v="11.6"/>
    <n v="43.3"/>
    <n v="35.9"/>
    <n v="87.7"/>
    <n v="88"/>
    <n v="27.7"/>
    <n v="28.4"/>
    <n v="31.6"/>
    <n v="32.299999999999997"/>
    <n v="289"/>
    <n v="249"/>
    <n v="13.2"/>
    <n v="13.5"/>
    <n v="1.19"/>
    <n v="1.18"/>
    <n v="6"/>
    <n v="5.82"/>
    <n v="71.7"/>
    <n v="57.3"/>
    <n v="19.8"/>
    <n v="29.6"/>
    <n v="8"/>
    <n v="12.9"/>
    <n v="0.5"/>
    <n v="0.2"/>
    <n v="0"/>
    <n v="0"/>
    <x v="0"/>
    <x v="1"/>
    <n v="71.943809999999999"/>
    <n v="81.099999999999994"/>
    <n v="178"/>
    <n v="51.6"/>
    <n v="45.5"/>
    <n v="43"/>
    <n v="11.29"/>
  </r>
  <r>
    <x v="0"/>
    <x v="6"/>
    <x v="19"/>
    <n v="26"/>
    <n v="68"/>
    <x v="0"/>
    <s v="-"/>
    <s v="-"/>
    <s v="-"/>
    <s v="-"/>
    <s v="-"/>
    <s v="-"/>
    <n v="96"/>
    <n v="1249"/>
    <n v="16"/>
    <n v="30"/>
    <s v="-"/>
    <s v="-"/>
    <s v="-"/>
    <s v="-"/>
    <n v="29"/>
    <n v="70"/>
    <n v="4.5999999999999996"/>
    <n v="4.3"/>
    <n v="47"/>
    <n v="44"/>
    <s v="-"/>
    <s v="-"/>
    <n v="6.6"/>
    <n v="5.8"/>
    <n v="125.17286966375688"/>
    <n v="125.17286966375688"/>
    <n v="41"/>
    <n v="46"/>
    <n v="0.8"/>
    <n v="0.8"/>
    <n v="0"/>
    <s v="-"/>
    <s v="-"/>
    <n v="7.5"/>
    <n v="7.2"/>
    <s v="-"/>
    <s v="-"/>
    <n v="10"/>
    <n v="9.1"/>
    <n v="4.3"/>
    <n v="3.5"/>
    <n v="121"/>
    <n v="84"/>
    <n v="144"/>
    <n v="140"/>
    <s v="-"/>
    <s v="-"/>
    <s v="-"/>
    <s v="-"/>
    <n v="304.40188888888889"/>
    <n v="293.94333333333338"/>
    <n v="4.79"/>
    <n v="4.5"/>
    <n v="14.3"/>
    <n v="13.7"/>
    <n v="44.3"/>
    <n v="41.1"/>
    <n v="92.5"/>
    <n v="91.3"/>
    <n v="29.9"/>
    <n v="30.4"/>
    <n v="32.299999999999997"/>
    <n v="33.299999999999997"/>
    <n v="257"/>
    <n v="249"/>
    <n v="12.3"/>
    <n v="12.6"/>
    <n v="0.92"/>
    <n v="1.1100000000000001"/>
    <n v="7.55"/>
    <n v="8.6999999999999993"/>
    <n v="68.3"/>
    <n v="52.1"/>
    <n v="24.4"/>
    <n v="35.5"/>
    <n v="6.5"/>
    <n v="10.8"/>
    <n v="0.8"/>
    <n v="1.6"/>
    <n v="0"/>
    <n v="0"/>
    <x v="0"/>
    <x v="1"/>
    <n v="62.5396"/>
    <n v="68"/>
    <n v="173"/>
    <n v="55.9"/>
    <n v="39"/>
    <n v="39"/>
    <n v="8.0299999999999994"/>
  </r>
  <r>
    <x v="0"/>
    <x v="6"/>
    <x v="20"/>
    <n v="27"/>
    <n v="80"/>
    <x v="0"/>
    <s v="-"/>
    <s v="-"/>
    <s v="-"/>
    <s v="-"/>
    <s v="-"/>
    <s v="-"/>
    <n v="165"/>
    <n v="1013"/>
    <n v="20"/>
    <n v="30"/>
    <s v="-"/>
    <s v="-"/>
    <s v="-"/>
    <s v="-"/>
    <n v="29"/>
    <n v="53"/>
    <n v="4.5"/>
    <n v="4.3"/>
    <n v="45"/>
    <n v="60"/>
    <s v="-"/>
    <s v="-"/>
    <n v="7.2"/>
    <n v="7.6"/>
    <n v="85.533385678368745"/>
    <n v="106.45183652429932"/>
    <n v="42"/>
    <n v="48"/>
    <n v="1.2"/>
    <n v="1"/>
    <n v="0"/>
    <s v="-"/>
    <s v="-"/>
    <n v="7.4"/>
    <n v="7.4"/>
    <s v="-"/>
    <s v="-"/>
    <n v="9.9"/>
    <n v="9.1999999999999993"/>
    <n v="4.8"/>
    <n v="4"/>
    <n v="100"/>
    <n v="94"/>
    <n v="142"/>
    <n v="140"/>
    <s v="-"/>
    <s v="-"/>
    <s v="-"/>
    <s v="-"/>
    <n v="300.43688888888897"/>
    <n v="295.84555555555556"/>
    <n v="5.68"/>
    <n v="5.29"/>
    <n v="15"/>
    <n v="14"/>
    <n v="46.9"/>
    <n v="43"/>
    <n v="82.6"/>
    <n v="81.3"/>
    <n v="26.4"/>
    <n v="26.5"/>
    <n v="32"/>
    <n v="32.6"/>
    <n v="297"/>
    <n v="94"/>
    <n v="12.5"/>
    <n v="12.4"/>
    <n v="0.87"/>
    <n v="0.87"/>
    <n v="7.45"/>
    <n v="7.64"/>
    <n v="71.7"/>
    <n v="43.1"/>
    <n v="20.399999999999999"/>
    <n v="44.6"/>
    <n v="6.6"/>
    <n v="9.6"/>
    <n v="1.3"/>
    <n v="2.7"/>
    <n v="0"/>
    <n v="0"/>
    <x v="0"/>
    <x v="1"/>
    <n v="70.30368"/>
    <n v="82.4"/>
    <n v="168"/>
    <n v="50.7"/>
    <n v="60"/>
    <n v="58"/>
    <n v="14.68"/>
  </r>
  <r>
    <x v="0"/>
    <x v="7"/>
    <x v="1"/>
    <n v="26"/>
    <n v="70"/>
    <x v="0"/>
    <s v="RR"/>
    <s v="MT"/>
    <s v="II"/>
    <s v="(+9,-9)"/>
    <n v="50"/>
    <n v="50"/>
    <n v="5986"/>
    <n v="7068"/>
    <n v="32"/>
    <n v="103"/>
    <n v="1.6"/>
    <n v="5.7"/>
    <n v="714"/>
    <n v="1410"/>
    <n v="85"/>
    <n v="168"/>
    <n v="4.4000000000000004"/>
    <n v="5"/>
    <n v="61"/>
    <n v="65"/>
    <n v="27"/>
    <n v="29"/>
    <n v="5.3"/>
    <n v="6.8"/>
    <n v="94.947150652744313"/>
    <n v="106.45183652429932"/>
    <n v="36"/>
    <n v="66"/>
    <n v="1.1000000000000001"/>
    <n v="1"/>
    <n v="0"/>
    <n v="3.7"/>
    <n v="6.1"/>
    <n v="7.2"/>
    <n v="7.7"/>
    <s v="-"/>
    <n v="76"/>
    <n v="8.6"/>
    <n v="10.1"/>
    <n v="4.5"/>
    <n v="4.5"/>
    <n v="90"/>
    <n v="65"/>
    <n v="142"/>
    <n v="140"/>
    <n v="2.2000000000000002"/>
    <n v="2.2000000000000002"/>
    <n v="106"/>
    <n v="102"/>
    <n v="298.24"/>
    <n v="297.92277777777781"/>
    <n v="4.8499999999999996"/>
    <n v="4.54"/>
    <n v="14.3"/>
    <n v="13.7"/>
    <n v="41.7"/>
    <n v="39.1"/>
    <n v="86"/>
    <n v="86"/>
    <n v="29.5"/>
    <n v="30.2"/>
    <n v="34.299999999999997"/>
    <n v="35"/>
    <n v="281"/>
    <n v="263"/>
    <n v="14.6"/>
    <n v="14.4"/>
    <n v="1.39"/>
    <n v="1.01"/>
    <n v="7.35"/>
    <n v="15.25"/>
    <n v="62"/>
    <n v="85.3"/>
    <n v="27.5"/>
    <n v="5.7"/>
    <n v="9.3000000000000007"/>
    <n v="8.8000000000000007"/>
    <n v="0.8"/>
    <n v="0"/>
    <n v="0.4"/>
    <n v="0.2"/>
    <x v="0"/>
    <x v="1"/>
    <n v="71.28528"/>
    <n v="75.900000000000006"/>
    <n v="171"/>
    <n v="54.68"/>
    <n v="42"/>
    <n v="43"/>
    <n v="6.08"/>
  </r>
  <r>
    <x v="0"/>
    <x v="7"/>
    <x v="2"/>
    <n v="26"/>
    <n v="74"/>
    <x v="0"/>
    <s v="RX"/>
    <s v="MM"/>
    <s v="ID"/>
    <s v="(+9,+9)"/>
    <n v="50"/>
    <n v="50"/>
    <n v="742"/>
    <n v="5962"/>
    <n v="25"/>
    <n v="95"/>
    <n v="1.6"/>
    <n v="7.6"/>
    <n v="602"/>
    <n v="1317"/>
    <n v="43"/>
    <n v="148"/>
    <n v="4.7"/>
    <n v="5.2"/>
    <n v="39"/>
    <n v="58"/>
    <n v="28"/>
    <n v="24"/>
    <n v="6.3"/>
    <n v="4.0999999999999996"/>
    <n v="94.947150652744313"/>
    <n v="120.79866842153496"/>
    <n v="41"/>
    <n v="40"/>
    <n v="1.1000000000000001"/>
    <n v="0.9"/>
    <n v="0"/>
    <n v="5.0999999999999996"/>
    <n v="5"/>
    <n v="7.7"/>
    <n v="8.1"/>
    <s v="-"/>
    <n v="95"/>
    <n v="8.8000000000000007"/>
    <n v="10.5"/>
    <n v="4.8"/>
    <n v="4.2"/>
    <n v="83"/>
    <n v="109"/>
    <n v="142"/>
    <n v="140"/>
    <n v="2.2000000000000002"/>
    <n v="2.1"/>
    <n v="103"/>
    <n v="96"/>
    <n v="299.18411111111112"/>
    <n v="295.84255555555558"/>
    <n v="4.83"/>
    <n v="5.21"/>
    <n v="14.7"/>
    <n v="16.100000000000001"/>
    <n v="42.6"/>
    <n v="45.7"/>
    <n v="88.2"/>
    <n v="87.7"/>
    <n v="30.4"/>
    <n v="30.9"/>
    <n v="34.5"/>
    <n v="35.200000000000003"/>
    <n v="230"/>
    <n v="279"/>
    <n v="12.3"/>
    <n v="12.3"/>
    <n v="1.1599999999999999"/>
    <n v="0.94"/>
    <n v="4.93"/>
    <n v="8.7200000000000006"/>
    <n v="53.8"/>
    <n v="93.6"/>
    <n v="37.1"/>
    <n v="4.8"/>
    <n v="7.1"/>
    <n v="0.9"/>
    <n v="1.4"/>
    <n v="0.6"/>
    <n v="0.6"/>
    <n v="0.1"/>
    <x v="0"/>
    <x v="1"/>
    <n v="72.293760000000006"/>
    <n v="79.2"/>
    <n v="174"/>
    <n v="53.64"/>
    <n v="49.5"/>
    <n v="49.5"/>
    <n v="8.7200000000000006"/>
  </r>
  <r>
    <x v="0"/>
    <x v="7"/>
    <x v="3"/>
    <n v="25"/>
    <n v="84"/>
    <x v="0"/>
    <s v="RR"/>
    <s v="TT"/>
    <s v="DD"/>
    <s v="(+9,-9)"/>
    <s v="-"/>
    <s v="-"/>
    <n v="122"/>
    <n v="2280"/>
    <n v="4"/>
    <n v="60"/>
    <n v="1.7"/>
    <n v="6.6"/>
    <n v="394"/>
    <n v="840"/>
    <n v="23"/>
    <n v="109"/>
    <n v="4.7"/>
    <n v="4.9000000000000004"/>
    <n v="24"/>
    <n v="56"/>
    <n v="18"/>
    <n v="20"/>
    <n v="4.5"/>
    <n v="5.0999999999999996"/>
    <n v="120.79866842153496"/>
    <n v="94.947150652744313"/>
    <n v="35"/>
    <n v="60"/>
    <n v="0.9"/>
    <n v="1.1000000000000001"/>
    <n v="0.20000000000000007"/>
    <n v="4.5999999999999996"/>
    <n v="4.7"/>
    <n v="7.9"/>
    <n v="7.8"/>
    <s v="-"/>
    <n v="103"/>
    <n v="8.8000000000000007"/>
    <n v="9.8000000000000007"/>
    <n v="4.4000000000000004"/>
    <n v="4.4000000000000004"/>
    <n v="91"/>
    <n v="75"/>
    <n v="143"/>
    <n v="141"/>
    <n v="2.2000000000000002"/>
    <n v="1.9"/>
    <n v="103"/>
    <n v="101"/>
    <n v="299.81122222222223"/>
    <n v="299.2356666666667"/>
    <n v="4.8600000000000003"/>
    <n v="5.2"/>
    <n v="13.8"/>
    <n v="15"/>
    <n v="41.3"/>
    <n v="44.4"/>
    <n v="85"/>
    <n v="85.4"/>
    <n v="28.4"/>
    <n v="28.8"/>
    <n v="33.4"/>
    <n v="33.799999999999997"/>
    <n v="244"/>
    <n v="270"/>
    <n v="13"/>
    <n v="13"/>
    <n v="1.1000000000000001"/>
    <n v="1.1499999999999999"/>
    <n v="5.3"/>
    <n v="10"/>
    <n v="45.7"/>
    <n v="75.2"/>
    <n v="43.8"/>
    <n v="16.3"/>
    <n v="8.1"/>
    <n v="8"/>
    <n v="1.5"/>
    <n v="0.1"/>
    <n v="0.9"/>
    <n v="0.4"/>
    <x v="0"/>
    <x v="1"/>
    <n v="75.355769999999993"/>
    <n v="84.3"/>
    <n v="178"/>
    <n v="52.69"/>
    <n v="60"/>
    <n v="57"/>
    <n v="10.61"/>
  </r>
  <r>
    <x v="0"/>
    <x v="7"/>
    <x v="5"/>
    <n v="31"/>
    <n v="89"/>
    <x v="0"/>
    <s v="XX"/>
    <s v="MT"/>
    <s v="ID"/>
    <s v="(-9,-9)"/>
    <n v="100"/>
    <n v="0"/>
    <n v="895"/>
    <n v="6864"/>
    <n v="23"/>
    <n v="71"/>
    <n v="2"/>
    <n v="4.5"/>
    <n v="656"/>
    <n v="1341"/>
    <n v="45"/>
    <n v="179"/>
    <n v="4.7"/>
    <n v="4.7"/>
    <n v="42"/>
    <n v="75"/>
    <n v="23"/>
    <n v="20"/>
    <n v="4.4000000000000004"/>
    <n v="9.1"/>
    <n v="85.533385678368745"/>
    <n v="94.947150652744313"/>
    <n v="45"/>
    <n v="52"/>
    <n v="1.2"/>
    <n v="1.1000000000000001"/>
    <n v="0"/>
    <n v="4.7"/>
    <n v="6.2"/>
    <n v="7.8"/>
    <n v="8"/>
    <s v="-"/>
    <n v="87"/>
    <n v="8.8000000000000007"/>
    <n v="9.4"/>
    <n v="4.7"/>
    <n v="5.0999999999999996"/>
    <n v="83"/>
    <n v="91"/>
    <n v="141"/>
    <n v="141"/>
    <n v="2.1"/>
    <n v="2"/>
    <n v="106"/>
    <n v="100"/>
    <n v="297.80477777777776"/>
    <n v="300.22655555555554"/>
    <n v="4.41"/>
    <n v="4.66"/>
    <n v="12.8"/>
    <n v="13.7"/>
    <n v="38.700000000000003"/>
    <n v="41.2"/>
    <n v="87.8"/>
    <n v="88.4"/>
    <n v="29"/>
    <n v="29.4"/>
    <n v="33.1"/>
    <n v="33.299999999999997"/>
    <n v="264"/>
    <n v="326"/>
    <n v="13.9"/>
    <n v="14.1"/>
    <n v="1.1000000000000001"/>
    <n v="1.44"/>
    <n v="7.61"/>
    <n v="13.6"/>
    <n v="60.2"/>
    <n v="78.599999999999994"/>
    <n v="26.1"/>
    <n v="13.5"/>
    <n v="10"/>
    <n v="7.4"/>
    <n v="2.9"/>
    <n v="0.1"/>
    <n v="0.8"/>
    <n v="0.4"/>
    <x v="0"/>
    <x v="1"/>
    <n v="74.95620000000001"/>
    <n v="90.2"/>
    <n v="184.5"/>
    <n v="48.67"/>
    <n v="54"/>
    <n v="47"/>
    <n v="16.899999999999999"/>
  </r>
  <r>
    <x v="0"/>
    <x v="7"/>
    <x v="6"/>
    <n v="32"/>
    <n v="96"/>
    <x v="1"/>
    <s v="RX"/>
    <s v="MM"/>
    <s v="ID"/>
    <s v="(+9,+9)"/>
    <n v="45.8333333333333"/>
    <n v="54.1666666666667"/>
    <n v="11652"/>
    <n v="3194"/>
    <n v="92"/>
    <n v="92"/>
    <n v="1.7"/>
    <n v="5.7"/>
    <n v="1594"/>
    <n v="1438"/>
    <n v="176"/>
    <n v="124"/>
    <n v="4.5999999999999996"/>
    <n v="5"/>
    <n v="57"/>
    <n v="67"/>
    <n v="30"/>
    <n v="27"/>
    <n v="6.4"/>
    <n v="4.5999999999999996"/>
    <n v="106.45183652429932"/>
    <n v="106.45183652429932"/>
    <n v="33"/>
    <n v="68"/>
    <n v="1"/>
    <n v="1"/>
    <n v="0"/>
    <n v="5.0999999999999996"/>
    <n v="6.5"/>
    <n v="7.2"/>
    <n v="8.5"/>
    <s v="-"/>
    <n v="78"/>
    <n v="9"/>
    <n v="10.3"/>
    <n v="4.8"/>
    <n v="4.5999999999999996"/>
    <n v="80"/>
    <n v="81"/>
    <n v="142"/>
    <n v="142"/>
    <n v="2.2000000000000002"/>
    <n v="2.1"/>
    <n v="103"/>
    <n v="103"/>
    <n v="297.65911111111114"/>
    <n v="303.18433333333331"/>
    <n v="4.7699999999999996"/>
    <n v="4.97"/>
    <n v="14.2"/>
    <n v="14.9"/>
    <n v="42"/>
    <n v="43.7"/>
    <n v="88.1"/>
    <n v="87.9"/>
    <n v="29.8"/>
    <n v="30"/>
    <n v="33.799999999999997"/>
    <n v="34.1"/>
    <n v="179"/>
    <n v="188"/>
    <n v="12.9"/>
    <n v="13"/>
    <n v="1.28"/>
    <n v="0.88"/>
    <n v="6.08"/>
    <n v="12.31"/>
    <n v="50.3"/>
    <n v="62.9"/>
    <n v="39.299999999999997"/>
    <n v="26.7"/>
    <n v="7.6"/>
    <n v="9.1"/>
    <n v="2.2999999999999998"/>
    <n v="1.1000000000000001"/>
    <n v="0.5"/>
    <n v="0.2"/>
    <x v="0"/>
    <x v="1"/>
    <n v="82.029080000000008"/>
    <n v="90.7"/>
    <n v="191"/>
    <n v="50.01"/>
    <n v="56.5"/>
    <n v="54.5"/>
    <n v="9.56"/>
  </r>
  <r>
    <x v="0"/>
    <x v="7"/>
    <x v="8"/>
    <n v="28"/>
    <n v="82"/>
    <x v="2"/>
    <s v="RX"/>
    <s v="MT"/>
    <s v="ID"/>
    <s v="(+9,-9)"/>
    <n v="54.1666666666667"/>
    <n v="45.8333333333333"/>
    <n v="936"/>
    <n v="1894"/>
    <n v="14"/>
    <n v="57"/>
    <n v="1.3"/>
    <n v="5.3"/>
    <n v="646"/>
    <n v="1198"/>
    <n v="63"/>
    <n v="93"/>
    <n v="4"/>
    <n v="5"/>
    <n v="46"/>
    <n v="53"/>
    <n v="18"/>
    <n v="21"/>
    <n v="7.9"/>
    <n v="5"/>
    <n v="94.947150652744313"/>
    <n v="77.700020894732489"/>
    <n v="35"/>
    <n v="60"/>
    <n v="1.1000000000000001"/>
    <n v="1.3"/>
    <n v="0.19999999999999996"/>
    <n v="4.4000000000000004"/>
    <n v="5.2"/>
    <n v="7.2"/>
    <n v="7.6"/>
    <s v="-"/>
    <n v="85"/>
    <n v="8.4"/>
    <n v="9.8000000000000007"/>
    <n v="4.4000000000000004"/>
    <n v="4.5"/>
    <n v="80"/>
    <n v="82"/>
    <n v="140"/>
    <n v="139"/>
    <n v="2.1"/>
    <n v="1.9"/>
    <n v="106"/>
    <n v="100"/>
    <n v="293.5284444444444"/>
    <n v="296.14888888888891"/>
    <n v="4.57"/>
    <n v="4.8899999999999997"/>
    <n v="14.3"/>
    <n v="15.5"/>
    <n v="41.1"/>
    <n v="44.6"/>
    <n v="89.9"/>
    <n v="91.2"/>
    <n v="31.3"/>
    <n v="31.7"/>
    <n v="34.799999999999997"/>
    <n v="34.799999999999997"/>
    <n v="225"/>
    <n v="214"/>
    <n v="12.9"/>
    <n v="13"/>
    <n v="1.24"/>
    <n v="0.79"/>
    <n v="5.94"/>
    <n v="14.19"/>
    <n v="60.9"/>
    <n v="82.4"/>
    <n v="27.8"/>
    <n v="7.9"/>
    <n v="8.1"/>
    <n v="9.4"/>
    <n v="2.9"/>
    <n v="0.2"/>
    <n v="0.3"/>
    <n v="0.1"/>
    <x v="0"/>
    <x v="1"/>
    <n v="77.353679999999997"/>
    <n v="84.3"/>
    <n v="190"/>
    <n v="51.12"/>
    <n v="54.5"/>
    <n v="50.5"/>
    <n v="8.24"/>
  </r>
  <r>
    <x v="0"/>
    <x v="7"/>
    <x v="9"/>
    <n v="26"/>
    <n v="90"/>
    <x v="0"/>
    <s v="-"/>
    <s v="-"/>
    <s v="-"/>
    <s v="-"/>
    <s v="-"/>
    <s v="-"/>
    <n v="2733"/>
    <n v="3072"/>
    <n v="27"/>
    <n v="69"/>
    <n v="1.9"/>
    <n v="5"/>
    <n v="966"/>
    <n v="1148"/>
    <n v="63"/>
    <n v="122"/>
    <n v="4.9000000000000004"/>
    <n v="5.0999999999999996"/>
    <n v="40"/>
    <n v="51"/>
    <n v="26"/>
    <n v="24"/>
    <n v="5.0999999999999996"/>
    <n v="5.6"/>
    <n v="106.45183652429932"/>
    <n v="125.17286966375688"/>
    <n v="44"/>
    <n v="39"/>
    <n v="1"/>
    <n v="0.8"/>
    <n v="0"/>
    <n v="4.7"/>
    <n v="5.4"/>
    <n v="8.1999999999999993"/>
    <n v="8.4"/>
    <s v="-"/>
    <n v="99"/>
    <n v="9.3000000000000007"/>
    <n v="9.9"/>
    <n v="4.8"/>
    <n v="4.5"/>
    <n v="80"/>
    <n v="72"/>
    <n v="141"/>
    <n v="141"/>
    <n v="2.4"/>
    <n v="2"/>
    <n v="103"/>
    <n v="100"/>
    <n v="297.63244444444445"/>
    <n v="295.73"/>
    <n v="4.6399999999999997"/>
    <n v="5.05"/>
    <n v="13.8"/>
    <n v="15.1"/>
    <n v="39.9"/>
    <n v="43.7"/>
    <n v="86"/>
    <n v="86.5"/>
    <n v="29.7"/>
    <n v="29.9"/>
    <n v="34.6"/>
    <n v="34.6"/>
    <n v="269"/>
    <n v="309"/>
    <n v="13.2"/>
    <n v="13.2"/>
    <n v="1.56"/>
    <n v="1.3"/>
    <n v="7.81"/>
    <n v="13.03"/>
    <n v="52.7"/>
    <n v="80.3"/>
    <n v="30.5"/>
    <n v="12.7"/>
    <n v="10.6"/>
    <n v="6.3"/>
    <n v="5.8"/>
    <n v="0.5"/>
    <n v="0.4"/>
    <n v="0.2"/>
    <x v="0"/>
    <x v="1"/>
    <n v="82.441199999999995"/>
    <n v="92"/>
    <n v="174.4"/>
    <n v="49.71"/>
    <n v="55"/>
    <n v="55.5"/>
    <n v="10.39"/>
  </r>
  <r>
    <x v="0"/>
    <x v="7"/>
    <x v="13"/>
    <n v="25"/>
    <n v="85"/>
    <x v="0"/>
    <s v="RX"/>
    <s v="MM"/>
    <s v="II"/>
    <s v="(+9,-9)"/>
    <n v="25"/>
    <n v="75"/>
    <n v="417"/>
    <n v="6101"/>
    <n v="13"/>
    <n v="82"/>
    <n v="2"/>
    <n v="6.4"/>
    <n v="529"/>
    <n v="919"/>
    <n v="32"/>
    <n v="143"/>
    <n v="4.2"/>
    <n v="5"/>
    <n v="37"/>
    <n v="61"/>
    <n v="17"/>
    <n v="33"/>
    <n v="4.4000000000000004"/>
    <n v="5.8"/>
    <n v="85.533385678368745"/>
    <n v="94.947150652744313"/>
    <n v="41"/>
    <n v="45"/>
    <n v="1.2"/>
    <n v="1.1000000000000001"/>
    <n v="0"/>
    <n v="3.8"/>
    <n v="5.2"/>
    <n v="6.6"/>
    <n v="8.3000000000000007"/>
    <s v="-"/>
    <n v="148"/>
    <n v="8.8000000000000007"/>
    <n v="10.1"/>
    <n v="4.5999999999999996"/>
    <n v="4.3"/>
    <n v="75"/>
    <n v="72"/>
    <n v="139"/>
    <n v="142"/>
    <n v="1.8"/>
    <n v="2.1"/>
    <n v="103"/>
    <n v="100"/>
    <n v="292.721"/>
    <n v="298.21800000000007"/>
    <n v="4.5599999999999996"/>
    <n v="4.8499999999999996"/>
    <n v="13.3"/>
    <n v="14.2"/>
    <n v="38.299999999999997"/>
    <n v="41.8"/>
    <n v="84"/>
    <n v="86.2"/>
    <n v="29.2"/>
    <n v="29.3"/>
    <n v="34.700000000000003"/>
    <n v="34"/>
    <n v="265"/>
    <n v="311"/>
    <n v="13.2"/>
    <n v="13.4"/>
    <n v="1.1399999999999999"/>
    <n v="1.1499999999999999"/>
    <n v="6.21"/>
    <n v="14.35"/>
    <n v="56.9"/>
    <n v="72.900000000000006"/>
    <n v="31.7"/>
    <n v="19"/>
    <n v="7.7"/>
    <n v="7"/>
    <n v="3.1"/>
    <n v="0.8"/>
    <n v="0.6"/>
    <n v="0.3"/>
    <x v="0"/>
    <x v="1"/>
    <n v="79.512460000000004"/>
    <n v="85.7"/>
    <n v="185"/>
    <n v="52.04"/>
    <n v="50"/>
    <n v="50"/>
    <n v="7.22"/>
  </r>
  <r>
    <x v="0"/>
    <x v="7"/>
    <x v="14"/>
    <n v="28"/>
    <n v="77"/>
    <x v="1"/>
    <s v="RR"/>
    <s v="MT"/>
    <s v="ID"/>
    <s v="(+9,-9)"/>
    <n v="212.5"/>
    <n v="-112.5"/>
    <n v="667"/>
    <n v="19751"/>
    <n v="14"/>
    <n v="219"/>
    <n v="1.1000000000000001"/>
    <n v="5.8"/>
    <n v="522"/>
    <n v="2835"/>
    <n v="32"/>
    <n v="398"/>
    <n v="4.4000000000000004"/>
    <n v="5.4"/>
    <n v="26"/>
    <n v="115"/>
    <n v="18"/>
    <n v="35"/>
    <n v="4.5"/>
    <n v="7"/>
    <n v="106.45183652429932"/>
    <n v="106.45183652429932"/>
    <n v="31"/>
    <n v="49"/>
    <n v="1"/>
    <n v="1"/>
    <n v="0"/>
    <n v="4.4000000000000004"/>
    <n v="6.2"/>
    <n v="7.2"/>
    <n v="7.9"/>
    <s v="-"/>
    <n v="95"/>
    <n v="8.5"/>
    <n v="9.6"/>
    <n v="4.5999999999999996"/>
    <n v="4.2"/>
    <n v="85"/>
    <n v="82"/>
    <n v="140"/>
    <n v="142"/>
    <n v="2"/>
    <n v="2.2999999999999998"/>
    <n v="104"/>
    <n v="99"/>
    <n v="293.55322222222225"/>
    <n v="299.33755555555558"/>
    <n v="4.46"/>
    <n v="4.5999999999999996"/>
    <n v="13.9"/>
    <n v="14.4"/>
    <n v="40.4"/>
    <n v="41.8"/>
    <n v="90.6"/>
    <n v="90.9"/>
    <n v="31.2"/>
    <n v="31.3"/>
    <n v="34.4"/>
    <n v="34.4"/>
    <n v="184"/>
    <n v="223"/>
    <n v="13.4"/>
    <n v="13.3"/>
    <n v="1.91"/>
    <n v="1.57"/>
    <n v="7"/>
    <n v="17.25"/>
    <n v="56.7"/>
    <n v="86.8"/>
    <n v="30.4"/>
    <n v="6.7"/>
    <n v="10.7"/>
    <n v="6.4"/>
    <n v="1.9"/>
    <n v="0"/>
    <n v="0.3"/>
    <n v="0.1"/>
    <x v="0"/>
    <x v="1"/>
    <n v="70.76357999999999"/>
    <n v="78.599999999999994"/>
    <n v="179"/>
    <n v="53.31"/>
    <n v="50"/>
    <n v="44"/>
    <n v="9.9700000000000006"/>
  </r>
  <r>
    <x v="0"/>
    <x v="7"/>
    <x v="15"/>
    <n v="29"/>
    <n v="80"/>
    <x v="0"/>
    <s v="-"/>
    <s v="-"/>
    <s v="-"/>
    <s v="-"/>
    <s v="-"/>
    <s v="-"/>
    <n v="1299"/>
    <n v="11142"/>
    <n v="19"/>
    <n v="165"/>
    <n v="1.7"/>
    <n v="10"/>
    <n v="825"/>
    <n v="2333"/>
    <n v="59"/>
    <n v="231"/>
    <n v="4.4000000000000004"/>
    <n v="5.2"/>
    <n v="32"/>
    <n v="67"/>
    <n v="20"/>
    <n v="29"/>
    <n v="4.4000000000000004"/>
    <n v="5.2"/>
    <n v="106.45183652429932"/>
    <n v="120.79866842153496"/>
    <n v="37"/>
    <n v="45"/>
    <n v="1"/>
    <n v="0.9"/>
    <n v="0"/>
    <n v="4.4000000000000004"/>
    <n v="5.3"/>
    <n v="7.3"/>
    <n v="8.3000000000000007"/>
    <s v="-"/>
    <n v="70"/>
    <n v="8.8000000000000007"/>
    <n v="9.8000000000000007"/>
    <n v="4.9000000000000004"/>
    <n v="4.4000000000000004"/>
    <n v="79"/>
    <n v="82"/>
    <n v="140"/>
    <n v="140"/>
    <n v="1.9"/>
    <n v="2.2000000000000002"/>
    <n v="102"/>
    <n v="96"/>
    <n v="294.72788888888891"/>
    <n v="295.32288888888888"/>
    <n v="4.46"/>
    <n v="4.72"/>
    <n v="13.2"/>
    <n v="14.5"/>
    <n v="39.799999999999997"/>
    <n v="42.6"/>
    <n v="89.2"/>
    <n v="90.3"/>
    <n v="29.6"/>
    <n v="30.7"/>
    <n v="33.200000000000003"/>
    <n v="34"/>
    <n v="256"/>
    <n v="271"/>
    <n v="14.2"/>
    <n v="14.4"/>
    <n v="1.17"/>
    <n v="0.98"/>
    <n v="6.28"/>
    <n v="16.09"/>
    <n v="61"/>
    <n v="87.1"/>
    <n v="29.8"/>
    <n v="7.5"/>
    <n v="6.7"/>
    <n v="5.2"/>
    <n v="1.9"/>
    <n v="0.1"/>
    <n v="0.6"/>
    <n v="0.1"/>
    <x v="0"/>
    <x v="1"/>
    <n v="72.151949999999999"/>
    <n v="81.5"/>
    <n v="175"/>
    <n v="51.49"/>
    <n v="49.5"/>
    <n v="41"/>
    <n v="11.47"/>
  </r>
  <r>
    <x v="0"/>
    <x v="7"/>
    <x v="17"/>
    <n v="29"/>
    <n v="83"/>
    <x v="2"/>
    <s v="-"/>
    <s v="-"/>
    <s v="-"/>
    <s v="-"/>
    <s v="-"/>
    <s v="-"/>
    <n v="380"/>
    <n v="2520"/>
    <n v="5"/>
    <n v="37"/>
    <n v="3.2"/>
    <n v="7.4"/>
    <n v="384"/>
    <n v="869"/>
    <n v="24"/>
    <n v="76"/>
    <n v="4.5"/>
    <n v="5"/>
    <n v="28"/>
    <n v="40"/>
    <n v="33"/>
    <n v="35"/>
    <n v="5.2"/>
    <n v="5.9"/>
    <n v="94.947150652744313"/>
    <n v="106.45183652429932"/>
    <n v="40"/>
    <n v="43"/>
    <n v="1.1000000000000001"/>
    <n v="1"/>
    <n v="0"/>
    <n v="4.8"/>
    <n v="5.7"/>
    <n v="7.6"/>
    <n v="7.8"/>
    <s v="-"/>
    <n v="104"/>
    <n v="9"/>
    <n v="9.8000000000000007"/>
    <n v="5"/>
    <n v="4.5"/>
    <n v="84"/>
    <s v="-"/>
    <n v="143"/>
    <n v="141"/>
    <n v="2.2999999999999998"/>
    <n v="2.2000000000000002"/>
    <n v="105"/>
    <n v="99"/>
    <n v="301.31333333333339"/>
    <s v="Dados Insuficientes"/>
    <n v="4.63"/>
    <n v="4.7"/>
    <n v="13.9"/>
    <n v="14.2"/>
    <n v="40.4"/>
    <n v="41"/>
    <n v="87.3"/>
    <n v="87.2"/>
    <n v="30"/>
    <n v="30.2"/>
    <n v="34.4"/>
    <n v="34.6"/>
    <n v="313"/>
    <n v="345"/>
    <n v="12.9"/>
    <n v="12.7"/>
    <n v="1.3"/>
    <n v="1.1299999999999999"/>
    <n v="8.0299999999999994"/>
    <n v="18.54"/>
    <n v="52.2"/>
    <n v="77.099999999999994"/>
    <n v="37.200000000000003"/>
    <n v="13.6"/>
    <n v="8.5"/>
    <n v="9"/>
    <n v="1.7"/>
    <n v="0.1"/>
    <n v="0.4"/>
    <n v="0.2"/>
    <x v="0"/>
    <x v="1"/>
    <n v="72.809100000000001"/>
    <n v="81.900000000000006"/>
    <n v="180.5"/>
    <n v="51.93"/>
    <n v="44.5"/>
    <n v="46.5"/>
    <n v="11.1"/>
  </r>
  <r>
    <x v="0"/>
    <x v="7"/>
    <x v="18"/>
    <n v="28"/>
    <n v="81"/>
    <x v="0"/>
    <s v="-"/>
    <s v="-"/>
    <s v="-"/>
    <s v="-"/>
    <s v="-"/>
    <s v="-"/>
    <n v="2782"/>
    <n v="7563"/>
    <n v="19"/>
    <n v="101"/>
    <n v="2"/>
    <n v="7.8"/>
    <n v="778"/>
    <n v="1422"/>
    <n v="56"/>
    <n v="180"/>
    <n v="4.8"/>
    <n v="5.0999999999999996"/>
    <n v="21"/>
    <n v="39"/>
    <n v="14"/>
    <n v="14"/>
    <n v="6.1"/>
    <n v="7"/>
    <n v="106.45183652429932"/>
    <n v="120.79866842153496"/>
    <n v="26"/>
    <n v="37"/>
    <n v="1"/>
    <n v="0.9"/>
    <n v="0"/>
    <n v="4.9000000000000004"/>
    <n v="4.8"/>
    <n v="8.4"/>
    <n v="8.3000000000000007"/>
    <s v="-"/>
    <n v="102"/>
    <n v="9.1999999999999993"/>
    <n v="9.9"/>
    <n v="5.5"/>
    <n v="4.2"/>
    <n v="90"/>
    <s v="-"/>
    <n v="141"/>
    <n v="140"/>
    <n v="2.2999999999999998"/>
    <n v="2.2999999999999998"/>
    <n v="100"/>
    <n v="97"/>
    <n v="296.57333333333332"/>
    <s v="Dados Insuficientes"/>
    <n v="4.7699999999999996"/>
    <n v="4.7300000000000004"/>
    <n v="13.9"/>
    <n v="13.8"/>
    <n v="41.2"/>
    <n v="41.2"/>
    <n v="86.4"/>
    <n v="87.1"/>
    <n v="29.1"/>
    <n v="29.2"/>
    <n v="33.700000000000003"/>
    <n v="33.5"/>
    <n v="308"/>
    <n v="330"/>
    <n v="14.2"/>
    <n v="14.2"/>
    <n v="1.52"/>
    <n v="1.29"/>
    <n v="5.5"/>
    <n v="12.76"/>
    <n v="49.6"/>
    <n v="77.900000000000006"/>
    <n v="36.700000000000003"/>
    <n v="12.5"/>
    <n v="12.4"/>
    <n v="9.4"/>
    <n v="0.9"/>
    <n v="0.1"/>
    <n v="0.4"/>
    <n v="0.1"/>
    <x v="0"/>
    <x v="1"/>
    <n v="71.943809999999999"/>
    <n v="81.099999999999994"/>
    <n v="178"/>
    <n v="51.6"/>
    <n v="45.5"/>
    <n v="43"/>
    <n v="11.29"/>
  </r>
  <r>
    <x v="0"/>
    <x v="7"/>
    <x v="19"/>
    <n v="26"/>
    <n v="68"/>
    <x v="0"/>
    <s v="-"/>
    <s v="-"/>
    <s v="-"/>
    <s v="-"/>
    <s v="-"/>
    <s v="-"/>
    <n v="957"/>
    <n v="2245"/>
    <n v="19"/>
    <n v="58"/>
    <n v="1.4"/>
    <n v="7.4"/>
    <n v="667"/>
    <n v="905"/>
    <n v="42"/>
    <n v="89"/>
    <n v="4.5"/>
    <n v="5.2"/>
    <n v="35"/>
    <n v="38"/>
    <n v="23"/>
    <n v="21"/>
    <n v="3.8"/>
    <n v="5.0999999999999996"/>
    <n v="94.947150652744313"/>
    <n v="125.17286966375688"/>
    <n v="44"/>
    <n v="35"/>
    <n v="1.1000000000000001"/>
    <n v="0.8"/>
    <n v="0"/>
    <n v="4.9000000000000004"/>
    <n v="5.0999999999999996"/>
    <n v="7"/>
    <n v="8.4"/>
    <s v="-"/>
    <n v="75"/>
    <n v="8.5"/>
    <n v="10"/>
    <n v="4.8"/>
    <n v="3.3"/>
    <n v="88"/>
    <s v="-"/>
    <n v="139"/>
    <n v="141"/>
    <n v="2.2000000000000002"/>
    <n v="2.1"/>
    <n v="102"/>
    <n v="97"/>
    <n v="294.42355555555554"/>
    <s v="Dados Insuficientes"/>
    <n v="4.62"/>
    <n v="4.76"/>
    <n v="14.4"/>
    <n v="15"/>
    <n v="41.8"/>
    <n v="43"/>
    <n v="90.5"/>
    <n v="90.3"/>
    <n v="31.2"/>
    <n v="31.5"/>
    <n v="34.4"/>
    <n v="34.9"/>
    <n v="262"/>
    <n v="311"/>
    <n v="12.9"/>
    <n v="12.7"/>
    <n v="1.31"/>
    <n v="1.1299999999999999"/>
    <n v="6.84"/>
    <n v="16.3"/>
    <n v="55.2"/>
    <n v="78.3"/>
    <n v="32.700000000000003"/>
    <n v="11.5"/>
    <n v="9.8000000000000007"/>
    <n v="9.9"/>
    <n v="2"/>
    <n v="0.1"/>
    <n v="0.3"/>
    <n v="0.2"/>
    <x v="0"/>
    <x v="1"/>
    <n v="62.5396"/>
    <n v="68"/>
    <n v="173"/>
    <n v="55.9"/>
    <n v="39"/>
    <n v="39"/>
    <n v="8.0299999999999994"/>
  </r>
  <r>
    <x v="0"/>
    <x v="7"/>
    <x v="20"/>
    <n v="27"/>
    <n v="80"/>
    <x v="0"/>
    <s v="-"/>
    <s v="-"/>
    <s v="-"/>
    <s v="-"/>
    <s v="-"/>
    <s v="-"/>
    <n v="420"/>
    <n v="2513"/>
    <n v="18"/>
    <n v="41"/>
    <n v="1.4"/>
    <n v="4.7"/>
    <n v="293"/>
    <n v="1119"/>
    <n v="39"/>
    <n v="78"/>
    <n v="4.3"/>
    <n v="5.0999999999999996"/>
    <n v="40"/>
    <n v="57"/>
    <n v="15"/>
    <n v="30"/>
    <n v="4.3"/>
    <n v="7.6"/>
    <n v="94.947150652744313"/>
    <n v="85.533385678368745"/>
    <n v="40"/>
    <n v="56"/>
    <n v="1.1000000000000001"/>
    <n v="1.2"/>
    <n v="9.9999999999999867E-2"/>
    <n v="4.3"/>
    <n v="5.2"/>
    <n v="6.9"/>
    <n v="8.4"/>
    <s v="-"/>
    <n v="67"/>
    <n v="8.6999999999999993"/>
    <n v="10"/>
    <n v="4.8"/>
    <n v="4.9000000000000004"/>
    <n v="94"/>
    <s v="-"/>
    <n v="141"/>
    <n v="141"/>
    <n v="2.1"/>
    <n v="2.1"/>
    <n v="105"/>
    <n v="99"/>
    <n v="297.86022222222226"/>
    <s v="Dados Insuficientes"/>
    <n v="5.36"/>
    <n v="5.5"/>
    <n v="15"/>
    <n v="15.2"/>
    <n v="43.1"/>
    <n v="44.5"/>
    <n v="80.400000000000006"/>
    <n v="80.900000000000006"/>
    <n v="28"/>
    <n v="27.6"/>
    <n v="34.799999999999997"/>
    <n v="34.200000000000003"/>
    <n v="241"/>
    <n v="280"/>
    <n v="13"/>
    <n v="12.8"/>
    <n v="0.93"/>
    <n v="1.03"/>
    <n v="5.21"/>
    <n v="12.19"/>
    <n v="38.200000000000003"/>
    <n v="81.8"/>
    <n v="51.8"/>
    <n v="12.6"/>
    <n v="7.5"/>
    <n v="5.3"/>
    <n v="2.1"/>
    <n v="0.1"/>
    <n v="0.4"/>
    <n v="0.2"/>
    <x v="0"/>
    <x v="1"/>
    <n v="70.30368"/>
    <n v="82.4"/>
    <n v="168"/>
    <n v="50.7"/>
    <n v="60"/>
    <n v="58"/>
    <n v="14.68"/>
  </r>
  <r>
    <x v="1"/>
    <x v="8"/>
    <x v="21"/>
    <n v="27"/>
    <n v="72"/>
    <x v="0"/>
    <s v="RX"/>
    <s v="MT"/>
    <s v="ID"/>
    <s v="(+9, +9)"/>
    <n v="62.5"/>
    <n v="37.5"/>
    <n v="276"/>
    <n v="1150"/>
    <s v="-"/>
    <s v="-"/>
    <n v="2.2999999999999998"/>
    <n v="2"/>
    <n v="297"/>
    <n v="403"/>
    <n v="51"/>
    <n v="83"/>
    <s v="-"/>
    <s v="-"/>
    <s v="-"/>
    <s v="-"/>
    <s v="-"/>
    <s v="-"/>
    <n v="3.1"/>
    <n v="4.4000000000000004"/>
    <n v="125.17286966375688"/>
    <n v="125.17286966375688"/>
    <n v="36"/>
    <n v="45"/>
    <n v="0.8"/>
    <n v="0.8"/>
    <n v="0"/>
    <n v="4"/>
    <n v="4"/>
    <n v="6.8"/>
    <n v="6.8"/>
    <n v="36"/>
    <n v="80"/>
    <n v="9.6"/>
    <n v="9.1999999999999993"/>
    <n v="4.5"/>
    <n v="4.3"/>
    <n v="97"/>
    <n v="81"/>
    <n v="144"/>
    <n v="140"/>
    <n v="1.9"/>
    <n v="2.2000000000000002"/>
    <n v="110"/>
    <n v="102"/>
    <n v="302.40722222222223"/>
    <n v="295.07300000000004"/>
    <n v="5.34"/>
    <n v="5.43"/>
    <n v="14"/>
    <n v="13.9"/>
    <n v="42.7"/>
    <n v="42.4"/>
    <n v="79"/>
    <n v="78.5"/>
    <n v="25.8"/>
    <n v="25.7"/>
    <n v="32.700000000000003"/>
    <n v="32.799999999999997"/>
    <n v="352"/>
    <n v="374"/>
    <n v="12.6"/>
    <n v="13.1"/>
    <n v="0.66"/>
    <n v="0.78"/>
    <n v="8.44"/>
    <n v="14.07"/>
    <n v="56.7"/>
    <n v="75.5"/>
    <n v="27.8"/>
    <n v="13.8"/>
    <n v="12.2"/>
    <n v="8.9"/>
    <n v="2.4"/>
    <n v="1.3"/>
    <n v="0.9"/>
    <n v="0.5"/>
    <x v="0"/>
    <x v="1"/>
    <n v="69.121659999999991"/>
    <n v="77.3"/>
    <n v="170.3"/>
    <n v="49.62"/>
    <n v="50"/>
    <n v="52"/>
    <n v="10.58"/>
  </r>
  <r>
    <x v="1"/>
    <x v="8"/>
    <x v="22"/>
    <n v="24"/>
    <n v="77"/>
    <x v="0"/>
    <s v="RX"/>
    <s v="MM"/>
    <s v="II"/>
    <s v="(-9 , -9)"/>
    <n v="12.5"/>
    <n v="87.5"/>
    <n v="1349"/>
    <n v="998"/>
    <s v="-"/>
    <s v="-"/>
    <n v="2.8"/>
    <n v="1.8"/>
    <n v="283"/>
    <n v="316"/>
    <n v="55"/>
    <n v="66"/>
    <s v="-"/>
    <s v="-"/>
    <s v="-"/>
    <s v="-"/>
    <s v="-"/>
    <s v="-"/>
    <n v="3.9"/>
    <n v="4.8"/>
    <n v="120.79866842153496"/>
    <n v="120.79866842153496"/>
    <n v="43"/>
    <n v="42"/>
    <n v="0.9"/>
    <n v="0.9"/>
    <n v="0"/>
    <n v="4"/>
    <n v="3.6"/>
    <n v="6.4"/>
    <n v="6.8"/>
    <n v="56"/>
    <n v="53"/>
    <n v="9.1999999999999993"/>
    <n v="8.8000000000000007"/>
    <n v="4.5"/>
    <n v="3.9"/>
    <n v="99"/>
    <n v="92"/>
    <n v="143"/>
    <n v="141"/>
    <n v="2"/>
    <n v="2.5"/>
    <n v="105"/>
    <n v="103"/>
    <n v="301.8416666666667"/>
    <n v="296.3917777777778"/>
    <n v="4.3099999999999996"/>
    <n v="4.47"/>
    <n v="13.4"/>
    <n v="14.1"/>
    <n v="41.4"/>
    <n v="42.5"/>
    <n v="95.7"/>
    <n v="95.6"/>
    <n v="30.9"/>
    <n v="31.7"/>
    <n v="32.200000000000003"/>
    <n v="33.200000000000003"/>
    <n v="279"/>
    <n v="316"/>
    <n v="12.7"/>
    <n v="13"/>
    <n v="1.02"/>
    <n v="1.06"/>
    <n v="5.41"/>
    <n v="8.36"/>
    <n v="51.9"/>
    <n v="73.5"/>
    <n v="31.5"/>
    <n v="16.399999999999999"/>
    <n v="11.6"/>
    <n v="8.3000000000000007"/>
    <n v="4.4000000000000004"/>
    <n v="1.1000000000000001"/>
    <n v="0.6"/>
    <n v="0.7"/>
    <x v="0"/>
    <x v="1"/>
    <n v="70.724639999999994"/>
    <n v="77.599999999999994"/>
    <n v="178"/>
    <n v="53.68"/>
    <n v="51"/>
    <n v="51"/>
    <n v="8.86"/>
  </r>
  <r>
    <x v="1"/>
    <x v="8"/>
    <x v="23"/>
    <n v="24"/>
    <n v="72"/>
    <x v="0"/>
    <s v="XX"/>
    <s v="TT"/>
    <s v="II"/>
    <s v="(-9 , -9)"/>
    <n v="25"/>
    <n v="75"/>
    <n v="484"/>
    <n v="464"/>
    <s v="-"/>
    <s v="-"/>
    <n v="2.2999999999999998"/>
    <n v="1.6"/>
    <n v="261"/>
    <n v="302"/>
    <n v="40"/>
    <n v="62"/>
    <s v="-"/>
    <s v="-"/>
    <s v="-"/>
    <s v="-"/>
    <s v="-"/>
    <s v="-"/>
    <n v="3.6"/>
    <n v="4.3"/>
    <n v="94.947150652744313"/>
    <n v="120.79866842153496"/>
    <n v="34"/>
    <n v="32"/>
    <n v="1.1000000000000001"/>
    <n v="0.9"/>
    <n v="0"/>
    <n v="4.3"/>
    <n v="4.3"/>
    <n v="7.3"/>
    <n v="6.9"/>
    <n v="37"/>
    <n v="33"/>
    <n v="9.9"/>
    <n v="8.8000000000000007"/>
    <n v="4.4000000000000004"/>
    <n v="4"/>
    <n v="100"/>
    <n v="75"/>
    <n v="141"/>
    <n v="139"/>
    <n v="1.9"/>
    <n v="2.2000000000000002"/>
    <n v="101"/>
    <n v="101"/>
    <n v="296.49955555555562"/>
    <n v="290.10500000000002"/>
    <n v="5.22"/>
    <n v="5.22"/>
    <n v="14.5"/>
    <n v="14.4"/>
    <n v="44.1"/>
    <n v="43.1"/>
    <n v="83.7"/>
    <n v="82.3"/>
    <n v="27.5"/>
    <n v="27.4"/>
    <n v="32.799999999999997"/>
    <n v="33.4"/>
    <n v="319"/>
    <n v="296"/>
    <n v="13.5"/>
    <n v="12.9"/>
    <n v="1.1200000000000001"/>
    <n v="0.53"/>
    <n v="11.77"/>
    <n v="8.2100000000000009"/>
    <n v="70.900000000000006"/>
    <n v="75"/>
    <n v="17.399999999999999"/>
    <n v="13"/>
    <n v="9.1"/>
    <n v="11.3"/>
    <n v="2.2000000000000002"/>
    <n v="0.3"/>
    <n v="0.4"/>
    <n v="0.4"/>
    <x v="0"/>
    <x v="0"/>
    <n v="66.241470000000007"/>
    <n v="71.900000000000006"/>
    <n v="173.5"/>
    <n v="55.35"/>
    <n v="54"/>
    <n v="56"/>
    <n v="7.87"/>
  </r>
  <r>
    <x v="1"/>
    <x v="8"/>
    <x v="24"/>
    <n v="24"/>
    <n v="79.5"/>
    <x v="0"/>
    <s v="RX"/>
    <s v="TT"/>
    <s v="DD"/>
    <s v="(+9, -9)"/>
    <n v="75"/>
    <n v="25"/>
    <n v="1351"/>
    <n v="1598"/>
    <s v="-"/>
    <s v="-"/>
    <n v="2.9"/>
    <n v="3.6"/>
    <n v="265"/>
    <n v="351"/>
    <n v="79"/>
    <n v="153"/>
    <s v="-"/>
    <s v="-"/>
    <s v="-"/>
    <s v="-"/>
    <s v="-"/>
    <s v="-"/>
    <n v="4.5999999999999996"/>
    <n v="4.5999999999999996"/>
    <n v="120.79866842153496"/>
    <n v="125.17286966375688"/>
    <n v="32"/>
    <n v="57"/>
    <n v="0.9"/>
    <n v="0.8"/>
    <n v="0"/>
    <n v="4.5"/>
    <n v="4"/>
    <n v="7.3"/>
    <n v="8"/>
    <n v="42"/>
    <n v="99"/>
    <n v="9.6"/>
    <n v="9.8000000000000007"/>
    <n v="4.7"/>
    <n v="4.9000000000000004"/>
    <n v="105"/>
    <n v="95"/>
    <n v="144"/>
    <n v="141"/>
    <n v="1.6"/>
    <n v="2"/>
    <n v="104"/>
    <n v="97"/>
    <n v="302.62366666666662"/>
    <n v="300.94344444444448"/>
    <n v="4.25"/>
    <n v="4.54"/>
    <n v="12.1"/>
    <n v="13.1"/>
    <n v="37.200000000000003"/>
    <n v="39.799999999999997"/>
    <n v="87.9"/>
    <n v="87.6"/>
    <n v="28.6"/>
    <n v="28.9"/>
    <n v="32.6"/>
    <n v="33"/>
    <n v="305"/>
    <n v="352"/>
    <n v="12.2"/>
    <n v="12.1"/>
    <n v="0.98"/>
    <n v="0.88"/>
    <n v="7.97"/>
    <n v="11.56"/>
    <n v="55.8"/>
    <n v="75.400000000000006"/>
    <n v="30.9"/>
    <n v="18.399999999999999"/>
    <n v="7.7"/>
    <n v="5.8"/>
    <n v="5.4"/>
    <n v="0.3"/>
    <n v="0.2"/>
    <n v="0.1"/>
    <x v="0"/>
    <x v="1"/>
    <n v="77.330865000000003"/>
    <n v="84.45"/>
    <n v="187"/>
    <n v="0"/>
    <n v="48"/>
    <n v="52"/>
    <n v="8.43"/>
  </r>
  <r>
    <x v="1"/>
    <x v="8"/>
    <x v="25"/>
    <n v="27"/>
    <n v="75"/>
    <x v="0"/>
    <s v="RR"/>
    <s v="TT"/>
    <s v="ID"/>
    <s v="(-9 , -9)"/>
    <n v="62.5"/>
    <n v="37.5"/>
    <n v="339"/>
    <n v="938"/>
    <s v="-"/>
    <s v="-"/>
    <n v="2"/>
    <n v="2.1"/>
    <n v="296"/>
    <n v="375"/>
    <n v="68"/>
    <n v="100"/>
    <s v="-"/>
    <s v="-"/>
    <s v="-"/>
    <s v="-"/>
    <s v="-"/>
    <s v="-"/>
    <n v="4.5"/>
    <n v="5.0999999999999996"/>
    <n v="125.17286966375688"/>
    <n v="130.32381263076621"/>
    <n v="22"/>
    <n v="30"/>
    <n v="0.8"/>
    <n v="0.7"/>
    <n v="0"/>
    <n v="4.0999999999999996"/>
    <n v="3.7"/>
    <n v="6.7"/>
    <n v="6.9"/>
    <n v="28"/>
    <n v="27"/>
    <n v="9.6"/>
    <n v="8.6"/>
    <n v="4.0999999999999996"/>
    <n v="4.3"/>
    <n v="88"/>
    <n v="88"/>
    <n v="145"/>
    <n v="138"/>
    <n v="2"/>
    <n v="2.2000000000000002"/>
    <n v="106"/>
    <n v="99"/>
    <n v="300.61488888888891"/>
    <n v="289.30022222222226"/>
    <n v="4.41"/>
    <n v="4.6900000000000004"/>
    <n v="13.2"/>
    <n v="14.2"/>
    <n v="39.700000000000003"/>
    <n v="42.8"/>
    <n v="90.1"/>
    <n v="89.9"/>
    <n v="29.9"/>
    <n v="29.7"/>
    <n v="33.200000000000003"/>
    <n v="33"/>
    <n v="298"/>
    <n v="344"/>
    <n v="13"/>
    <n v="12.7"/>
    <n v="0.81"/>
    <n v="0.79"/>
    <n v="5.92"/>
    <n v="7.53"/>
    <n v="49.9"/>
    <n v="72.8"/>
    <n v="33.4"/>
    <n v="17.399999999999999"/>
    <n v="13"/>
    <n v="8.9"/>
    <n v="3.2"/>
    <n v="0.4"/>
    <n v="0.5"/>
    <n v="0.5"/>
    <x v="0"/>
    <x v="0"/>
    <n v="65.118300000000005"/>
    <n v="76.7"/>
    <n v="171.5"/>
    <n v="47.49"/>
    <n v="54"/>
    <n v="48"/>
    <n v="15.1"/>
  </r>
  <r>
    <x v="1"/>
    <x v="8"/>
    <x v="26"/>
    <n v="25"/>
    <n v="91"/>
    <x v="0"/>
    <s v="RR"/>
    <s v="MT"/>
    <s v="ID"/>
    <s v="(-9 , -9)"/>
    <n v="50"/>
    <n v="50"/>
    <n v="1600"/>
    <n v="5247"/>
    <s v="-"/>
    <s v="-"/>
    <n v="2.1"/>
    <n v="1.3"/>
    <n v="345"/>
    <n v="549"/>
    <n v="108"/>
    <n v="218"/>
    <s v="-"/>
    <s v="-"/>
    <s v="-"/>
    <s v="-"/>
    <s v="-"/>
    <s v="-"/>
    <n v="4.7"/>
    <n v="7.8"/>
    <n v="106.45183652429932"/>
    <n v="106.45183652429932"/>
    <n v="35"/>
    <n v="59"/>
    <n v="1"/>
    <n v="1"/>
    <n v="0"/>
    <n v="4.0999999999999996"/>
    <n v="4.4000000000000004"/>
    <n v="6.8"/>
    <n v="6.9"/>
    <n v="24"/>
    <n v="19"/>
    <n v="8.8000000000000007"/>
    <n v="8.4"/>
    <n v="4.5"/>
    <n v="4.5999999999999996"/>
    <n v="85"/>
    <n v="89"/>
    <n v="142"/>
    <n v="138"/>
    <n v="2"/>
    <n v="2.2999999999999998"/>
    <n v="105"/>
    <n v="106"/>
    <n v="297.75388888888887"/>
    <n v="294.75544444444444"/>
    <n v="4.7300000000000004"/>
    <n v="4.71"/>
    <n v="13"/>
    <n v="13"/>
    <n v="39.4"/>
    <n v="39.1"/>
    <n v="82.4"/>
    <n v="82"/>
    <n v="27.2"/>
    <n v="27.2"/>
    <n v="33"/>
    <n v="33.200000000000003"/>
    <n v="248"/>
    <n v="310"/>
    <n v="12.9"/>
    <n v="12.6"/>
    <n v="0.85"/>
    <n v="0.57999999999999996"/>
    <n v="5.0599999999999996"/>
    <n v="8.1999999999999993"/>
    <n v="39.1"/>
    <n v="77.099999999999994"/>
    <n v="34"/>
    <n v="11.7"/>
    <n v="14.5"/>
    <n v="10.3"/>
    <n v="11.8"/>
    <n v="0.4"/>
    <n v="0.6"/>
    <n v="0.5"/>
    <x v="0"/>
    <x v="1"/>
    <n v="81.751800000000003"/>
    <n v="94"/>
    <n v="176.5"/>
    <n v="46.18"/>
    <n v="54"/>
    <n v="60"/>
    <n v="13.03"/>
  </r>
  <r>
    <x v="1"/>
    <x v="8"/>
    <x v="27"/>
    <n v="33"/>
    <n v="94"/>
    <x v="0"/>
    <s v="RR"/>
    <s v="MT"/>
    <s v="II"/>
    <s v="(+9, -9)"/>
    <n v="50"/>
    <n v="50"/>
    <n v="597"/>
    <n v="1097"/>
    <s v="-"/>
    <s v="-"/>
    <n v="3.2"/>
    <n v="2.2000000000000002"/>
    <n v="325"/>
    <n v="3974"/>
    <n v="50"/>
    <n v="69"/>
    <s v="-"/>
    <s v="-"/>
    <s v="-"/>
    <s v="-"/>
    <s v="-"/>
    <s v="-"/>
    <n v="5.4"/>
    <n v="6.1"/>
    <n v="94.947150652744313"/>
    <n v="106.45183652429932"/>
    <n v="42"/>
    <n v="45"/>
    <n v="1.1000000000000001"/>
    <n v="1"/>
    <n v="0"/>
    <n v="3.6"/>
    <n v="4.2"/>
    <n v="6.7"/>
    <n v="7"/>
    <n v="33"/>
    <n v="60"/>
    <n v="9.5"/>
    <n v="9.6"/>
    <n v="5"/>
    <n v="4.2"/>
    <n v="100"/>
    <n v="105"/>
    <n v="144"/>
    <n v="141"/>
    <n v="2"/>
    <n v="2.1"/>
    <n v="105"/>
    <n v="104"/>
    <n v="304.5288888888889"/>
    <n v="298.28033333333332"/>
    <n v="4.49"/>
    <n v="4.8899999999999997"/>
    <n v="11.9"/>
    <n v="12.9"/>
    <n v="36.4"/>
    <n v="39.299999999999997"/>
    <n v="80.599999999999994"/>
    <n v="80.2"/>
    <n v="26.4"/>
    <n v="26.2"/>
    <n v="32.700000000000003"/>
    <n v="32.700000000000003"/>
    <n v="329"/>
    <n v="427"/>
    <n v="13.3"/>
    <n v="13.2"/>
    <n v="0.8"/>
    <n v="0.66"/>
    <n v="7.29"/>
    <n v="9.01"/>
    <n v="57.2"/>
    <n v="72.5"/>
    <n v="23.7"/>
    <n v="14"/>
    <n v="8.8000000000000007"/>
    <n v="7.4"/>
    <n v="9.4"/>
    <n v="5.5"/>
    <n v="0.9"/>
    <n v="0.6"/>
    <x v="0"/>
    <x v="1"/>
    <n v="77.466380000000001"/>
    <n v="97.1"/>
    <n v="181"/>
    <n v="44.53"/>
    <n v="66"/>
    <n v="65"/>
    <n v="20.22"/>
  </r>
  <r>
    <x v="1"/>
    <x v="8"/>
    <x v="28"/>
    <n v="35"/>
    <n v="78"/>
    <x v="1"/>
    <s v="RX"/>
    <s v="MT"/>
    <s v="ID"/>
    <s v="(-9 , -9)"/>
    <n v="37.5"/>
    <n v="62.5"/>
    <n v="1416"/>
    <n v="4091"/>
    <s v="-"/>
    <s v="-"/>
    <n v="1.9"/>
    <n v="2.1"/>
    <n v="513"/>
    <n v="783"/>
    <n v="135"/>
    <n v="264"/>
    <s v="-"/>
    <s v="-"/>
    <s v="-"/>
    <s v="-"/>
    <s v="-"/>
    <s v="-"/>
    <n v="5.2"/>
    <n v="10.1"/>
    <n v="106.45183652429932"/>
    <n v="106.45183652429932"/>
    <n v="42"/>
    <n v="64"/>
    <n v="1"/>
    <n v="1"/>
    <n v="0"/>
    <n v="4.2"/>
    <n v="4.9000000000000004"/>
    <n v="6.3"/>
    <n v="7.1"/>
    <n v="65"/>
    <n v="50"/>
    <n v="9.3000000000000007"/>
    <n v="8.9"/>
    <n v="4.5"/>
    <n v="3.7"/>
    <n v="83"/>
    <n v="62"/>
    <n v="139"/>
    <n v="137"/>
    <n v="1.6"/>
    <n v="1.9"/>
    <n v="104"/>
    <n v="101"/>
    <n v="293.21277777777777"/>
    <n v="290.32977777777779"/>
    <n v="4.33"/>
    <n v="4.5199999999999996"/>
    <n v="13.9"/>
    <n v="14.4"/>
    <n v="42.4"/>
    <n v="43.4"/>
    <n v="97"/>
    <n v="95.5"/>
    <n v="31.7"/>
    <n v="31.7"/>
    <n v="32.700000000000003"/>
    <n v="33.200000000000003"/>
    <n v="285"/>
    <n v="304"/>
    <n v="12.5"/>
    <n v="12.2"/>
    <n v="1.21"/>
    <n v="1.05"/>
    <n v="4.96"/>
    <n v="13.01"/>
    <n v="48.5"/>
    <n v="86"/>
    <n v="38.299999999999997"/>
    <n v="9.3000000000000007"/>
    <n v="11.3"/>
    <n v="4.3"/>
    <n v="0.9"/>
    <n v="0.3"/>
    <n v="1"/>
    <n v="0.1"/>
    <x v="0"/>
    <x v="1"/>
    <n v="73.247245000000007"/>
    <n v="77.650000000000006"/>
    <n v="184.2"/>
    <n v="54.09"/>
    <n v="56"/>
    <n v="52"/>
    <n v="5.67"/>
  </r>
  <r>
    <x v="1"/>
    <x v="8"/>
    <x v="29"/>
    <n v="34"/>
    <n v="68"/>
    <x v="0"/>
    <s v="-"/>
    <s v="-"/>
    <s v="-"/>
    <s v="-"/>
    <s v="-"/>
    <s v="-"/>
    <n v="311"/>
    <n v="1230"/>
    <s v="-"/>
    <s v="-"/>
    <n v="2.2000000000000002"/>
    <n v="1.8"/>
    <n v="291"/>
    <n v="403"/>
    <n v="48"/>
    <n v="94"/>
    <s v="-"/>
    <s v="-"/>
    <s v="-"/>
    <s v="-"/>
    <s v="-"/>
    <s v="-"/>
    <n v="4"/>
    <n v="4.9000000000000004"/>
    <n v="120.79866842153496"/>
    <n v="125.17286966375688"/>
    <n v="44"/>
    <n v="50"/>
    <n v="0.9"/>
    <n v="0.8"/>
    <n v="0"/>
    <n v="4.5999999999999996"/>
    <n v="3.6"/>
    <n v="6.8"/>
    <n v="6.8"/>
    <n v="33"/>
    <n v="37"/>
    <n v="9.6999999999999993"/>
    <n v="9.4"/>
    <n v="4.3"/>
    <n v="3.8"/>
    <n v="92"/>
    <n v="71"/>
    <n v="144"/>
    <n v="143"/>
    <n v="1.7"/>
    <n v="2.1"/>
    <n v="105"/>
    <n v="105"/>
    <n v="303.04911111111113"/>
    <n v="299.91744444444447"/>
    <n v="4.8899999999999997"/>
    <n v="4.6100000000000003"/>
    <n v="14.2"/>
    <n v="13.5"/>
    <n v="41.8"/>
    <n v="41.2"/>
    <n v="85.4"/>
    <n v="87.1"/>
    <n v="29"/>
    <n v="28.5"/>
    <n v="34"/>
    <n v="32.799999999999997"/>
    <n v="303"/>
    <n v="287"/>
    <n v="13.9"/>
    <n v="13.4"/>
    <n v="0.82"/>
    <n v="0.7"/>
    <n v="6.25"/>
    <n v="7.92"/>
    <n v="57"/>
    <n v="68.900000000000006"/>
    <n v="27.5"/>
    <n v="18.8"/>
    <n v="10.7"/>
    <n v="9.6999999999999993"/>
    <n v="4.0999999999999996"/>
    <n v="1.9"/>
    <n v="0.7"/>
    <n v="0.7"/>
    <x v="0"/>
    <x v="1"/>
    <n v="60.020625000000003"/>
    <n v="67.25"/>
    <n v="168.5"/>
    <n v="53.38"/>
    <n v="54"/>
    <n v="54"/>
    <n v="10.75"/>
  </r>
  <r>
    <x v="1"/>
    <x v="8"/>
    <x v="30"/>
    <n v="0"/>
    <n v="80"/>
    <x v="0"/>
    <s v="-"/>
    <s v="-"/>
    <s v="-"/>
    <s v="-"/>
    <s v="-"/>
    <s v="-"/>
    <n v="651"/>
    <n v="868"/>
    <s v="-"/>
    <s v="-"/>
    <n v="1.8"/>
    <n v="2.2999999999999998"/>
    <n v="309"/>
    <n v="358"/>
    <n v="63"/>
    <n v="81"/>
    <s v="-"/>
    <s v="-"/>
    <s v="-"/>
    <s v="-"/>
    <s v="-"/>
    <s v="-"/>
    <n v="5.5"/>
    <n v="4.9000000000000004"/>
    <n v="120.79866842153496"/>
    <n v="125.17286966375688"/>
    <n v="29"/>
    <n v="32"/>
    <n v="0.9"/>
    <n v="0.8"/>
    <n v="0"/>
    <n v="4.4000000000000004"/>
    <n v="4.08"/>
    <n v="6.7"/>
    <n v="7.7"/>
    <n v="42"/>
    <n v="109"/>
    <n v="9.8000000000000007"/>
    <n v="9.8000000000000007"/>
    <n v="4.5"/>
    <n v="4.8"/>
    <n v="94"/>
    <n v="99"/>
    <n v="144"/>
    <n v="140"/>
    <s v="-"/>
    <n v="2.1"/>
    <n v="108"/>
    <n v="104"/>
    <n v="301.04888888888888"/>
    <n v="294.98633333333333"/>
    <n v="4.45"/>
    <n v="4.71"/>
    <n v="13.4"/>
    <n v="14.2"/>
    <n v="39.6"/>
    <n v="42.8"/>
    <n v="88.9"/>
    <n v="89.6"/>
    <n v="30.1"/>
    <n v="29.6"/>
    <n v="33.9"/>
    <n v="33.1"/>
    <n v="324"/>
    <n v="338"/>
    <n v="14.6"/>
    <n v="13.4"/>
    <n v="0.83"/>
    <n v="0.8"/>
    <n v="5.2"/>
    <n v="6.98"/>
    <n v="59"/>
    <n v="83.1"/>
    <n v="23"/>
    <n v="11.7"/>
    <n v="12.1"/>
    <n v="4.8"/>
    <n v="4.9000000000000004"/>
    <n v="0.4"/>
    <n v="1"/>
    <n v="0"/>
    <x v="0"/>
    <x v="0"/>
    <n v="71.693685000000002"/>
    <n v="82.95"/>
    <n v="171"/>
    <n v="45.46"/>
    <n v="60"/>
    <n v="65"/>
    <n v="13.57"/>
  </r>
  <r>
    <x v="1"/>
    <x v="8"/>
    <x v="31"/>
    <n v="32"/>
    <n v="80"/>
    <x v="0"/>
    <s v="-"/>
    <s v="-"/>
    <s v="-"/>
    <s v="-"/>
    <s v="-"/>
    <s v="-"/>
    <n v="172"/>
    <n v="800"/>
    <s v="-"/>
    <s v="-"/>
    <n v="1.8"/>
    <n v="1.7"/>
    <n v="255"/>
    <n v="338"/>
    <n v="36"/>
    <n v="57"/>
    <s v="-"/>
    <s v="-"/>
    <s v="-"/>
    <s v="-"/>
    <s v="-"/>
    <s v="-"/>
    <n v="5"/>
    <n v="6.4"/>
    <n v="120.79866842153496"/>
    <n v="120.79866842153496"/>
    <n v="37"/>
    <n v="38"/>
    <n v="0.9"/>
    <n v="0.9"/>
    <n v="0"/>
    <n v="4"/>
    <n v="3.6"/>
    <n v="7.1"/>
    <n v="7.2"/>
    <n v="52"/>
    <n v="55"/>
    <n v="9.6"/>
    <n v="9.9"/>
    <n v="4.5999999999999996"/>
    <n v="4.0999999999999996"/>
    <n v="104"/>
    <n v="86"/>
    <n v="143"/>
    <n v="140"/>
    <n v="2.1"/>
    <n v="2.2999999999999998"/>
    <n v="104"/>
    <n v="102"/>
    <n v="301.34711111111113"/>
    <n v="293.85377777777779"/>
    <n v="4.9800000000000004"/>
    <n v="4.95"/>
    <n v="13.7"/>
    <n v="13.2"/>
    <n v="40.299999999999997"/>
    <n v="40.200000000000003"/>
    <n v="80.900000000000006"/>
    <n v="81"/>
    <n v="27.4"/>
    <n v="26.6"/>
    <n v="33.9"/>
    <n v="32.9"/>
    <n v="520"/>
    <n v="489"/>
    <n v="13.6"/>
    <n v="12.3"/>
    <n v="1.05"/>
    <n v="0.77"/>
    <n v="9.59"/>
    <n v="13.3"/>
    <n v="69.3"/>
    <n v="74.599999999999994"/>
    <n v="20"/>
    <n v="16.2"/>
    <n v="6.9"/>
    <n v="8.4"/>
    <n v="3"/>
    <n v="0.7"/>
    <n v="0.8"/>
    <n v="0.1"/>
    <x v="0"/>
    <x v="0"/>
    <n v="70.071784999999991"/>
    <n v="81.849999999999994"/>
    <n v="181"/>
    <n v="52.98"/>
    <n v="60"/>
    <n v="60"/>
    <n v="14.39"/>
  </r>
  <r>
    <x v="1"/>
    <x v="8"/>
    <x v="32"/>
    <n v="35"/>
    <n v="76"/>
    <x v="0"/>
    <s v="RX"/>
    <s v="MM"/>
    <s v="ID"/>
    <s v="(+9, +9)"/>
    <n v="50"/>
    <n v="50"/>
    <n v="305"/>
    <n v="887"/>
    <s v="-"/>
    <s v="-"/>
    <n v="1.5"/>
    <n v="2.4"/>
    <n v="255"/>
    <n v="349"/>
    <n v="48"/>
    <n v="73"/>
    <s v="-"/>
    <s v="-"/>
    <s v="-"/>
    <s v="-"/>
    <s v="-"/>
    <s v="-"/>
    <n v="4.2"/>
    <n v="5.2"/>
    <n v="77.700020894732489"/>
    <n v="120.79866842153496"/>
    <n v="43"/>
    <n v="55"/>
    <n v="1.3"/>
    <n v="0.9"/>
    <n v="0"/>
    <n v="4.3"/>
    <n v="3.7"/>
    <n v="6.3"/>
    <n v="6.3"/>
    <n v="44"/>
    <n v="74"/>
    <n v="9.3000000000000007"/>
    <n v="9"/>
    <n v="4.5999999999999996"/>
    <n v="4"/>
    <n v="94"/>
    <n v="107"/>
    <n v="145"/>
    <n v="144"/>
    <n v="1.8"/>
    <n v="2.2000000000000002"/>
    <n v="105"/>
    <n v="104"/>
    <n v="305.42822222222225"/>
    <n v="305.28277777777782"/>
    <n v="4.6500000000000004"/>
    <n v="4.72"/>
    <n v="14.1"/>
    <n v="14.5"/>
    <n v="41.4"/>
    <n v="44.2"/>
    <n v="89.1"/>
    <n v="91"/>
    <n v="30.4"/>
    <n v="29.9"/>
    <n v="34.200000000000003"/>
    <n v="32.9"/>
    <n v="212"/>
    <n v="230"/>
    <n v="14.6"/>
    <n v="15"/>
    <n v="0.71"/>
    <n v="0.82"/>
    <n v="6.27"/>
    <n v="9.6999999999999993"/>
    <n v="55.5"/>
    <n v="68.400000000000006"/>
    <n v="29.9"/>
    <n v="22.9"/>
    <n v="10.5"/>
    <n v="7.3"/>
    <n v="3.1"/>
    <n v="0.8"/>
    <n v="1"/>
    <n v="0.6"/>
    <x v="0"/>
    <x v="0"/>
    <n v="65.962705"/>
    <n v="75.55"/>
    <n v="177.5"/>
    <n v="50.61"/>
    <n v="56"/>
    <n v="50"/>
    <n v="12.69"/>
  </r>
  <r>
    <x v="1"/>
    <x v="8"/>
    <x v="33"/>
    <n v="31"/>
    <n v="76"/>
    <x v="0"/>
    <s v="XX"/>
    <s v="MT"/>
    <s v="ID"/>
    <s v="(+9, +9)"/>
    <n v="50"/>
    <n v="50"/>
    <n v="202"/>
    <n v="608"/>
    <s v="-"/>
    <s v="-"/>
    <n v="1.5"/>
    <n v="2.7"/>
    <n v="310"/>
    <n v="418"/>
    <n v="53"/>
    <n v="73"/>
    <s v="-"/>
    <s v="-"/>
    <s v="-"/>
    <s v="-"/>
    <s v="-"/>
    <s v="-"/>
    <n v="4.5"/>
    <n v="4.9000000000000004"/>
    <n v="106.45183652429932"/>
    <n v="120.79866842153496"/>
    <n v="45"/>
    <n v="55"/>
    <n v="1"/>
    <n v="0.9"/>
    <n v="0"/>
    <n v="3.8"/>
    <n v="4.5"/>
    <n v="7.2"/>
    <n v="7.2"/>
    <n v="70"/>
    <n v="54"/>
    <n v="9.3000000000000007"/>
    <n v="9.3000000000000007"/>
    <n v="4.2"/>
    <n v="4.0999999999999996"/>
    <n v="101"/>
    <n v="104"/>
    <n v="146"/>
    <n v="144"/>
    <s v="-"/>
    <n v="2.1"/>
    <n v="105"/>
    <n v="105"/>
    <n v="307.3247777777778"/>
    <n v="305.27711111111114"/>
    <n v="4.66"/>
    <n v="4.68"/>
    <n v="14.8"/>
    <n v="14.4"/>
    <n v="42.5"/>
    <n v="44.3"/>
    <n v="91.2"/>
    <n v="94"/>
    <n v="31.7"/>
    <n v="30.6"/>
    <n v="34.700000000000003"/>
    <n v="32.5"/>
    <n v="302"/>
    <n v="253"/>
    <n v="13.9"/>
    <n v="13.2"/>
    <n v="0.73"/>
    <n v="0.42"/>
    <n v="5.64"/>
    <n v="9.86"/>
    <n v="49.3"/>
    <n v="70.900000000000006"/>
    <n v="32.9"/>
    <n v="19.399999999999999"/>
    <n v="12.2"/>
    <n v="7.9"/>
    <n v="4.2"/>
    <n v="1.5"/>
    <n v="1.4"/>
    <n v="0.3"/>
    <x v="0"/>
    <x v="0"/>
    <n v="71.403599999999997"/>
    <n v="78.5"/>
    <n v="173.5"/>
    <n v="51.8"/>
    <n v="57"/>
    <n v="60"/>
    <n v="9.0399999999999991"/>
  </r>
  <r>
    <x v="1"/>
    <x v="8"/>
    <x v="34"/>
    <n v="32"/>
    <n v="78"/>
    <x v="1"/>
    <s v="RR"/>
    <s v="TT"/>
    <s v="ID"/>
    <s v="(+9, +9)"/>
    <n v="87.5"/>
    <n v="12.5"/>
    <n v="462"/>
    <n v="1189"/>
    <s v="-"/>
    <s v="-"/>
    <n v="1.8"/>
    <n v="2.2999999999999998"/>
    <n v="337"/>
    <n v="476"/>
    <n v="45"/>
    <n v="78"/>
    <s v="-"/>
    <s v="-"/>
    <s v="-"/>
    <s v="-"/>
    <s v="-"/>
    <s v="-"/>
    <n v="4.9000000000000004"/>
    <n v="7.2"/>
    <n v="106.45183652429932"/>
    <n v="106.45183652429932"/>
    <n v="32"/>
    <n v="49"/>
    <n v="1"/>
    <n v="1"/>
    <n v="0"/>
    <n v="4.2"/>
    <n v="4.4000000000000004"/>
    <n v="6.6"/>
    <n v="7.7"/>
    <n v="23"/>
    <n v="95"/>
    <n v="9.8000000000000007"/>
    <n v="10.5"/>
    <n v="4.0999999999999996"/>
    <n v="4.8"/>
    <n v="94"/>
    <n v="99"/>
    <n v="142"/>
    <n v="150"/>
    <n v="2.2000000000000002"/>
    <n v="2.4"/>
    <n v="103"/>
    <n v="110"/>
    <n v="297.08488888888883"/>
    <n v="316.41966666666673"/>
    <n v="4.49"/>
    <n v="4.87"/>
    <n v="14"/>
    <n v="15"/>
    <n v="40.799999999999997"/>
    <n v="45.3"/>
    <n v="90.8"/>
    <n v="92"/>
    <n v="31.2"/>
    <n v="30.5"/>
    <n v="34.299999999999997"/>
    <n v="33.1"/>
    <n v="341"/>
    <n v="350"/>
    <n v="14.5"/>
    <n v="12.5"/>
    <n v="1.3"/>
    <n v="0.87"/>
    <n v="7.12"/>
    <n v="10.07"/>
    <n v="76.5"/>
    <n v="72.599999999999994"/>
    <n v="9.6"/>
    <n v="18"/>
    <n v="12.7"/>
    <n v="7.6"/>
    <n v="0.8"/>
    <n v="1.2"/>
    <n v="0.4"/>
    <n v="0.6"/>
    <x v="0"/>
    <x v="1"/>
    <n v="71.568749999999994"/>
    <n v="82.5"/>
    <n v="174"/>
    <n v="50.33"/>
    <n v="56"/>
    <n v="53"/>
    <n v="13.25"/>
  </r>
  <r>
    <x v="1"/>
    <x v="8"/>
    <x v="35"/>
    <n v="33"/>
    <n v="68"/>
    <x v="0"/>
    <s v="RR"/>
    <s v="MT"/>
    <s v="ID"/>
    <s v="(+9, +9)"/>
    <n v="75"/>
    <n v="25"/>
    <n v="228"/>
    <n v="1407"/>
    <s v="-"/>
    <s v="-"/>
    <n v="3"/>
    <n v="3.2"/>
    <n v="318"/>
    <n v="564"/>
    <n v="57"/>
    <n v="157"/>
    <s v="-"/>
    <s v="-"/>
    <s v="-"/>
    <s v="-"/>
    <s v="-"/>
    <s v="-"/>
    <n v="5.3"/>
    <n v="8.9"/>
    <n v="106.45183652429932"/>
    <n v="94.947150652744313"/>
    <n v="33"/>
    <n v="62"/>
    <n v="1"/>
    <n v="1.1000000000000001"/>
    <n v="0.10000000000000009"/>
    <n v="4.2"/>
    <n v="4.5"/>
    <n v="6.5"/>
    <n v="7.3"/>
    <n v="45"/>
    <n v="28"/>
    <n v="9.4"/>
    <n v="10.4"/>
    <n v="4.2"/>
    <n v="4.5999999999999996"/>
    <n v="100"/>
    <n v="123"/>
    <n v="144"/>
    <n v="159"/>
    <n v="2"/>
    <n v="2.4"/>
    <n v="103"/>
    <n v="120"/>
    <n v="301.5408888888889"/>
    <n v="336.48766666666666"/>
    <n v="4.2300000000000004"/>
    <n v="3.91"/>
    <n v="12.9"/>
    <n v="12"/>
    <n v="37.299999999999997"/>
    <n v="36"/>
    <n v="88"/>
    <n v="89.8"/>
    <n v="30.5"/>
    <n v="29.9"/>
    <n v="34.700000000000003"/>
    <n v="33.299999999999997"/>
    <n v="348"/>
    <n v="328"/>
    <n v="14.2"/>
    <n v="12.8"/>
    <n v="0.74"/>
    <n v="0.94"/>
    <n v="5.93"/>
    <n v="16.239999999999998"/>
    <n v="65.599999999999994"/>
    <n v="89.2"/>
    <n v="23.8"/>
    <n v="5.7"/>
    <n v="7.4"/>
    <n v="4.5"/>
    <n v="2"/>
    <n v="0.6"/>
    <n v="1.2"/>
    <n v="0"/>
    <x v="0"/>
    <x v="1"/>
    <n v="64.357799999999997"/>
    <n v="74"/>
    <n v="172"/>
    <n v="52.46"/>
    <n v="60"/>
    <n v="58"/>
    <n v="13.03"/>
  </r>
  <r>
    <x v="1"/>
    <x v="8"/>
    <x v="36"/>
    <n v="31"/>
    <n v="82"/>
    <x v="0"/>
    <s v="RX"/>
    <s v="MT"/>
    <s v="II"/>
    <s v="(+9, +9)"/>
    <n v="50"/>
    <n v="50"/>
    <n v="405"/>
    <n v="888"/>
    <s v="-"/>
    <s v="-"/>
    <n v="2"/>
    <n v="2.8"/>
    <n v="255"/>
    <n v="301"/>
    <n v="49"/>
    <n v="68"/>
    <s v="-"/>
    <s v="-"/>
    <s v="-"/>
    <s v="-"/>
    <s v="-"/>
    <s v="-"/>
    <n v="4.5999999999999996"/>
    <n v="5.4"/>
    <n v="106.45183652429932"/>
    <n v="120.79866842153496"/>
    <n v="41"/>
    <n v="42"/>
    <n v="1"/>
    <n v="0.9"/>
    <n v="0"/>
    <n v="4.2"/>
    <n v="3.5"/>
    <n v="6.9"/>
    <n v="6.6"/>
    <n v="33"/>
    <n v="82"/>
    <n v="9.5"/>
    <n v="9.5"/>
    <n v="4.3"/>
    <n v="4.4000000000000004"/>
    <n v="108"/>
    <n v="117"/>
    <n v="141"/>
    <n v="138"/>
    <n v="1.8"/>
    <n v="2.1"/>
    <n v="102"/>
    <n v="100"/>
    <n v="297.99133333333333"/>
    <n v="293.33900000000006"/>
    <n v="4.3899999999999997"/>
    <n v="4.24"/>
    <n v="13.4"/>
    <n v="12.6"/>
    <n v="38.4"/>
    <n v="38.200000000000003"/>
    <n v="87.4"/>
    <n v="89"/>
    <n v="30.4"/>
    <n v="29.3"/>
    <n v="34.799999999999997"/>
    <n v="32.9"/>
    <n v="433"/>
    <n v="390"/>
    <n v="14.5"/>
    <n v="14.3"/>
    <n v="1.1100000000000001"/>
    <n v="0.62"/>
    <n v="7.59"/>
    <n v="8.69"/>
    <n v="59.8"/>
    <n v="71.7"/>
    <n v="29.3"/>
    <n v="20.5"/>
    <n v="8.1"/>
    <n v="6.5"/>
    <n v="1.7"/>
    <n v="0.9"/>
    <n v="1.1000000000000001"/>
    <n v="0.4"/>
    <x v="0"/>
    <x v="0"/>
    <n v="75.540360000000007"/>
    <n v="81.2"/>
    <n v="174"/>
    <n v="49.27"/>
    <n v="64"/>
    <n v="64"/>
    <n v="6.97"/>
  </r>
  <r>
    <x v="1"/>
    <x v="8"/>
    <x v="37"/>
    <n v="32"/>
    <n v="68"/>
    <x v="0"/>
    <s v="-"/>
    <s v="-"/>
    <s v="-"/>
    <s v="-"/>
    <s v="-"/>
    <s v="-"/>
    <n v="272"/>
    <n v="596"/>
    <s v="-"/>
    <s v="-"/>
    <n v="1.6"/>
    <n v="2.1"/>
    <n v="242"/>
    <n v="358"/>
    <n v="76"/>
    <n v="94"/>
    <s v="-"/>
    <s v="-"/>
    <s v="-"/>
    <s v="-"/>
    <s v="-"/>
    <s v="-"/>
    <n v="6"/>
    <n v="5.2"/>
    <n v="85.533385678368745"/>
    <n v="125.17286966375688"/>
    <n v="36"/>
    <n v="50"/>
    <n v="1.2"/>
    <n v="0.8"/>
    <n v="0"/>
    <n v="4.3"/>
    <n v="4.4000000000000004"/>
    <n v="7.7"/>
    <n v="7.9"/>
    <n v="30"/>
    <n v="35"/>
    <n v="9.6"/>
    <n v="9.5"/>
    <n v="4.0999999999999996"/>
    <n v="3.8"/>
    <n v="88"/>
    <n v="86"/>
    <n v="141"/>
    <n v="142"/>
    <n v="1.8"/>
    <n v="2.1"/>
    <n v="106"/>
    <n v="101"/>
    <n v="295.50822222222223"/>
    <n v="299.01577777777783"/>
    <n v="5.1100000000000003"/>
    <n v="4.8600000000000003"/>
    <n v="15.2"/>
    <n v="14.1"/>
    <n v="44.5"/>
    <n v="43.2"/>
    <n v="87.1"/>
    <n v="88.3"/>
    <n v="29.8"/>
    <n v="28.8"/>
    <n v="34.200000000000003"/>
    <n v="32.6"/>
    <n v="270"/>
    <n v="305"/>
    <n v="14.6"/>
    <n v="13.2"/>
    <n v="0.68"/>
    <n v="0.6"/>
    <n v="6.85"/>
    <n v="12.25"/>
    <n v="55"/>
    <n v="69.8"/>
    <n v="31"/>
    <n v="22.2"/>
    <n v="12.2"/>
    <n v="7"/>
    <n v="0.9"/>
    <n v="0.9"/>
    <n v="0.9"/>
    <n v="0.1"/>
    <x v="0"/>
    <x v="0"/>
    <n v="64.545389999999998"/>
    <n v="74.55"/>
    <n v="176.6"/>
    <n v="49.15"/>
    <n v="58"/>
    <n v="56"/>
    <n v="13.42"/>
  </r>
  <r>
    <x v="1"/>
    <x v="8"/>
    <x v="38"/>
    <n v="28"/>
    <n v="77"/>
    <x v="0"/>
    <s v="RR"/>
    <s v="MT"/>
    <s v="ID"/>
    <s v="(-9 , -9)"/>
    <n v="50"/>
    <n v="50"/>
    <n v="279"/>
    <n v="1039"/>
    <s v="-"/>
    <s v="-"/>
    <n v="2.1"/>
    <n v="1.7"/>
    <n v="271"/>
    <n v="378"/>
    <n v="42"/>
    <n v="69"/>
    <s v="-"/>
    <s v="-"/>
    <s v="-"/>
    <s v="-"/>
    <s v="-"/>
    <s v="-"/>
    <n v="4.2"/>
    <n v="5"/>
    <n v="120.79866842153496"/>
    <n v="120.79866842153496"/>
    <n v="42"/>
    <n v="50"/>
    <n v="0.9"/>
    <n v="0.9"/>
    <n v="0"/>
    <n v="4.5"/>
    <n v="4.0999999999999996"/>
    <n v="4.7"/>
    <n v="7.1"/>
    <n v="50"/>
    <n v="65"/>
    <n v="9.1999999999999993"/>
    <n v="9.4"/>
    <n v="4.7"/>
    <n v="4.5"/>
    <n v="77"/>
    <n v="114"/>
    <n v="140"/>
    <n v="143"/>
    <n v="2"/>
    <n v="2.2999999999999998"/>
    <n v="104"/>
    <n v="105"/>
    <n v="295.06144444444442"/>
    <n v="303.9666666666667"/>
    <n v="4.43"/>
    <n v="4.43"/>
    <n v="13.2"/>
    <n v="13.1"/>
    <n v="39.299999999999997"/>
    <n v="40.299999999999997"/>
    <n v="88.6"/>
    <n v="90.4"/>
    <n v="29.9"/>
    <n v="29.3"/>
    <n v="33.700000000000003"/>
    <n v="32.5"/>
    <n v="347"/>
    <n v="297"/>
    <n v="14.4"/>
    <n v="13.8"/>
    <n v="0.48"/>
    <n v="0.37"/>
    <n v="4.6399999999999997"/>
    <n v="7.94"/>
    <n v="52.5"/>
    <n v="71.2"/>
    <n v="37.4"/>
    <n v="21"/>
    <n v="8.4"/>
    <n v="7.7"/>
    <n v="0.2"/>
    <n v="0.01"/>
    <n v="1.5"/>
    <n v="0"/>
    <x v="0"/>
    <x v="1"/>
    <n v="71.013225000000006"/>
    <n v="80.25"/>
    <n v="179"/>
    <n v="49.57"/>
    <n v="57"/>
    <n v="52"/>
    <n v="11.51"/>
  </r>
  <r>
    <x v="1"/>
    <x v="8"/>
    <x v="39"/>
    <n v="29"/>
    <n v="83"/>
    <x v="0"/>
    <s v="RX"/>
    <s v="TT"/>
    <s v="DD"/>
    <s v="(+9, +9)"/>
    <n v="87.5"/>
    <n v="12.5"/>
    <n v="356"/>
    <n v="435"/>
    <s v="-"/>
    <s v="-"/>
    <n v="1.4"/>
    <n v="1.5"/>
    <n v="261"/>
    <n v="342"/>
    <n v="44"/>
    <n v="44"/>
    <s v="-"/>
    <s v="-"/>
    <s v="-"/>
    <s v="-"/>
    <s v="-"/>
    <s v="-"/>
    <n v="3.6"/>
    <n v="3.9"/>
    <n v="125.17286966375688"/>
    <n v="130.32381263076621"/>
    <n v="26"/>
    <n v="34"/>
    <n v="0.8"/>
    <n v="0.7"/>
    <n v="0"/>
    <n v="3.7"/>
    <n v="3.8"/>
    <n v="4.5"/>
    <n v="7.4"/>
    <n v="78"/>
    <n v="45"/>
    <n v="10"/>
    <n v="9.1999999999999993"/>
    <n v="4.5"/>
    <n v="4.0999999999999996"/>
    <n v="93"/>
    <n v="85"/>
    <n v="141"/>
    <n v="143"/>
    <n v="2.2999999999999998"/>
    <n v="2.4"/>
    <n v="102"/>
    <n v="104"/>
    <n v="294.90499999999997"/>
    <n v="298.70322222222222"/>
    <n v="5.58"/>
    <n v="5.17"/>
    <n v="15"/>
    <n v="14"/>
    <n v="44.6"/>
    <n v="42.1"/>
    <n v="80"/>
    <n v="80.400000000000006"/>
    <n v="26.9"/>
    <n v="26.7"/>
    <n v="33.6"/>
    <n v="33.200000000000003"/>
    <n v="343"/>
    <n v="305"/>
    <n v="14"/>
    <n v="12.7"/>
    <n v="0.56000000000000005"/>
    <n v="0.41"/>
    <n v="5.12"/>
    <n v="6.4"/>
    <n v="56.9"/>
    <n v="67.2"/>
    <n v="29.9"/>
    <n v="22.3"/>
    <n v="8.6999999999999993"/>
    <n v="9.4"/>
    <n v="3.3"/>
    <n v="0.7"/>
    <n v="1.2"/>
    <n v="0.4"/>
    <x v="0"/>
    <x v="0"/>
    <n v="71.552219999999991"/>
    <n v="83.55"/>
    <n v="182.6"/>
    <n v="51.94"/>
    <n v="56"/>
    <n v="52"/>
    <n v="14.36"/>
  </r>
  <r>
    <x v="1"/>
    <x v="8"/>
    <x v="40"/>
    <n v="28"/>
    <n v="92"/>
    <x v="1"/>
    <s v="RX"/>
    <s v="TT"/>
    <s v="II"/>
    <s v="(+9, +9)"/>
    <n v="62.5"/>
    <n v="37.5"/>
    <n v="261"/>
    <n v="760"/>
    <s v="-"/>
    <s v="-"/>
    <n v="2.1"/>
    <n v="1.9"/>
    <n v="254"/>
    <n v="333"/>
    <n v="53"/>
    <n v="88"/>
    <s v="-"/>
    <s v="-"/>
    <s v="-"/>
    <s v="-"/>
    <s v="-"/>
    <s v="-"/>
    <n v="5.9"/>
    <n v="5.7"/>
    <n v="125.17286966375688"/>
    <n v="120.79866842153496"/>
    <n v="31"/>
    <n v="46"/>
    <n v="0.8"/>
    <n v="0.9"/>
    <n v="9.9999999999999978E-2"/>
    <n v="4.5"/>
    <n v="4"/>
    <n v="4.5"/>
    <n v="7.3"/>
    <n v="53"/>
    <n v="65"/>
    <n v="9.3000000000000007"/>
    <n v="9.6"/>
    <n v="4.5"/>
    <n v="3.7"/>
    <n v="95"/>
    <n v="73"/>
    <n v="141"/>
    <n v="142"/>
    <n v="1.9"/>
    <n v="2.1"/>
    <n v="105"/>
    <n v="104"/>
    <n v="295.86611111111114"/>
    <n v="297.33255555555559"/>
    <n v="4.58"/>
    <n v="4.76"/>
    <n v="14.3"/>
    <n v="14.8"/>
    <n v="42.2"/>
    <n v="45.4"/>
    <n v="92"/>
    <n v="94.9"/>
    <n v="31.3"/>
    <n v="30.9"/>
    <n v="34"/>
    <n v="32.5"/>
    <n v="284"/>
    <n v="289"/>
    <n v="13.8"/>
    <n v="12.8"/>
    <n v="0.63"/>
    <n v="0.67"/>
    <n v="2.74"/>
    <n v="4.09"/>
    <n v="20.6"/>
    <n v="41"/>
    <n v="57"/>
    <n v="45.8"/>
    <n v="11.1"/>
    <n v="8.3000000000000007"/>
    <n v="9.1"/>
    <n v="4"/>
    <n v="2.2000000000000002"/>
    <n v="0.9"/>
    <x v="0"/>
    <x v="0"/>
    <n v="79.259819999999991"/>
    <n v="92.55"/>
    <n v="183.2"/>
    <n v="45.83"/>
    <n v="58"/>
    <n v="62"/>
    <n v="14.36"/>
  </r>
  <r>
    <x v="1"/>
    <x v="8"/>
    <x v="41"/>
    <n v="26"/>
    <n v="82"/>
    <x v="0"/>
    <s v="XX"/>
    <s v="MT"/>
    <s v="ID"/>
    <s v="(+9, -9)"/>
    <n v="37.5"/>
    <n v="62.5"/>
    <n v="233"/>
    <n v="812"/>
    <s v="-"/>
    <s v="-"/>
    <n v="3.5"/>
    <n v="2.1"/>
    <n v="241"/>
    <n v="286"/>
    <n v="40"/>
    <n v="52"/>
    <s v="-"/>
    <s v="-"/>
    <s v="-"/>
    <s v="-"/>
    <s v="-"/>
    <s v="-"/>
    <n v="4.5"/>
    <n v="5.4"/>
    <n v="106.45183652429932"/>
    <n v="106.45183652429932"/>
    <n v="42"/>
    <n v="43"/>
    <n v="1"/>
    <n v="1"/>
    <n v="0"/>
    <n v="4.8"/>
    <n v="3.8"/>
    <n v="7.5"/>
    <n v="7.4"/>
    <n v="76"/>
    <n v="99"/>
    <n v="10.1"/>
    <n v="9.6999999999999993"/>
    <n v="5"/>
    <n v="4"/>
    <n v="90"/>
    <n v="97"/>
    <n v="144"/>
    <n v="141"/>
    <n v="2.2000000000000002"/>
    <n v="2.2000000000000002"/>
    <n v="104"/>
    <n v="105"/>
    <n v="303.89"/>
    <n v="297.06388888888887"/>
    <n v="5.05"/>
    <n v="5.0199999999999996"/>
    <n v="15.8"/>
    <n v="15.7"/>
    <n v="46.5"/>
    <n v="47.9"/>
    <n v="92.2"/>
    <n v="94.5"/>
    <n v="31.3"/>
    <n v="30.9"/>
    <n v="34"/>
    <n v="32.799999999999997"/>
    <n v="342"/>
    <n v="308"/>
    <n v="14"/>
    <n v="12.9"/>
    <n v="0.39"/>
    <n v="0.3"/>
    <n v="7.67"/>
    <n v="10.57"/>
    <n v="51"/>
    <n v="63.1"/>
    <n v="36.200000000000003"/>
    <n v="24.9"/>
    <n v="9.5"/>
    <n v="8.4"/>
    <n v="2.1"/>
    <n v="2.6"/>
    <n v="1.2"/>
    <n v="1"/>
    <x v="0"/>
    <x v="0"/>
    <n v="72.216679999999997"/>
    <n v="87.05"/>
    <n v="173.3"/>
    <n v="46.36"/>
    <n v="50"/>
    <n v="46"/>
    <n v="17.04"/>
  </r>
  <r>
    <x v="1"/>
    <x v="8"/>
    <x v="42"/>
    <n v="25"/>
    <n v="68.7"/>
    <x v="0"/>
    <s v="RR"/>
    <s v="TT"/>
    <s v="ID"/>
    <s v="(+9, -9)"/>
    <n v="75"/>
    <n v="25"/>
    <n v="322"/>
    <n v="1486"/>
    <s v="-"/>
    <s v="-"/>
    <n v="1.8"/>
    <n v="2.2999999999999998"/>
    <n v="222"/>
    <n v="377"/>
    <n v="44"/>
    <n v="140"/>
    <s v="-"/>
    <s v="-"/>
    <s v="-"/>
    <s v="-"/>
    <s v="-"/>
    <s v="-"/>
    <n v="4.7"/>
    <n v="6.3"/>
    <n v="94.947150652744313"/>
    <n v="85.533385678368745"/>
    <n v="36"/>
    <n v="56"/>
    <n v="1.1000000000000001"/>
    <n v="1.2"/>
    <n v="9.9999999999999867E-2"/>
    <n v="4.4000000000000004"/>
    <n v="3.9"/>
    <n v="6.5"/>
    <n v="7.2"/>
    <n v="62"/>
    <n v="103"/>
    <n v="9.3000000000000007"/>
    <n v="10.199999999999999"/>
    <n v="4.3"/>
    <n v="4.7"/>
    <n v="85"/>
    <n v="121"/>
    <s v="-"/>
    <n v="157"/>
    <n v="2"/>
    <n v="2.2999999999999998"/>
    <s v="-"/>
    <n v="120"/>
    <s v="Dados Insuficientes"/>
    <n v="331.82588888888887"/>
    <n v="4.63"/>
    <n v="4.62"/>
    <n v="14.2"/>
    <n v="14.1"/>
    <n v="41.3"/>
    <n v="43.2"/>
    <n v="89.2"/>
    <n v="92.5"/>
    <n v="30.7"/>
    <n v="30.2"/>
    <n v="34.5"/>
    <n v="32.6"/>
    <n v="252"/>
    <n v="238"/>
    <n v="14.2"/>
    <n v="13.4"/>
    <n v="0.81"/>
    <n v="1.24"/>
    <n v="5.16"/>
    <n v="9.6999999999999993"/>
    <n v="52"/>
    <n v="78.900000000000006"/>
    <n v="32"/>
    <n v="14.6"/>
    <n v="10.7"/>
    <n v="5.5"/>
    <n v="4.0999999999999996"/>
    <n v="0.8"/>
    <n v="1.2"/>
    <n v="0.2"/>
    <x v="0"/>
    <x v="1"/>
    <n v="66.786999999999992"/>
    <n v="71.05"/>
    <n v="172.4"/>
    <n v="56.66"/>
    <n v="58"/>
    <n v="44"/>
    <n v="6"/>
  </r>
  <r>
    <x v="1"/>
    <x v="8"/>
    <x v="43"/>
    <n v="25"/>
    <n v="82"/>
    <x v="0"/>
    <s v="RR"/>
    <s v="MT"/>
    <s v="ID"/>
    <s v="(+9, +9)"/>
    <n v="75"/>
    <n v="25"/>
    <n v="427"/>
    <s v="-"/>
    <s v="-"/>
    <s v="-"/>
    <n v="2"/>
    <n v="1.8"/>
    <n v="279"/>
    <n v="814"/>
    <n v="63"/>
    <n v="432"/>
    <s v="-"/>
    <s v="-"/>
    <s v="-"/>
    <s v="-"/>
    <s v="-"/>
    <s v="-"/>
    <n v="3.7"/>
    <n v="5.0999999999999996"/>
    <n v="106.45183652429932"/>
    <n v="94.947150652744313"/>
    <n v="53"/>
    <n v="66"/>
    <n v="1"/>
    <n v="1.1000000000000001"/>
    <n v="0.10000000000000009"/>
    <n v="3.7"/>
    <n v="3.8"/>
    <n v="4.0999999999999996"/>
    <n v="6.5"/>
    <n v="50"/>
    <n v="46"/>
    <n v="9.1999999999999993"/>
    <n v="9.5"/>
    <n v="4.0999999999999996"/>
    <n v="4.4000000000000004"/>
    <n v="91"/>
    <n v="76"/>
    <n v="143"/>
    <n v="142"/>
    <n v="1.9"/>
    <n v="2.4"/>
    <n v="107"/>
    <n v="104"/>
    <n v="302.25322222222218"/>
    <n v="302.15955555555558"/>
    <n v="5.0199999999999996"/>
    <n v="4.91"/>
    <n v="13.8"/>
    <n v="13.5"/>
    <n v="42.2"/>
    <n v="41.6"/>
    <n v="84.1"/>
    <n v="84.5"/>
    <n v="27.5"/>
    <n v="27.3"/>
    <n v="32.700000000000003"/>
    <n v="32.4"/>
    <n v="303"/>
    <n v="350"/>
    <n v="14.3"/>
    <n v="13.5"/>
    <n v="0.44"/>
    <n v="0.83"/>
    <n v="4.25"/>
    <n v="9.4"/>
    <n v="59.6"/>
    <n v="75.2"/>
    <n v="27.5"/>
    <n v="18"/>
    <n v="8.6999999999999993"/>
    <n v="6.4"/>
    <n v="3"/>
    <n v="0.4"/>
    <n v="1.2"/>
    <n v="0"/>
    <x v="0"/>
    <x v="1"/>
    <n v="72.202060000000003"/>
    <n v="78.2"/>
    <n v="182.1"/>
    <n v="51.94"/>
    <n v="62"/>
    <n v="65"/>
    <n v="7.67"/>
  </r>
  <r>
    <x v="1"/>
    <x v="1"/>
    <x v="21"/>
    <n v="27"/>
    <n v="71"/>
    <x v="2"/>
    <s v="RX"/>
    <s v="MT"/>
    <s v="ID"/>
    <s v="(+9, +9)"/>
    <n v="62.5"/>
    <n v="37.5"/>
    <n v="534"/>
    <n v="4743"/>
    <s v="-"/>
    <s v="-"/>
    <n v="3.1"/>
    <n v="2"/>
    <n v="324"/>
    <n v="480"/>
    <n v="63"/>
    <n v="175"/>
    <s v="-"/>
    <s v="-"/>
    <s v="-"/>
    <s v="-"/>
    <s v="-"/>
    <s v="-"/>
    <n v="3.2"/>
    <n v="4.5999999999999996"/>
    <n v="125.17286966375688"/>
    <n v="94.947150652744313"/>
    <n v="51"/>
    <n v="70"/>
    <n v="0.8"/>
    <n v="1.1000000000000001"/>
    <n v="0.30000000000000004"/>
    <n v="4.0999999999999996"/>
    <n v="5.8"/>
    <n v="7.2"/>
    <n v="6.4"/>
    <n v="77"/>
    <n v="13"/>
    <n v="11.3"/>
    <n v="10.7"/>
    <n v="4.5"/>
    <n v="4.0999999999999996"/>
    <n v="98"/>
    <n v="109"/>
    <n v="143"/>
    <n v="138"/>
    <n v="2"/>
    <n v="2"/>
    <n v="105"/>
    <n v="97"/>
    <n v="303.11111111111114"/>
    <n v="296.93655555555557"/>
    <s v="-"/>
    <s v="-"/>
    <n v="14.5"/>
    <n v="14.2"/>
    <n v="45"/>
    <n v="44.1"/>
    <n v="79.3"/>
    <n v="80.400000000000006"/>
    <n v="25.6"/>
    <n v="25.9"/>
    <n v="32.299999999999997"/>
    <n v="32.200000000000003"/>
    <n v="363"/>
    <n v="399"/>
    <n v="13.9"/>
    <n v="14"/>
    <n v="0.79"/>
    <n v="0.76"/>
    <n v="7.77"/>
    <n v="15.94"/>
    <n v="61.8"/>
    <n v="11.59"/>
    <n v="61.8"/>
    <n v="11.59"/>
    <n v="10.8"/>
    <n v="1.73"/>
    <n v="1.5"/>
    <n v="0.05"/>
    <n v="1.3"/>
    <n v="0.06"/>
    <x v="1"/>
    <x v="1"/>
    <n v="69.121659999999991"/>
    <n v="77.3"/>
    <n v="170.3"/>
    <n v="49.62"/>
    <n v="50"/>
    <n v="52"/>
    <n v="10.58"/>
  </r>
  <r>
    <x v="1"/>
    <x v="1"/>
    <x v="22"/>
    <n v="24"/>
    <n v="77"/>
    <x v="2"/>
    <s v="RX"/>
    <s v="MM"/>
    <s v="II"/>
    <s v="(-9 , -9)"/>
    <n v="12.5"/>
    <n v="87.5"/>
    <n v="446"/>
    <n v="885"/>
    <s v="-"/>
    <s v="-"/>
    <n v="3.4"/>
    <n v="2"/>
    <n v="226"/>
    <n v="267"/>
    <n v="44"/>
    <n v="70"/>
    <s v="-"/>
    <s v="-"/>
    <s v="-"/>
    <s v="-"/>
    <s v="-"/>
    <s v="-"/>
    <n v="4.5"/>
    <n v="5.3"/>
    <n v="120.79866842153496"/>
    <n v="94.947150652744313"/>
    <n v="58"/>
    <n v="58"/>
    <n v="0.9"/>
    <n v="1.1000000000000001"/>
    <n v="0.20000000000000007"/>
    <n v="3.9"/>
    <n v="4.5999999999999996"/>
    <n v="6.9"/>
    <n v="6.5"/>
    <n v="138"/>
    <n v="19"/>
    <n v="12"/>
    <n v="9.3000000000000007"/>
    <n v="4.5"/>
    <n v="3.9"/>
    <n v="118"/>
    <n v="97"/>
    <n v="142"/>
    <n v="139"/>
    <n v="2.7"/>
    <n v="1.8"/>
    <n v="118"/>
    <n v="98"/>
    <n v="303.69555555555559"/>
    <n v="295.65788888888892"/>
    <s v="-"/>
    <s v="-"/>
    <n v="14.2"/>
    <n v="13.1"/>
    <n v="44.3"/>
    <n v="39"/>
    <n v="96.5"/>
    <n v="95.8"/>
    <n v="30.9"/>
    <n v="32.200000000000003"/>
    <n v="32"/>
    <n v="33.700000000000003"/>
    <n v="285"/>
    <n v="248"/>
    <n v="13.4"/>
    <n v="14.3"/>
    <n v="1.21"/>
    <n v="0.94"/>
    <n v="7.26"/>
    <n v="7.35"/>
    <n v="64"/>
    <n v="5.78"/>
    <n v="64"/>
    <n v="5.78"/>
    <n v="8.6"/>
    <n v="0.66"/>
    <n v="1.4"/>
    <n v="0.01"/>
    <n v="0.7"/>
    <n v="0.03"/>
    <x v="0"/>
    <x v="0"/>
    <n v="70.724639999999994"/>
    <n v="77.599999999999994"/>
    <n v="178"/>
    <n v="53.68"/>
    <n v="51"/>
    <n v="51"/>
    <n v="8.86"/>
  </r>
  <r>
    <x v="1"/>
    <x v="1"/>
    <x v="23"/>
    <n v="24"/>
    <n v="70"/>
    <x v="2"/>
    <s v="XX"/>
    <s v="TT"/>
    <s v="II"/>
    <s v="(-9 , -9)"/>
    <n v="25"/>
    <n v="75"/>
    <n v="1253"/>
    <n v="1253"/>
    <s v="-"/>
    <s v="-"/>
    <n v="3.3"/>
    <n v="3.9"/>
    <n v="262"/>
    <n v="371"/>
    <n v="61"/>
    <n v="84"/>
    <s v="-"/>
    <s v="-"/>
    <s v="-"/>
    <s v="-"/>
    <s v="-"/>
    <s v="-"/>
    <n v="3.3"/>
    <n v="5.4"/>
    <n v="77.700020894732489"/>
    <n v="77.700020894732489"/>
    <n v="60"/>
    <n v="60"/>
    <n v="1.3"/>
    <n v="1.3"/>
    <n v="0"/>
    <n v="6.3"/>
    <n v="6.3"/>
    <n v="8.1"/>
    <n v="7.7"/>
    <n v="59"/>
    <n v="21"/>
    <n v="12.8"/>
    <n v="12.6"/>
    <n v="4.5999999999999996"/>
    <n v="4.5999999999999996"/>
    <n v="82"/>
    <n v="82"/>
    <n v="141"/>
    <n v="141"/>
    <n v="2.6"/>
    <n v="2.6"/>
    <n v="111"/>
    <n v="113"/>
    <n v="300.05488888888891"/>
    <n v="300.05488888888891"/>
    <s v="-"/>
    <s v="-"/>
    <n v="14.7"/>
    <n v="14.1"/>
    <n v="44.4"/>
    <n v="43.3"/>
    <n v="81.5"/>
    <n v="83.5"/>
    <n v="27.1"/>
    <n v="27.2"/>
    <n v="33.200000000000003"/>
    <n v="32.6"/>
    <n v="424"/>
    <n v="483"/>
    <n v="13"/>
    <n v="13.9"/>
    <n v="1.24"/>
    <n v="1.1299999999999999"/>
    <n v="11.27"/>
    <n v="16.54"/>
    <n v="67.2"/>
    <n v="12.83"/>
    <n v="67.2"/>
    <n v="12.83"/>
    <n v="8.4"/>
    <n v="1.21"/>
    <n v="2.2000000000000002"/>
    <n v="0.09"/>
    <n v="0.6"/>
    <n v="7.0000000000000007E-2"/>
    <x v="0"/>
    <x v="1"/>
    <n v="66.241470000000007"/>
    <n v="71.900000000000006"/>
    <n v="173.5"/>
    <n v="55.35"/>
    <n v="54"/>
    <n v="56"/>
    <n v="7.87"/>
  </r>
  <r>
    <x v="1"/>
    <x v="1"/>
    <x v="24"/>
    <n v="24"/>
    <n v="0"/>
    <x v="2"/>
    <s v="RX"/>
    <s v="TT"/>
    <s v="DD"/>
    <s v="(+9, -9)"/>
    <n v="75"/>
    <n v="25"/>
    <n v="383"/>
    <n v="3195"/>
    <s v="-"/>
    <s v="-"/>
    <n v="2.7"/>
    <n v="3.2"/>
    <n v="315"/>
    <n v="345"/>
    <n v="100"/>
    <n v="167"/>
    <s v="-"/>
    <s v="-"/>
    <s v="-"/>
    <s v="-"/>
    <s v="-"/>
    <s v="-"/>
    <n v="5.7"/>
    <n v="5.4"/>
    <n v="106.45183652429932"/>
    <n v="120.79866842153496"/>
    <n v="48"/>
    <n v="61"/>
    <n v="1"/>
    <n v="0.9"/>
    <n v="0"/>
    <n v="4.3"/>
    <n v="5.0999999999999996"/>
    <n v="8"/>
    <n v="7.3"/>
    <n v="108"/>
    <n v="50"/>
    <n v="13.9"/>
    <n v="13.6"/>
    <n v="4.5999999999999996"/>
    <n v="4.5"/>
    <n v="107"/>
    <n v="98"/>
    <n v="139"/>
    <n v="138"/>
    <n v="2.2999999999999998"/>
    <n v="2.4"/>
    <n v="127"/>
    <n v="127"/>
    <n v="295.93211111111111"/>
    <n v="295.47777777777782"/>
    <s v="-"/>
    <s v="-"/>
    <n v="13.2"/>
    <n v="12"/>
    <n v="40.6"/>
    <n v="35.9"/>
    <n v="88.2"/>
    <n v="88.6"/>
    <n v="28.8"/>
    <n v="29.5"/>
    <n v="32.6"/>
    <n v="33.299999999999997"/>
    <n v="344"/>
    <n v="343"/>
    <n v="12.9"/>
    <n v="14"/>
    <n v="0.46"/>
    <n v="0.7"/>
    <n v="9.27"/>
    <n v="15.25"/>
    <n v="63.7"/>
    <n v="11.29"/>
    <n v="63.7"/>
    <n v="11.29"/>
    <n v="14.8"/>
    <n v="1.06"/>
    <n v="0.8"/>
    <n v="0.04"/>
    <n v="0.5"/>
    <n v="7.0000000000000007E-2"/>
    <x v="0"/>
    <x v="1"/>
    <n v="77.330865000000003"/>
    <n v="84.45"/>
    <n v="187"/>
    <n v="0"/>
    <n v="48"/>
    <n v="52"/>
    <n v="8.43"/>
  </r>
  <r>
    <x v="1"/>
    <x v="1"/>
    <x v="25"/>
    <n v="27"/>
    <n v="0"/>
    <x v="2"/>
    <s v="RR"/>
    <s v="TT"/>
    <s v="ID"/>
    <s v="(-9 , -9)"/>
    <n v="62.5"/>
    <n v="37.5"/>
    <n v="586"/>
    <n v="4013"/>
    <s v="-"/>
    <s v="-"/>
    <n v="4.5"/>
    <n v="2.5"/>
    <n v="330"/>
    <n v="552"/>
    <n v="92"/>
    <n v="204"/>
    <s v="-"/>
    <s v="-"/>
    <s v="-"/>
    <s v="-"/>
    <s v="-"/>
    <s v="-"/>
    <n v="4.2"/>
    <n v="6.5"/>
    <n v="130.32381263076621"/>
    <n v="120.79866842153496"/>
    <n v="47"/>
    <n v="59"/>
    <n v="0.7"/>
    <n v="0.9"/>
    <n v="0.20000000000000007"/>
    <n v="4.9000000000000004"/>
    <n v="5.9"/>
    <n v="7.2"/>
    <n v="7.7"/>
    <n v="61"/>
    <n v="10"/>
    <n v="13.8"/>
    <n v="9.5"/>
    <n v="5.0999999999999996"/>
    <n v="4.5"/>
    <n v="86"/>
    <n v="69"/>
    <n v="143"/>
    <n v="137"/>
    <n v="2.6"/>
    <n v="1.9"/>
    <n v="125"/>
    <n v="84"/>
    <n v="302.79377777777779"/>
    <n v="291.43166666666667"/>
    <s v="-"/>
    <s v="-"/>
    <n v="13.8"/>
    <n v="13.8"/>
    <n v="41.8"/>
    <n v="42.5"/>
    <n v="88.3"/>
    <n v="90.2"/>
    <n v="29.3"/>
    <n v="29.3"/>
    <n v="33.1"/>
    <n v="32.5"/>
    <n v="419"/>
    <n v="411"/>
    <n v="12.7"/>
    <n v="14.2"/>
    <n v="0.95"/>
    <n v="1.18"/>
    <n v="10.35"/>
    <n v="12.44"/>
    <n v="70.2"/>
    <n v="9.0299999999999994"/>
    <n v="70.2"/>
    <n v="9.0299999999999994"/>
    <n v="7.1"/>
    <n v="1.19"/>
    <n v="1.9"/>
    <n v="0.03"/>
    <n v="0.3"/>
    <n v="0.08"/>
    <x v="0"/>
    <x v="1"/>
    <n v="65.118300000000005"/>
    <n v="76.7"/>
    <n v="171.5"/>
    <n v="47.49"/>
    <n v="54"/>
    <n v="48"/>
    <n v="15.1"/>
  </r>
  <r>
    <x v="1"/>
    <x v="1"/>
    <x v="26"/>
    <n v="25"/>
    <n v="0"/>
    <x v="2"/>
    <s v="RR"/>
    <s v="MT"/>
    <s v="ID"/>
    <s v="(-9 , -9)"/>
    <n v="50"/>
    <n v="50"/>
    <n v="914"/>
    <n v="6198"/>
    <s v="-"/>
    <s v="-"/>
    <n v="2.2999999999999998"/>
    <n v="1.8"/>
    <n v="308"/>
    <n v="480"/>
    <n v="109"/>
    <n v="217"/>
    <s v="-"/>
    <s v="-"/>
    <s v="-"/>
    <s v="-"/>
    <s v="-"/>
    <s v="-"/>
    <n v="4.2"/>
    <n v="5.5"/>
    <n v="120.79866842153496"/>
    <n v="85.533385678368745"/>
    <n v="56"/>
    <n v="65"/>
    <n v="0.9"/>
    <n v="1.2"/>
    <n v="0.29999999999999993"/>
    <n v="4.0999999999999996"/>
    <n v="4.5"/>
    <n v="6.7"/>
    <n v="6.7"/>
    <n v="43"/>
    <n v="10"/>
    <n v="10.3"/>
    <n v="9.6"/>
    <n v="4.8"/>
    <n v="4.5"/>
    <n v="100"/>
    <n v="96"/>
    <n v="139"/>
    <n v="140"/>
    <n v="2.1"/>
    <n v="2.1"/>
    <n v="105"/>
    <n v="93"/>
    <n v="297.19022222222225"/>
    <n v="299.73666666666668"/>
    <s v="-"/>
    <s v="-"/>
    <n v="12.8"/>
    <n v="12.7"/>
    <n v="39.200000000000003"/>
    <n v="37.9"/>
    <n v="82.7"/>
    <n v="84.1"/>
    <n v="27"/>
    <n v="28.1"/>
    <n v="32.6"/>
    <n v="33.5"/>
    <n v="384"/>
    <n v="377"/>
    <n v="12.4"/>
    <n v="13.9"/>
    <n v="1.42"/>
    <n v="1.64"/>
    <n v="6.57"/>
    <n v="9.4700000000000006"/>
    <n v="55"/>
    <n v="6.97"/>
    <n v="55"/>
    <n v="6.97"/>
    <n v="10"/>
    <n v="1.24"/>
    <n v="3.4"/>
    <n v="0.06"/>
    <n v="0.7"/>
    <n v="0.02"/>
    <x v="1"/>
    <x v="1"/>
    <n v="81.751800000000003"/>
    <n v="94"/>
    <n v="176.5"/>
    <n v="46.18"/>
    <n v="54"/>
    <n v="60"/>
    <n v="13.03"/>
  </r>
  <r>
    <x v="1"/>
    <x v="1"/>
    <x v="27"/>
    <n v="33"/>
    <n v="0"/>
    <x v="2"/>
    <s v="RR"/>
    <s v="MT"/>
    <s v="II"/>
    <s v="(+9, -9)"/>
    <n v="50"/>
    <n v="50"/>
    <n v="710"/>
    <n v="4260"/>
    <s v="-"/>
    <s v="-"/>
    <n v="2.2000000000000002"/>
    <n v="4.3"/>
    <n v="314"/>
    <n v="482"/>
    <n v="61"/>
    <n v="153"/>
    <s v="-"/>
    <s v="-"/>
    <s v="-"/>
    <s v="-"/>
    <s v="-"/>
    <s v="-"/>
    <n v="5.5"/>
    <n v="7.9"/>
    <n v="106.45183652429932"/>
    <n v="65.440053767210657"/>
    <n v="51"/>
    <n v="77"/>
    <n v="1"/>
    <n v="1.5"/>
    <n v="0.5"/>
    <n v="3.8"/>
    <n v="5.2"/>
    <n v="7.3"/>
    <n v="7.1"/>
    <n v="56"/>
    <n v="28"/>
    <n v="11.2"/>
    <n v="11.4"/>
    <n v="4.5999999999999996"/>
    <n v="4.8"/>
    <n v="118"/>
    <n v="81"/>
    <n v="139"/>
    <n v="141"/>
    <n v="2"/>
    <n v="2"/>
    <n v="103"/>
    <n v="103"/>
    <n v="297.1348888888889"/>
    <n v="303.19633333333337"/>
    <s v="-"/>
    <s v="-"/>
    <n v="13.5"/>
    <n v="12.7"/>
    <n v="41.5"/>
    <n v="39.200000000000003"/>
    <n v="81.099999999999994"/>
    <n v="82.3"/>
    <n v="26.3"/>
    <n v="26.7"/>
    <n v="32.4"/>
    <n v="32.4"/>
    <n v="393"/>
    <n v="378"/>
    <n v="13.5"/>
    <n v="13.8"/>
    <n v="0.84"/>
    <n v="0.71"/>
    <n v="6.8"/>
    <n v="9.52"/>
    <n v="55.5"/>
    <n v="7.64"/>
    <n v="55.5"/>
    <n v="7.64"/>
    <n v="12.6"/>
    <n v="0.67"/>
    <n v="7.9"/>
    <n v="0.02"/>
    <n v="1"/>
    <n v="0.05"/>
    <x v="1"/>
    <x v="1"/>
    <n v="77.466380000000001"/>
    <n v="97.1"/>
    <n v="181"/>
    <n v="44.53"/>
    <n v="66"/>
    <n v="65"/>
    <n v="20.22"/>
  </r>
  <r>
    <x v="1"/>
    <x v="1"/>
    <x v="28"/>
    <n v="35"/>
    <n v="75"/>
    <x v="2"/>
    <s v="RX"/>
    <s v="MT"/>
    <s v="ID"/>
    <s v="(-9 , -9)"/>
    <n v="37.5"/>
    <n v="62.5"/>
    <n v="6153"/>
    <n v="9377"/>
    <s v="-"/>
    <s v="-"/>
    <n v="2.8"/>
    <n v="2.9"/>
    <n v="974"/>
    <n v="1199"/>
    <n v="424"/>
    <n v="419"/>
    <s v="-"/>
    <s v="-"/>
    <s v="-"/>
    <s v="-"/>
    <s v="-"/>
    <s v="-"/>
    <n v="5.7"/>
    <n v="6.5"/>
    <n v="106.45183652429932"/>
    <n v="77.700020894732489"/>
    <n v="54"/>
    <n v="65"/>
    <n v="1"/>
    <n v="1.3"/>
    <n v="0.30000000000000004"/>
    <n v="4.3"/>
    <n v="5.6"/>
    <n v="8.1999999999999993"/>
    <n v="7.9"/>
    <n v="129"/>
    <n v="18"/>
    <n v="12.3"/>
    <n v="11.4"/>
    <n v="4.5"/>
    <n v="4.5"/>
    <n v="80"/>
    <n v="108"/>
    <n v="137"/>
    <n v="137"/>
    <n v="2.2999999999999998"/>
    <n v="2.4"/>
    <n v="110"/>
    <n v="94"/>
    <n v="291.30111111111108"/>
    <n v="294.92333333333329"/>
    <s v="-"/>
    <s v="-"/>
    <n v="16"/>
    <n v="14.8"/>
    <n v="49.1"/>
    <n v="45.4"/>
    <n v="97.3"/>
    <n v="96.3"/>
    <n v="31.7"/>
    <n v="31.4"/>
    <n v="32.5"/>
    <n v="32.6"/>
    <n v="322"/>
    <n v="333"/>
    <n v="12.7"/>
    <n v="14.5"/>
    <n v="1.43"/>
    <n v="1.62"/>
    <n v="6.09"/>
    <n v="11.32"/>
    <n v="72.099999999999994"/>
    <n v="6.64"/>
    <n v="72.099999999999994"/>
    <n v="6.64"/>
    <n v="6.7"/>
    <n v="1.05"/>
    <n v="0.5"/>
    <n v="0.04"/>
    <n v="0.8"/>
    <n v="0.04"/>
    <x v="1"/>
    <x v="1"/>
    <n v="73.247245000000007"/>
    <n v="77.650000000000006"/>
    <n v="184.2"/>
    <n v="54.09"/>
    <n v="56"/>
    <n v="52"/>
    <n v="5.67"/>
  </r>
  <r>
    <x v="1"/>
    <x v="1"/>
    <x v="29"/>
    <n v="34"/>
    <n v="65"/>
    <x v="2"/>
    <s v="-"/>
    <s v="-"/>
    <s v="-"/>
    <s v="-"/>
    <s v="-"/>
    <s v="-"/>
    <n v="672"/>
    <n v="7844"/>
    <s v="-"/>
    <s v="-"/>
    <n v="2"/>
    <n v="3.6"/>
    <n v="271"/>
    <n v="642"/>
    <n v="46"/>
    <n v="332"/>
    <s v="-"/>
    <s v="-"/>
    <s v="-"/>
    <s v="-"/>
    <s v="-"/>
    <s v="-"/>
    <n v="5"/>
    <n v="7.5"/>
    <n v="120.79866842153496"/>
    <n v="56.313750545959742"/>
    <n v="53"/>
    <n v="96"/>
    <n v="0.9"/>
    <n v="1.7"/>
    <n v="0.79999999999999993"/>
    <n v="3.6"/>
    <n v="4.5"/>
    <n v="7.8"/>
    <n v="8"/>
    <n v="76"/>
    <n v="10"/>
    <n v="10.8"/>
    <n v="12.8"/>
    <n v="3.9"/>
    <n v="5.2"/>
    <n v="85"/>
    <n v="91"/>
    <n v="141"/>
    <n v="136"/>
    <n v="2"/>
    <n v="1.8"/>
    <n v="107"/>
    <n v="115"/>
    <n v="297.77788888888887"/>
    <n v="298.44588888888887"/>
    <s v="-"/>
    <s v="-"/>
    <n v="13.5"/>
    <n v="14.2"/>
    <n v="41.3"/>
    <n v="42.2"/>
    <n v="87.4"/>
    <n v="88"/>
    <n v="28.6"/>
    <n v="29.5"/>
    <n v="32.799999999999997"/>
    <n v="33.6"/>
    <n v="287"/>
    <n v="299"/>
    <n v="12.9"/>
    <n v="14"/>
    <n v="0.79"/>
    <n v="0.67"/>
    <n v="6.72"/>
    <n v="11.18"/>
    <n v="63.6"/>
    <n v="8.84"/>
    <n v="63.6"/>
    <n v="8.84"/>
    <n v="13.7"/>
    <n v="0.98"/>
    <n v="2.6"/>
    <n v="0.03"/>
    <n v="0.7"/>
    <n v="0.03"/>
    <x v="1"/>
    <x v="1"/>
    <n v="60.020625000000003"/>
    <n v="67.25"/>
    <n v="168.5"/>
    <n v="53.38"/>
    <n v="54"/>
    <n v="54"/>
    <n v="10.75"/>
  </r>
  <r>
    <x v="1"/>
    <x v="1"/>
    <x v="31"/>
    <n v="32"/>
    <n v="80"/>
    <x v="2"/>
    <s v="-"/>
    <s v="-"/>
    <s v="-"/>
    <s v="-"/>
    <s v="-"/>
    <s v="-"/>
    <n v="308"/>
    <n v="2459"/>
    <s v="-"/>
    <s v="-"/>
    <n v="2"/>
    <n v="2.2999999999999998"/>
    <n v="349"/>
    <n v="386"/>
    <n v="68"/>
    <n v="115"/>
    <s v="-"/>
    <s v="-"/>
    <s v="-"/>
    <s v="-"/>
    <s v="-"/>
    <s v="-"/>
    <n v="3.8"/>
    <n v="6.7"/>
    <n v="120.79866842153496"/>
    <n v="85.533385678368745"/>
    <n v="59"/>
    <n v="76"/>
    <n v="0.9"/>
    <n v="1.2"/>
    <n v="0.29999999999999993"/>
    <n v="4.4000000000000004"/>
    <n v="5.6"/>
    <n v="7.4"/>
    <n v="7.9"/>
    <n v="36"/>
    <n v="11"/>
    <n v="8.9"/>
    <n v="11.1"/>
    <n v="5"/>
    <n v="5.0999999999999996"/>
    <n v="109"/>
    <n v="83"/>
    <n v="140"/>
    <n v="142"/>
    <n v="1.9"/>
    <n v="2.1"/>
    <n v="84"/>
    <n v="99"/>
    <n v="300.49722222222221"/>
    <n v="305.57544444444449"/>
    <s v="-"/>
    <s v="-"/>
    <n v="13.6"/>
    <n v="13.7"/>
    <n v="41.4"/>
    <n v="41.1"/>
    <n v="81.2"/>
    <n v="82.4"/>
    <n v="26.7"/>
    <n v="27.3"/>
    <n v="32.799999999999997"/>
    <n v="33.200000000000003"/>
    <n v="448"/>
    <n v="425"/>
    <n v="12.7"/>
    <n v="13.9"/>
    <n v="1.08"/>
    <n v="0.7"/>
    <n v="8.1999999999999993"/>
    <n v="9.35"/>
    <n v="67.599999999999994"/>
    <n v="6.89"/>
    <n v="67.599999999999994"/>
    <n v="6.89"/>
    <n v="9.3000000000000007"/>
    <n v="0.79"/>
    <n v="1.2"/>
    <n v="0.03"/>
    <n v="0.4"/>
    <n v="0.06"/>
    <x v="1"/>
    <x v="1"/>
    <n v="70.071784999999991"/>
    <n v="81.849999999999994"/>
    <n v="181"/>
    <n v="52.98"/>
    <n v="60"/>
    <n v="60"/>
    <n v="14.39"/>
  </r>
  <r>
    <x v="1"/>
    <x v="1"/>
    <x v="32"/>
    <n v="35"/>
    <n v="75"/>
    <x v="2"/>
    <s v="RX"/>
    <s v="MM"/>
    <s v="ID"/>
    <s v="(+9, +9)"/>
    <n v="50"/>
    <n v="50"/>
    <n v="289"/>
    <n v="1402"/>
    <s v="-"/>
    <s v="-"/>
    <n v="2.2000000000000002"/>
    <n v="2.1"/>
    <n v="280"/>
    <n v="407"/>
    <n v="88"/>
    <n v="122"/>
    <s v="-"/>
    <s v="-"/>
    <s v="-"/>
    <s v="-"/>
    <s v="-"/>
    <s v="-"/>
    <n v="4.7"/>
    <n v="4.5999999999999996"/>
    <n v="94.947150652744313"/>
    <n v="85.533385678368745"/>
    <n v="61"/>
    <n v="63"/>
    <n v="1.1000000000000001"/>
    <n v="1.2"/>
    <n v="9.9999999999999867E-2"/>
    <n v="5"/>
    <n v="4.9000000000000004"/>
    <n v="6.9"/>
    <n v="7.1"/>
    <n v="95"/>
    <n v="79"/>
    <n v="13.5"/>
    <n v="9"/>
    <n v="4.5999999999999996"/>
    <n v="4.7"/>
    <n v="92"/>
    <n v="104"/>
    <n v="142"/>
    <n v="143"/>
    <n v="2.4"/>
    <n v="1.8"/>
    <n v="126"/>
    <n v="88"/>
    <n v="302.72044444444447"/>
    <n v="305.86644444444443"/>
    <s v="-"/>
    <s v="-"/>
    <n v="15.5"/>
    <n v="15.4"/>
    <n v="47.5"/>
    <n v="46.7"/>
    <n v="91.9"/>
    <n v="91.6"/>
    <n v="29.9"/>
    <n v="30.1"/>
    <n v="32.6"/>
    <n v="32.9"/>
    <n v="235"/>
    <n v="217"/>
    <n v="14.7"/>
    <n v="15.3"/>
    <n v="1.05"/>
    <n v="1"/>
    <n v="9.17"/>
    <n v="13.16"/>
    <n v="55.7"/>
    <n v="10.130000000000001"/>
    <n v="55.7"/>
    <n v="10.130000000000001"/>
    <n v="9.9"/>
    <n v="1"/>
    <n v="1.2"/>
    <n v="0.02"/>
    <n v="0.9"/>
    <n v="7.0000000000000007E-2"/>
    <x v="0"/>
    <x v="1"/>
    <n v="65.962705"/>
    <n v="75.55"/>
    <n v="177.5"/>
    <n v="50.61"/>
    <n v="56"/>
    <n v="50"/>
    <n v="12.69"/>
  </r>
  <r>
    <x v="1"/>
    <x v="1"/>
    <x v="33"/>
    <n v="31"/>
    <n v="0"/>
    <x v="2"/>
    <s v="XX"/>
    <s v="MT"/>
    <s v="ID"/>
    <s v="(+9, +9)"/>
    <n v="50"/>
    <n v="50"/>
    <n v="640"/>
    <n v="1044"/>
    <s v="-"/>
    <s v="-"/>
    <n v="2.2000000000000002"/>
    <n v="2.6"/>
    <n v="386"/>
    <n v="391"/>
    <n v="105"/>
    <n v="127"/>
    <s v="-"/>
    <s v="-"/>
    <s v="-"/>
    <s v="-"/>
    <s v="-"/>
    <s v="-"/>
    <n v="4.9000000000000004"/>
    <n v="6.5"/>
    <n v="120.79866842153496"/>
    <n v="94.947150652744313"/>
    <n v="61"/>
    <n v="67"/>
    <n v="0.9"/>
    <n v="1.1000000000000001"/>
    <n v="0.20000000000000007"/>
    <n v="3.9"/>
    <n v="5.3"/>
    <n v="7.6"/>
    <n v="7.5"/>
    <n v="123"/>
    <n v="20"/>
    <n v="11.5"/>
    <n v="13.2"/>
    <n v="5.0999999999999996"/>
    <n v="4.9000000000000004"/>
    <n v="106"/>
    <n v="114"/>
    <n v="140"/>
    <n v="143"/>
    <n v="2.1"/>
    <n v="2.5"/>
    <n v="105"/>
    <n v="118"/>
    <n v="300.82488888888895"/>
    <n v="307.5440000000001"/>
    <s v="-"/>
    <s v="-"/>
    <n v="15.5"/>
    <n v="14.9"/>
    <n v="48.2"/>
    <n v="44.7"/>
    <n v="94.6"/>
    <n v="93.2"/>
    <n v="30.4"/>
    <n v="31"/>
    <n v="32.200000000000003"/>
    <n v="33.299999999999997"/>
    <n v="248"/>
    <n v="251"/>
    <n v="12.9"/>
    <n v="13.6"/>
    <n v="0.57999999999999996"/>
    <n v="0.59"/>
    <n v="7.25"/>
    <n v="7.63"/>
    <n v="58.9"/>
    <n v="5.43"/>
    <n v="58.9"/>
    <n v="5.43"/>
    <n v="11.3"/>
    <n v="0.71"/>
    <n v="1.9"/>
    <n v="0.04"/>
    <n v="0.5"/>
    <n v="0.04"/>
    <x v="0"/>
    <x v="1"/>
    <n v="71.403599999999997"/>
    <n v="78.5"/>
    <n v="173.5"/>
    <n v="51.8"/>
    <n v="57"/>
    <n v="60"/>
    <n v="9.0399999999999991"/>
  </r>
  <r>
    <x v="1"/>
    <x v="1"/>
    <x v="34"/>
    <n v="32"/>
    <n v="86"/>
    <x v="2"/>
    <s v="RR"/>
    <s v="TT"/>
    <s v="ID"/>
    <s v="(+9, +9)"/>
    <n v="87.5"/>
    <n v="12.5"/>
    <n v="659"/>
    <n v="11779"/>
    <s v="-"/>
    <s v="-"/>
    <n v="2.8"/>
    <n v="2.7"/>
    <n v="333"/>
    <n v="713"/>
    <n v="57"/>
    <n v="297"/>
    <s v="-"/>
    <s v="-"/>
    <s v="-"/>
    <s v="-"/>
    <s v="-"/>
    <s v="-"/>
    <n v="5.9"/>
    <n v="8.1999999999999993"/>
    <n v="106.45183652429932"/>
    <n v="85.533385678368745"/>
    <n v="57"/>
    <n v="87"/>
    <n v="1"/>
    <n v="1.2"/>
    <n v="0.19999999999999996"/>
    <n v="3.5"/>
    <n v="6.1"/>
    <n v="7.1"/>
    <n v="7.1"/>
    <n v="110"/>
    <n v="10"/>
    <n v="13.6"/>
    <n v="11.1"/>
    <n v="4"/>
    <n v="4.5"/>
    <n v="107"/>
    <n v="101"/>
    <n v="140"/>
    <n v="144"/>
    <n v="2.8"/>
    <n v="2.4"/>
    <n v="126"/>
    <n v="102"/>
    <n v="298.17611111111114"/>
    <n v="311.16277777777782"/>
    <s v="-"/>
    <s v="-"/>
    <n v="14.9"/>
    <n v="13.9"/>
    <n v="45.3"/>
    <n v="40.9"/>
    <n v="93.4"/>
    <n v="93.6"/>
    <n v="30.6"/>
    <n v="31.7"/>
    <n v="32.799999999999997"/>
    <n v="33.9"/>
    <n v="295"/>
    <n v="304"/>
    <n v="13.3"/>
    <n v="14.5"/>
    <n v="1.29"/>
    <n v="0.97"/>
    <n v="9.5"/>
    <n v="13.29"/>
    <n v="8.6999999999999993"/>
    <n v="10.7"/>
    <n v="8.6999999999999993"/>
    <n v="10.7"/>
    <n v="8.6999999999999993"/>
    <n v="1.25"/>
    <n v="2.1"/>
    <n v="0.02"/>
    <n v="0.2"/>
    <n v="0.03"/>
    <x v="0"/>
    <x v="1"/>
    <n v="71.568749999999994"/>
    <n v="82.5"/>
    <n v="174"/>
    <n v="50.33"/>
    <n v="56"/>
    <n v="53"/>
    <n v="13.25"/>
  </r>
  <r>
    <x v="1"/>
    <x v="1"/>
    <x v="35"/>
    <n v="33"/>
    <n v="0"/>
    <x v="2"/>
    <s v="RR"/>
    <s v="MT"/>
    <s v="ID"/>
    <s v="(+9, +9)"/>
    <n v="75"/>
    <n v="25"/>
    <n v="856"/>
    <s v="-"/>
    <s v="-"/>
    <s v="-"/>
    <n v="3"/>
    <n v="3"/>
    <n v="376"/>
    <n v="548"/>
    <n v="135"/>
    <n v="245"/>
    <s v="-"/>
    <s v="-"/>
    <s v="-"/>
    <s v="-"/>
    <s v="-"/>
    <s v="-"/>
    <n v="4.5"/>
    <n v="6.9"/>
    <n v="120.79866842153496"/>
    <n v="85.533385678368745"/>
    <n v="51"/>
    <n v="70"/>
    <n v="0.9"/>
    <n v="1.2"/>
    <n v="0.29999999999999993"/>
    <n v="3.3"/>
    <n v="5"/>
    <n v="6.3"/>
    <n v="6.7"/>
    <n v="66"/>
    <n v="18"/>
    <n v="12.1"/>
    <n v="12.8"/>
    <n v="4.4000000000000004"/>
    <n v="4.3"/>
    <n v="89"/>
    <n v="133"/>
    <n v="140"/>
    <n v="140"/>
    <n v="2.7"/>
    <n v="2.7"/>
    <n v="122"/>
    <n v="123"/>
    <n v="296.77011111111113"/>
    <n v="302.56188888888892"/>
    <s v="-"/>
    <s v="-"/>
    <n v="12.4"/>
    <n v="12.9"/>
    <n v="38"/>
    <n v="38"/>
    <n v="89.7"/>
    <n v="90.8"/>
    <n v="29.3"/>
    <n v="30.9"/>
    <n v="32.700000000000003"/>
    <n v="34"/>
    <n v="352"/>
    <n v="385"/>
    <n v="13.2"/>
    <n v="14.5"/>
    <n v="1.1000000000000001"/>
    <n v="1.19"/>
    <n v="5.45"/>
    <n v="12.31"/>
    <n v="58"/>
    <n v="9.6"/>
    <n v="58"/>
    <n v="9.6"/>
    <n v="12.4"/>
    <n v="0.79"/>
    <n v="2"/>
    <n v="0.03"/>
    <n v="0.6"/>
    <n v="7.0000000000000007E-2"/>
    <x v="1"/>
    <x v="1"/>
    <n v="64.357799999999997"/>
    <n v="74"/>
    <n v="172"/>
    <n v="52.46"/>
    <n v="60"/>
    <n v="58"/>
    <n v="13.03"/>
  </r>
  <r>
    <x v="1"/>
    <x v="1"/>
    <x v="36"/>
    <n v="31"/>
    <n v="80"/>
    <x v="2"/>
    <s v="RX"/>
    <s v="MT"/>
    <s v="II"/>
    <s v="(+9, +9)"/>
    <n v="50"/>
    <n v="50"/>
    <n v="757"/>
    <n v="1109"/>
    <s v="-"/>
    <s v="-"/>
    <n v="2.8"/>
    <n v="1.8"/>
    <n v="254"/>
    <n v="271"/>
    <n v="83"/>
    <n v="91"/>
    <s v="-"/>
    <s v="-"/>
    <s v="-"/>
    <s v="-"/>
    <s v="-"/>
    <s v="-"/>
    <n v="5.0999999999999996"/>
    <n v="6.7"/>
    <n v="120.79866842153496"/>
    <n v="85.533385678368745"/>
    <n v="39"/>
    <n v="49"/>
    <n v="0.9"/>
    <n v="1.2"/>
    <n v="0.29999999999999993"/>
    <n v="4.0999999999999996"/>
    <n v="5.0999999999999996"/>
    <n v="7.1"/>
    <n v="6.5"/>
    <n v="56"/>
    <n v="29"/>
    <n v="10"/>
    <n v="13.4"/>
    <n v="4.3"/>
    <n v="4.9000000000000004"/>
    <n v="103"/>
    <n v="113"/>
    <n v="138"/>
    <n v="141"/>
    <n v="1.9"/>
    <n v="2.5"/>
    <n v="101"/>
    <n v="132"/>
    <n v="291.75855555555563"/>
    <n v="300.76011111111114"/>
    <s v="-"/>
    <s v="-"/>
    <n v="13.2"/>
    <n v="12.9"/>
    <n v="40"/>
    <n v="39.200000000000003"/>
    <n v="89.4"/>
    <n v="90.2"/>
    <n v="29.5"/>
    <n v="29.7"/>
    <n v="33"/>
    <n v="33"/>
    <n v="324"/>
    <n v="281"/>
    <n v="14.1"/>
    <n v="14.6"/>
    <n v="0.98"/>
    <n v="0.79"/>
    <n v="6.79"/>
    <n v="6.48"/>
    <n v="64.7"/>
    <n v="3.73"/>
    <n v="64.7"/>
    <n v="3.73"/>
    <n v="9.9"/>
    <n v="0.66"/>
    <n v="1.7"/>
    <n v="0.09"/>
    <n v="0.5"/>
    <n v="0.04"/>
    <x v="1"/>
    <x v="1"/>
    <n v="75.540360000000007"/>
    <n v="81.2"/>
    <n v="174"/>
    <n v="49.27"/>
    <n v="64"/>
    <n v="64"/>
    <n v="6.97"/>
  </r>
  <r>
    <x v="1"/>
    <x v="1"/>
    <x v="37"/>
    <n v="32"/>
    <n v="71"/>
    <x v="2"/>
    <s v="-"/>
    <s v="-"/>
    <s v="-"/>
    <s v="-"/>
    <s v="-"/>
    <s v="-"/>
    <n v="502"/>
    <n v="1531"/>
    <s v="-"/>
    <s v="-"/>
    <n v="3.6"/>
    <n v="2.8"/>
    <n v="316"/>
    <n v="413"/>
    <n v="111"/>
    <n v="141"/>
    <s v="-"/>
    <s v="-"/>
    <s v="-"/>
    <s v="-"/>
    <s v="-"/>
    <s v="-"/>
    <n v="5.3"/>
    <n v="8.1"/>
    <n v="120.79866842153496"/>
    <n v="71.088527013625097"/>
    <n v="46"/>
    <n v="78"/>
    <n v="0.9"/>
    <n v="1.4"/>
    <n v="0.49999999999999989"/>
    <n v="5"/>
    <n v="7.4"/>
    <n v="8.6999999999999993"/>
    <n v="8.9"/>
    <n v="82"/>
    <n v="10"/>
    <n v="13.2"/>
    <n v="14.2"/>
    <n v="4.2"/>
    <n v="5.6"/>
    <n v="91"/>
    <n v="96"/>
    <n v="142"/>
    <n v="141"/>
    <n v="2.7"/>
    <n v="2.9"/>
    <n v="134"/>
    <n v="136"/>
    <n v="299.41255555555557"/>
    <n v="305.80933333333331"/>
    <s v="-"/>
    <s v="-"/>
    <n v="14.2"/>
    <n v="14"/>
    <n v="43.9"/>
    <n v="43"/>
    <n v="88.7"/>
    <n v="89.7"/>
    <n v="28.6"/>
    <n v="29.1"/>
    <n v="32.299999999999997"/>
    <n v="32.5"/>
    <n v="361"/>
    <n v="368"/>
    <n v="12.9"/>
    <n v="14.7"/>
    <n v="0.67"/>
    <n v="0.86"/>
    <n v="13.26"/>
    <n v="17.309999999999999"/>
    <n v="69.099999999999994"/>
    <n v="12.28"/>
    <n v="69.099999999999994"/>
    <n v="12.28"/>
    <n v="8.1"/>
    <n v="1.41"/>
    <n v="1"/>
    <n v="0.05"/>
    <n v="0.2"/>
    <n v="7.0000000000000007E-2"/>
    <x v="1"/>
    <x v="1"/>
    <n v="64.545389999999998"/>
    <n v="74.55"/>
    <n v="176.6"/>
    <n v="49.15"/>
    <n v="58"/>
    <n v="56"/>
    <n v="13.42"/>
  </r>
  <r>
    <x v="1"/>
    <x v="1"/>
    <x v="38"/>
    <n v="28"/>
    <n v="0"/>
    <x v="2"/>
    <s v="RR"/>
    <s v="MT"/>
    <s v="ID"/>
    <s v="(-9 , -9)"/>
    <n v="50"/>
    <n v="50"/>
    <n v="448"/>
    <n v="3067"/>
    <s v="-"/>
    <s v="-"/>
    <n v="3"/>
    <n v="2.2000000000000002"/>
    <n v="298"/>
    <n v="450"/>
    <n v="51"/>
    <n v="132"/>
    <s v="-"/>
    <s v="-"/>
    <s v="-"/>
    <s v="-"/>
    <s v="-"/>
    <s v="-"/>
    <n v="4.4000000000000004"/>
    <n v="3.5"/>
    <n v="106.45183652429932"/>
    <n v="94.947150652744313"/>
    <n v="44"/>
    <n v="54"/>
    <n v="1"/>
    <n v="1.1000000000000001"/>
    <n v="0.10000000000000009"/>
    <n v="4.0999999999999996"/>
    <n v="5.6"/>
    <n v="7.9"/>
    <n v="7.7"/>
    <n v="21"/>
    <n v="46"/>
    <n v="11.5"/>
    <n v="12.9"/>
    <n v="4.3"/>
    <n v="4.5"/>
    <n v="117"/>
    <n v="97"/>
    <n v="137"/>
    <n v="144"/>
    <n v="2.4"/>
    <n v="2.8"/>
    <n v="105"/>
    <n v="118"/>
    <n v="291.62633333333338"/>
    <n v="305.40722222222223"/>
    <s v="-"/>
    <s v="-"/>
    <n v="14.1"/>
    <n v="13.4"/>
    <n v="43.4"/>
    <n v="42"/>
    <n v="90.8"/>
    <n v="91.2"/>
    <n v="29.4"/>
    <n v="29.2"/>
    <n v="32.4"/>
    <n v="32"/>
    <n v="295"/>
    <n v="344"/>
    <n v="14.1"/>
    <n v="14.2"/>
    <n v="0.56999999999999995"/>
    <n v="0.63"/>
    <n v="11.73"/>
    <n v="9.02"/>
    <n v="75.599999999999994"/>
    <n v="5.72"/>
    <n v="75.599999999999994"/>
    <n v="5.72"/>
    <n v="10.5"/>
    <n v="0.68"/>
    <n v="0.2"/>
    <n v="0.01"/>
    <n v="0"/>
    <n v="0.08"/>
    <x v="0"/>
    <x v="1"/>
    <n v="71.013225000000006"/>
    <n v="80.25"/>
    <n v="179"/>
    <n v="49.57"/>
    <n v="57"/>
    <n v="52"/>
    <n v="11.51"/>
  </r>
  <r>
    <x v="1"/>
    <x v="1"/>
    <x v="39"/>
    <n v="29"/>
    <n v="0"/>
    <x v="2"/>
    <s v="RX"/>
    <s v="TT"/>
    <s v="DD"/>
    <s v="(+9, +9)"/>
    <n v="87.5"/>
    <n v="12.5"/>
    <n v="400"/>
    <n v="481"/>
    <s v="-"/>
    <s v="-"/>
    <n v="2.8"/>
    <n v="3.1"/>
    <n v="299"/>
    <n v="339"/>
    <n v="54"/>
    <n v="61"/>
    <s v="-"/>
    <s v="-"/>
    <s v="-"/>
    <s v="-"/>
    <s v="-"/>
    <s v="-"/>
    <n v="4"/>
    <n v="5.7"/>
    <n v="125.17286966375688"/>
    <n v="106.45183652429932"/>
    <n v="45"/>
    <n v="59"/>
    <n v="0.8"/>
    <n v="1"/>
    <n v="0.19999999999999996"/>
    <n v="4.5999999999999996"/>
    <n v="6"/>
    <n v="8.6999999999999993"/>
    <n v="8.6"/>
    <n v="92"/>
    <n v="22"/>
    <n v="13.9"/>
    <n v="13.2"/>
    <n v="5.0999999999999996"/>
    <n v="5.0999999999999996"/>
    <n v="94"/>
    <n v="109"/>
    <n v="140"/>
    <n v="141"/>
    <n v="2.9"/>
    <n v="3.2"/>
    <n v="122"/>
    <n v="121"/>
    <n v="297.39155555555556"/>
    <n v="302.5432222222222"/>
    <s v="-"/>
    <s v="-"/>
    <n v="15.2"/>
    <n v="15.7"/>
    <n v="47.1"/>
    <n v="46.7"/>
    <n v="81"/>
    <n v="82.6"/>
    <n v="26.2"/>
    <n v="27.7"/>
    <n v="32.299999999999997"/>
    <n v="33.6"/>
    <n v="356"/>
    <n v="321"/>
    <n v="12.9"/>
    <n v="13.9"/>
    <n v="0.82"/>
    <n v="0.71"/>
    <n v="8.32"/>
    <n v="8.25"/>
    <n v="67.400000000000006"/>
    <n v="5.95"/>
    <n v="67.400000000000006"/>
    <n v="5.95"/>
    <n v="7.9"/>
    <n v="0.68"/>
    <n v="2.7"/>
    <n v="0.02"/>
    <n v="0.3"/>
    <n v="0.04"/>
    <x v="0"/>
    <x v="0"/>
    <n v="71.552219999999991"/>
    <n v="83.55"/>
    <n v="182.6"/>
    <n v="51.94"/>
    <n v="56"/>
    <n v="52"/>
    <n v="14.36"/>
  </r>
  <r>
    <x v="1"/>
    <x v="1"/>
    <x v="40"/>
    <n v="28"/>
    <n v="0"/>
    <x v="2"/>
    <s v="RX"/>
    <s v="TT"/>
    <s v="II"/>
    <s v="(+9, +9)"/>
    <n v="62.5"/>
    <n v="37.5"/>
    <n v="625"/>
    <n v="673"/>
    <s v="-"/>
    <s v="-"/>
    <n v="1.6"/>
    <n v="1.7"/>
    <n v="332"/>
    <n v="344"/>
    <n v="115"/>
    <n v="99"/>
    <s v="-"/>
    <s v="-"/>
    <s v="-"/>
    <s v="-"/>
    <s v="-"/>
    <s v="-"/>
    <n v="5.4"/>
    <n v="5.2"/>
    <n v="125.17286966375688"/>
    <n v="120.79866842153496"/>
    <n v="37"/>
    <n v="37"/>
    <n v="0.8"/>
    <n v="0.9"/>
    <n v="9.9999999999999978E-2"/>
    <n v="4.2"/>
    <n v="4.4000000000000004"/>
    <n v="7.7"/>
    <n v="7.3"/>
    <n v="41"/>
    <n v="10"/>
    <n v="12.2"/>
    <n v="11.9"/>
    <n v="4"/>
    <n v="4"/>
    <n v="99"/>
    <n v="115"/>
    <n v="141"/>
    <n v="143"/>
    <n v="2.6"/>
    <n v="2.4"/>
    <n v="125"/>
    <n v="117"/>
    <n v="296.19166666666666"/>
    <n v="300.93388888888893"/>
    <s v="-"/>
    <s v="-"/>
    <n v="15.3"/>
    <n v="14.3"/>
    <n v="46.8"/>
    <n v="43.3"/>
    <n v="94.3"/>
    <n v="94.4"/>
    <n v="30.8"/>
    <n v="31.1"/>
    <n v="32.6"/>
    <n v="32.9"/>
    <n v="259"/>
    <n v="267"/>
    <n v="13"/>
    <n v="14.1"/>
    <n v="0.65"/>
    <n v="0.64"/>
    <n v="3.72"/>
    <n v="7.82"/>
    <n v="40.1"/>
    <n v="5.15"/>
    <n v="40.1"/>
    <n v="5.15"/>
    <n v="18.2"/>
    <n v="0.76"/>
    <n v="5.3"/>
    <n v="0.05"/>
    <n v="2.2000000000000002"/>
    <n v="0.06"/>
    <x v="0"/>
    <x v="0"/>
    <n v="79.259819999999991"/>
    <n v="92.55"/>
    <n v="183.2"/>
    <n v="45.83"/>
    <n v="58"/>
    <n v="62"/>
    <n v="14.36"/>
  </r>
  <r>
    <x v="1"/>
    <x v="1"/>
    <x v="41"/>
    <n v="26"/>
    <n v="83"/>
    <x v="2"/>
    <s v="XX"/>
    <s v="MT"/>
    <s v="ID"/>
    <s v="(+9, -9)"/>
    <n v="37.5"/>
    <n v="62.5"/>
    <n v="1276"/>
    <n v="1063"/>
    <s v="-"/>
    <s v="-"/>
    <n v="2.1"/>
    <n v="2.6"/>
    <n v="295"/>
    <n v="308"/>
    <n v="96"/>
    <n v="92"/>
    <s v="-"/>
    <s v="-"/>
    <s v="-"/>
    <s v="-"/>
    <s v="-"/>
    <s v="-"/>
    <n v="5.4"/>
    <n v="6.4"/>
    <n v="106.45183652429932"/>
    <n v="77.700020894732489"/>
    <n v="53"/>
    <n v="59"/>
    <n v="1"/>
    <n v="1.3"/>
    <n v="0.30000000000000004"/>
    <n v="3.8"/>
    <n v="5.4"/>
    <n v="8"/>
    <n v="8.4"/>
    <n v="146"/>
    <n v="58"/>
    <n v="13.5"/>
    <n v="14"/>
    <n v="4.3"/>
    <n v="5"/>
    <n v="102"/>
    <n v="91"/>
    <n v="141"/>
    <n v="147"/>
    <n v="2.6"/>
    <n v="3"/>
    <n v="129"/>
    <n v="134"/>
    <n v="299.608"/>
    <n v="312.36722222222221"/>
    <s v="-"/>
    <s v="-"/>
    <n v="15.7"/>
    <n v="15.6"/>
    <n v="48.6"/>
    <n v="48.2"/>
    <n v="94.4"/>
    <n v="94.5"/>
    <n v="30.5"/>
    <n v="30.6"/>
    <n v="32.299999999999997"/>
    <n v="32.4"/>
    <n v="286"/>
    <n v="291"/>
    <n v="12.9"/>
    <n v="14.1"/>
    <n v="0.38"/>
    <n v="0.46"/>
    <n v="7.79"/>
    <n v="10.66"/>
    <n v="58.3"/>
    <n v="6.97"/>
    <n v="58.3"/>
    <n v="6.97"/>
    <n v="8.4"/>
    <n v="1.0900000000000001"/>
    <n v="1.6"/>
    <n v="0.06"/>
    <n v="0.9"/>
    <n v="7.0000000000000007E-2"/>
    <x v="1"/>
    <x v="1"/>
    <n v="72.216679999999997"/>
    <n v="87.05"/>
    <n v="173.3"/>
    <n v="46.36"/>
    <n v="50"/>
    <n v="46"/>
    <n v="17.04"/>
  </r>
  <r>
    <x v="1"/>
    <x v="1"/>
    <x v="42"/>
    <n v="25"/>
    <n v="70"/>
    <x v="2"/>
    <s v="RR"/>
    <s v="TT"/>
    <s v="ID"/>
    <s v="(+9, -9)"/>
    <n v="75"/>
    <n v="25"/>
    <n v="3803"/>
    <n v="15498"/>
    <s v="-"/>
    <s v="-"/>
    <n v="1.2"/>
    <n v="1.3"/>
    <n v="375"/>
    <n v="861"/>
    <n v="165"/>
    <n v="496"/>
    <s v="-"/>
    <s v="-"/>
    <s v="-"/>
    <s v="-"/>
    <s v="-"/>
    <s v="-"/>
    <n v="4.9000000000000004"/>
    <n v="6.4"/>
    <n v="120.79866842153496"/>
    <n v="94.947150652744313"/>
    <n v="50"/>
    <n v="60"/>
    <n v="0.9"/>
    <n v="1.1000000000000001"/>
    <n v="0.20000000000000007"/>
    <n v="4.5999999999999996"/>
    <n v="5.7"/>
    <n v="7.9"/>
    <n v="7.7"/>
    <n v="116"/>
    <n v="39"/>
    <n v="11.3"/>
    <n v="10.9"/>
    <n v="4.5999999999999996"/>
    <n v="4.9000000000000004"/>
    <n v="85"/>
    <n v="110"/>
    <n v="140"/>
    <n v="142"/>
    <n v="2.1"/>
    <n v="2.4"/>
    <n v="106"/>
    <n v="97"/>
    <n v="296.71988888888887"/>
    <n v="304.26177777777781"/>
    <s v="-"/>
    <s v="-"/>
    <n v="14.8"/>
    <n v="15"/>
    <n v="46.1"/>
    <n v="45.7"/>
    <n v="93"/>
    <n v="93.4"/>
    <n v="29.8"/>
    <n v="30.7"/>
    <n v="32.1"/>
    <n v="32.799999999999997"/>
    <n v="233"/>
    <n v="253"/>
    <n v="13.3"/>
    <n v="15"/>
    <n v="1.57"/>
    <n v="1.39"/>
    <n v="9.4600000000000009"/>
    <n v="13.63"/>
    <n v="69.400000000000006"/>
    <n v="10.9"/>
    <n v="69.400000000000006"/>
    <n v="10.9"/>
    <n v="9.1"/>
    <n v="0.96"/>
    <n v="2.9"/>
    <n v="0.04"/>
    <n v="0.5"/>
    <n v="0.04"/>
    <x v="0"/>
    <x v="1"/>
    <n v="66.786999999999992"/>
    <n v="71.05"/>
    <n v="172.4"/>
    <n v="56.66"/>
    <n v="58"/>
    <n v="44"/>
    <n v="6"/>
  </r>
  <r>
    <x v="1"/>
    <x v="1"/>
    <x v="43"/>
    <n v="25"/>
    <n v="77"/>
    <x v="2"/>
    <s v="RR"/>
    <s v="MT"/>
    <s v="ID"/>
    <s v="(+9, +9)"/>
    <n v="75"/>
    <n v="25"/>
    <n v="2318"/>
    <n v="3724"/>
    <s v="-"/>
    <s v="-"/>
    <n v="1.5"/>
    <n v="2"/>
    <n v="383"/>
    <n v="446"/>
    <n v="143"/>
    <n v="183"/>
    <s v="-"/>
    <s v="-"/>
    <s v="-"/>
    <s v="-"/>
    <s v="-"/>
    <s v="-"/>
    <n v="5.0999999999999996"/>
    <n v="5.4"/>
    <n v="85.533385678368745"/>
    <n v="77.700020894732489"/>
    <n v="73"/>
    <n v="69"/>
    <n v="1.2"/>
    <n v="1.3"/>
    <n v="0.10000000000000009"/>
    <n v="4.0999999999999996"/>
    <n v="4.8"/>
    <n v="7.3"/>
    <n v="6.6"/>
    <n v="70"/>
    <n v="12"/>
    <n v="11.1"/>
    <n v="11.1"/>
    <n v="4.5999999999999996"/>
    <n v="4.5999999999999996"/>
    <n v="84"/>
    <n v="95"/>
    <n v="143"/>
    <n v="146"/>
    <n v="2.6"/>
    <n v="2.6"/>
    <n v="106"/>
    <n v="108"/>
    <n v="306.06933333333336"/>
    <n v="311.68544444444444"/>
    <s v="-"/>
    <s v="-"/>
    <n v="15.1"/>
    <n v="13.9"/>
    <n v="46.2"/>
    <n v="42.4"/>
    <n v="84.6"/>
    <n v="86.3"/>
    <n v="27.6"/>
    <n v="28.2"/>
    <n v="32.6"/>
    <n v="32.700000000000003"/>
    <n v="354"/>
    <n v="320"/>
    <n v="13.5"/>
    <n v="14.5"/>
    <n v="0.71"/>
    <n v="0.86"/>
    <n v="5.14"/>
    <n v="8.44"/>
    <n v="61.1"/>
    <n v="5.77"/>
    <n v="61.1"/>
    <n v="5.77"/>
    <n v="10.8"/>
    <n v="0.97"/>
    <n v="0.7"/>
    <n v="0.01"/>
    <n v="0.3"/>
    <n v="0.05"/>
    <x v="0"/>
    <x v="1"/>
    <n v="72.202060000000003"/>
    <n v="78.2"/>
    <n v="182.1"/>
    <n v="51.94"/>
    <n v="62"/>
    <n v="65"/>
    <n v="7.67"/>
  </r>
  <r>
    <x v="1"/>
    <x v="4"/>
    <x v="21"/>
    <n v="27"/>
    <n v="72"/>
    <x v="2"/>
    <s v="RX"/>
    <s v="MT"/>
    <s v="ID"/>
    <s v="(+9, +9)"/>
    <n v="62.5"/>
    <n v="37.5"/>
    <n v="218"/>
    <n v="141"/>
    <s v="-"/>
    <s v="-"/>
    <n v="2.9"/>
    <n v="3.6"/>
    <n v="213"/>
    <n v="223"/>
    <n v="32"/>
    <n v="27"/>
    <s v="-"/>
    <s v="-"/>
    <s v="-"/>
    <s v="-"/>
    <s v="-"/>
    <s v="-"/>
    <n v="4.0999999999999996"/>
    <n v="5.8"/>
    <n v="120.79866842153496"/>
    <n v="85.533385678368745"/>
    <n v="29"/>
    <n v="45"/>
    <n v="0.9"/>
    <n v="1.2"/>
    <n v="0.29999999999999993"/>
    <n v="4.5999999999999996"/>
    <n v="5.2"/>
    <n v="6.8"/>
    <n v="7.6"/>
    <n v="32"/>
    <n v="73"/>
    <n v="9"/>
    <n v="9.6999999999999993"/>
    <n v="4.2"/>
    <n v="4.7"/>
    <n v="98"/>
    <n v="87"/>
    <n v="142"/>
    <n v="147"/>
    <n v="2.1"/>
    <n v="2.4"/>
    <n v="85"/>
    <n v="86"/>
    <n v="297.02644444444445"/>
    <n v="309.22033333333331"/>
    <n v="5.4"/>
    <s v="-"/>
    <n v="14.2"/>
    <s v="-"/>
    <n v="42.7"/>
    <s v="-"/>
    <n v="79.099999999999994"/>
    <s v="-"/>
    <n v="26.3"/>
    <s v="-"/>
    <n v="33.299999999999997"/>
    <s v="-"/>
    <n v="295"/>
    <s v="-"/>
    <n v="15"/>
    <s v="-"/>
    <s v="-"/>
    <s v="-"/>
    <n v="7.87"/>
    <s v="-"/>
    <n v="65.599999999999994"/>
    <s v="-"/>
    <n v="18.8"/>
    <s v="-"/>
    <n v="9.4"/>
    <s v="-"/>
    <n v="5.7"/>
    <s v="-"/>
    <n v="0.5"/>
    <s v="-"/>
    <x v="1"/>
    <x v="0"/>
    <n v="69.121659999999991"/>
    <n v="77.3"/>
    <n v="170.3"/>
    <n v="49.62"/>
    <n v="50"/>
    <n v="52"/>
    <n v="10.58"/>
  </r>
  <r>
    <x v="1"/>
    <x v="4"/>
    <x v="22"/>
    <n v="24"/>
    <n v="77"/>
    <x v="2"/>
    <s v="RX"/>
    <s v="MM"/>
    <s v="II"/>
    <s v="(-9 , -9)"/>
    <n v="12.5"/>
    <n v="87.5"/>
    <n v="226"/>
    <n v="117"/>
    <s v="-"/>
    <s v="-"/>
    <n v="4.4000000000000004"/>
    <n v="3.8"/>
    <n v="163"/>
    <n v="160"/>
    <n v="36"/>
    <n v="21"/>
    <s v="-"/>
    <s v="-"/>
    <s v="-"/>
    <s v="-"/>
    <s v="-"/>
    <s v="-"/>
    <n v="5.8"/>
    <n v="5.8"/>
    <n v="94.947150652744313"/>
    <n v="85.533385678368745"/>
    <n v="42"/>
    <n v="37"/>
    <n v="1.1000000000000001"/>
    <n v="1.2"/>
    <n v="9.9999999999999867E-2"/>
    <n v="4.7"/>
    <n v="4.0999999999999996"/>
    <n v="7.6"/>
    <n v="7.5"/>
    <n v="187"/>
    <n v="91"/>
    <n v="10.199999999999999"/>
    <n v="9.4"/>
    <n v="4.8"/>
    <n v="4.5999999999999996"/>
    <n v="159"/>
    <n v="91"/>
    <n v="161"/>
    <n v="146"/>
    <n v="2.5"/>
    <n v="2.4"/>
    <n v="91"/>
    <n v="85"/>
    <n v="339.54633333333339"/>
    <n v="306.09655555555554"/>
    <n v="4.3"/>
    <s v="-"/>
    <n v="13.7"/>
    <s v="-"/>
    <n v="41"/>
    <s v="-"/>
    <n v="95.3"/>
    <s v="-"/>
    <n v="31.9"/>
    <s v="-"/>
    <n v="33.4"/>
    <s v="-"/>
    <n v="215"/>
    <s v="-"/>
    <n v="12.6"/>
    <s v="-"/>
    <s v="-"/>
    <s v="-"/>
    <n v="6.5"/>
    <s v="-"/>
    <n v="60.6"/>
    <s v="-"/>
    <n v="23.8"/>
    <s v="-"/>
    <n v="8.1999999999999993"/>
    <s v="-"/>
    <n v="6.9"/>
    <s v="-"/>
    <n v="0.5"/>
    <s v="-"/>
    <x v="0"/>
    <x v="0"/>
    <n v="70.724639999999994"/>
    <n v="77.599999999999994"/>
    <n v="178"/>
    <n v="53.68"/>
    <n v="51"/>
    <n v="51"/>
    <n v="8.86"/>
  </r>
  <r>
    <x v="1"/>
    <x v="4"/>
    <x v="23"/>
    <n v="24"/>
    <n v="72"/>
    <x v="2"/>
    <s v="XX"/>
    <s v="TT"/>
    <s v="II"/>
    <s v="(-9 , -9)"/>
    <n v="25"/>
    <n v="75"/>
    <n v="167"/>
    <n v="96"/>
    <s v="-"/>
    <s v="-"/>
    <n v="4.4000000000000004"/>
    <n v="5.9"/>
    <n v="205"/>
    <n v="169"/>
    <n v="25"/>
    <n v="21"/>
    <s v="-"/>
    <s v="-"/>
    <s v="-"/>
    <s v="-"/>
    <s v="-"/>
    <s v="-"/>
    <n v="3.9"/>
    <n v="6.1"/>
    <n v="94.947150652744313"/>
    <n v="77.700020894732489"/>
    <n v="43"/>
    <n v="49"/>
    <n v="1.1000000000000001"/>
    <n v="1.3"/>
    <n v="0.19999999999999996"/>
    <n v="5"/>
    <n v="5.7"/>
    <n v="8.6"/>
    <n v="8"/>
    <n v="111"/>
    <n v="74"/>
    <n v="11"/>
    <n v="9.6"/>
    <n v="4.8"/>
    <n v="4.5999999999999996"/>
    <n v="89"/>
    <n v="77"/>
    <n v="168"/>
    <n v="147"/>
    <n v="2.2999999999999998"/>
    <n v="2.2999999999999998"/>
    <n v="92"/>
    <n v="84"/>
    <n v="348.26077777777783"/>
    <n v="309.06211111111111"/>
    <n v="5.2"/>
    <s v="-"/>
    <n v="14.4"/>
    <s v="-"/>
    <n v="41.8"/>
    <s v="-"/>
    <n v="80.400000000000006"/>
    <s v="-"/>
    <n v="27.7"/>
    <s v="-"/>
    <n v="34.4"/>
    <s v="-"/>
    <n v="278"/>
    <s v="-"/>
    <n v="13.3"/>
    <s v="-"/>
    <s v="-"/>
    <s v="-"/>
    <n v="7.73"/>
    <s v="-"/>
    <n v="67.099999999999994"/>
    <s v="-"/>
    <n v="23"/>
    <s v="-"/>
    <n v="7.5"/>
    <s v="-"/>
    <n v="1.9"/>
    <s v="-"/>
    <n v="0.5"/>
    <s v="-"/>
    <x v="0"/>
    <x v="0"/>
    <n v="66.241470000000007"/>
    <n v="71.900000000000006"/>
    <n v="173.5"/>
    <n v="55.35"/>
    <n v="54"/>
    <n v="56"/>
    <n v="7.87"/>
  </r>
  <r>
    <x v="1"/>
    <x v="4"/>
    <x v="24"/>
    <n v="24"/>
    <n v="79.5"/>
    <x v="2"/>
    <s v="RX"/>
    <s v="TT"/>
    <s v="DD"/>
    <s v="(+9, -9)"/>
    <n v="75"/>
    <n v="25"/>
    <n v="153"/>
    <n v="246"/>
    <s v="-"/>
    <s v="-"/>
    <n v="3.7"/>
    <n v="6.2"/>
    <n v="172"/>
    <n v="191"/>
    <n v="30"/>
    <n v="41"/>
    <s v="-"/>
    <s v="-"/>
    <s v="-"/>
    <s v="-"/>
    <s v="-"/>
    <s v="-"/>
    <n v="5.7"/>
    <n v="8.6999999999999993"/>
    <n v="125.17286966375688"/>
    <n v="85.533385678368745"/>
    <n v="32"/>
    <n v="52"/>
    <n v="0.8"/>
    <n v="1.2"/>
    <n v="0.39999999999999991"/>
    <n v="4.5999999999999996"/>
    <n v="4.7"/>
    <n v="7.6"/>
    <n v="9.4"/>
    <n v="10"/>
    <n v="67"/>
    <n v="9.1999999999999993"/>
    <n v="11.2"/>
    <n v="4.5999999999999996"/>
    <n v="6"/>
    <n v="124"/>
    <n v="111"/>
    <n v="142"/>
    <n v="161"/>
    <n v="1.6"/>
    <n v="2.2000000000000002"/>
    <n v="83"/>
    <n v="88"/>
    <n v="299.93155555555552"/>
    <n v="340.37833333333333"/>
    <n v="4.3"/>
    <s v="-"/>
    <n v="12.7"/>
    <s v="-"/>
    <n v="38.4"/>
    <s v="-"/>
    <n v="89.3"/>
    <s v="-"/>
    <n v="29.5"/>
    <s v="-"/>
    <n v="33.1"/>
    <s v="-"/>
    <n v="235"/>
    <s v="-"/>
    <n v="12.2"/>
    <s v="-"/>
    <s v="-"/>
    <s v="-"/>
    <n v="12.62"/>
    <s v="-"/>
    <n v="76.5"/>
    <s v="-"/>
    <n v="15.1"/>
    <s v="-"/>
    <n v="6.7"/>
    <s v="-"/>
    <n v="1.6"/>
    <s v="-"/>
    <n v="0.1"/>
    <s v="-"/>
    <x v="1"/>
    <x v="0"/>
    <n v="77.330865000000003"/>
    <n v="84.45"/>
    <n v="187"/>
    <n v="0"/>
    <n v="48"/>
    <n v="52"/>
    <n v="8.43"/>
  </r>
  <r>
    <x v="1"/>
    <x v="4"/>
    <x v="25"/>
    <n v="27"/>
    <n v="75"/>
    <x v="2"/>
    <s v="RR"/>
    <s v="TT"/>
    <s v="ID"/>
    <s v="(-9 , -9)"/>
    <n v="62.5"/>
    <n v="37.5"/>
    <n v="495"/>
    <n v="139"/>
    <s v="-"/>
    <s v="-"/>
    <n v="4.2"/>
    <n v="4"/>
    <n v="185"/>
    <n v="198"/>
    <n v="48"/>
    <n v="32"/>
    <s v="-"/>
    <s v="-"/>
    <s v="-"/>
    <s v="-"/>
    <s v="-"/>
    <s v="-"/>
    <n v="3.7"/>
    <n v="6.2"/>
    <n v="136.5342808821735"/>
    <n v="106.45183652429932"/>
    <n v="33"/>
    <n v="44"/>
    <n v="0.6"/>
    <n v="1"/>
    <n v="0.4"/>
    <n v="4.3"/>
    <n v="5.6"/>
    <n v="6.2"/>
    <n v="8.4"/>
    <n v="109"/>
    <n v="85"/>
    <n v="8.5"/>
    <n v="10.6"/>
    <n v="4.0999999999999996"/>
    <n v="5"/>
    <n v="73"/>
    <n v="75"/>
    <n v="128"/>
    <n v="166"/>
    <n v="1.8"/>
    <n v="2.6"/>
    <n v="80"/>
    <n v="90"/>
    <n v="269.86988888888891"/>
    <n v="344.185"/>
    <n v="4.5999999999999996"/>
    <s v="-"/>
    <n v="13.2"/>
    <s v="-"/>
    <n v="40.1"/>
    <s v="-"/>
    <n v="87.2"/>
    <s v="-"/>
    <n v="28.7"/>
    <s v="-"/>
    <n v="32.9"/>
    <s v="-"/>
    <n v="287"/>
    <s v="-"/>
    <n v="13.4"/>
    <s v="-"/>
    <s v="-"/>
    <s v="-"/>
    <n v="8.49"/>
    <s v="-"/>
    <n v="69"/>
    <s v="-"/>
    <n v="21.6"/>
    <s v="-"/>
    <n v="7.3"/>
    <s v="-"/>
    <n v="1.9"/>
    <s v="-"/>
    <n v="0.2"/>
    <s v="-"/>
    <x v="1"/>
    <x v="0"/>
    <n v="65.118300000000005"/>
    <n v="76.7"/>
    <n v="171.5"/>
    <n v="47.49"/>
    <n v="54"/>
    <n v="48"/>
    <n v="15.1"/>
  </r>
  <r>
    <x v="1"/>
    <x v="4"/>
    <x v="26"/>
    <n v="25"/>
    <n v="91"/>
    <x v="2"/>
    <s v="RR"/>
    <s v="MT"/>
    <s v="ID"/>
    <s v="(-9 , -9)"/>
    <n v="50"/>
    <n v="50"/>
    <n v="618"/>
    <n v="205"/>
    <s v="-"/>
    <s v="-"/>
    <n v="3.3"/>
    <n v="4.4000000000000004"/>
    <n v="148"/>
    <n v="176"/>
    <n v="48"/>
    <n v="31"/>
    <s v="-"/>
    <s v="-"/>
    <s v="-"/>
    <s v="-"/>
    <s v="-"/>
    <s v="-"/>
    <n v="5.4"/>
    <n v="7.8"/>
    <n v="120.79866842153496"/>
    <n v="77.700020894732489"/>
    <n v="44"/>
    <n v="51"/>
    <n v="0.9"/>
    <n v="1.3"/>
    <n v="0.4"/>
    <n v="4.5"/>
    <n v="4.5"/>
    <n v="6.9"/>
    <n v="8.1999999999999993"/>
    <n v="28"/>
    <n v="76"/>
    <n v="8.9"/>
    <n v="10"/>
    <n v="4"/>
    <n v="4.8"/>
    <n v="94"/>
    <n v="92"/>
    <n v="141"/>
    <n v="150"/>
    <n v="1.9"/>
    <n v="2.5"/>
    <n v="85"/>
    <n v="87"/>
    <n v="297.03888888888883"/>
    <n v="316.30577777777785"/>
    <n v="4.7"/>
    <s v="-"/>
    <n v="12.6"/>
    <s v="-"/>
    <n v="38.700000000000003"/>
    <s v="-"/>
    <n v="82.3"/>
    <s v="-"/>
    <n v="26.8"/>
    <s v="-"/>
    <n v="32.6"/>
    <s v="-"/>
    <n v="260"/>
    <s v="-"/>
    <n v="14.6"/>
    <s v="-"/>
    <s v="-"/>
    <s v="-"/>
    <n v="7.44"/>
    <s v="-"/>
    <n v="62.8"/>
    <s v="-"/>
    <n v="22.8"/>
    <s v="-"/>
    <n v="5.6"/>
    <s v="-"/>
    <n v="8.5"/>
    <s v="-"/>
    <n v="0.3"/>
    <s v="-"/>
    <x v="1"/>
    <x v="0"/>
    <n v="81.751800000000003"/>
    <n v="94"/>
    <n v="176.5"/>
    <n v="46.18"/>
    <n v="54"/>
    <n v="60"/>
    <n v="13.03"/>
  </r>
  <r>
    <x v="1"/>
    <x v="4"/>
    <x v="27"/>
    <n v="33"/>
    <n v="94"/>
    <x v="2"/>
    <s v="RR"/>
    <s v="MT"/>
    <s v="II"/>
    <s v="(+9, -9)"/>
    <n v="50"/>
    <n v="50"/>
    <n v="489"/>
    <n v="190"/>
    <s v="-"/>
    <s v="-"/>
    <n v="3.5"/>
    <n v="3.9"/>
    <n v="220"/>
    <n v="237"/>
    <n v="37"/>
    <n v="31"/>
    <s v="-"/>
    <s v="-"/>
    <s v="-"/>
    <s v="-"/>
    <s v="-"/>
    <s v="-"/>
    <n v="5.0999999999999996"/>
    <n v="8.4"/>
    <n v="120.79866842153496"/>
    <n v="65.440053767210657"/>
    <n v="48"/>
    <n v="52"/>
    <n v="0.9"/>
    <n v="1.5"/>
    <n v="0.6"/>
    <n v="4"/>
    <n v="5.4"/>
    <n v="7.2"/>
    <n v="8.5"/>
    <n v="49"/>
    <n v="56"/>
    <n v="9.4"/>
    <n v="10.6"/>
    <n v="4"/>
    <n v="5.4"/>
    <n v="113"/>
    <n v="75"/>
    <n v="139"/>
    <n v="153"/>
    <n v="1.9"/>
    <n v="2.2999999999999998"/>
    <n v="84"/>
    <n v="87"/>
    <n v="295.19944444444445"/>
    <n v="322.08233333333339"/>
    <n v="5"/>
    <s v="-"/>
    <n v="13"/>
    <s v="-"/>
    <n v="40.4"/>
    <s v="-"/>
    <n v="80.8"/>
    <s v="-"/>
    <n v="26"/>
    <s v="-"/>
    <n v="32.200000000000003"/>
    <s v="-"/>
    <n v="340"/>
    <s v="-"/>
    <n v="14.2"/>
    <s v="-"/>
    <s v="-"/>
    <s v="-"/>
    <n v="10.65"/>
    <s v="-"/>
    <n v="78.599999999999994"/>
    <s v="-"/>
    <n v="11.7"/>
    <s v="-"/>
    <n v="6.4"/>
    <s v="-"/>
    <n v="3"/>
    <s v="-"/>
    <n v="0.3"/>
    <s v="-"/>
    <x v="1"/>
    <x v="0"/>
    <n v="77.466380000000001"/>
    <n v="97.1"/>
    <n v="181"/>
    <n v="44.53"/>
    <n v="66"/>
    <n v="65"/>
    <n v="20.22"/>
  </r>
  <r>
    <x v="1"/>
    <x v="4"/>
    <x v="28"/>
    <n v="35"/>
    <n v="78"/>
    <x v="2"/>
    <s v="RX"/>
    <s v="MT"/>
    <s v="ID"/>
    <s v="(-9 , -9)"/>
    <n v="37.5"/>
    <n v="62.5"/>
    <n v="312"/>
    <n v="276"/>
    <s v="-"/>
    <s v="-"/>
    <n v="3.3"/>
    <n v="3.5"/>
    <n v="192"/>
    <n v="263"/>
    <n v="35"/>
    <n v="45"/>
    <s v="-"/>
    <s v="-"/>
    <s v="-"/>
    <s v="-"/>
    <s v="-"/>
    <s v="-"/>
    <n v="5.9"/>
    <n v="8.5"/>
    <n v="120.79866842153496"/>
    <n v="71.088527013625097"/>
    <n v="36"/>
    <n v="57"/>
    <n v="0.9"/>
    <n v="1.4"/>
    <n v="0.49999999999999989"/>
    <n v="4"/>
    <n v="4.8"/>
    <n v="7"/>
    <n v="9.6"/>
    <n v="93"/>
    <n v="95"/>
    <n v="9"/>
    <n v="11.3"/>
    <n v="3.9"/>
    <n v="5.2"/>
    <n v="75"/>
    <n v="92"/>
    <n v="135"/>
    <n v="167"/>
    <n v="1.7"/>
    <n v="2.6"/>
    <n v="82"/>
    <n v="92"/>
    <n v="283.14566666666673"/>
    <n v="349.66977777777777"/>
    <n v="4.4000000000000004"/>
    <s v="-"/>
    <n v="14"/>
    <s v="-"/>
    <n v="40.799999999999997"/>
    <s v="-"/>
    <n v="92.7"/>
    <s v="-"/>
    <n v="31.8"/>
    <s v="-"/>
    <n v="34.299999999999997"/>
    <s v="-"/>
    <n v="242"/>
    <s v="-"/>
    <n v="12.9"/>
    <s v="-"/>
    <s v="-"/>
    <s v="-"/>
    <n v="6.48"/>
    <s v="-"/>
    <n v="63.3"/>
    <s v="-"/>
    <n v="28.5"/>
    <s v="-"/>
    <n v="6.8"/>
    <s v="-"/>
    <n v="0.8"/>
    <s v="-"/>
    <n v="0.6"/>
    <s v="-"/>
    <x v="1"/>
    <x v="0"/>
    <n v="73.247245000000007"/>
    <n v="77.650000000000006"/>
    <n v="184.2"/>
    <n v="54.09"/>
    <n v="56"/>
    <n v="52"/>
    <n v="5.67"/>
  </r>
  <r>
    <x v="1"/>
    <x v="4"/>
    <x v="31"/>
    <n v="32"/>
    <n v="80"/>
    <x v="2"/>
    <s v="-"/>
    <s v="-"/>
    <s v="-"/>
    <s v="-"/>
    <s v="-"/>
    <s v="-"/>
    <n v="207"/>
    <n v="91"/>
    <s v="-"/>
    <s v="-"/>
    <s v="-"/>
    <n v="3.4"/>
    <n v="181"/>
    <n v="251"/>
    <n v="31"/>
    <n v="30"/>
    <s v="-"/>
    <s v="-"/>
    <s v="-"/>
    <s v="-"/>
    <s v="-"/>
    <s v="-"/>
    <n v="4.0999999999999996"/>
    <n v="6.6"/>
    <n v="120.79866842153496"/>
    <n v="60.56325091328862"/>
    <n v="32"/>
    <n v="48"/>
    <n v="0.9"/>
    <n v="1.6"/>
    <n v="0.70000000000000007"/>
    <n v="4.8"/>
    <n v="4.4000000000000004"/>
    <n v="6.2"/>
    <n v="8.1999999999999993"/>
    <s v="-"/>
    <n v="63"/>
    <n v="8.6999999999999993"/>
    <n v="11"/>
    <n v="4.4000000000000004"/>
    <n v="5.4"/>
    <n v="78"/>
    <n v="90"/>
    <n v="141"/>
    <n v="175"/>
    <n v="1.9"/>
    <n v="2.7"/>
    <n v="83"/>
    <n v="93"/>
    <n v="294.76066666666668"/>
    <n v="363.2940000000000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x v="1"/>
    <x v="0"/>
    <n v="70.071784999999991"/>
    <n v="81.849999999999994"/>
    <n v="181"/>
    <n v="52.98"/>
    <n v="60"/>
    <n v="60"/>
    <n v="14.39"/>
  </r>
  <r>
    <x v="1"/>
    <x v="4"/>
    <x v="32"/>
    <n v="35"/>
    <n v="76"/>
    <x v="2"/>
    <s v="RX"/>
    <s v="MM"/>
    <s v="ID"/>
    <s v="(+9, +9)"/>
    <n v="50"/>
    <n v="50"/>
    <n v="146"/>
    <n v="102"/>
    <s v="-"/>
    <s v="-"/>
    <n v="3.3"/>
    <n v="4.8"/>
    <n v="232"/>
    <n v="226"/>
    <n v="43"/>
    <n v="36"/>
    <s v="-"/>
    <s v="-"/>
    <s v="-"/>
    <s v="-"/>
    <s v="-"/>
    <s v="-"/>
    <n v="4.4000000000000004"/>
    <n v="6.1"/>
    <n v="120.79866842153496"/>
    <n v="94.947150652744313"/>
    <n v="34"/>
    <n v="45"/>
    <n v="0.9"/>
    <n v="1.1000000000000001"/>
    <n v="0.20000000000000007"/>
    <n v="3.6"/>
    <n v="3.8"/>
    <n v="7.4"/>
    <n v="8.4"/>
    <n v="120"/>
    <n v="95"/>
    <n v="9.3000000000000007"/>
    <n v="10.1"/>
    <n v="4.5999999999999996"/>
    <n v="4.8"/>
    <n v="54"/>
    <n v="63"/>
    <n v="140"/>
    <n v="144"/>
    <n v="1.9"/>
    <n v="2.2000000000000002"/>
    <n v="84"/>
    <n v="83"/>
    <n v="292.07266666666669"/>
    <n v="302.29300000000001"/>
    <n v="4.9000000000000004"/>
    <s v="-"/>
    <n v="15"/>
    <s v="-"/>
    <n v="45"/>
    <s v="-"/>
    <n v="91.8"/>
    <s v="-"/>
    <n v="30.6"/>
    <s v="-"/>
    <n v="33.299999999999997"/>
    <s v="-"/>
    <n v="170"/>
    <s v="-"/>
    <n v="14.1"/>
    <s v="-"/>
    <s v="-"/>
    <s v="-"/>
    <n v="7.51"/>
    <s v="-"/>
    <n v="55.6"/>
    <s v="-"/>
    <n v="24.4"/>
    <s v="-"/>
    <n v="14"/>
    <s v="-"/>
    <n v="5.7"/>
    <s v="-"/>
    <n v="0.3"/>
    <s v="-"/>
    <x v="0"/>
    <x v="0"/>
    <n v="65.962705"/>
    <n v="75.55"/>
    <n v="177.5"/>
    <n v="50.61"/>
    <n v="56"/>
    <n v="50"/>
    <n v="12.69"/>
  </r>
  <r>
    <x v="1"/>
    <x v="4"/>
    <x v="33"/>
    <n v="31"/>
    <n v="76"/>
    <x v="2"/>
    <s v="XX"/>
    <s v="MT"/>
    <s v="ID"/>
    <s v="(+9, +9)"/>
    <n v="50"/>
    <n v="50"/>
    <n v="690"/>
    <n v="131"/>
    <s v="-"/>
    <s v="-"/>
    <s v="-"/>
    <n v="3.4"/>
    <n v="246"/>
    <n v="238"/>
    <n v="44"/>
    <n v="32"/>
    <s v="-"/>
    <s v="-"/>
    <s v="-"/>
    <s v="-"/>
    <s v="-"/>
    <s v="-"/>
    <n v="5.6"/>
    <n v="8.1"/>
    <n v="120.79866842153496"/>
    <n v="65.440053767210657"/>
    <n v="38"/>
    <n v="79"/>
    <n v="0.9"/>
    <n v="1.5"/>
    <n v="0.6"/>
    <n v="4.5999999999999996"/>
    <n v="5.5"/>
    <n v="7"/>
    <n v="9.6"/>
    <s v="-"/>
    <n v="83"/>
    <n v="9"/>
    <n v="11.6"/>
    <n v="4.3"/>
    <n v="5.7"/>
    <n v="70"/>
    <n v="95"/>
    <n v="136"/>
    <n v="168"/>
    <n v="1.9"/>
    <n v="3"/>
    <n v="83"/>
    <n v="90"/>
    <n v="285.76355555555557"/>
    <n v="356.31811111111114"/>
    <n v="4.8"/>
    <s v="-"/>
    <n v="14.8"/>
    <s v="-"/>
    <n v="43.4"/>
    <s v="-"/>
    <n v="90.4"/>
    <s v="-"/>
    <n v="30.8"/>
    <s v="-"/>
    <n v="34.1"/>
    <s v="-"/>
    <n v="258"/>
    <s v="-"/>
    <n v="13.4"/>
    <s v="-"/>
    <s v="-"/>
    <s v="-"/>
    <n v="7.19"/>
    <s v="-"/>
    <n v="67"/>
    <s v="-"/>
    <n v="21.4"/>
    <s v="-"/>
    <n v="8.1"/>
    <s v="-"/>
    <n v="3.1"/>
    <s v="-"/>
    <n v="0.4"/>
    <s v="-"/>
    <x v="1"/>
    <x v="0"/>
    <n v="71.403599999999997"/>
    <n v="78.5"/>
    <n v="173.5"/>
    <n v="51.8"/>
    <n v="57"/>
    <n v="60"/>
    <n v="9.0399999999999991"/>
  </r>
  <r>
    <x v="1"/>
    <x v="4"/>
    <x v="34"/>
    <n v="32"/>
    <n v="78"/>
    <x v="2"/>
    <s v="RR"/>
    <s v="TT"/>
    <s v="ID"/>
    <s v="(+9, +9)"/>
    <n v="87.5"/>
    <n v="12.5"/>
    <n v="99"/>
    <n v="116"/>
    <s v="-"/>
    <s v="-"/>
    <n v="3.4"/>
    <n v="4.0999999999999996"/>
    <n v="170"/>
    <n v="266"/>
    <n v="23"/>
    <n v="41"/>
    <s v="-"/>
    <s v="-"/>
    <s v="-"/>
    <s v="-"/>
    <s v="-"/>
    <s v="-"/>
    <n v="5.4"/>
    <n v="10"/>
    <n v="120.79866842153496"/>
    <n v="56.313750545959742"/>
    <n v="43"/>
    <n v="72"/>
    <n v="0.9"/>
    <n v="1.7"/>
    <n v="0.79999999999999993"/>
    <n v="3.9"/>
    <n v="5.3"/>
    <n v="6.7"/>
    <n v="11"/>
    <n v="46"/>
    <n v="86"/>
    <n v="8.6"/>
    <n v="12.7"/>
    <n v="3.8"/>
    <n v="6"/>
    <n v="102"/>
    <n v="126"/>
    <n v="134"/>
    <n v="198"/>
    <n v="1.9"/>
    <n v="3.3"/>
    <n v="82"/>
    <n v="99"/>
    <n v="283.99133333333339"/>
    <n v="413.49"/>
    <n v="4.7"/>
    <s v="-"/>
    <n v="14.4"/>
    <s v="-"/>
    <n v="42.5"/>
    <s v="-"/>
    <n v="90.4"/>
    <s v="-"/>
    <n v="30.6"/>
    <s v="-"/>
    <n v="33.9"/>
    <s v="-"/>
    <n v="267"/>
    <s v="-"/>
    <n v="13.6"/>
    <s v="-"/>
    <s v="-"/>
    <s v="-"/>
    <n v="7.9"/>
    <s v="-"/>
    <n v="73.8"/>
    <s v="-"/>
    <n v="13.4"/>
    <s v="-"/>
    <n v="6.8"/>
    <s v="-"/>
    <n v="5.6"/>
    <s v="-"/>
    <n v="0.4"/>
    <s v="-"/>
    <x v="1"/>
    <x v="0"/>
    <n v="71.568749999999994"/>
    <n v="82.5"/>
    <n v="174"/>
    <n v="50.33"/>
    <n v="56"/>
    <n v="53"/>
    <n v="13.25"/>
  </r>
  <r>
    <x v="1"/>
    <x v="4"/>
    <x v="35"/>
    <n v="33"/>
    <n v="68"/>
    <x v="2"/>
    <s v="RR"/>
    <s v="MT"/>
    <s v="ID"/>
    <s v="(+9, +9)"/>
    <n v="75"/>
    <n v="25"/>
    <n v="1009"/>
    <n v="156"/>
    <s v="-"/>
    <s v="-"/>
    <n v="3.3"/>
    <n v="4.7"/>
    <n v="197"/>
    <n v="191"/>
    <n v="48"/>
    <n v="30"/>
    <s v="-"/>
    <s v="-"/>
    <s v="-"/>
    <s v="-"/>
    <s v="-"/>
    <s v="-"/>
    <n v="6.9"/>
    <n v="8.1"/>
    <n v="106.45183652429932"/>
    <n v="85.533385678368745"/>
    <n v="34"/>
    <n v="44"/>
    <n v="1"/>
    <n v="1.2"/>
    <n v="0.19999999999999996"/>
    <n v="4.2"/>
    <n v="4.3"/>
    <n v="6.3"/>
    <n v="7.3"/>
    <n v="58"/>
    <n v="68"/>
    <n v="8.8000000000000007"/>
    <n v="10.1"/>
    <n v="4.3"/>
    <n v="4.5"/>
    <n v="107"/>
    <n v="91"/>
    <n v="141"/>
    <n v="154"/>
    <n v="1.9"/>
    <n v="2.4"/>
    <n v="85"/>
    <n v="88"/>
    <n v="296.76077777777783"/>
    <n v="321.95722222222219"/>
    <n v="4.5999999999999996"/>
    <s v="-"/>
    <n v="14"/>
    <s v="-"/>
    <n v="40.4"/>
    <s v="-"/>
    <n v="87.8"/>
    <s v="-"/>
    <n v="30.4"/>
    <s v="-"/>
    <n v="34.700000000000003"/>
    <s v="-"/>
    <n v="257"/>
    <s v="-"/>
    <n v="12.7"/>
    <s v="-"/>
    <s v="-"/>
    <s v="-"/>
    <n v="11.64"/>
    <s v="-"/>
    <n v="78.599999999999994"/>
    <s v="-"/>
    <n v="15.5"/>
    <s v="-"/>
    <n v="5.4"/>
    <s v="-"/>
    <n v="0.4"/>
    <s v="-"/>
    <n v="0.1"/>
    <s v="-"/>
    <x v="0"/>
    <x v="1"/>
    <n v="64.357799999999997"/>
    <n v="74"/>
    <n v="172"/>
    <n v="52.46"/>
    <n v="60"/>
    <n v="58"/>
    <n v="13.03"/>
  </r>
  <r>
    <x v="1"/>
    <x v="4"/>
    <x v="38"/>
    <n v="28"/>
    <n v="77"/>
    <x v="2"/>
    <s v="RR"/>
    <s v="MT"/>
    <s v="ID"/>
    <s v="(-9 , -9)"/>
    <n v="50"/>
    <n v="50"/>
    <n v="330"/>
    <n v="114"/>
    <s v="-"/>
    <s v="-"/>
    <n v="3.1"/>
    <n v="4.5"/>
    <n v="184"/>
    <n v="194"/>
    <n v="34"/>
    <n v="23"/>
    <s v="-"/>
    <s v="-"/>
    <s v="-"/>
    <s v="-"/>
    <s v="-"/>
    <s v="-"/>
    <n v="5.2"/>
    <n v="6.8"/>
    <n v="106.45183652429932"/>
    <n v="85.533385678368745"/>
    <n v="40"/>
    <n v="50"/>
    <n v="1"/>
    <n v="1.2"/>
    <n v="0.19999999999999996"/>
    <n v="4.9000000000000004"/>
    <n v="5.2"/>
    <n v="7.3"/>
    <n v="8.9"/>
    <n v="47"/>
    <n v="133"/>
    <n v="8.9"/>
    <n v="10.199999999999999"/>
    <n v="4"/>
    <n v="4.8"/>
    <n v="97"/>
    <n v="66"/>
    <n v="144"/>
    <n v="149"/>
    <n v="2.2000000000000002"/>
    <n v="2.6"/>
    <n v="85"/>
    <n v="84"/>
    <n v="302.14388888888891"/>
    <n v="312.61799999999999"/>
    <n v="4.5999999999999996"/>
    <s v="-"/>
    <n v="13.6"/>
    <s v="-"/>
    <n v="39.700000000000003"/>
    <s v="-"/>
    <n v="86.3"/>
    <s v="-"/>
    <n v="29.6"/>
    <s v="-"/>
    <n v="34.299999999999997"/>
    <s v="-"/>
    <n v="220"/>
    <s v="-"/>
    <n v="13"/>
    <s v="-"/>
    <s v="-"/>
    <s v="-"/>
    <n v="6.22"/>
    <s v="-"/>
    <n v="61.9"/>
    <s v="-"/>
    <n v="31.7"/>
    <s v="-"/>
    <n v="6.4"/>
    <s v="-"/>
    <n v="0"/>
    <s v="-"/>
    <n v="0"/>
    <s v="-"/>
    <x v="0"/>
    <x v="0"/>
    <n v="71.013225000000006"/>
    <n v="80.25"/>
    <n v="179"/>
    <n v="49.57"/>
    <n v="57"/>
    <n v="52"/>
    <n v="11.51"/>
  </r>
  <r>
    <x v="1"/>
    <x v="4"/>
    <x v="39"/>
    <n v="29"/>
    <n v="83"/>
    <x v="2"/>
    <s v="RX"/>
    <s v="TT"/>
    <s v="DD"/>
    <s v="(+9, +9)"/>
    <n v="87.5"/>
    <n v="12.5"/>
    <n v="185"/>
    <n v="129"/>
    <s v="-"/>
    <s v="-"/>
    <n v="3.3"/>
    <n v="3.6"/>
    <n v="196"/>
    <n v="204"/>
    <n v="26"/>
    <n v="28"/>
    <s v="-"/>
    <s v="-"/>
    <s v="-"/>
    <s v="-"/>
    <s v="-"/>
    <s v="-"/>
    <n v="4.0999999999999996"/>
    <n v="5.8"/>
    <n v="130.32381263076621"/>
    <n v="94.947150652744313"/>
    <n v="37"/>
    <n v="48"/>
    <n v="0.7"/>
    <n v="1.1000000000000001"/>
    <n v="0.40000000000000013"/>
    <n v="4.3"/>
    <n v="5.3"/>
    <n v="7.4"/>
    <n v="8.1999999999999993"/>
    <n v="122"/>
    <n v="130"/>
    <n v="9.3000000000000007"/>
    <n v="9.8000000000000007"/>
    <n v="4.5"/>
    <n v="4.8"/>
    <n v="77"/>
    <n v="80"/>
    <n v="138"/>
    <n v="143"/>
    <n v="2"/>
    <n v="2.2999999999999998"/>
    <n v="84"/>
    <n v="84"/>
    <n v="290.13611111111112"/>
    <n v="302.0191111111111"/>
    <n v="5.2"/>
    <s v="-"/>
    <n v="13.9"/>
    <s v="-"/>
    <n v="40.799999999999997"/>
    <s v="-"/>
    <n v="78.5"/>
    <s v="-"/>
    <n v="26.7"/>
    <s v="-"/>
    <n v="34.1"/>
    <s v="-"/>
    <n v="273"/>
    <s v="-"/>
    <n v="14.1"/>
    <s v="-"/>
    <s v="-"/>
    <s v="-"/>
    <n v="6.69"/>
    <s v="-"/>
    <n v="61.3"/>
    <s v="-"/>
    <n v="25.3"/>
    <s v="-"/>
    <n v="7"/>
    <s v="-"/>
    <n v="0.1"/>
    <s v="-"/>
    <n v="6.3"/>
    <s v="-"/>
    <x v="1"/>
    <x v="0"/>
    <n v="71.552219999999991"/>
    <n v="83.55"/>
    <n v="182.6"/>
    <n v="51.94"/>
    <n v="56"/>
    <n v="52"/>
    <n v="14.36"/>
  </r>
  <r>
    <x v="1"/>
    <x v="4"/>
    <x v="40"/>
    <n v="28"/>
    <n v="92"/>
    <x v="2"/>
    <s v="RX"/>
    <s v="TT"/>
    <s v="II"/>
    <s v="(+9, +9)"/>
    <n v="62.5"/>
    <n v="37.5"/>
    <n v="255"/>
    <n v="95"/>
    <s v="-"/>
    <s v="-"/>
    <n v="2.4"/>
    <n v="3.1"/>
    <n v="188"/>
    <n v="146"/>
    <n v="47"/>
    <n v="25"/>
    <s v="-"/>
    <s v="-"/>
    <s v="-"/>
    <s v="-"/>
    <s v="-"/>
    <s v="-"/>
    <n v="5.3"/>
    <n v="5.4"/>
    <n v="125.17286966375688"/>
    <n v="120.79866842153496"/>
    <n v="38"/>
    <n v="42"/>
    <n v="0.8"/>
    <n v="0.9"/>
    <n v="9.9999999999999978E-2"/>
    <n v="4.5"/>
    <n v="3.8"/>
    <n v="7.2"/>
    <n v="6.9"/>
    <n v="97"/>
    <n v="111"/>
    <n v="9.1999999999999993"/>
    <n v="7.7"/>
    <n v="4.4000000000000004"/>
    <n v="3.7"/>
    <n v="78"/>
    <n v="44"/>
    <n v="142"/>
    <n v="122"/>
    <n v="2.1"/>
    <n v="1.7"/>
    <n v="85"/>
    <n v="79"/>
    <n v="297.62066666666669"/>
    <n v="257.61311111111115"/>
    <n v="4.5999999999999996"/>
    <s v="-"/>
    <n v="14.1"/>
    <s v="-"/>
    <n v="41.7"/>
    <s v="-"/>
    <n v="90.7"/>
    <s v="-"/>
    <n v="30.7"/>
    <s v="-"/>
    <n v="33.799999999999997"/>
    <s v="-"/>
    <n v="224"/>
    <s v="-"/>
    <n v="13.3"/>
    <s v="-"/>
    <s v="-"/>
    <s v="-"/>
    <n v="3.56"/>
    <s v="-"/>
    <n v="32.9"/>
    <s v="-"/>
    <n v="46.3"/>
    <s v="-"/>
    <n v="11.5"/>
    <s v="-"/>
    <n v="9"/>
    <s v="-"/>
    <n v="0.3"/>
    <s v="-"/>
    <x v="0"/>
    <x v="0"/>
    <n v="79.259819999999991"/>
    <n v="92.55"/>
    <n v="183.2"/>
    <n v="45.83"/>
    <n v="58"/>
    <n v="62"/>
    <n v="14.36"/>
  </r>
  <r>
    <x v="1"/>
    <x v="4"/>
    <x v="41"/>
    <n v="26"/>
    <n v="82"/>
    <x v="2"/>
    <s v="XX"/>
    <s v="MT"/>
    <s v="ID"/>
    <s v="(+9, -9)"/>
    <n v="37.5"/>
    <n v="62.5"/>
    <n v="150"/>
    <n v="97"/>
    <s v="-"/>
    <s v="-"/>
    <n v="4.0999999999999996"/>
    <n v="4.0999999999999996"/>
    <n v="188"/>
    <n v="174"/>
    <n v="32"/>
    <n v="26"/>
    <s v="-"/>
    <s v="-"/>
    <s v="-"/>
    <s v="-"/>
    <s v="-"/>
    <s v="-"/>
    <n v="5.3"/>
    <n v="6.7"/>
    <n v="120.79866842153496"/>
    <n v="77.700020894732489"/>
    <n v="30"/>
    <n v="49"/>
    <n v="0.9"/>
    <n v="1.3"/>
    <n v="0.4"/>
    <n v="4.5999999999999996"/>
    <n v="3.2"/>
    <n v="7.3"/>
    <n v="7.8"/>
    <n v="75"/>
    <n v="109"/>
    <n v="9.4"/>
    <n v="9.3000000000000007"/>
    <n v="4.3"/>
    <n v="4.0999999999999996"/>
    <n v="104"/>
    <n v="85"/>
    <n v="141"/>
    <n v="142"/>
    <n v="1.9"/>
    <n v="2.2000000000000002"/>
    <n v="83"/>
    <n v="84"/>
    <n v="295.90244444444448"/>
    <n v="299.34322222222221"/>
    <n v="4.8"/>
    <s v="-"/>
    <n v="15"/>
    <s v="-"/>
    <n v="43.1"/>
    <s v="-"/>
    <n v="89.8"/>
    <s v="-"/>
    <n v="31.3"/>
    <s v="-"/>
    <n v="34.799999999999997"/>
    <s v="-"/>
    <n v="254"/>
    <s v="-"/>
    <n v="13.7"/>
    <s v="-"/>
    <s v="-"/>
    <s v="-"/>
    <n v="7.86"/>
    <s v="-"/>
    <n v="57.8"/>
    <s v="-"/>
    <n v="22.8"/>
    <s v="-"/>
    <n v="12.5"/>
    <s v="-"/>
    <n v="6.4"/>
    <s v="-"/>
    <n v="0.5"/>
    <s v="-"/>
    <x v="1"/>
    <x v="0"/>
    <n v="72.216679999999997"/>
    <n v="87.05"/>
    <n v="173.3"/>
    <n v="46.36"/>
    <n v="50"/>
    <n v="46"/>
    <n v="17.04"/>
  </r>
  <r>
    <x v="1"/>
    <x v="4"/>
    <x v="42"/>
    <n v="25"/>
    <n v="68.7"/>
    <x v="2"/>
    <s v="RR"/>
    <s v="TT"/>
    <s v="ID"/>
    <s v="(+9, -9)"/>
    <n v="75"/>
    <n v="25"/>
    <n v="328"/>
    <n v="172"/>
    <s v="-"/>
    <s v="-"/>
    <n v="2.5"/>
    <n v="4.9000000000000004"/>
    <n v="166"/>
    <n v="166"/>
    <n v="35"/>
    <n v="27"/>
    <s v="-"/>
    <s v="-"/>
    <s v="-"/>
    <s v="-"/>
    <s v="-"/>
    <s v="-"/>
    <n v="4.9000000000000004"/>
    <n v="5.5"/>
    <n v="120.79866842153496"/>
    <n v="94.947150652744313"/>
    <n v="32"/>
    <n v="38"/>
    <n v="0.9"/>
    <n v="1.1000000000000001"/>
    <n v="0.20000000000000007"/>
    <n v="4.0999999999999996"/>
    <n v="3.5"/>
    <n v="6.4"/>
    <n v="6.5"/>
    <n v="29"/>
    <n v="75"/>
    <n v="8.4"/>
    <n v="8.1"/>
    <n v="3.9"/>
    <n v="4.0999999999999996"/>
    <n v="84"/>
    <n v="70"/>
    <n v="139"/>
    <n v="132"/>
    <n v="2"/>
    <n v="2.1"/>
    <n v="83"/>
    <n v="81"/>
    <n v="290.49400000000003"/>
    <n v="277.95155555555556"/>
    <n v="4.8"/>
    <s v="-"/>
    <n v="14.5"/>
    <s v="-"/>
    <n v="41"/>
    <s v="-"/>
    <n v="85.4"/>
    <s v="-"/>
    <n v="30.2"/>
    <s v="-"/>
    <n v="35.4"/>
    <s v="-"/>
    <n v="168"/>
    <s v="-"/>
    <n v="13.2"/>
    <s v="-"/>
    <s v="-"/>
    <s v="-"/>
    <n v="6.69"/>
    <s v="-"/>
    <n v="67.5"/>
    <s v="-"/>
    <n v="19.7"/>
    <s v="-"/>
    <n v="7.3"/>
    <s v="-"/>
    <n v="5.4"/>
    <s v="-"/>
    <n v="0.1"/>
    <s v="-"/>
    <x v="0"/>
    <x v="0"/>
    <n v="66.786999999999992"/>
    <n v="71.05"/>
    <n v="172.4"/>
    <n v="56.66"/>
    <n v="58"/>
    <n v="44"/>
    <n v="6"/>
  </r>
  <r>
    <x v="1"/>
    <x v="4"/>
    <x v="43"/>
    <n v="25"/>
    <n v="0"/>
    <x v="2"/>
    <s v="RR"/>
    <s v="MT"/>
    <s v="ID"/>
    <s v="(+9, +9)"/>
    <n v="75"/>
    <n v="25"/>
    <n v="246"/>
    <s v="-"/>
    <s v="-"/>
    <s v="-"/>
    <n v="2.9"/>
    <s v="-"/>
    <n v="410"/>
    <s v="-"/>
    <n v="32"/>
    <s v="-"/>
    <s v="-"/>
    <s v="-"/>
    <s v="-"/>
    <s v="-"/>
    <s v="-"/>
    <s v="-"/>
    <n v="4.8"/>
    <s v="-"/>
    <n v="106.45183652429932"/>
    <s v="Dados Insuficientes"/>
    <n v="41"/>
    <s v="-"/>
    <n v="1"/>
    <s v="-"/>
    <s v="Dados Insuficientes"/>
    <n v="4.5"/>
    <s v="-"/>
    <n v="7"/>
    <s v="-"/>
    <n v="53"/>
    <s v="-"/>
    <n v="8.9"/>
    <s v="-"/>
    <n v="3.8"/>
    <s v="-"/>
    <n v="61"/>
    <s v="-"/>
    <n v="140"/>
    <s v="-"/>
    <n v="2"/>
    <s v="-"/>
    <n v="83"/>
    <s v="-"/>
    <n v="292.19855555555557"/>
    <s v="Dados Insuficientes"/>
    <n v="5.2"/>
    <s v="-"/>
    <n v="14.3"/>
    <s v="-"/>
    <n v="43.1"/>
    <s v="-"/>
    <n v="83.7"/>
    <s v="-"/>
    <n v="27.8"/>
    <s v="-"/>
    <n v="33.200000000000003"/>
    <s v="-"/>
    <n v="253"/>
    <s v="-"/>
    <n v="13.8"/>
    <s v="-"/>
    <s v="-"/>
    <s v="-"/>
    <n v="4.1100000000000003"/>
    <s v="-"/>
    <n v="56.5"/>
    <s v="-"/>
    <n v="33.1"/>
    <s v="-"/>
    <n v="7.3"/>
    <s v="-"/>
    <n v="2.9"/>
    <s v="-"/>
    <n v="0.2"/>
    <s v="-"/>
    <x v="2"/>
    <x v="1"/>
    <n v="72.202060000000003"/>
    <n v="78.2"/>
    <n v="182.1"/>
    <n v="51.94"/>
    <n v="62"/>
    <n v="65"/>
    <n v="7.67"/>
  </r>
  <r>
    <x v="1"/>
    <x v="7"/>
    <x v="21"/>
    <n v="27"/>
    <n v="72"/>
    <x v="2"/>
    <s v="RX"/>
    <s v="MT"/>
    <s v="ID"/>
    <s v="(+9, +9)"/>
    <n v="62.5"/>
    <n v="37.5"/>
    <n v="99"/>
    <n v="9942"/>
    <s v="-"/>
    <s v="-"/>
    <n v="2"/>
    <n v="1.8"/>
    <n v="200"/>
    <n v="692"/>
    <n v="29"/>
    <n v="177"/>
    <s v="-"/>
    <s v="-"/>
    <s v="-"/>
    <s v="-"/>
    <s v="-"/>
    <s v="-"/>
    <n v="4.4000000000000004"/>
    <n v="7.8"/>
    <n v="120.79866842153496"/>
    <n v="77.700020894732489"/>
    <n v="25"/>
    <n v="82"/>
    <n v="0.9"/>
    <n v="1.3"/>
    <n v="0.4"/>
    <n v="5.6"/>
    <n v="7.4"/>
    <n v="7.9"/>
    <n v="7.1"/>
    <n v="44"/>
    <n v="10"/>
    <n v="10"/>
    <n v="8.3000000000000007"/>
    <n v="4.9000000000000004"/>
    <n v="4.2"/>
    <n v="92"/>
    <n v="155"/>
    <n v="142"/>
    <n v="123"/>
    <n v="2.1"/>
    <n v="1.8"/>
    <n v="99"/>
    <n v="76"/>
    <n v="297.27844444444452"/>
    <n v="274.16144444444444"/>
    <n v="5.85"/>
    <n v="6"/>
    <n v="15.3"/>
    <n v="15.6"/>
    <n v="45.9"/>
    <n v="48.2"/>
    <n v="78"/>
    <n v="80"/>
    <n v="26.1"/>
    <n v="26"/>
    <n v="33.299999999999997"/>
    <n v="32.4"/>
    <n v="344"/>
    <n v="293"/>
    <n v="14.5"/>
    <n v="15.5"/>
    <s v="-"/>
    <s v="-"/>
    <n v="8.6999999999999993"/>
    <n v="14.9"/>
    <n v="63.6"/>
    <n v="69.2"/>
    <n v="32.6"/>
    <n v="25.5"/>
    <n v="2.1"/>
    <n v="3.5"/>
    <n v="1.6"/>
    <n v="1.1000000000000001"/>
    <n v="0.1"/>
    <n v="0.7"/>
    <x v="1"/>
    <x v="1"/>
    <n v="69.121659999999991"/>
    <n v="77.3"/>
    <n v="170.3"/>
    <n v="49.62"/>
    <n v="50"/>
    <n v="52"/>
    <n v="10.58"/>
  </r>
  <r>
    <x v="1"/>
    <x v="7"/>
    <x v="22"/>
    <n v="24"/>
    <n v="77"/>
    <x v="2"/>
    <s v="RX"/>
    <s v="MM"/>
    <s v="II"/>
    <s v="(-9 , -9)"/>
    <n v="12.5"/>
    <n v="87.5"/>
    <n v="64"/>
    <n v="6329"/>
    <s v="-"/>
    <s v="-"/>
    <n v="2.1"/>
    <n v="2.2999999999999998"/>
    <n v="166"/>
    <n v="657"/>
    <n v="21"/>
    <n v="93"/>
    <s v="-"/>
    <s v="-"/>
    <s v="-"/>
    <s v="-"/>
    <s v="-"/>
    <s v="-"/>
    <n v="4.3"/>
    <n v="6.3"/>
    <n v="120.79866842153496"/>
    <n v="130.32381263076621"/>
    <n v="37"/>
    <n v="44"/>
    <n v="0.9"/>
    <n v="0.7"/>
    <n v="0"/>
    <n v="4.2"/>
    <n v="4.3"/>
    <n v="7.5"/>
    <n v="5.0999999999999996"/>
    <n v="10"/>
    <n v="46"/>
    <n v="9.1"/>
    <n v="6.1"/>
    <n v="4.3"/>
    <n v="3.2"/>
    <n v="95"/>
    <n v="62"/>
    <n v="144"/>
    <n v="97"/>
    <n v="2.1"/>
    <n v="1.6"/>
    <n v="100"/>
    <n v="68"/>
    <n v="302.07411111111116"/>
    <n v="211.66644444444447"/>
    <n v="4.63"/>
    <n v="4.1500000000000004"/>
    <n v="14.4"/>
    <n v="14.2"/>
    <n v="43.2"/>
    <n v="30.1"/>
    <n v="93"/>
    <n v="73"/>
    <n v="31.1"/>
    <n v="34.299999999999997"/>
    <n v="33.299999999999997"/>
    <n v="47.3"/>
    <n v="252"/>
    <n v="305"/>
    <n v="13.7"/>
    <n v="28"/>
    <s v="-"/>
    <s v="-"/>
    <n v="7.5"/>
    <n v="7.3"/>
    <n v="63.2"/>
    <n v="54"/>
    <n v="29.3"/>
    <n v="37.299999999999997"/>
    <n v="5.2"/>
    <n v="3.8"/>
    <n v="2.2000000000000002"/>
    <n v="4.2"/>
    <n v="0.1"/>
    <n v="0.7"/>
    <x v="0"/>
    <x v="1"/>
    <n v="70.724639999999994"/>
    <n v="77.599999999999994"/>
    <n v="178"/>
    <n v="53.68"/>
    <n v="51"/>
    <n v="51"/>
    <n v="8.86"/>
  </r>
  <r>
    <x v="1"/>
    <x v="7"/>
    <x v="23"/>
    <n v="24"/>
    <n v="72"/>
    <x v="2"/>
    <s v="XX"/>
    <s v="TT"/>
    <s v="II"/>
    <s v="(-9 , -9)"/>
    <n v="25"/>
    <n v="75"/>
    <n v="66"/>
    <n v="3505"/>
    <s v="-"/>
    <s v="-"/>
    <n v="3.5"/>
    <n v="2.1"/>
    <n v="176"/>
    <n v="456"/>
    <n v="22"/>
    <n v="60"/>
    <s v="-"/>
    <s v="-"/>
    <s v="-"/>
    <s v="-"/>
    <s v="-"/>
    <s v="-"/>
    <n v="4.5"/>
    <n v="7.7"/>
    <n v="106.45183652429932"/>
    <n v="94.947150652744313"/>
    <n v="34"/>
    <n v="61"/>
    <n v="1"/>
    <n v="1.1000000000000001"/>
    <n v="0.10000000000000009"/>
    <n v="5"/>
    <n v="6.8"/>
    <n v="8.1999999999999993"/>
    <n v="8.3000000000000007"/>
    <n v="35"/>
    <n v="21"/>
    <n v="9.8000000000000007"/>
    <n v="9.1999999999999993"/>
    <n v="4.3"/>
    <n v="4.8"/>
    <n v="88"/>
    <n v="95"/>
    <n v="143"/>
    <n v="131"/>
    <n v="1.9"/>
    <n v="2.2999999999999998"/>
    <n v="97"/>
    <n v="78"/>
    <n v="299.2668888888889"/>
    <n v="282.82411111111116"/>
    <n v="5.75"/>
    <n v="6.06"/>
    <n v="15.8"/>
    <n v="16.600000000000001"/>
    <n v="47.2"/>
    <n v="51.4"/>
    <n v="82"/>
    <n v="85"/>
    <n v="27.5"/>
    <n v="27.4"/>
    <n v="33.5"/>
    <n v="32.299999999999997"/>
    <n v="345"/>
    <n v="273"/>
    <n v="15"/>
    <n v="14"/>
    <s v="-"/>
    <s v="-"/>
    <n v="9.5"/>
    <n v="9.1999999999999993"/>
    <n v="66.3"/>
    <n v="51.9"/>
    <n v="28.6"/>
    <n v="43.1"/>
    <n v="2.9"/>
    <n v="3.3"/>
    <n v="2.1"/>
    <n v="1.1000000000000001"/>
    <n v="0.1"/>
    <n v="0.6"/>
    <x v="0"/>
    <x v="1"/>
    <n v="66.241470000000007"/>
    <n v="71.900000000000006"/>
    <n v="173.5"/>
    <n v="55.35"/>
    <n v="54"/>
    <n v="56"/>
    <n v="7.87"/>
  </r>
  <r>
    <x v="1"/>
    <x v="7"/>
    <x v="24"/>
    <n v="24"/>
    <n v="79.5"/>
    <x v="2"/>
    <s v="RX"/>
    <s v="TT"/>
    <s v="DD"/>
    <s v="(+9, -9)"/>
    <n v="75"/>
    <n v="25"/>
    <n v="79"/>
    <n v="8605"/>
    <s v="-"/>
    <s v="-"/>
    <n v="2.9"/>
    <n v="3.3"/>
    <n v="188"/>
    <n v="643"/>
    <n v="28"/>
    <n v="156"/>
    <s v="-"/>
    <s v="-"/>
    <s v="-"/>
    <s v="-"/>
    <s v="-"/>
    <s v="-"/>
    <n v="5.6"/>
    <n v="10.1"/>
    <n v="125.17286966375688"/>
    <n v="94.947150652744313"/>
    <n v="32"/>
    <n v="57"/>
    <n v="0.8"/>
    <n v="1.1000000000000001"/>
    <n v="0.30000000000000004"/>
    <n v="4.8"/>
    <n v="6.7"/>
    <n v="8.5"/>
    <n v="8.9"/>
    <n v="33"/>
    <n v="10"/>
    <n v="10.3"/>
    <n v="9.3000000000000007"/>
    <n v="5"/>
    <n v="4.4000000000000004"/>
    <n v="100"/>
    <n v="137"/>
    <n v="144"/>
    <n v="139"/>
    <n v="1.7"/>
    <n v="2"/>
    <n v="97"/>
    <n v="82"/>
    <n v="302.86222222222221"/>
    <n v="298.97677777777784"/>
    <n v="4.78"/>
    <n v="4.92"/>
    <n v="13.8"/>
    <n v="14.3"/>
    <n v="41.4"/>
    <n v="40.5"/>
    <n v="87"/>
    <n v="82"/>
    <n v="28.8"/>
    <n v="29.1"/>
    <n v="33.299999999999997"/>
    <n v="35.299999999999997"/>
    <n v="286"/>
    <n v="358"/>
    <n v="13.4"/>
    <n v="18.3"/>
    <s v="-"/>
    <s v="-"/>
    <n v="7.8"/>
    <n v="10.7"/>
    <n v="60"/>
    <n v="57.3"/>
    <n v="35.6"/>
    <n v="36.1"/>
    <n v="1.9"/>
    <n v="3"/>
    <n v="2.4"/>
    <n v="2.5"/>
    <n v="0.1"/>
    <n v="1.1000000000000001"/>
    <x v="1"/>
    <x v="1"/>
    <n v="77.330865000000003"/>
    <n v="84.45"/>
    <n v="187"/>
    <n v="0"/>
    <n v="48"/>
    <n v="52"/>
    <n v="8.43"/>
  </r>
  <r>
    <x v="1"/>
    <x v="7"/>
    <x v="25"/>
    <n v="27"/>
    <n v="75"/>
    <x v="2"/>
    <s v="RR"/>
    <s v="TT"/>
    <s v="ID"/>
    <s v="(-9 , -9)"/>
    <n v="62.5"/>
    <n v="37.5"/>
    <n v="120"/>
    <n v="3819"/>
    <s v="-"/>
    <s v="-"/>
    <n v="1.6"/>
    <n v="4.3"/>
    <n v="167"/>
    <n v="592"/>
    <n v="29"/>
    <n v="82"/>
    <s v="-"/>
    <s v="-"/>
    <s v="-"/>
    <s v="-"/>
    <s v="-"/>
    <s v="-"/>
    <n v="4.5999999999999996"/>
    <n v="6.8"/>
    <n v="130.32381263076621"/>
    <n v="130.32381263076621"/>
    <n v="28"/>
    <n v="42"/>
    <n v="0.7"/>
    <n v="0.7"/>
    <n v="0"/>
    <n v="5.0999999999999996"/>
    <n v="4.5"/>
    <n v="7.7"/>
    <n v="7.6"/>
    <n v="27"/>
    <n v="50"/>
    <n v="9.3000000000000007"/>
    <n v="8.9"/>
    <n v="4.7"/>
    <n v="4.5999999999999996"/>
    <n v="81"/>
    <n v="59"/>
    <n v="143"/>
    <n v="127"/>
    <n v="2.1"/>
    <n v="1.9"/>
    <n v="98"/>
    <n v="77"/>
    <n v="298.56366666666668"/>
    <n v="269.54544444444446"/>
    <n v="4.9800000000000004"/>
    <n v="5.29"/>
    <n v="14.9"/>
    <n v="15.7"/>
    <n v="44.1"/>
    <n v="44.4"/>
    <n v="89"/>
    <n v="84"/>
    <n v="29.9"/>
    <n v="29.7"/>
    <n v="33.700000000000003"/>
    <n v="35.4"/>
    <n v="351"/>
    <n v="340"/>
    <n v="14.3"/>
    <n v="16.600000000000001"/>
    <s v="-"/>
    <s v="-"/>
    <n v="9.1999999999999993"/>
    <n v="13.1"/>
    <n v="62.1"/>
    <n v="67.5"/>
    <n v="33.4"/>
    <n v="27.1"/>
    <n v="2.1"/>
    <n v="13.5"/>
    <n v="2.2999999999999998"/>
    <n v="1.1000000000000001"/>
    <n v="0.1"/>
    <n v="0.8"/>
    <x v="0"/>
    <x v="1"/>
    <n v="65.118300000000005"/>
    <n v="76.7"/>
    <n v="171.5"/>
    <n v="47.49"/>
    <n v="54"/>
    <n v="48"/>
    <n v="15.1"/>
  </r>
  <r>
    <x v="1"/>
    <x v="7"/>
    <x v="26"/>
    <n v="25"/>
    <n v="91"/>
    <x v="2"/>
    <s v="RR"/>
    <s v="MT"/>
    <s v="ID"/>
    <s v="(-9 , -9)"/>
    <n v="50"/>
    <n v="50"/>
    <n v="126"/>
    <n v="10002"/>
    <s v="-"/>
    <s v="-"/>
    <n v="2.2000000000000002"/>
    <n v="6"/>
    <n v="183"/>
    <n v="738"/>
    <n v="29"/>
    <n v="140"/>
    <s v="-"/>
    <s v="-"/>
    <s v="-"/>
    <s v="-"/>
    <s v="-"/>
    <s v="-"/>
    <n v="5.4"/>
    <n v="12"/>
    <n v="120.79866842153496"/>
    <n v="60.56325091328862"/>
    <n v="30"/>
    <n v="71"/>
    <n v="0.9"/>
    <n v="1.6"/>
    <n v="0.70000000000000007"/>
    <n v="4.7"/>
    <n v="6.1"/>
    <n v="8.1"/>
    <n v="8.1999999999999993"/>
    <n v="42"/>
    <n v="14"/>
    <n v="10"/>
    <n v="9.1"/>
    <n v="4.8"/>
    <n v="4.3"/>
    <n v="90"/>
    <n v="79"/>
    <n v="145"/>
    <n v="130"/>
    <n v="1.8"/>
    <n v="2"/>
    <n v="102"/>
    <n v="77"/>
    <n v="303.37800000000004"/>
    <n v="280.67855555555559"/>
    <n v="5.32"/>
    <n v="5.82"/>
    <n v="14.3"/>
    <n v="15.9"/>
    <n v="43.5"/>
    <n v="47.6"/>
    <n v="82"/>
    <n v="82"/>
    <n v="26.9"/>
    <n v="27.3"/>
    <n v="32.799999999999997"/>
    <n v="33.4"/>
    <n v="273"/>
    <n v="285"/>
    <n v="14.2"/>
    <n v="13.9"/>
    <s v="-"/>
    <s v="-"/>
    <n v="10.1"/>
    <n v="11.9"/>
    <n v="65.7"/>
    <n v="65.8"/>
    <n v="29.4"/>
    <n v="30.3"/>
    <n v="1.3"/>
    <n v="2.5"/>
    <n v="3.5"/>
    <n v="0.8"/>
    <n v="0.1"/>
    <n v="0.6"/>
    <x v="1"/>
    <x v="1"/>
    <n v="81.751800000000003"/>
    <n v="94"/>
    <n v="176.5"/>
    <n v="46.18"/>
    <n v="54"/>
    <n v="60"/>
    <n v="13.03"/>
  </r>
  <r>
    <x v="1"/>
    <x v="7"/>
    <x v="27"/>
    <n v="33"/>
    <n v="94"/>
    <x v="2"/>
    <s v="RR"/>
    <s v="MT"/>
    <s v="II"/>
    <s v="(+9, -9)"/>
    <n v="50"/>
    <n v="50"/>
    <n v="112"/>
    <n v="6743"/>
    <s v="-"/>
    <s v="-"/>
    <n v="2.5"/>
    <n v="2.7"/>
    <n v="233"/>
    <n v="585"/>
    <n v="28"/>
    <n v="106"/>
    <s v="-"/>
    <s v="-"/>
    <s v="-"/>
    <s v="-"/>
    <s v="-"/>
    <s v="-"/>
    <n v="6"/>
    <n v="8.8000000000000007"/>
    <n v="106.45183652429932"/>
    <n v="71.088527013625097"/>
    <n v="44"/>
    <n v="63"/>
    <n v="1"/>
    <n v="1.4"/>
    <n v="0.39999999999999991"/>
    <n v="4.5"/>
    <n v="5.4"/>
    <n v="8"/>
    <n v="7"/>
    <n v="60"/>
    <n v="10"/>
    <n v="9.8000000000000007"/>
    <n v="8.6"/>
    <n v="4.8"/>
    <n v="4.0999999999999996"/>
    <n v="90"/>
    <n v="98"/>
    <n v="170"/>
    <n v="120"/>
    <n v="1.9"/>
    <n v="1.7"/>
    <n v="103"/>
    <n v="76"/>
    <n v="352.21133333333336"/>
    <n v="261.58711111111108"/>
    <n v="5.39"/>
    <n v="5.18"/>
    <n v="14.2"/>
    <n v="14.5"/>
    <n v="43.2"/>
    <n v="37.700000000000003"/>
    <n v="80"/>
    <n v="73"/>
    <n v="26.3"/>
    <n v="28.1"/>
    <n v="32.799999999999997"/>
    <n v="38.6"/>
    <n v="352"/>
    <n v="341"/>
    <n v="14.2"/>
    <n v="22.9"/>
    <s v="-"/>
    <s v="-"/>
    <n v="10.3"/>
    <n v="8.4"/>
    <n v="74.7"/>
    <n v="52.8"/>
    <n v="20.9"/>
    <n v="40"/>
    <n v="1.8"/>
    <n v="3.6"/>
    <n v="2.5"/>
    <n v="3"/>
    <n v="0.1"/>
    <n v="0.6"/>
    <x v="1"/>
    <x v="1"/>
    <n v="77.466380000000001"/>
    <n v="97.1"/>
    <n v="181"/>
    <n v="44.53"/>
    <n v="66"/>
    <n v="65"/>
    <n v="20.22"/>
  </r>
  <r>
    <x v="1"/>
    <x v="7"/>
    <x v="28"/>
    <n v="35"/>
    <n v="78"/>
    <x v="2"/>
    <s v="RX"/>
    <s v="MT"/>
    <s v="ID"/>
    <s v="(-9 , -9)"/>
    <n v="37.5"/>
    <n v="62.5"/>
    <n v="193"/>
    <n v="14746"/>
    <s v="-"/>
    <s v="-"/>
    <n v="1.5"/>
    <n v="4.7"/>
    <n v="206"/>
    <n v="1393"/>
    <n v="30"/>
    <n v="261"/>
    <s v="-"/>
    <s v="-"/>
    <s v="-"/>
    <s v="-"/>
    <s v="-"/>
    <s v="-"/>
    <n v="6.2"/>
    <n v="8.6"/>
    <n v="120.79866842153496"/>
    <n v="77.700020894732489"/>
    <n v="31"/>
    <n v="76"/>
    <n v="0.9"/>
    <n v="1.3"/>
    <n v="0.4"/>
    <n v="4.5"/>
    <n v="5.8"/>
    <n v="8.3000000000000007"/>
    <n v="8"/>
    <n v="33"/>
    <n v="10"/>
    <n v="10.5"/>
    <n v="9"/>
    <n v="4.7"/>
    <n v="4.5"/>
    <n v="88"/>
    <n v="74"/>
    <n v="145"/>
    <n v="126"/>
    <n v="1.9"/>
    <n v="1.8"/>
    <n v="100"/>
    <n v="76"/>
    <n v="303.2308888888889"/>
    <n v="274.12444444444446"/>
    <n v="4.8"/>
    <n v="5.09"/>
    <n v="15.5"/>
    <n v="17.100000000000001"/>
    <n v="45.5"/>
    <n v="47.1"/>
    <n v="95"/>
    <n v="92"/>
    <n v="32.200000000000003"/>
    <n v="33.700000000000003"/>
    <n v="34"/>
    <n v="36.4"/>
    <n v="292"/>
    <n v="309"/>
    <n v="13.5"/>
    <n v="20.9"/>
    <s v="-"/>
    <s v="-"/>
    <n v="8.1"/>
    <n v="12.7"/>
    <n v="66.900000000000006"/>
    <n v="64.2"/>
    <n v="29.6"/>
    <n v="29.4"/>
    <n v="1.6"/>
    <n v="4.5"/>
    <n v="1.8"/>
    <n v="1.2"/>
    <n v="0.1"/>
    <n v="0.7"/>
    <x v="1"/>
    <x v="1"/>
    <n v="73.247245000000007"/>
    <n v="77.650000000000006"/>
    <n v="184.2"/>
    <n v="54.09"/>
    <n v="56"/>
    <n v="52"/>
    <n v="5.67"/>
  </r>
  <r>
    <x v="1"/>
    <x v="7"/>
    <x v="32"/>
    <n v="35"/>
    <n v="76"/>
    <x v="2"/>
    <s v="RX"/>
    <s v="MM"/>
    <s v="ID"/>
    <s v="(+9, +9)"/>
    <n v="50"/>
    <n v="50"/>
    <n v="71"/>
    <n v="8337"/>
    <s v="-"/>
    <s v="-"/>
    <n v="2.5"/>
    <n v="4"/>
    <n v="154"/>
    <n v="951"/>
    <n v="22"/>
    <n v="124"/>
    <s v="-"/>
    <s v="-"/>
    <s v="-"/>
    <s v="-"/>
    <s v="-"/>
    <s v="-"/>
    <n v="4.3"/>
    <n v="7.9"/>
    <n v="120.79866842153496"/>
    <n v="94.947150652744313"/>
    <n v="37"/>
    <n v="45"/>
    <n v="0.9"/>
    <n v="1.1000000000000001"/>
    <n v="0.20000000000000007"/>
    <n v="4.9000000000000004"/>
    <n v="5.0999999999999996"/>
    <n v="6.9"/>
    <n v="7"/>
    <n v="65"/>
    <n v="10"/>
    <n v="9.5"/>
    <n v="8.4"/>
    <n v="4.3"/>
    <n v="5"/>
    <n v="93"/>
    <n v="66"/>
    <n v="145"/>
    <n v="132"/>
    <n v="1.7"/>
    <n v="1.9"/>
    <n v="100"/>
    <n v="79"/>
    <n v="303.80633333333338"/>
    <n v="280.53666666666669"/>
    <n v="4.96"/>
    <n v="5.42"/>
    <n v="15.3"/>
    <n v="17.100000000000001"/>
    <n v="45.7"/>
    <n v="50.3"/>
    <n v="92"/>
    <n v="93"/>
    <n v="30.9"/>
    <n v="31.6"/>
    <n v="33.6"/>
    <n v="34"/>
    <n v="189"/>
    <n v="144"/>
    <n v="14.8"/>
    <n v="15.3"/>
    <s v="-"/>
    <s v="-"/>
    <n v="8.8000000000000007"/>
    <n v="8.5"/>
    <n v="68.3"/>
    <n v="45.9"/>
    <n v="25.6"/>
    <n v="47.1"/>
    <n v="4.3"/>
    <n v="5.8"/>
    <n v="1.7"/>
    <n v="1"/>
    <n v="0.1"/>
    <n v="0.2"/>
    <x v="0"/>
    <x v="1"/>
    <n v="65.962705"/>
    <n v="75.55"/>
    <n v="177.5"/>
    <n v="50.61"/>
    <n v="56"/>
    <n v="50"/>
    <n v="12.69"/>
  </r>
  <r>
    <x v="1"/>
    <x v="7"/>
    <x v="33"/>
    <n v="31"/>
    <n v="76"/>
    <x v="2"/>
    <s v="XX"/>
    <s v="MT"/>
    <s v="ID"/>
    <s v="(+9, +9)"/>
    <n v="50"/>
    <n v="50"/>
    <n v="70"/>
    <n v="3768"/>
    <s v="-"/>
    <s v="-"/>
    <n v="4"/>
    <n v="2.7"/>
    <n v="252"/>
    <n v="631"/>
    <n v="31"/>
    <n v="111"/>
    <s v="-"/>
    <s v="-"/>
    <s v="-"/>
    <s v="-"/>
    <s v="-"/>
    <s v="-"/>
    <n v="5.2"/>
    <n v="5.7"/>
    <n v="125.17286966375688"/>
    <n v="125.17286966375688"/>
    <n v="39"/>
    <n v="39"/>
    <n v="0.8"/>
    <n v="0.8"/>
    <n v="0"/>
    <n v="4.8"/>
    <n v="4.4000000000000004"/>
    <n v="7.8"/>
    <n v="6.4"/>
    <n v="77"/>
    <n v="83"/>
    <n v="9.1"/>
    <n v="7.8"/>
    <n v="4.7"/>
    <n v="4"/>
    <n v="77"/>
    <n v="79"/>
    <n v="144"/>
    <n v="116"/>
    <n v="2.1"/>
    <n v="1.5"/>
    <n v="98"/>
    <n v="74"/>
    <n v="302.00144444444442"/>
    <n v="248.74722222222223"/>
    <n v="5.0199999999999996"/>
    <n v="4.32"/>
    <n v="15.6"/>
    <n v="15.4"/>
    <n v="46"/>
    <n v="29.1"/>
    <n v="92"/>
    <n v="67"/>
    <n v="31"/>
    <n v="35.5"/>
    <n v="33.799999999999997"/>
    <n v="52.8"/>
    <n v="279"/>
    <n v="371"/>
    <n v="13.7"/>
    <n v="34.5"/>
    <s v="-"/>
    <s v="-"/>
    <n v="9.8000000000000007"/>
    <n v="11.8"/>
    <n v="71.099999999999994"/>
    <n v="55.8"/>
    <n v="25.1"/>
    <n v="38.5"/>
    <n v="1.9"/>
    <n v="3.5"/>
    <n v="1.8"/>
    <n v="1.3"/>
    <n v="0.1"/>
    <n v="0.9"/>
    <x v="0"/>
    <x v="1"/>
    <n v="71.403599999999997"/>
    <n v="78.5"/>
    <n v="173.5"/>
    <n v="51.8"/>
    <n v="57"/>
    <n v="60"/>
    <n v="9.0399999999999991"/>
  </r>
  <r>
    <x v="1"/>
    <x v="7"/>
    <x v="34"/>
    <n v="32"/>
    <n v="78"/>
    <x v="2"/>
    <s v="RR"/>
    <s v="TT"/>
    <s v="ID"/>
    <s v="(+9, +9)"/>
    <n v="87.5"/>
    <n v="12.5"/>
    <n v="76"/>
    <n v="8713"/>
    <s v="-"/>
    <s v="-"/>
    <n v="3.4"/>
    <n v="2.8"/>
    <n v="224"/>
    <n v="1171"/>
    <n v="26"/>
    <n v="151"/>
    <s v="-"/>
    <s v="-"/>
    <s v="-"/>
    <s v="-"/>
    <s v="-"/>
    <s v="-"/>
    <n v="6.3"/>
    <n v="14.9"/>
    <n v="125.17286966375688"/>
    <n v="43.700862116564139"/>
    <n v="37"/>
    <n v="103"/>
    <n v="0.8"/>
    <n v="2.1"/>
    <n v="1.3"/>
    <n v="5.2"/>
    <n v="8.1999999999999993"/>
    <n v="7.6"/>
    <n v="9.3000000000000007"/>
    <n v="62"/>
    <n v="29"/>
    <n v="9.3000000000000007"/>
    <n v="10.5"/>
    <n v="4.8"/>
    <n v="5.0999999999999996"/>
    <n v="76"/>
    <n v="96"/>
    <n v="140"/>
    <n v="149"/>
    <n v="2"/>
    <n v="3"/>
    <n v="95"/>
    <n v="84"/>
    <n v="294.35022222222227"/>
    <n v="323.92599999999999"/>
    <n v="4.79"/>
    <n v="4.8600000000000003"/>
    <n v="14.4"/>
    <n v="14.9"/>
    <n v="42.9"/>
    <n v="46.7"/>
    <n v="90"/>
    <n v="96"/>
    <n v="30.2"/>
    <n v="30.6"/>
    <n v="33.700000000000003"/>
    <n v="31.8"/>
    <n v="346"/>
    <n v="246"/>
    <n v="14"/>
    <n v="13.8"/>
    <s v="-"/>
    <s v="-"/>
    <n v="10.5"/>
    <n v="12.5"/>
    <n v="78.099999999999994"/>
    <n v="74.3"/>
    <n v="17.7"/>
    <n v="21.3"/>
    <n v="2.4"/>
    <n v="2.9"/>
    <n v="1.7"/>
    <n v="1.1000000000000001"/>
    <n v="0.1"/>
    <n v="0.4"/>
    <x v="1"/>
    <x v="1"/>
    <n v="71.568749999999994"/>
    <n v="82.5"/>
    <n v="174"/>
    <n v="50.33"/>
    <n v="56"/>
    <n v="53"/>
    <n v="13.25"/>
  </r>
  <r>
    <x v="1"/>
    <x v="7"/>
    <x v="35"/>
    <n v="33"/>
    <n v="68"/>
    <x v="2"/>
    <s v="RR"/>
    <s v="MT"/>
    <s v="ID"/>
    <s v="(+9, +9)"/>
    <n v="75"/>
    <n v="25"/>
    <n v="99"/>
    <n v="5093"/>
    <s v="-"/>
    <s v="-"/>
    <n v="2.5"/>
    <n v="4.5"/>
    <n v="191"/>
    <n v="711"/>
    <n v="26"/>
    <n v="95"/>
    <s v="-"/>
    <s v="-"/>
    <s v="-"/>
    <s v="-"/>
    <s v="-"/>
    <s v="-"/>
    <n v="6.4"/>
    <n v="8.9"/>
    <n v="94.947150652744313"/>
    <n v="106.45183652429932"/>
    <n v="43"/>
    <n v="60"/>
    <n v="1.1000000000000001"/>
    <n v="1"/>
    <n v="0"/>
    <n v="4.5999999999999996"/>
    <n v="5.2"/>
    <n v="8.6"/>
    <n v="7.1"/>
    <n v="60"/>
    <n v="15"/>
    <n v="10.7"/>
    <n v="8.9"/>
    <n v="4.8"/>
    <n v="4"/>
    <n v="105"/>
    <n v="114"/>
    <n v="167"/>
    <n v="127"/>
    <n v="2.2999999999999998"/>
    <n v="1.9"/>
    <n v="91"/>
    <n v="78"/>
    <n v="347.42300000000006"/>
    <n v="274.94333333333338"/>
    <n v="4.59"/>
    <n v="4.03"/>
    <n v="14"/>
    <n v="14.4"/>
    <n v="41"/>
    <n v="28.2"/>
    <n v="89"/>
    <n v="70"/>
    <n v="30.5"/>
    <n v="35.700000000000003"/>
    <n v="34.200000000000003"/>
    <n v="51.1"/>
    <n v="311"/>
    <n v="343"/>
    <n v="14.1"/>
    <n v="30.6"/>
    <s v="-"/>
    <s v="-"/>
    <n v="6.7"/>
    <s v="-"/>
    <n v="61.8"/>
    <s v="-"/>
    <n v="34"/>
    <s v="-"/>
    <n v="2.7"/>
    <s v="-"/>
    <n v="1.4"/>
    <s v="-"/>
    <n v="0.1"/>
    <s v="-"/>
    <x v="0"/>
    <x v="1"/>
    <n v="64.357799999999997"/>
    <n v="74"/>
    <n v="172"/>
    <n v="52.46"/>
    <n v="60"/>
    <n v="58"/>
    <n v="13.03"/>
  </r>
  <r>
    <x v="1"/>
    <x v="7"/>
    <x v="36"/>
    <n v="31"/>
    <n v="82"/>
    <x v="2"/>
    <s v="RX"/>
    <s v="MT"/>
    <s v="II"/>
    <s v="(+9, +9)"/>
    <n v="50"/>
    <n v="50"/>
    <n v="146"/>
    <n v="11557"/>
    <s v="-"/>
    <s v="-"/>
    <n v="2.5"/>
    <n v="2.2999999999999998"/>
    <n v="177"/>
    <n v="1417"/>
    <n v="27"/>
    <n v="121"/>
    <s v="-"/>
    <s v="-"/>
    <s v="-"/>
    <s v="-"/>
    <s v="-"/>
    <s v="-"/>
    <n v="4.8"/>
    <n v="7.8"/>
    <n v="120.79866842153496"/>
    <n v="106.45183652429932"/>
    <n v="31"/>
    <n v="43"/>
    <n v="0.9"/>
    <n v="1"/>
    <n v="9.9999999999999978E-2"/>
    <n v="4.7"/>
    <n v="5.0999999999999996"/>
    <n v="6.7"/>
    <n v="5.8"/>
    <n v="78"/>
    <n v="30"/>
    <n v="9"/>
    <n v="7.6"/>
    <n v="4.2"/>
    <n v="4.3"/>
    <n v="97"/>
    <n v="90"/>
    <n v="139"/>
    <n v="114"/>
    <n v="1.6"/>
    <n v="1.6"/>
    <n v="99"/>
    <n v="75"/>
    <n v="291.71588888888886"/>
    <n v="246.95466666666667"/>
    <n v="4.7699999999999996"/>
    <n v="0.35"/>
    <n v="14.3"/>
    <n v="3.2"/>
    <n v="42"/>
    <n v="25"/>
    <n v="88"/>
    <n v="71"/>
    <n v="30"/>
    <n v="92.1"/>
    <n v="34.1"/>
    <n v="129"/>
    <n v="283"/>
    <n v="363"/>
    <n v="14.1"/>
    <n v="32.299999999999997"/>
    <s v="-"/>
    <s v="-"/>
    <n v="8.6"/>
    <s v="-"/>
    <n v="671"/>
    <s v="-"/>
    <n v="28.5"/>
    <s v="-"/>
    <n v="2.2999999999999998"/>
    <s v="-"/>
    <n v="1.9"/>
    <s v="-"/>
    <n v="0.2"/>
    <s v="-"/>
    <x v="0"/>
    <x v="1"/>
    <n v="75.540360000000007"/>
    <n v="81.2"/>
    <n v="174"/>
    <n v="49.27"/>
    <n v="64"/>
    <n v="64"/>
    <n v="6.97"/>
  </r>
  <r>
    <x v="1"/>
    <x v="7"/>
    <x v="38"/>
    <n v="28"/>
    <n v="77"/>
    <x v="2"/>
    <s v="RR"/>
    <s v="MT"/>
    <s v="ID"/>
    <s v="(-9 , -9)"/>
    <n v="50"/>
    <n v="50"/>
    <n v="76"/>
    <n v="4629"/>
    <s v="-"/>
    <s v="-"/>
    <n v="1.4"/>
    <n v="2.8"/>
    <n v="166"/>
    <n v="587"/>
    <n v="21"/>
    <n v="76"/>
    <s v="-"/>
    <s v="-"/>
    <s v="-"/>
    <s v="-"/>
    <s v="-"/>
    <s v="-"/>
    <n v="4.5999999999999996"/>
    <n v="7.6"/>
    <n v="120.79866842153496"/>
    <n v="85.533385678368745"/>
    <n v="33"/>
    <n v="56"/>
    <n v="0.9"/>
    <n v="1.2"/>
    <n v="0.29999999999999993"/>
    <n v="4.5"/>
    <n v="5.4"/>
    <n v="7.9"/>
    <n v="7.9"/>
    <n v="34"/>
    <n v="86"/>
    <n v="9.5"/>
    <n v="8.6999999999999993"/>
    <n v="4.0999999999999996"/>
    <n v="3.7"/>
    <n v="97"/>
    <n v="97"/>
    <n v="144"/>
    <n v="126"/>
    <n v="2"/>
    <n v="1.8"/>
    <n v="99"/>
    <n v="76"/>
    <n v="301.1632222222222"/>
    <n v="270.77255555555553"/>
    <n v="4.84"/>
    <n v="5.31"/>
    <n v="14.6"/>
    <n v="16.100000000000001"/>
    <n v="44"/>
    <n v="47.4"/>
    <n v="91"/>
    <n v="89"/>
    <n v="30.1"/>
    <n v="30.3"/>
    <n v="33.200000000000003"/>
    <n v="34"/>
    <n v="236"/>
    <n v="306"/>
    <n v="14"/>
    <n v="14.4"/>
    <s v="-"/>
    <s v="-"/>
    <n v="7.5"/>
    <s v="-"/>
    <n v="62.8"/>
    <s v="-"/>
    <n v="35.4"/>
    <s v="-"/>
    <n v="1.4"/>
    <s v="-"/>
    <n v="0.3"/>
    <s v="-"/>
    <n v="0.1"/>
    <s v="-"/>
    <x v="1"/>
    <x v="1"/>
    <n v="71.013225000000006"/>
    <n v="80.25"/>
    <n v="179"/>
    <n v="49.57"/>
    <n v="57"/>
    <n v="52"/>
    <n v="11.51"/>
  </r>
  <r>
    <x v="1"/>
    <x v="7"/>
    <x v="39"/>
    <n v="29"/>
    <n v="83"/>
    <x v="2"/>
    <s v="RX"/>
    <s v="TT"/>
    <s v="DD"/>
    <s v="(+9, +9)"/>
    <n v="87.5"/>
    <n v="12.5"/>
    <n v="91"/>
    <n v="3942"/>
    <s v="-"/>
    <s v="-"/>
    <n v="4.0999999999999996"/>
    <n v="3.3"/>
    <n v="206"/>
    <n v="668"/>
    <n v="28"/>
    <n v="77"/>
    <s v="-"/>
    <s v="-"/>
    <s v="-"/>
    <s v="-"/>
    <s v="-"/>
    <s v="-"/>
    <n v="4.7"/>
    <n v="6.4"/>
    <n v="130.32381263076621"/>
    <n v="125.17286966375688"/>
    <n v="33"/>
    <n v="43"/>
    <n v="0.7"/>
    <n v="0.8"/>
    <n v="0.10000000000000009"/>
    <n v="5"/>
    <n v="6.5"/>
    <n v="8.4"/>
    <n v="9"/>
    <n v="100"/>
    <n v="62"/>
    <n v="10"/>
    <n v="9.1999999999999993"/>
    <n v="4.7"/>
    <n v="5.3"/>
    <n v="98"/>
    <n v="89"/>
    <n v="142"/>
    <n v="131"/>
    <n v="2.1"/>
    <n v="1.9"/>
    <n v="97"/>
    <n v="79"/>
    <n v="298.62311111111109"/>
    <n v="280.37077777777785"/>
    <n v="5.83"/>
    <n v="3.74"/>
    <n v="15.9"/>
    <n v="13.7"/>
    <n v="47.2"/>
    <n v="24.8"/>
    <n v="81"/>
    <n v="66"/>
    <n v="27.2"/>
    <n v="36.700000000000003"/>
    <n v="33.6"/>
    <n v="55.4"/>
    <n v="275"/>
    <n v="214"/>
    <n v="13.8"/>
    <n v="32.700000000000003"/>
    <s v="-"/>
    <s v="-"/>
    <n v="8.3000000000000007"/>
    <s v="-"/>
    <n v="67.900000000000006"/>
    <s v="-"/>
    <n v="26.8"/>
    <s v="-"/>
    <n v="2.7"/>
    <s v="-"/>
    <n v="2.5"/>
    <s v="-"/>
    <n v="0.1"/>
    <s v="-"/>
    <x v="0"/>
    <x v="1"/>
    <n v="71.552219999999991"/>
    <n v="83.55"/>
    <n v="182.6"/>
    <n v="51.94"/>
    <n v="56"/>
    <n v="52"/>
    <n v="14.36"/>
  </r>
  <r>
    <x v="1"/>
    <x v="7"/>
    <x v="40"/>
    <n v="28"/>
    <n v="92"/>
    <x v="2"/>
    <s v="RX"/>
    <s v="TT"/>
    <s v="II"/>
    <s v="(+9, +9)"/>
    <n v="62.5"/>
    <n v="37.5"/>
    <n v="109"/>
    <n v="3279"/>
    <s v="-"/>
    <s v="-"/>
    <n v="1.6"/>
    <n v="2.1"/>
    <n v="198"/>
    <n v="662"/>
    <n v="34"/>
    <n v="96"/>
    <s v="-"/>
    <s v="-"/>
    <s v="-"/>
    <s v="-"/>
    <s v="-"/>
    <s v="-"/>
    <n v="5.3"/>
    <n v="7.9"/>
    <n v="125.17286966375688"/>
    <n v="125.17286966375688"/>
    <n v="40"/>
    <n v="53"/>
    <n v="0.8"/>
    <n v="0.8"/>
    <n v="0"/>
    <n v="4.5999999999999996"/>
    <n v="7.4"/>
    <n v="7.7"/>
    <n v="8.6"/>
    <n v="38"/>
    <n v="10"/>
    <n v="10.1"/>
    <n v="0.2"/>
    <n v="4.8"/>
    <n v="5"/>
    <n v="89"/>
    <n v="101"/>
    <n v="144"/>
    <n v="141"/>
    <n v="1.9"/>
    <n v="1.9"/>
    <n v="101"/>
    <n v="82"/>
    <n v="303.12077777777785"/>
    <n v="300.8461111111111"/>
    <n v="4.7699999999999996"/>
    <n v="3.49"/>
    <n v="14.8"/>
    <n v="11.6"/>
    <n v="44.3"/>
    <n v="32.4"/>
    <n v="93"/>
    <n v="93"/>
    <n v="31"/>
    <n v="33.4"/>
    <n v="33.4"/>
    <n v="36"/>
    <n v="264"/>
    <n v="124"/>
    <n v="13.3"/>
    <n v="14.8"/>
    <s v="-"/>
    <s v="-"/>
    <n v="4.4000000000000004"/>
    <s v="-"/>
    <n v="43.2"/>
    <s v="-"/>
    <n v="46.7"/>
    <s v="-"/>
    <n v="2.1"/>
    <s v="-"/>
    <n v="7.9"/>
    <s v="-"/>
    <n v="0.1"/>
    <s v="-"/>
    <x v="0"/>
    <x v="1"/>
    <n v="79.259819999999991"/>
    <n v="92.55"/>
    <n v="183.2"/>
    <n v="45.83"/>
    <n v="58"/>
    <n v="62"/>
    <n v="14.36"/>
  </r>
  <r>
    <x v="1"/>
    <x v="7"/>
    <x v="41"/>
    <n v="26"/>
    <n v="82"/>
    <x v="2"/>
    <s v="XX"/>
    <s v="MT"/>
    <s v="ID"/>
    <s v="(+9, -9)"/>
    <n v="37.5"/>
    <n v="62.5"/>
    <n v="106"/>
    <n v="7134"/>
    <s v="-"/>
    <s v="-"/>
    <n v="2.2999999999999998"/>
    <n v="3.4"/>
    <n v="194"/>
    <n v="655"/>
    <n v="37"/>
    <n v="100"/>
    <s v="-"/>
    <s v="-"/>
    <s v="-"/>
    <s v="-"/>
    <s v="-"/>
    <s v="-"/>
    <n v="4.7"/>
    <n v="7.5"/>
    <n v="125.17286966375688"/>
    <n v="94.947150652744313"/>
    <n v="37"/>
    <n v="46"/>
    <n v="0.8"/>
    <n v="1.1000000000000001"/>
    <n v="0.30000000000000004"/>
    <n v="4.5"/>
    <n v="5.6"/>
    <n v="7.4"/>
    <n v="8.1999999999999993"/>
    <n v="49"/>
    <n v="40"/>
    <n v="9.1999999999999993"/>
    <n v="9.4"/>
    <n v="4.0999999999999996"/>
    <n v="4.3"/>
    <n v="86"/>
    <n v="90"/>
    <n v="141"/>
    <n v="131"/>
    <n v="1.9"/>
    <n v="1.8"/>
    <n v="99"/>
    <n v="79"/>
    <n v="295.54711111111118"/>
    <n v="279.0746666666667"/>
    <n v="4.93"/>
    <s v="-"/>
    <n v="15.5"/>
    <s v="-"/>
    <n v="46.2"/>
    <s v="-"/>
    <n v="94"/>
    <s v="-"/>
    <n v="31.5"/>
    <s v="-"/>
    <n v="33.5"/>
    <s v="-"/>
    <n v="280"/>
    <s v="-"/>
    <n v="13.5"/>
    <s v="-"/>
    <s v="-"/>
    <s v="-"/>
    <n v="10.199999999999999"/>
    <s v="-"/>
    <n v="61.9"/>
    <s v="-"/>
    <n v="32.6"/>
    <s v="-"/>
    <n v="2.4"/>
    <s v="-"/>
    <n v="3"/>
    <s v="-"/>
    <n v="0.1"/>
    <s v="-"/>
    <x v="1"/>
    <x v="1"/>
    <n v="72.216679999999997"/>
    <n v="87.05"/>
    <n v="173.3"/>
    <n v="46.36"/>
    <n v="50"/>
    <n v="46"/>
    <n v="17.04"/>
  </r>
  <r>
    <x v="1"/>
    <x v="7"/>
    <x v="42"/>
    <n v="25"/>
    <n v="68.7"/>
    <x v="2"/>
    <s v="RR"/>
    <s v="TT"/>
    <s v="ID"/>
    <s v="(+9, -9)"/>
    <n v="75"/>
    <n v="25"/>
    <n v="345"/>
    <n v="10820"/>
    <s v="-"/>
    <s v="-"/>
    <n v="1.3"/>
    <n v="2.1"/>
    <n v="180"/>
    <n v="903"/>
    <n v="35"/>
    <n v="171"/>
    <s v="-"/>
    <s v="-"/>
    <s v="-"/>
    <s v="-"/>
    <s v="-"/>
    <s v="-"/>
    <n v="4.9000000000000004"/>
    <n v="8.3000000000000007"/>
    <n v="120.79866842153496"/>
    <n v="94.947150652744313"/>
    <n v="31"/>
    <n v="58"/>
    <n v="0.9"/>
    <n v="1.1000000000000001"/>
    <n v="0.20000000000000007"/>
    <n v="5.0999999999999996"/>
    <n v="6.7"/>
    <n v="7.1"/>
    <n v="8.1999999999999993"/>
    <n v="85"/>
    <n v="27"/>
    <n v="9.3000000000000007"/>
    <n v="9.6"/>
    <n v="4.3"/>
    <n v="4.9000000000000004"/>
    <n v="76"/>
    <n v="134"/>
    <n v="140"/>
    <n v="139"/>
    <n v="1.8"/>
    <n v="2.2000000000000002"/>
    <n v="97"/>
    <n v="82"/>
    <n v="292.42022222222226"/>
    <n v="299.88177777777781"/>
    <n v="5.18"/>
    <s v="-"/>
    <n v="15.5"/>
    <s v="-"/>
    <n v="46.7"/>
    <s v="-"/>
    <n v="90"/>
    <s v="-"/>
    <n v="29.9"/>
    <s v="-"/>
    <n v="33.200000000000003"/>
    <s v="-"/>
    <n v="198"/>
    <s v="-"/>
    <n v="15.3"/>
    <s v="-"/>
    <s v="-"/>
    <s v="-"/>
    <n v="7.8"/>
    <s v="-"/>
    <n v="66.400000000000006"/>
    <s v="-"/>
    <n v="29.4"/>
    <s v="-"/>
    <n v="1.3"/>
    <s v="-"/>
    <n v="2.8"/>
    <s v="-"/>
    <n v="0.1"/>
    <s v="-"/>
    <x v="0"/>
    <x v="1"/>
    <n v="66.786999999999992"/>
    <n v="71.05"/>
    <n v="172.4"/>
    <n v="56.66"/>
    <n v="58"/>
    <n v="44"/>
    <n v="6"/>
  </r>
  <r>
    <x v="1"/>
    <x v="7"/>
    <x v="43"/>
    <n v="25"/>
    <n v="0"/>
    <x v="2"/>
    <s v="RR"/>
    <s v="MT"/>
    <s v="ID"/>
    <s v="(+9, +9)"/>
    <n v="75"/>
    <n v="25"/>
    <n v="134"/>
    <n v="11501"/>
    <s v="-"/>
    <s v="-"/>
    <n v="1.8"/>
    <s v="-"/>
    <n v="164"/>
    <n v="663"/>
    <n v="25"/>
    <n v="178"/>
    <s v="-"/>
    <s v="-"/>
    <s v="-"/>
    <s v="-"/>
    <s v="-"/>
    <s v="-"/>
    <n v="4.8"/>
    <n v="9.8000000000000007"/>
    <n v="106.45183652429932"/>
    <n v="77.700020894732489"/>
    <n v="34"/>
    <n v="71"/>
    <n v="1"/>
    <n v="1.3"/>
    <n v="0.30000000000000004"/>
    <n v="5.0999999999999996"/>
    <n v="5.5"/>
    <n v="7.5"/>
    <n v="8.4"/>
    <n v="42"/>
    <n v="10"/>
    <n v="9.6"/>
    <n v="8.9"/>
    <n v="4.0999999999999996"/>
    <n v="4.9000000000000004"/>
    <n v="85"/>
    <n v="68"/>
    <n v="143"/>
    <n v="140"/>
    <n v="1.8"/>
    <n v="2.6"/>
    <n v="98"/>
    <n v="83"/>
    <n v="298.70322222222222"/>
    <n v="299.69177777777776"/>
    <n v="5.47"/>
    <s v="-"/>
    <n v="15.3"/>
    <s v="-"/>
    <n v="46.1"/>
    <s v="-"/>
    <n v="84"/>
    <s v="-"/>
    <n v="28"/>
    <s v="-"/>
    <n v="33.200000000000003"/>
    <s v="-"/>
    <n v="267"/>
    <s v="-"/>
    <n v="14.5"/>
    <s v="-"/>
    <s v="-"/>
    <s v="-"/>
    <n v="6.1"/>
    <s v="-"/>
    <n v="65"/>
    <s v="-"/>
    <n v="30.3"/>
    <s v="-"/>
    <n v="2.4"/>
    <s v="-"/>
    <n v="2.2000000000000002"/>
    <s v="-"/>
    <n v="0.1"/>
    <s v="-"/>
    <x v="1"/>
    <x v="1"/>
    <n v="72.202060000000003"/>
    <n v="78.2"/>
    <n v="182.1"/>
    <n v="51.94"/>
    <n v="62"/>
    <n v="65"/>
    <n v="7.67"/>
  </r>
  <r>
    <x v="2"/>
    <x v="0"/>
    <x v="44"/>
    <n v="30"/>
    <n v="73"/>
    <x v="0"/>
    <s v="RX"/>
    <s v="MM"/>
    <s v="DD"/>
    <s v="(+9, -9)"/>
    <n v="50"/>
    <n v="50"/>
    <n v="995"/>
    <n v="6454"/>
    <n v="26"/>
    <n v="55"/>
    <s v="-"/>
    <s v="-"/>
    <n v="619"/>
    <n v="1023"/>
    <n v="64"/>
    <n v="116"/>
    <n v="4.7"/>
    <n v="4.5999999999999996"/>
    <n v="80"/>
    <n v="84"/>
    <n v="11"/>
    <n v="12"/>
    <s v="-"/>
    <s v="-"/>
    <n v="125.17286966375688"/>
    <n v="120.79866842153496"/>
    <n v="36"/>
    <n v="67"/>
    <n v="0.8"/>
    <n v="0.9"/>
    <n v="9.9999999999999978E-2"/>
    <n v="3.4"/>
    <n v="3.6"/>
    <n v="7.4"/>
    <n v="7.6"/>
    <s v="-"/>
    <s v="-"/>
    <n v="10.1"/>
    <n v="9.6999999999999993"/>
    <n v="5.4"/>
    <s v="-"/>
    <n v="91"/>
    <n v="79"/>
    <n v="141"/>
    <n v="137"/>
    <s v="-"/>
    <s v="-"/>
    <s v="-"/>
    <s v="-"/>
    <n v="298.1178888888889"/>
    <s v="Dados Insuficientes"/>
    <n v="5.23"/>
    <n v="4.87"/>
    <n v="14.8"/>
    <n v="14.1"/>
    <n v="48.7"/>
    <n v="45.4"/>
    <n v="93.1"/>
    <n v="93.2"/>
    <n v="28.3"/>
    <n v="29"/>
    <n v="30.4"/>
    <n v="31.1"/>
    <n v="272"/>
    <n v="329"/>
    <n v="12.4"/>
    <n v="12.6"/>
    <n v="0.78"/>
    <n v="0.99"/>
    <n v="4.8099999999999996"/>
    <n v="9.8800000000000008"/>
    <n v="58"/>
    <n v="64.2"/>
    <n v="29.1"/>
    <n v="25.4"/>
    <n v="9.6"/>
    <n v="8.6"/>
    <n v="2.5"/>
    <n v="1.4"/>
    <n v="0.8"/>
    <n v="0.4"/>
    <x v="0"/>
    <x v="1"/>
    <n v="66.363659999999996"/>
    <n v="72.599999999999994"/>
    <n v="180"/>
    <n v="52.5"/>
    <n v="45"/>
    <n v="42"/>
    <n v="8.59"/>
  </r>
  <r>
    <x v="2"/>
    <x v="0"/>
    <x v="45"/>
    <n v="29"/>
    <n v="70"/>
    <x v="1"/>
    <s v="RX"/>
    <s v="MT"/>
    <s v="DD"/>
    <s v="(+9, -9)"/>
    <n v="62.5"/>
    <n v="37.5"/>
    <n v="281"/>
    <n v="766"/>
    <n v="16"/>
    <n v="35"/>
    <s v="-"/>
    <s v="-"/>
    <n v="626"/>
    <n v="774"/>
    <n v="56"/>
    <n v="65"/>
    <n v="4.5"/>
    <n v="4.7"/>
    <n v="60"/>
    <n v="65"/>
    <n v="17"/>
    <n v="12"/>
    <s v="-"/>
    <s v="-"/>
    <n v="120.79866842153496"/>
    <n v="120.79866842153496"/>
    <n v="40"/>
    <n v="54"/>
    <n v="0.9"/>
    <n v="0.9"/>
    <n v="0"/>
    <n v="3.8"/>
    <n v="4.2"/>
    <n v="6.7"/>
    <n v="7.4"/>
    <s v="-"/>
    <s v="-"/>
    <n v="9.9"/>
    <n v="9.9"/>
    <n v="5.2"/>
    <n v="5.0999999999999996"/>
    <n v="91"/>
    <n v="79"/>
    <n v="141"/>
    <n v="137"/>
    <s v="-"/>
    <s v="-"/>
    <s v="-"/>
    <s v="-"/>
    <n v="298.41255555555557"/>
    <n v="292.3532222222222"/>
    <n v="5.14"/>
    <n v="5.09"/>
    <n v="15"/>
    <n v="15"/>
    <n v="44.7"/>
    <n v="44.3"/>
    <n v="87"/>
    <n v="87"/>
    <n v="29.2"/>
    <n v="29.5"/>
    <n v="33.6"/>
    <n v="33.9"/>
    <n v="165"/>
    <n v="192"/>
    <n v="12.7"/>
    <n v="12.9"/>
    <n v="1.62"/>
    <n v="1.26"/>
    <n v="6.51"/>
    <n v="6.41"/>
    <n v="46.6"/>
    <n v="41.8"/>
    <n v="34.700000000000003"/>
    <n v="31.4"/>
    <n v="7.2"/>
    <n v="9.5"/>
    <n v="10.9"/>
    <n v="17"/>
    <n v="0.6"/>
    <n v="0.3"/>
    <x v="0"/>
    <x v="0"/>
    <n v="0"/>
    <n v="0"/>
    <n v="0"/>
    <n v="0"/>
    <n v="0"/>
    <n v="0"/>
    <n v="0"/>
  </r>
  <r>
    <x v="2"/>
    <x v="0"/>
    <x v="46"/>
    <n v="28"/>
    <n v="0"/>
    <x v="0"/>
    <s v="RX"/>
    <s v="TT"/>
    <s v="DD"/>
    <s v="(-9, -9)"/>
    <n v="62.5"/>
    <n v="37.5"/>
    <n v="903"/>
    <n v="1287"/>
    <n v="31"/>
    <n v="28"/>
    <s v="-"/>
    <s v="-"/>
    <n v="780"/>
    <n v="488"/>
    <n v="70"/>
    <n v="41"/>
    <n v="4.4000000000000004"/>
    <n v="2.1"/>
    <n v="97"/>
    <n v="63"/>
    <n v="61"/>
    <n v="30"/>
    <s v="-"/>
    <s v="-"/>
    <n v="106.45183652429932"/>
    <n v="136.5342808821735"/>
    <n v="27"/>
    <n v="20"/>
    <n v="1"/>
    <n v="0.6"/>
    <n v="0"/>
    <n v="3"/>
    <n v="2.6"/>
    <n v="7.3"/>
    <n v="4.0999999999999996"/>
    <s v="-"/>
    <s v="-"/>
    <n v="9.6999999999999993"/>
    <n v="5.5"/>
    <n v="4.9000000000000004"/>
    <n v="2.6"/>
    <n v="99"/>
    <n v="30"/>
    <n v="140"/>
    <n v="79"/>
    <s v="-"/>
    <s v="-"/>
    <s v="-"/>
    <s v="-"/>
    <n v="294.339"/>
    <n v="171.02600000000001"/>
    <n v="5.05"/>
    <n v="4.68"/>
    <n v="14.9"/>
    <n v="13.7"/>
    <n v="45.2"/>
    <n v="41.9"/>
    <n v="89.5"/>
    <n v="89.5"/>
    <n v="29.5"/>
    <n v="29.3"/>
    <n v="33"/>
    <n v="32.700000000000003"/>
    <n v="231"/>
    <n v="275"/>
    <n v="12.7"/>
    <n v="13.2"/>
    <n v="1.2"/>
    <n v="1.31"/>
    <n v="3.85"/>
    <n v="7.22"/>
    <n v="56.3"/>
    <n v="57.2"/>
    <n v="27.3"/>
    <n v="25.9"/>
    <n v="9.1"/>
    <n v="13.7"/>
    <n v="6.5"/>
    <n v="2.1"/>
    <n v="0.8"/>
    <n v="1.1000000000000001"/>
    <x v="0"/>
    <x v="1"/>
    <n v="69.236999999999995"/>
    <n v="73.5"/>
    <n v="177"/>
    <n v="53.28"/>
    <n v="52.5"/>
    <n v="50"/>
    <n v="5.8"/>
  </r>
  <r>
    <x v="2"/>
    <x v="0"/>
    <x v="47"/>
    <n v="27"/>
    <n v="0"/>
    <x v="0"/>
    <s v="-"/>
    <s v="-"/>
    <s v="-"/>
    <s v="-"/>
    <s v="-"/>
    <s v="-"/>
    <n v="548"/>
    <n v="1361"/>
    <n v="24"/>
    <n v="33"/>
    <s v="-"/>
    <s v="-"/>
    <n v="528"/>
    <n v="681"/>
    <n v="55"/>
    <n v="66"/>
    <n v="4.7"/>
    <n v="4.4000000000000004"/>
    <n v="46"/>
    <n v="51"/>
    <n v="32"/>
    <n v="35"/>
    <s v="-"/>
    <s v="-"/>
    <n v="106.45183652429932"/>
    <n v="106.45183652429932"/>
    <n v="28"/>
    <n v="39"/>
    <n v="1"/>
    <n v="1"/>
    <n v="0"/>
    <n v="3.8"/>
    <n v="4.0999999999999996"/>
    <n v="7.2"/>
    <n v="6.9"/>
    <s v="-"/>
    <s v="-"/>
    <n v="10"/>
    <n v="9"/>
    <n v="4.5999999999999996"/>
    <n v="4"/>
    <n v="93"/>
    <n v="76"/>
    <n v="139"/>
    <n v="130"/>
    <s v="-"/>
    <s v="-"/>
    <s v="-"/>
    <s v="-"/>
    <n v="291.70433333333335"/>
    <n v="274.59555555555556"/>
    <n v="6.77"/>
    <n v="6.59"/>
    <n v="13.5"/>
    <n v="12.7"/>
    <n v="40"/>
    <n v="38.799999999999997"/>
    <n v="59.1"/>
    <n v="58.9"/>
    <n v="19.899999999999999"/>
    <n v="19.3"/>
    <n v="33.799999999999997"/>
    <n v="32.700000000000003"/>
    <n v="193"/>
    <n v="223"/>
    <n v="18.399999999999999"/>
    <n v="18.7"/>
    <n v="1.06"/>
    <n v="1.1399999999999999"/>
    <n v="9.5299999999999994"/>
    <n v="10.199999999999999"/>
    <n v="51.9"/>
    <n v="58.3"/>
    <n v="21"/>
    <n v="16.3"/>
    <n v="5.2"/>
    <n v="9.6"/>
    <n v="21.4"/>
    <n v="15.3"/>
    <n v="0.5"/>
    <n v="0.5"/>
    <x v="0"/>
    <x v="1"/>
    <n v="0"/>
    <n v="0"/>
    <n v="0"/>
    <n v="0"/>
    <n v="0"/>
    <n v="0"/>
    <n v="0"/>
  </r>
  <r>
    <x v="2"/>
    <x v="0"/>
    <x v="48"/>
    <n v="27"/>
    <n v="85"/>
    <x v="0"/>
    <s v="RX"/>
    <s v="TT"/>
    <s v="ID"/>
    <s v="(+9, +9)"/>
    <n v="75"/>
    <n v="25"/>
    <n v="2144"/>
    <n v="516"/>
    <n v="31"/>
    <n v="21"/>
    <s v="-"/>
    <s v="-"/>
    <n v="815"/>
    <n v="775"/>
    <n v="129"/>
    <n v="43"/>
    <n v="4.2"/>
    <n v="4.5"/>
    <n v="73"/>
    <n v="67"/>
    <n v="22"/>
    <n v="21"/>
    <s v="-"/>
    <s v="-"/>
    <n v="120.79866842153496"/>
    <n v="120.79866842153496"/>
    <n v="29"/>
    <n v="30"/>
    <n v="0.9"/>
    <n v="0.9"/>
    <n v="0"/>
    <n v="3.6"/>
    <n v="4.4000000000000004"/>
    <n v="7.5"/>
    <n v="7.9"/>
    <s v="-"/>
    <s v="-"/>
    <n v="9.4"/>
    <n v="9.1"/>
    <n v="4.5"/>
    <n v="4.5"/>
    <n v="93"/>
    <n v="89"/>
    <n v="139"/>
    <n v="133"/>
    <s v="-"/>
    <s v="-"/>
    <s v="-"/>
    <s v="-"/>
    <n v="291.685"/>
    <n v="280.43611111111113"/>
    <n v="4.8"/>
    <n v="4.76"/>
    <n v="12.6"/>
    <n v="12.5"/>
    <n v="39.9"/>
    <n v="39.299999999999997"/>
    <n v="83.1"/>
    <n v="82.6"/>
    <n v="26.3"/>
    <n v="26.3"/>
    <n v="31.6"/>
    <n v="31.8"/>
    <n v="289"/>
    <n v="326"/>
    <n v="12.8"/>
    <n v="13.5"/>
    <n v="0.96"/>
    <n v="1.18"/>
    <n v="5.39"/>
    <n v="8.77"/>
    <n v="49.5"/>
    <n v="58.1"/>
    <n v="36.200000000000003"/>
    <n v="28.7"/>
    <n v="8.5"/>
    <n v="9.5"/>
    <n v="5.2"/>
    <n v="3.4"/>
    <n v="0.6"/>
    <n v="0.3"/>
    <x v="0"/>
    <x v="1"/>
    <n v="74.045439999999999"/>
    <n v="89.6"/>
    <n v="176"/>
    <n v="45.45"/>
    <n v="46.5"/>
    <n v="42"/>
    <n v="17.36"/>
  </r>
  <r>
    <x v="2"/>
    <x v="0"/>
    <x v="49"/>
    <n v="29"/>
    <n v="71"/>
    <x v="0"/>
    <s v="XX"/>
    <s v="MT"/>
    <s v="DD"/>
    <s v="(+9, -9)"/>
    <n v="50"/>
    <n v="50"/>
    <n v="523"/>
    <n v="804"/>
    <n v="25"/>
    <n v="18"/>
    <s v="-"/>
    <s v="-"/>
    <n v="614"/>
    <n v="846"/>
    <n v="72"/>
    <n v="57"/>
    <n v="4.7"/>
    <n v="3.4"/>
    <n v="64"/>
    <n v="55"/>
    <n v="21"/>
    <n v="16"/>
    <s v="-"/>
    <s v="-"/>
    <n v="120.79866842153496"/>
    <n v="136.5342808821735"/>
    <n v="33"/>
    <n v="28"/>
    <n v="0.9"/>
    <n v="0.6"/>
    <n v="0"/>
    <n v="3.4"/>
    <n v="3.7"/>
    <n v="7.5"/>
    <n v="5.8"/>
    <s v="-"/>
    <s v="-"/>
    <n v="9.6"/>
    <n v="7.4"/>
    <n v="4.5"/>
    <n v="3.4"/>
    <n v="95"/>
    <n v="52"/>
    <n v="140"/>
    <n v="103"/>
    <s v="-"/>
    <s v="-"/>
    <s v="-"/>
    <s v="-"/>
    <n v="294.3394444444445"/>
    <n v="219.8928888888889"/>
    <n v="5.39"/>
    <n v="5.23"/>
    <n v="15.3"/>
    <n v="14.9"/>
    <n v="46.5"/>
    <n v="45.5"/>
    <n v="86.3"/>
    <n v="87"/>
    <n v="28.4"/>
    <n v="28.5"/>
    <n v="32.9"/>
    <n v="32.700000000000003"/>
    <n v="233"/>
    <n v="276"/>
    <n v="12.3"/>
    <n v="13.3"/>
    <n v="1.23"/>
    <n v="1.51"/>
    <n v="6.34"/>
    <n v="7.08"/>
    <n v="77.099999999999994"/>
    <n v="68.599999999999994"/>
    <n v="15.8"/>
    <n v="18.600000000000001"/>
    <n v="5.5"/>
    <n v="9.6"/>
    <n v="1.3"/>
    <n v="2.4"/>
    <n v="0.3"/>
    <n v="0.8"/>
    <x v="0"/>
    <x v="0"/>
    <n v="63.743760000000002"/>
    <n v="72.900000000000006"/>
    <n v="168.6"/>
    <n v="48.54"/>
    <n v="50"/>
    <n v="47"/>
    <n v="12.56"/>
  </r>
  <r>
    <x v="2"/>
    <x v="0"/>
    <x v="50"/>
    <n v="26"/>
    <n v="0"/>
    <x v="1"/>
    <s v="-"/>
    <s v="-"/>
    <s v="-"/>
    <s v="-"/>
    <s v="-"/>
    <s v="-"/>
    <n v="1600"/>
    <n v="1397"/>
    <n v="58"/>
    <n v="43"/>
    <s v="-"/>
    <s v="-"/>
    <n v="1090"/>
    <n v="870"/>
    <n v="236"/>
    <n v="104"/>
    <n v="4.5999999999999996"/>
    <n v="4.2"/>
    <n v="70"/>
    <n v="58"/>
    <n v="20"/>
    <n v="17"/>
    <s v="-"/>
    <s v="-"/>
    <n v="120.79866842153496"/>
    <n v="120.79866842153496"/>
    <n v="25"/>
    <n v="39"/>
    <n v="0.9"/>
    <n v="0.9"/>
    <n v="0"/>
    <n v="3.5"/>
    <n v="4.9000000000000004"/>
    <n v="8.1"/>
    <n v="7.6"/>
    <s v="-"/>
    <s v="-"/>
    <n v="10"/>
    <n v="9.6999999999999993"/>
    <n v="4.8"/>
    <n v="4.8"/>
    <n v="95"/>
    <n v="59"/>
    <n v="144"/>
    <n v="138"/>
    <s v="-"/>
    <s v="-"/>
    <s v="-"/>
    <s v="-"/>
    <n v="301.00411111111117"/>
    <n v="289.87744444444451"/>
    <n v="4.5199999999999996"/>
    <n v="4.3499999999999996"/>
    <n v="14.4"/>
    <n v="13.7"/>
    <n v="43.2"/>
    <n v="42"/>
    <n v="95.6"/>
    <n v="96.6"/>
    <n v="31.9"/>
    <n v="31.5"/>
    <n v="33.299999999999997"/>
    <n v="32.6"/>
    <n v="208"/>
    <n v="280"/>
    <n v="11.9"/>
    <n v="12.4"/>
    <n v="1.0900000000000001"/>
    <n v="1.1299999999999999"/>
    <n v="5.71"/>
    <n v="10.15"/>
    <n v="45.8"/>
    <n v="68.8"/>
    <n v="37.1"/>
    <n v="19.399999999999999"/>
    <n v="13.1"/>
    <n v="9.3000000000000007"/>
    <n v="3.5"/>
    <n v="2"/>
    <n v="0.5"/>
    <n v="0.5"/>
    <x v="0"/>
    <x v="1"/>
    <n v="0"/>
    <n v="0"/>
    <n v="0"/>
    <n v="0"/>
    <n v="0"/>
    <n v="0"/>
    <n v="0"/>
  </r>
  <r>
    <x v="2"/>
    <x v="0"/>
    <x v="51"/>
    <n v="26"/>
    <n v="0"/>
    <x v="0"/>
    <s v="-"/>
    <s v="-"/>
    <s v="-"/>
    <s v="-"/>
    <s v="-"/>
    <s v="-"/>
    <n v="2843"/>
    <n v="1485"/>
    <n v="36"/>
    <n v="39"/>
    <s v="-"/>
    <s v="-"/>
    <n v="755"/>
    <n v="947"/>
    <n v="112"/>
    <n v="85"/>
    <n v="4.5999999999999996"/>
    <n v="4"/>
    <n v="84"/>
    <n v="88"/>
    <n v="24"/>
    <n v="25"/>
    <s v="-"/>
    <s v="-"/>
    <n v="120.79866842153496"/>
    <n v="120.79866842153496"/>
    <n v="32"/>
    <n v="27"/>
    <n v="0.9"/>
    <n v="0.9"/>
    <n v="0"/>
    <n v="3.3"/>
    <n v="4.5"/>
    <n v="7.9"/>
    <n v="7.1"/>
    <s v="-"/>
    <s v="-"/>
    <n v="9.5"/>
    <n v="9.1"/>
    <n v="5"/>
    <n v="4.3"/>
    <n v="88"/>
    <n v="72"/>
    <n v="140"/>
    <n v="134"/>
    <s v="-"/>
    <s v="-"/>
    <s v="-"/>
    <s v="-"/>
    <n v="294.65555555555551"/>
    <n v="280.33800000000008"/>
    <n v="4.84"/>
    <n v="4.46"/>
    <n v="14.3"/>
    <n v="13.1"/>
    <n v="44.1"/>
    <n v="40.5"/>
    <n v="91.1"/>
    <n v="90.8"/>
    <n v="29.5"/>
    <n v="29.4"/>
    <n v="32.4"/>
    <n v="32.299999999999997"/>
    <n v="300"/>
    <n v="347"/>
    <n v="12.1"/>
    <n v="12.4"/>
    <n v="1.4"/>
    <n v="1.18"/>
    <n v="7.96"/>
    <n v="8.85"/>
    <n v="59.1"/>
    <n v="59.2"/>
    <n v="22.4"/>
    <n v="19.2"/>
    <n v="7.8"/>
    <n v="15"/>
    <n v="10.199999999999999"/>
    <n v="6.1"/>
    <n v="0.5"/>
    <n v="0.5"/>
    <x v="0"/>
    <x v="1"/>
    <n v="0"/>
    <n v="0"/>
    <n v="0"/>
    <n v="0"/>
    <n v="0"/>
    <n v="0"/>
    <n v="0"/>
  </r>
  <r>
    <x v="2"/>
    <x v="0"/>
    <x v="52"/>
    <n v="26"/>
    <n v="0"/>
    <x v="0"/>
    <s v="-"/>
    <s v="-"/>
    <s v="-"/>
    <s v="-"/>
    <s v="-"/>
    <s v="-"/>
    <n v="597"/>
    <n v="807"/>
    <n v="25"/>
    <n v="32"/>
    <s v="-"/>
    <s v="-"/>
    <n v="803"/>
    <n v="744"/>
    <n v="68"/>
    <n v="67"/>
    <n v="4.5999999999999996"/>
    <n v="4.3"/>
    <n v="73"/>
    <n v="52"/>
    <n v="18"/>
    <n v="14"/>
    <s v="-"/>
    <s v="-"/>
    <n v="120.79866842153496"/>
    <n v="125.17286966375688"/>
    <n v="29"/>
    <n v="37"/>
    <n v="0.9"/>
    <n v="0.8"/>
    <n v="0"/>
    <n v="3.5"/>
    <n v="4.5"/>
    <n v="7.8"/>
    <n v="6.9"/>
    <s v="-"/>
    <s v="-"/>
    <n v="10.3"/>
    <n v="8.8000000000000007"/>
    <n v="5.3"/>
    <n v="4.0999999999999996"/>
    <n v="107"/>
    <n v="74"/>
    <n v="142"/>
    <n v="126"/>
    <s v="-"/>
    <s v="-"/>
    <s v="-"/>
    <s v="-"/>
    <n v="299.64744444444443"/>
    <n v="266.88044444444444"/>
    <n v="5.04"/>
    <n v="4.3499999999999996"/>
    <n v="14.7"/>
    <n v="12.9"/>
    <n v="45.4"/>
    <n v="39.799999999999997"/>
    <n v="90.1"/>
    <n v="91.5"/>
    <n v="29.2"/>
    <n v="29.7"/>
    <n v="32.4"/>
    <n v="32.4"/>
    <n v="316"/>
    <n v="352"/>
    <n v="13.1"/>
    <n v="14.5"/>
    <n v="0.63"/>
    <n v="0.92"/>
    <n v="8.77"/>
    <n v="10.25"/>
    <n v="83.9"/>
    <n v="72.8"/>
    <n v="9.9"/>
    <n v="15.4"/>
    <n v="5.2"/>
    <n v="10.5"/>
    <n v="0.8"/>
    <n v="1.1000000000000001"/>
    <n v="0.2"/>
    <n v="0.2"/>
    <x v="0"/>
    <x v="0"/>
    <n v="0"/>
    <n v="0"/>
    <n v="0"/>
    <n v="0"/>
    <n v="0"/>
    <n v="0"/>
    <n v="0"/>
  </r>
  <r>
    <x v="2"/>
    <x v="0"/>
    <x v="53"/>
    <n v="28"/>
    <n v="81"/>
    <x v="0"/>
    <s v="RX"/>
    <s v="MM"/>
    <s v="DD"/>
    <s v="(-9, -9)"/>
    <n v="37.5"/>
    <n v="62.5"/>
    <n v="1177"/>
    <n v="654"/>
    <n v="26"/>
    <n v="26"/>
    <s v="-"/>
    <s v="-"/>
    <n v="690"/>
    <n v="957"/>
    <n v="97"/>
    <n v="58"/>
    <n v="4.4000000000000004"/>
    <n v="4.3"/>
    <n v="69"/>
    <n v="61"/>
    <n v="20"/>
    <n v="15"/>
    <s v="-"/>
    <s v="-"/>
    <n v="125.17286966375688"/>
    <n v="120.79866842153496"/>
    <n v="30"/>
    <n v="37"/>
    <n v="0.8"/>
    <n v="0.9"/>
    <n v="9.9999999999999978E-2"/>
    <n v="3.4"/>
    <n v="5.2"/>
    <n v="7.4"/>
    <n v="7.2"/>
    <s v="-"/>
    <s v="-"/>
    <n v="9.6999999999999993"/>
    <n v="9.4"/>
    <n v="5"/>
    <n v="4.7"/>
    <n v="80"/>
    <n v="69"/>
    <n v="140"/>
    <n v="134"/>
    <s v="-"/>
    <s v="-"/>
    <s v="-"/>
    <s v="-"/>
    <n v="293.81111111111107"/>
    <n v="282.55700000000002"/>
    <n v="5.35"/>
    <n v="4.82"/>
    <n v="15.1"/>
    <n v="13.7"/>
    <n v="46.1"/>
    <n v="42.9"/>
    <n v="86.2"/>
    <n v="89"/>
    <n v="28.2"/>
    <n v="28.4"/>
    <n v="32.799999999999997"/>
    <n v="31.9"/>
    <n v="223"/>
    <n v="291"/>
    <n v="12.6"/>
    <n v="13.3"/>
    <n v="1.79"/>
    <n v="2.3199999999999998"/>
    <n v="4.6100000000000003"/>
    <n v="8.58"/>
    <n v="44.1"/>
    <n v="61.4"/>
    <n v="39.9"/>
    <n v="25.3"/>
    <n v="9.1"/>
    <n v="8.9"/>
    <n v="5.4"/>
    <n v="3.6"/>
    <n v="1.5"/>
    <n v="0.8"/>
    <x v="0"/>
    <x v="1"/>
    <n v="70.596360000000004"/>
    <n v="80.7"/>
    <n v="182.1"/>
    <n v="50.93"/>
    <n v="56"/>
    <n v="58"/>
    <n v="12.52"/>
  </r>
  <r>
    <x v="2"/>
    <x v="0"/>
    <x v="54"/>
    <n v="27"/>
    <n v="0"/>
    <x v="0"/>
    <s v="-"/>
    <s v="-"/>
    <s v="-"/>
    <s v="-"/>
    <s v="-"/>
    <s v="-"/>
    <n v="1066"/>
    <n v="4531"/>
    <n v="27"/>
    <n v="66"/>
    <s v="-"/>
    <s v="-"/>
    <n v="732"/>
    <n v="1124"/>
    <n v="92"/>
    <n v="173"/>
    <n v="4.5"/>
    <n v="4.7"/>
    <n v="80"/>
    <n v="109"/>
    <n v="36"/>
    <n v="31"/>
    <s v="-"/>
    <s v="-"/>
    <n v="120.79866842153496"/>
    <n v="120.79866842153496"/>
    <n v="31"/>
    <n v="46"/>
    <n v="0.9"/>
    <n v="0.9"/>
    <n v="0"/>
    <n v="3.4"/>
    <n v="4.9000000000000004"/>
    <n v="7.4"/>
    <n v="7.7"/>
    <s v="-"/>
    <s v="-"/>
    <n v="9.5"/>
    <n v="9.6999999999999993"/>
    <n v="5.3"/>
    <n v="4.7"/>
    <n v="94"/>
    <n v="74"/>
    <n v="143"/>
    <n v="138"/>
    <s v="-"/>
    <s v="-"/>
    <s v="-"/>
    <s v="-"/>
    <n v="301.01022222222224"/>
    <n v="291.81644444444441"/>
    <n v="5.83"/>
    <n v="5.75"/>
    <n v="12.9"/>
    <n v="13"/>
    <n v="42.1"/>
    <n v="41"/>
    <n v="72.2"/>
    <n v="71.3"/>
    <n v="22.1"/>
    <n v="22.6"/>
    <n v="30.6"/>
    <n v="31.7"/>
    <n v="292"/>
    <n v="321"/>
    <n v="15.5"/>
    <n v="15.7"/>
    <n v="0.45"/>
    <n v="0.53"/>
    <n v="5.58"/>
    <n v="11.44"/>
    <n v="57.1"/>
    <n v="72.5"/>
    <n v="26.9"/>
    <n v="15.6"/>
    <n v="11.3"/>
    <n v="10.199999999999999"/>
    <n v="2.9"/>
    <n v="1.3"/>
    <n v="1.8"/>
    <n v="0.4"/>
    <x v="0"/>
    <x v="1"/>
    <n v="0"/>
    <n v="0"/>
    <n v="0"/>
    <n v="0"/>
    <n v="0"/>
    <n v="0"/>
    <n v="0"/>
  </r>
  <r>
    <x v="2"/>
    <x v="0"/>
    <x v="55"/>
    <n v="28"/>
    <n v="78"/>
    <x v="0"/>
    <s v="RR"/>
    <s v="TT"/>
    <s v="DD"/>
    <s v="(+9, -9)"/>
    <n v="87.5"/>
    <n v="12.5"/>
    <n v="1076"/>
    <n v="331"/>
    <n v="23"/>
    <n v="19"/>
    <s v="-"/>
    <s v="-"/>
    <n v="917"/>
    <n v="822"/>
    <n v="140"/>
    <n v="45"/>
    <n v="4.7"/>
    <n v="4.7"/>
    <n v="140"/>
    <n v="75"/>
    <n v="61"/>
    <n v="48"/>
    <s v="-"/>
    <s v="-"/>
    <n v="125.17286966375688"/>
    <n v="125.17286966375688"/>
    <n v="25"/>
    <n v="30"/>
    <n v="0.8"/>
    <n v="0.8"/>
    <n v="0"/>
    <n v="2.9"/>
    <n v="4.7"/>
    <n v="7.6"/>
    <n v="7.7"/>
    <s v="-"/>
    <s v="-"/>
    <n v="9.6999999999999993"/>
    <n v="9.6"/>
    <n v="4.7"/>
    <n v="4.5999999999999996"/>
    <n v="101"/>
    <n v="88"/>
    <n v="141"/>
    <n v="140"/>
    <s v="-"/>
    <s v="-"/>
    <s v="-"/>
    <s v="-"/>
    <n v="295.62144444444448"/>
    <n v="293.57822222222222"/>
    <n v="4.76"/>
    <n v="4.7"/>
    <n v="13.9"/>
    <n v="13.5"/>
    <n v="43.9"/>
    <n v="43.2"/>
    <n v="92.2"/>
    <n v="91.9"/>
    <n v="29.2"/>
    <n v="28.7"/>
    <n v="31.7"/>
    <n v="31.3"/>
    <n v="197"/>
    <n v="304"/>
    <n v="12.7"/>
    <n v="13.3"/>
    <n v="0.84"/>
    <n v="1.2"/>
    <n v="6.1"/>
    <n v="8.51"/>
    <n v="63.9"/>
    <n v="61.1"/>
    <n v="24.4"/>
    <n v="24.8"/>
    <n v="10.7"/>
    <n v="11.8"/>
    <n v="0.8"/>
    <n v="1.9"/>
    <n v="0.2"/>
    <n v="0.4"/>
    <x v="0"/>
    <x v="1"/>
    <n v="70.250040000000013"/>
    <n v="85.4"/>
    <n v="179.3"/>
    <n v="49.65"/>
    <n v="44"/>
    <n v="35"/>
    <n v="17.739999999999998"/>
  </r>
  <r>
    <x v="2"/>
    <x v="1"/>
    <x v="56"/>
    <n v="28"/>
    <n v="0"/>
    <x v="0"/>
    <s v="RX "/>
    <s v="MT"/>
    <s v="II"/>
    <s v="(+9, -9)"/>
    <n v="37.5"/>
    <n v="62.5"/>
    <n v="1521"/>
    <n v="48308"/>
    <n v="52"/>
    <n v="821"/>
    <s v="-"/>
    <s v="-"/>
    <n v="1861"/>
    <n v="6127"/>
    <n v="135"/>
    <n v="1103"/>
    <n v="4.2"/>
    <n v="3.8"/>
    <n v="138"/>
    <n v="261"/>
    <n v="20"/>
    <n v="19"/>
    <s v="-"/>
    <s v="-"/>
    <n v="120.79866842153496"/>
    <n v="71.088527013625097"/>
    <n v="59"/>
    <n v="90"/>
    <n v="0.9"/>
    <n v="1.4"/>
    <n v="0.49999999999999989"/>
    <n v="4"/>
    <n v="4.4000000000000004"/>
    <n v="7.3"/>
    <n v="6.5"/>
    <s v="-"/>
    <s v="-"/>
    <n v="10"/>
    <n v="9.3000000000000007"/>
    <n v="4.9000000000000004"/>
    <n v="5.4"/>
    <n v="91"/>
    <n v="95"/>
    <n v="131"/>
    <n v="132"/>
    <s v="-"/>
    <s v="-"/>
    <s v="-"/>
    <s v="-"/>
    <n v="282.42122222222224"/>
    <n v="290.63344444444448"/>
    <n v="4.6100000000000003"/>
    <n v="3.38"/>
    <n v="13.7"/>
    <n v="10.199999999999999"/>
    <n v="41.8"/>
    <n v="30.7"/>
    <n v="90.7"/>
    <n v="90.8"/>
    <n v="29.7"/>
    <n v="30.2"/>
    <n v="32.799999999999997"/>
    <n v="33.200000000000003"/>
    <n v="332"/>
    <n v="262"/>
    <n v="14"/>
    <n v="13.7"/>
    <n v="2.14"/>
    <n v="2.14"/>
    <n v="8.7899999999999991"/>
    <n v="10.67"/>
    <n v="71.900000000000006"/>
    <n v="68.7"/>
    <n v="15.6"/>
    <n v="13.9"/>
    <n v="10.7"/>
    <n v="16.600000000000001"/>
    <n v="1.3"/>
    <n v="0.6"/>
    <n v="0.5"/>
    <n v="0.2"/>
    <x v="1"/>
    <x v="1"/>
    <n v="66.794890000000009"/>
    <n v="70.900000000000006"/>
    <n v="166"/>
    <n v="52.92"/>
    <n v="54.5"/>
    <n v="52.5"/>
    <n v="5.79"/>
  </r>
  <r>
    <x v="2"/>
    <x v="1"/>
    <x v="57"/>
    <n v="29"/>
    <n v="74"/>
    <x v="1"/>
    <s v="RX "/>
    <s v="MT"/>
    <s v="II"/>
    <s v="(+9, -9)"/>
    <n v="37.5"/>
    <n v="62.5"/>
    <n v="17776"/>
    <n v="27170"/>
    <n v="80"/>
    <n v="248"/>
    <s v="-"/>
    <s v="-"/>
    <n v="1439"/>
    <n v="2498"/>
    <n v="275"/>
    <n v="508"/>
    <n v="4.4000000000000004"/>
    <n v="4.3"/>
    <n v="121"/>
    <n v="159"/>
    <n v="23"/>
    <n v="21"/>
    <s v="-"/>
    <s v="-"/>
    <n v="125.17286966375688"/>
    <n v="120.79866842153496"/>
    <n v="42"/>
    <n v="47"/>
    <n v="0.8"/>
    <n v="0.9"/>
    <n v="9.9999999999999978E-2"/>
    <n v="3.5"/>
    <n v="4.5"/>
    <n v="7.3"/>
    <n v="7.1"/>
    <s v="-"/>
    <s v="-"/>
    <n v="9.6999999999999993"/>
    <n v="9.1999999999999993"/>
    <n v="4.2"/>
    <n v="4.3"/>
    <n v="80"/>
    <n v="75"/>
    <n v="134"/>
    <n v="132"/>
    <s v="-"/>
    <s v="-"/>
    <s v="-"/>
    <s v="-"/>
    <n v="283.16311111111105"/>
    <n v="280.14300000000003"/>
    <n v="5.16"/>
    <n v="4.75"/>
    <n v="14.9"/>
    <n v="13.9"/>
    <n v="44.6"/>
    <n v="41.4"/>
    <n v="86.4"/>
    <n v="87.2"/>
    <n v="28.9"/>
    <n v="29.3"/>
    <n v="33.4"/>
    <n v="33.6"/>
    <n v="348"/>
    <n v="283"/>
    <n v="12.8"/>
    <n v="12.8"/>
    <n v="0.97"/>
    <n v="0.79"/>
    <n v="11.89"/>
    <n v="2.94"/>
    <n v="60.6"/>
    <n v="35.1"/>
    <n v="26.3"/>
    <n v="36.700000000000003"/>
    <n v="6.8"/>
    <n v="18.7"/>
    <n v="5.4"/>
    <n v="7.5"/>
    <n v="0.9"/>
    <n v="2"/>
    <x v="0"/>
    <x v="1"/>
    <n v="64.758570000000006"/>
    <n v="73.900000000000006"/>
    <n v="172.6"/>
    <n v="52.06"/>
    <n v="42"/>
    <n v="36.5"/>
    <n v="12.37"/>
  </r>
  <r>
    <x v="2"/>
    <x v="1"/>
    <x v="58"/>
    <n v="28"/>
    <n v="78"/>
    <x v="2"/>
    <s v="XX"/>
    <s v="MT"/>
    <s v="II"/>
    <s v="(+9, +9)"/>
    <n v="37.5"/>
    <n v="62.5"/>
    <n v="255"/>
    <n v="13616"/>
    <n v="15"/>
    <n v="99"/>
    <s v="-"/>
    <s v="-"/>
    <n v="614"/>
    <n v="2725"/>
    <n v="48"/>
    <n v="341"/>
    <n v="3.9"/>
    <n v="4.0999999999999996"/>
    <n v="50"/>
    <n v="121"/>
    <n v="11"/>
    <n v="17"/>
    <s v="-"/>
    <s v="-"/>
    <n v="120.79866842153496"/>
    <n v="94.947150652744313"/>
    <n v="58"/>
    <n v="95"/>
    <n v="0.9"/>
    <n v="1.1000000000000001"/>
    <n v="0.20000000000000007"/>
    <n v="3.3"/>
    <n v="5.2"/>
    <n v="6.7"/>
    <n v="7"/>
    <s v="-"/>
    <s v="-"/>
    <n v="9.5"/>
    <n v="9.1999999999999993"/>
    <n v="4.4000000000000004"/>
    <n v="4.5999999999999996"/>
    <n v="91"/>
    <n v="98"/>
    <n v="136"/>
    <n v="131"/>
    <s v="-"/>
    <s v="-"/>
    <s v="-"/>
    <s v="-"/>
    <n v="290.62455555555556"/>
    <n v="288.31044444444444"/>
    <n v="4.16"/>
    <n v="3.81"/>
    <n v="12.7"/>
    <n v="11.6"/>
    <n v="38.299999999999997"/>
    <n v="34.9"/>
    <n v="92.1"/>
    <n v="91.6"/>
    <n v="30.5"/>
    <n v="30.4"/>
    <n v="33.200000000000003"/>
    <n v="33.200000000000003"/>
    <n v="337"/>
    <n v="284"/>
    <n v="12.8"/>
    <n v="12.7"/>
    <n v="1.33"/>
    <n v="1.1599999999999999"/>
    <n v="6.87"/>
    <n v="7.22"/>
    <n v="68.599999999999994"/>
    <n v="61.6"/>
    <n v="18.3"/>
    <n v="16.3"/>
    <n v="8.1999999999999993"/>
    <n v="19.7"/>
    <n v="4.2"/>
    <n v="1.7"/>
    <n v="0.7"/>
    <n v="0.7"/>
    <x v="0"/>
    <x v="1"/>
    <n v="64.734659999999991"/>
    <n v="76.599999999999994"/>
    <n v="177"/>
    <n v="52.21"/>
    <n v="52"/>
    <n v="49"/>
    <n v="15.49"/>
  </r>
  <r>
    <x v="2"/>
    <x v="1"/>
    <x v="59"/>
    <n v="28"/>
    <n v="91"/>
    <x v="0"/>
    <s v="RR"/>
    <s v="MT"/>
    <s v="DD"/>
    <s v="(-9, -9)"/>
    <n v="62.5"/>
    <n v="37.5"/>
    <n v="440"/>
    <n v="16928"/>
    <n v="25"/>
    <n v="237"/>
    <s v="-"/>
    <s v="-"/>
    <n v="694"/>
    <n v="2052"/>
    <n v="60"/>
    <n v="492"/>
    <n v="4.3"/>
    <n v="4.0999999999999996"/>
    <n v="63"/>
    <n v="118"/>
    <n v="32"/>
    <n v="31"/>
    <s v="-"/>
    <s v="-"/>
    <n v="120.79866842153496"/>
    <n v="125.17286966375688"/>
    <n v="32"/>
    <n v="53"/>
    <n v="0.9"/>
    <n v="0.8"/>
    <n v="0"/>
    <n v="4.0999999999999996"/>
    <n v="4.5"/>
    <n v="7.4"/>
    <n v="7.2"/>
    <s v="-"/>
    <s v="-"/>
    <n v="10"/>
    <n v="9.3000000000000007"/>
    <n v="4.4000000000000004"/>
    <n v="5"/>
    <n v="96"/>
    <n v="100"/>
    <n v="134"/>
    <n v="136"/>
    <s v="-"/>
    <s v="-"/>
    <s v="-"/>
    <s v="-"/>
    <n v="282.89066666666668"/>
    <n v="291.48222222222222"/>
    <n v="4.43"/>
    <n v="3.96"/>
    <n v="13.3"/>
    <n v="11.8"/>
    <n v="41.4"/>
    <n v="37.299999999999997"/>
    <n v="93.5"/>
    <n v="94.2"/>
    <n v="30"/>
    <n v="29.8"/>
    <n v="32.1"/>
    <n v="31.6"/>
    <n v="322"/>
    <n v="329"/>
    <n v="14"/>
    <n v="13.4"/>
    <n v="0.84"/>
    <n v="1.2"/>
    <n v="9.7200000000000006"/>
    <n v="2.92"/>
    <n v="57.5"/>
    <n v="32.6"/>
    <n v="26.3"/>
    <n v="49"/>
    <n v="10.8"/>
    <n v="17.100000000000001"/>
    <n v="4.2"/>
    <n v="0.3"/>
    <n v="1.2"/>
    <n v="1"/>
    <x v="0"/>
    <x v="1"/>
    <n v="82.193119999999993"/>
    <n v="85.6"/>
    <n v="192.5"/>
    <n v="0"/>
    <n v="74"/>
    <n v="70"/>
    <n v="3.98"/>
  </r>
  <r>
    <x v="2"/>
    <x v="1"/>
    <x v="60"/>
    <n v="28"/>
    <n v="85"/>
    <x v="1"/>
    <s v="RX "/>
    <s v="TT"/>
    <s v="ID"/>
    <s v="(+9, -9)"/>
    <n v="62.5"/>
    <n v="37.5"/>
    <n v="8495"/>
    <n v="24554"/>
    <n v="47"/>
    <n v="196"/>
    <s v="-"/>
    <s v="-"/>
    <n v="1142"/>
    <n v="2996"/>
    <n v="135"/>
    <n v="413"/>
    <n v="4.5"/>
    <n v="4.3"/>
    <n v="65"/>
    <n v="97"/>
    <n v="21"/>
    <n v="20"/>
    <s v="-"/>
    <s v="-"/>
    <n v="94.947150652744313"/>
    <n v="106.45183652429932"/>
    <n v="35"/>
    <n v="56"/>
    <n v="1.1000000000000001"/>
    <n v="1"/>
    <n v="0"/>
    <n v="3.5"/>
    <n v="4.7"/>
    <n v="7.5"/>
    <n v="7.1"/>
    <s v="-"/>
    <s v="-"/>
    <n v="9.6999999999999993"/>
    <n v="9.4"/>
    <n v="4.5"/>
    <n v="4.8"/>
    <n v="110"/>
    <n v="93"/>
    <n v="135"/>
    <n v="123"/>
    <s v="-"/>
    <s v="-"/>
    <s v="-"/>
    <s v="-"/>
    <n v="286.33111111111111"/>
    <n v="266.983"/>
    <n v="4.45"/>
    <n v="4.04"/>
    <n v="14.4"/>
    <n v="13.1"/>
    <n v="45"/>
    <n v="40.9"/>
    <n v="101.1"/>
    <n v="101.2"/>
    <n v="32.4"/>
    <n v="32.4"/>
    <n v="32"/>
    <n v="32"/>
    <n v="427"/>
    <n v="365"/>
    <n v="12.5"/>
    <n v="12.6"/>
    <n v="1.81"/>
    <n v="1.52"/>
    <n v="5.67"/>
    <n v="8.9700000000000006"/>
    <n v="55"/>
    <n v="71.7"/>
    <n v="30"/>
    <n v="10.3"/>
    <n v="11.8"/>
    <n v="17.8"/>
    <n v="1.4"/>
    <n v="0"/>
    <n v="1.8"/>
    <n v="0.2"/>
    <x v="0"/>
    <x v="1"/>
    <n v="78.848640000000003"/>
    <n v="86.4"/>
    <n v="184"/>
    <n v="50.17"/>
    <n v="48"/>
    <n v="42.5"/>
    <n v="8.74"/>
  </r>
  <r>
    <x v="2"/>
    <x v="1"/>
    <x v="61"/>
    <n v="34"/>
    <n v="81"/>
    <x v="1"/>
    <s v="XX"/>
    <s v="MT"/>
    <s v="ID"/>
    <s v="(+9, -9)"/>
    <n v="37.5"/>
    <n v="62.5"/>
    <n v="519"/>
    <n v="15423"/>
    <n v="26"/>
    <n v="144"/>
    <s v="-"/>
    <s v="-"/>
    <n v="842"/>
    <n v="2386"/>
    <n v="107"/>
    <n v="455"/>
    <n v="4.2"/>
    <n v="3.4"/>
    <n v="134"/>
    <n v="191"/>
    <n v="27"/>
    <n v="24"/>
    <s v="-"/>
    <s v="-"/>
    <n v="120.79866842153496"/>
    <n v="94.947150652744313"/>
    <n v="31"/>
    <n v="74"/>
    <n v="0.9"/>
    <n v="1.1000000000000001"/>
    <n v="0.20000000000000007"/>
    <n v="3.3"/>
    <n v="3.8"/>
    <n v="7.5"/>
    <n v="6.3"/>
    <s v="-"/>
    <s v="-"/>
    <n v="9.4"/>
    <n v="8.3000000000000007"/>
    <n v="4.2"/>
    <n v="7.8"/>
    <n v="110"/>
    <n v="101"/>
    <n v="132"/>
    <n v="116"/>
    <s v="-"/>
    <s v="-"/>
    <s v="-"/>
    <s v="-"/>
    <n v="279.52644444444445"/>
    <n v="263.05411111111113"/>
    <n v="5.05"/>
    <n v="4.1100000000000003"/>
    <n v="15.2"/>
    <n v="12.5"/>
    <n v="46.1"/>
    <n v="37.4"/>
    <n v="91.3"/>
    <n v="91"/>
    <n v="30.1"/>
    <n v="30.4"/>
    <n v="33"/>
    <n v="33.4"/>
    <n v="352"/>
    <n v="332"/>
    <n v="13.7"/>
    <n v="13.7"/>
    <n v="0.93"/>
    <n v="0.89"/>
    <n v="11.37"/>
    <n v="11.16"/>
    <n v="78.8"/>
    <n v="82"/>
    <n v="13.3"/>
    <n v="6.4"/>
    <n v="6.3"/>
    <n v="11.3"/>
    <n v="1.1000000000000001"/>
    <n v="0"/>
    <n v="0.5"/>
    <n v="0.3"/>
    <x v="0"/>
    <x v="1"/>
    <n v="73.472700000000003"/>
    <n v="88.5"/>
    <n v="187"/>
    <n v="49.59"/>
    <n v="59.5"/>
    <n v="0"/>
    <n v="16.98"/>
  </r>
  <r>
    <x v="2"/>
    <x v="1"/>
    <x v="62"/>
    <n v="34"/>
    <n v="82"/>
    <x v="1"/>
    <s v="RX "/>
    <s v="MT"/>
    <s v="II"/>
    <s v="(+9, -9)"/>
    <n v="37.5"/>
    <n v="62.5"/>
    <n v="989"/>
    <n v="7326"/>
    <n v="31"/>
    <n v="125"/>
    <s v="-"/>
    <s v="-"/>
    <n v="649"/>
    <n v="1243"/>
    <n v="79"/>
    <n v="273"/>
    <n v="4"/>
    <n v="4.2"/>
    <n v="68"/>
    <n v="100"/>
    <n v="27"/>
    <n v="28"/>
    <s v="-"/>
    <s v="-"/>
    <n v="106.45183652429932"/>
    <n v="120.79866842153496"/>
    <n v="42"/>
    <n v="59"/>
    <n v="1"/>
    <n v="0.9"/>
    <n v="0"/>
    <n v="3.2"/>
    <n v="3.8"/>
    <n v="7.3"/>
    <n v="7.6"/>
    <s v="-"/>
    <s v="-"/>
    <n v="9.4"/>
    <n v="9.4"/>
    <n v="4.3"/>
    <n v="6.2"/>
    <n v="96"/>
    <n v="65"/>
    <n v="134"/>
    <n v="133"/>
    <s v="-"/>
    <s v="-"/>
    <s v="-"/>
    <s v="-"/>
    <n v="284.37133333333338"/>
    <n v="286.89811111111106"/>
    <n v="5.07"/>
    <n v="4.78"/>
    <n v="13.8"/>
    <n v="13.1"/>
    <n v="43.1"/>
    <n v="41.5"/>
    <n v="85"/>
    <n v="86.8"/>
    <n v="27.2"/>
    <n v="27.4"/>
    <n v="32"/>
    <n v="31.6"/>
    <n v="239"/>
    <n v="220"/>
    <n v="13.2"/>
    <n v="13.6"/>
    <n v="0.93"/>
    <n v="0.8"/>
    <n v="6.42"/>
    <n v="6.18"/>
    <n v="57.3"/>
    <n v="60.5"/>
    <n v="32.1"/>
    <n v="27.3"/>
    <n v="9.1999999999999993"/>
    <n v="11.8"/>
    <n v="1.1000000000000001"/>
    <n v="0.2"/>
    <n v="0.3"/>
    <n v="0.2"/>
    <x v="0"/>
    <x v="1"/>
    <n v="71.675339999999991"/>
    <n v="78.599999999999994"/>
    <n v="172"/>
    <n v="51.33"/>
    <n v="48"/>
    <n v="49"/>
    <n v="8.81"/>
  </r>
  <r>
    <x v="2"/>
    <x v="1"/>
    <x v="63"/>
    <n v="34"/>
    <n v="85"/>
    <x v="1"/>
    <s v="XX"/>
    <s v="MM"/>
    <s v="ID"/>
    <s v="(+9, +9)"/>
    <n v="37.5"/>
    <n v="62.5"/>
    <n v="1545"/>
    <n v="21065"/>
    <n v="35"/>
    <n v="196"/>
    <s v="-"/>
    <s v="-"/>
    <n v="836"/>
    <n v="2652"/>
    <n v="108"/>
    <n v="424"/>
    <n v="4.3"/>
    <n v="4.2"/>
    <n v="109"/>
    <n v="151"/>
    <n v="36"/>
    <n v="34"/>
    <s v="-"/>
    <s v="-"/>
    <n v="130.32381263076621"/>
    <n v="130.32381263076621"/>
    <n v="28"/>
    <n v="44"/>
    <n v="0.7"/>
    <n v="0.7"/>
    <n v="0"/>
    <n v="3.8"/>
    <n v="4"/>
    <n v="7.2"/>
    <n v="6.8"/>
    <s v="-"/>
    <s v="-"/>
    <n v="9.3000000000000007"/>
    <n v="9.1"/>
    <n v="4.5"/>
    <n v="6.8"/>
    <n v="95"/>
    <n v="95"/>
    <n v="137"/>
    <n v="135"/>
    <s v="-"/>
    <s v="-"/>
    <s v="-"/>
    <s v="-"/>
    <n v="287.92611111111114"/>
    <n v="291.15077777777782"/>
    <n v="4.68"/>
    <n v="4.17"/>
    <n v="12.7"/>
    <n v="11.3"/>
    <n v="39.4"/>
    <n v="35.299999999999997"/>
    <n v="84.2"/>
    <n v="84.7"/>
    <n v="27.1"/>
    <n v="27.1"/>
    <n v="32.200000000000003"/>
    <n v="32"/>
    <n v="276"/>
    <n v="190"/>
    <n v="14"/>
    <n v="14"/>
    <n v="1.39"/>
    <n v="1.38"/>
    <n v="5.67"/>
    <n v="5.21"/>
    <n v="60.6"/>
    <n v="50.9"/>
    <n v="29.5"/>
    <n v="32.4"/>
    <n v="7.9"/>
    <n v="14.8"/>
    <n v="1.1000000000000001"/>
    <n v="1.5"/>
    <n v="0.9"/>
    <n v="0.4"/>
    <x v="0"/>
    <x v="1"/>
    <n v="75.626200000000011"/>
    <n v="88.4"/>
    <n v="179"/>
    <n v="47.54"/>
    <n v="51.5"/>
    <n v="50.5"/>
    <n v="14.45"/>
  </r>
  <r>
    <x v="2"/>
    <x v="1"/>
    <x v="64"/>
    <n v="30"/>
    <n v="0"/>
    <x v="1"/>
    <s v="RX"/>
    <s v="MM"/>
    <s v="DD"/>
    <s v="(+9, +9)"/>
    <n v="62.5"/>
    <n v="37.5"/>
    <n v="1345"/>
    <n v="13125"/>
    <n v="23"/>
    <n v="85"/>
    <s v="-"/>
    <s v="-"/>
    <n v="771"/>
    <n v="2033"/>
    <n v="171"/>
    <n v="269"/>
    <n v="4.5"/>
    <n v="4.0999999999999996"/>
    <n v="269"/>
    <n v="182"/>
    <n v="132"/>
    <n v="106"/>
    <s v="-"/>
    <s v="-"/>
    <n v="130.32381263076621"/>
    <n v="130.32381263076621"/>
    <n v="25"/>
    <n v="47"/>
    <n v="0.7"/>
    <n v="0.7"/>
    <n v="0"/>
    <n v="3.9"/>
    <n v="3.8"/>
    <n v="7.2"/>
    <n v="6.6"/>
    <s v="-"/>
    <s v="-"/>
    <n v="9.6999999999999993"/>
    <n v="8.9"/>
    <n v="4.3"/>
    <n v="6.3"/>
    <n v="99"/>
    <n v="105"/>
    <n v="135"/>
    <n v="131"/>
    <s v="-"/>
    <s v="-"/>
    <s v="-"/>
    <s v="-"/>
    <n v="283.58966666666669"/>
    <n v="283.91966666666667"/>
    <n v="4.37"/>
    <n v="3.75"/>
    <n v="13.7"/>
    <n v="11.9"/>
    <n v="41.4"/>
    <n v="36.6"/>
    <n v="94.7"/>
    <n v="97.6"/>
    <n v="31.4"/>
    <n v="31.7"/>
    <n v="33.1"/>
    <n v="32.5"/>
    <n v="293"/>
    <n v="267"/>
    <n v="11.9"/>
    <n v="12"/>
    <n v="1.41"/>
    <n v="1.61"/>
    <n v="5.32"/>
    <n v="5.42"/>
    <n v="61"/>
    <n v="66"/>
    <n v="27.8"/>
    <n v="22.7"/>
    <n v="9.6"/>
    <n v="9.6"/>
    <n v="0.8"/>
    <n v="1.3"/>
    <n v="0.8"/>
    <n v="0.4"/>
    <x v="0"/>
    <x v="1"/>
    <n v="60.885999999999996"/>
    <n v="70"/>
    <n v="167"/>
    <n v="53.35"/>
    <n v="42.5"/>
    <n v="38"/>
    <n v="13.02"/>
  </r>
  <r>
    <x v="2"/>
    <x v="1"/>
    <x v="65"/>
    <n v="32"/>
    <n v="82"/>
    <x v="1"/>
    <s v="RR"/>
    <s v="MM"/>
    <s v="ID"/>
    <s v="(+9, -9)"/>
    <n v="50"/>
    <n v="50"/>
    <n v="1460"/>
    <n v="27137"/>
    <n v="40"/>
    <n v="244"/>
    <s v="-"/>
    <s v="-"/>
    <n v="1034"/>
    <n v="2528"/>
    <n v="153"/>
    <n v="594"/>
    <n v="4.4000000000000004"/>
    <n v="3.9"/>
    <n v="144"/>
    <n v="204"/>
    <n v="16"/>
    <n v="15"/>
    <s v="-"/>
    <s v="-"/>
    <n v="125.17286966375688"/>
    <n v="120.79866842153496"/>
    <n v="39"/>
    <n v="48"/>
    <n v="0.8"/>
    <n v="0.9"/>
    <n v="9.9999999999999978E-2"/>
    <n v="3.6"/>
    <n v="4.5"/>
    <n v="7.7"/>
    <n v="6.8"/>
    <s v="-"/>
    <s v="-"/>
    <n v="9.6"/>
    <n v="8.9"/>
    <n v="4.4000000000000004"/>
    <n v="5.9"/>
    <n v="93"/>
    <n v="84"/>
    <n v="136"/>
    <n v="134"/>
    <s v="-"/>
    <s v="-"/>
    <s v="-"/>
    <s v="-"/>
    <n v="287.58566666666667"/>
    <n v="287.58066666666667"/>
    <n v="4.5599999999999996"/>
    <n v="3.97"/>
    <n v="13.5"/>
    <n v="11.8"/>
    <n v="42.1"/>
    <n v="37.5"/>
    <n v="92.3"/>
    <n v="94.5"/>
    <n v="29.6"/>
    <n v="29.7"/>
    <n v="32.1"/>
    <n v="31.5"/>
    <n v="373"/>
    <n v="345"/>
    <n v="13.2"/>
    <n v="13.1"/>
    <n v="1.1000000000000001"/>
    <n v="0.89"/>
    <n v="8.4"/>
    <n v="4.59"/>
    <n v="75.5"/>
    <n v="56.6"/>
    <n v="17.100000000000001"/>
    <n v="27.5"/>
    <n v="6"/>
    <n v="13.9"/>
    <n v="1.2"/>
    <n v="2"/>
    <n v="0.2"/>
    <n v="0"/>
    <x v="0"/>
    <x v="1"/>
    <n v="71.683920000000001"/>
    <n v="79.2"/>
    <n v="172.6"/>
    <n v="51.6"/>
    <n v="60"/>
    <n v="54"/>
    <n v="9.49"/>
  </r>
  <r>
    <x v="2"/>
    <x v="1"/>
    <x v="66"/>
    <n v="31"/>
    <n v="85"/>
    <x v="1"/>
    <s v="XX"/>
    <s v="MT"/>
    <s v="DD"/>
    <s v="(+9, -9)"/>
    <n v="50"/>
    <n v="50"/>
    <n v="239"/>
    <n v="8377"/>
    <n v="19"/>
    <n v="68"/>
    <s v="-"/>
    <s v="-"/>
    <n v="506"/>
    <n v="1372"/>
    <n v="43"/>
    <n v="244"/>
    <n v="4.4000000000000004"/>
    <n v="4.5"/>
    <n v="41"/>
    <n v="85"/>
    <n v="12"/>
    <n v="15"/>
    <s v="-"/>
    <s v="-"/>
    <n v="106.45183652429932"/>
    <n v="106.45183652429932"/>
    <n v="40"/>
    <n v="62"/>
    <n v="1"/>
    <n v="1"/>
    <n v="0"/>
    <n v="3.1"/>
    <n v="4.4000000000000004"/>
    <n v="7.4"/>
    <n v="7.6"/>
    <s v="-"/>
    <s v="-"/>
    <n v="9.5"/>
    <n v="9.3000000000000007"/>
    <n v="5"/>
    <n v="4.5"/>
    <n v="102"/>
    <n v="68"/>
    <n v="137"/>
    <n v="134"/>
    <s v="-"/>
    <s v="-"/>
    <s v="-"/>
    <s v="-"/>
    <n v="291.30333333333334"/>
    <n v="286.28777777777776"/>
    <n v="4.99"/>
    <n v="4.78"/>
    <n v="13.7"/>
    <n v="13.3"/>
    <n v="40.5"/>
    <n v="38.700000000000003"/>
    <n v="81.2"/>
    <n v="81"/>
    <n v="27.5"/>
    <n v="27.8"/>
    <n v="33.799999999999997"/>
    <n v="34.4"/>
    <n v="324"/>
    <n v="274"/>
    <n v="12.9"/>
    <n v="13"/>
    <n v="1.1200000000000001"/>
    <n v="0.99"/>
    <n v="8.0399999999999991"/>
    <n v="5.5"/>
    <n v="67.900000000000006"/>
    <n v="44.9"/>
    <n v="21.5"/>
    <n v="31.8"/>
    <n v="8.8000000000000007"/>
    <n v="21.1"/>
    <n v="1.1000000000000001"/>
    <n v="1.3"/>
    <n v="0.7"/>
    <n v="0.9"/>
    <x v="0"/>
    <x v="1"/>
    <n v="76.33"/>
    <n v="85"/>
    <n v="181"/>
    <n v="50.68"/>
    <n v="52"/>
    <n v="55"/>
    <n v="10.199999999999999"/>
  </r>
  <r>
    <x v="2"/>
    <x v="1"/>
    <x v="67"/>
    <n v="31"/>
    <n v="80"/>
    <x v="1"/>
    <s v="RR"/>
    <s v="MT"/>
    <s v="DD"/>
    <s v="(-9, -9)"/>
    <n v="62.5"/>
    <n v="37.5"/>
    <n v="593"/>
    <n v="8433"/>
    <n v="29"/>
    <n v="79"/>
    <s v="-"/>
    <s v="-"/>
    <n v="686"/>
    <n v="1226"/>
    <n v="72"/>
    <n v="275"/>
    <n v="4.7"/>
    <n v="4.3"/>
    <n v="65"/>
    <n v="117"/>
    <n v="17"/>
    <n v="21"/>
    <s v="-"/>
    <s v="-"/>
    <n v="125.17286966375688"/>
    <n v="125.17286966375688"/>
    <n v="37"/>
    <n v="46"/>
    <n v="0.8"/>
    <n v="0.8"/>
    <n v="0"/>
    <n v="3.6"/>
    <n v="4"/>
    <n v="8"/>
    <n v="7.4"/>
    <s v="-"/>
    <s v="-"/>
    <n v="9.6999999999999993"/>
    <n v="9"/>
    <n v="4.4000000000000004"/>
    <n v="4.0999999999999996"/>
    <n v="116"/>
    <n v="88"/>
    <n v="137"/>
    <n v="129"/>
    <s v="-"/>
    <s v="-"/>
    <s v="-"/>
    <s v="-"/>
    <n v="290.5817777777778"/>
    <n v="274.85488888888892"/>
    <n v="4.6500000000000004"/>
    <n v="4.32"/>
    <n v="14.3"/>
    <n v="13.1"/>
    <n v="43.6"/>
    <n v="40.4"/>
    <n v="93.8"/>
    <n v="93.5"/>
    <n v="30.8"/>
    <n v="30.3"/>
    <n v="32.799999999999997"/>
    <n v="32.4"/>
    <n v="262"/>
    <n v="202"/>
    <n v="12.8"/>
    <n v="12.4"/>
    <n v="1.51"/>
    <n v="1.18"/>
    <n v="11"/>
    <n v="3.5"/>
    <n v="71.400000000000006"/>
    <n v="55.9"/>
    <n v="20.399999999999999"/>
    <n v="32"/>
    <n v="7.4"/>
    <n v="10.9"/>
    <n v="0.4"/>
    <n v="0.6"/>
    <n v="0.4"/>
    <n v="0.6"/>
    <x v="0"/>
    <x v="1"/>
    <n v="71.280989999999989"/>
    <n v="80.099999999999994"/>
    <n v="184"/>
    <n v="51.35"/>
    <n v="57"/>
    <n v="55"/>
    <n v="11.01"/>
  </r>
  <r>
    <x v="2"/>
    <x v="1"/>
    <x v="44"/>
    <n v="30"/>
    <n v="73"/>
    <x v="0"/>
    <s v="RX"/>
    <s v="MM"/>
    <s v="DD"/>
    <s v="(+9, -9)"/>
    <n v="50"/>
    <n v="50"/>
    <n v="629"/>
    <n v="9545"/>
    <n v="32"/>
    <n v="110"/>
    <s v="-"/>
    <s v="-"/>
    <n v="707"/>
    <n v="1681"/>
    <n v="69"/>
    <n v="224"/>
    <n v="4.5"/>
    <n v="4.0999999999999996"/>
    <n v="69"/>
    <n v="110"/>
    <n v="10"/>
    <n v="11"/>
    <s v="-"/>
    <s v="-"/>
    <n v="120.79866842153496"/>
    <n v="130.32381263076621"/>
    <n v="42"/>
    <n v="60"/>
    <n v="0.9"/>
    <n v="0.7"/>
    <n v="0"/>
    <n v="2.8"/>
    <n v="3.7"/>
    <n v="7.5"/>
    <n v="7.1"/>
    <s v="-"/>
    <s v="-"/>
    <n v="10"/>
    <n v="9.3000000000000007"/>
    <n v="4.5999999999999996"/>
    <n v="4.9000000000000004"/>
    <n v="89"/>
    <n v="95"/>
    <n v="135"/>
    <n v="136"/>
    <s v="-"/>
    <s v="-"/>
    <s v="-"/>
    <s v="-"/>
    <n v="286.34211111111114"/>
    <n v="292.14344444444447"/>
    <n v="5.09"/>
    <n v="4.4400000000000004"/>
    <n v="14.6"/>
    <n v="12.8"/>
    <n v="46.5"/>
    <n v="42.3"/>
    <n v="91.4"/>
    <n v="95.3"/>
    <n v="28.7"/>
    <n v="28.8"/>
    <n v="31.4"/>
    <n v="30.3"/>
    <n v="327"/>
    <n v="349"/>
    <n v="12.7"/>
    <n v="12.7"/>
    <n v="0.63"/>
    <n v="1.0900000000000001"/>
    <n v="7.14"/>
    <n v="3.96"/>
    <n v="65"/>
    <n v="57.6"/>
    <n v="22.4"/>
    <n v="25.5"/>
    <n v="11.1"/>
    <n v="16.399999999999999"/>
    <n v="0.8"/>
    <n v="0"/>
    <n v="0.7"/>
    <n v="0.5"/>
    <x v="0"/>
    <x v="1"/>
    <n v="66.363659999999996"/>
    <n v="72.599999999999994"/>
    <n v="180"/>
    <n v="52.5"/>
    <n v="45"/>
    <n v="42"/>
    <n v="8.59"/>
  </r>
  <r>
    <x v="2"/>
    <x v="1"/>
    <x v="46"/>
    <n v="28"/>
    <n v="75"/>
    <x v="0"/>
    <s v="RX"/>
    <s v="TT"/>
    <s v="DD"/>
    <s v="(-9, -9)"/>
    <n v="62.5"/>
    <n v="37.5"/>
    <n v="538"/>
    <n v="35847"/>
    <n v="32"/>
    <n v="446"/>
    <s v="-"/>
    <s v="-"/>
    <n v="825"/>
    <n v="2776"/>
    <n v="67"/>
    <n v="773"/>
    <n v="4.4000000000000004"/>
    <n v="3.9"/>
    <n v="107"/>
    <n v="172"/>
    <n v="56"/>
    <n v="47"/>
    <s v="-"/>
    <s v="-"/>
    <n v="106.45183652429932"/>
    <n v="120.79866842153496"/>
    <n v="26"/>
    <n v="55"/>
    <n v="1"/>
    <n v="0.9"/>
    <n v="0"/>
    <n v="3.3"/>
    <n v="4"/>
    <n v="7.2"/>
    <n v="6.6"/>
    <s v="-"/>
    <s v="-"/>
    <n v="9.9"/>
    <n v="9"/>
    <n v="4.5999999999999996"/>
    <n v="4.0999999999999996"/>
    <n v="94"/>
    <n v="89"/>
    <n v="135"/>
    <n v="136"/>
    <s v="-"/>
    <s v="-"/>
    <s v="-"/>
    <s v="-"/>
    <n v="283.99488888888885"/>
    <n v="289.43877777777783"/>
    <n v="4.5999999999999996"/>
    <n v="4.1100000000000003"/>
    <n v="13.5"/>
    <n v="12.2"/>
    <n v="41.6"/>
    <n v="37.5"/>
    <n v="90.4"/>
    <n v="91.2"/>
    <n v="29.3"/>
    <n v="29.7"/>
    <n v="32.5"/>
    <n v="32.5"/>
    <n v="298"/>
    <n v="193"/>
    <n v="13.6"/>
    <n v="13.6"/>
    <n v="1.1299999999999999"/>
    <n v="1.47"/>
    <n v="5.86"/>
    <n v="3.44"/>
    <n v="67"/>
    <n v="59.3"/>
    <n v="20.5"/>
    <n v="18.3"/>
    <n v="9.6"/>
    <n v="18.3"/>
    <n v="1.9"/>
    <n v="3.2"/>
    <n v="1"/>
    <n v="0.9"/>
    <x v="0"/>
    <x v="1"/>
    <n v="69.236999999999995"/>
    <n v="73.5"/>
    <n v="177"/>
    <n v="53.28"/>
    <n v="52.5"/>
    <n v="50"/>
    <n v="5.8"/>
  </r>
  <r>
    <x v="2"/>
    <x v="1"/>
    <x v="48"/>
    <n v="27"/>
    <n v="89"/>
    <x v="0"/>
    <s v="RX"/>
    <s v="TT"/>
    <s v="ID"/>
    <s v="(+9, +9)"/>
    <n v="75"/>
    <n v="25"/>
    <n v="646"/>
    <n v="4616"/>
    <n v="19"/>
    <n v="36"/>
    <s v="-"/>
    <s v="-"/>
    <n v="685"/>
    <n v="1579"/>
    <n v="54"/>
    <n v="170"/>
    <n v="4.3"/>
    <n v="4.5999999999999996"/>
    <n v="53"/>
    <n v="65"/>
    <n v="19"/>
    <n v="17"/>
    <s v="-"/>
    <s v="-"/>
    <n v="125.17286966375688"/>
    <n v="120.79866842153496"/>
    <n v="28"/>
    <n v="55"/>
    <n v="0.8"/>
    <n v="0.9"/>
    <n v="9.9999999999999978E-2"/>
    <n v="3.5"/>
    <n v="4.5999999999999996"/>
    <n v="7.9"/>
    <n v="8.1999999999999993"/>
    <s v="-"/>
    <s v="-"/>
    <n v="9.6"/>
    <n v="9.6"/>
    <n v="4.4000000000000004"/>
    <n v="5"/>
    <n v="84"/>
    <n v="115"/>
    <n v="136"/>
    <n v="133"/>
    <s v="-"/>
    <s v="-"/>
    <s v="-"/>
    <s v="-"/>
    <n v="285.17733333333337"/>
    <n v="287.19388888888892"/>
    <n v="4.67"/>
    <n v="4.3899999999999997"/>
    <n v="12.4"/>
    <n v="11.7"/>
    <n v="38.6"/>
    <n v="36.799999999999997"/>
    <n v="82.7"/>
    <n v="83.8"/>
    <n v="26.6"/>
    <n v="26.7"/>
    <n v="32.1"/>
    <n v="31.8"/>
    <n v="321"/>
    <n v="310"/>
    <n v="13.9"/>
    <n v="13.2"/>
    <n v="0.91"/>
    <n v="1.02"/>
    <n v="6.66"/>
    <n v="7.82"/>
    <n v="49.9"/>
    <n v="67.2"/>
    <n v="34.4"/>
    <n v="20.8"/>
    <n v="10.7"/>
    <n v="11.9"/>
    <n v="4.5"/>
    <n v="0"/>
    <n v="0.5"/>
    <n v="0.1"/>
    <x v="0"/>
    <x v="1"/>
    <n v="74.045439999999999"/>
    <n v="89.6"/>
    <n v="176"/>
    <n v="45.45"/>
    <n v="46.5"/>
    <n v="42"/>
    <n v="17.36"/>
  </r>
  <r>
    <x v="2"/>
    <x v="1"/>
    <x v="49"/>
    <n v="29"/>
    <n v="70"/>
    <x v="0"/>
    <s v="XX"/>
    <s v="MT"/>
    <s v="DD"/>
    <s v="(+9, -9)"/>
    <n v="50"/>
    <n v="50"/>
    <n v="143"/>
    <n v="4555"/>
    <n v="16"/>
    <n v="29"/>
    <s v="-"/>
    <s v="-"/>
    <n v="495"/>
    <n v="1216"/>
    <n v="52"/>
    <n v="212"/>
    <n v="4.0999999999999996"/>
    <n v="4.5999999999999996"/>
    <n v="45"/>
    <n v="79"/>
    <n v="19"/>
    <n v="20"/>
    <s v="-"/>
    <s v="-"/>
    <n v="125.17286966375688"/>
    <n v="120.79866842153496"/>
    <n v="31"/>
    <n v="49"/>
    <n v="0.8"/>
    <n v="0.9"/>
    <n v="9.9999999999999978E-2"/>
    <n v="3.2"/>
    <n v="4.5"/>
    <n v="7.1"/>
    <n v="7.5"/>
    <s v="-"/>
    <s v="-"/>
    <n v="8.9"/>
    <n v="9.3000000000000007"/>
    <n v="4.5999999999999996"/>
    <n v="4.4000000000000004"/>
    <n v="93"/>
    <n v="94"/>
    <n v="136"/>
    <n v="132"/>
    <s v="-"/>
    <s v="-"/>
    <s v="-"/>
    <s v="-"/>
    <n v="286.62433333333337"/>
    <n v="281.87622222222228"/>
    <n v="4.7"/>
    <n v="4.5999999999999996"/>
    <n v="13.4"/>
    <n v="13.1"/>
    <n v="41.6"/>
    <n v="40.9"/>
    <n v="88.5"/>
    <n v="88.9"/>
    <n v="28.5"/>
    <n v="28.5"/>
    <n v="32.200000000000003"/>
    <n v="32"/>
    <n v="274"/>
    <n v="260"/>
    <n v="13.1"/>
    <n v="13.2"/>
    <n v="1.0900000000000001"/>
    <n v="1.1399999999999999"/>
    <n v="5.58"/>
    <n v="2.98"/>
    <n v="67.400000000000006"/>
    <n v="56"/>
    <n v="21.7"/>
    <n v="26.2"/>
    <n v="9.1"/>
    <n v="15.1"/>
    <n v="1.1000000000000001"/>
    <n v="2"/>
    <n v="0.7"/>
    <n v="0.7"/>
    <x v="0"/>
    <x v="1"/>
    <n v="63.743760000000002"/>
    <n v="72.900000000000006"/>
    <n v="168.6"/>
    <n v="48.54"/>
    <n v="50"/>
    <n v="47"/>
    <n v="12.56"/>
  </r>
  <r>
    <x v="2"/>
    <x v="1"/>
    <x v="53"/>
    <n v="28"/>
    <n v="82"/>
    <x v="0"/>
    <s v="RX"/>
    <s v="MM"/>
    <s v="DD"/>
    <s v="(-9, -9)"/>
    <n v="37.5"/>
    <n v="62.5"/>
    <n v="219"/>
    <n v="1205"/>
    <n v="20"/>
    <n v="44"/>
    <s v="-"/>
    <s v="-"/>
    <n v="602"/>
    <n v="955"/>
    <n v="56"/>
    <n v="147"/>
    <n v="4.5"/>
    <n v="4.5999999999999996"/>
    <n v="52"/>
    <n v="68"/>
    <n v="13"/>
    <n v="14"/>
    <s v="-"/>
    <s v="-"/>
    <n v="125.17286966375688"/>
    <n v="120.79866842153496"/>
    <n v="34"/>
    <n v="55"/>
    <n v="0.8"/>
    <n v="0.9"/>
    <n v="9.9999999999999978E-2"/>
    <n v="3.6"/>
    <n v="4.8"/>
    <n v="7.5"/>
    <n v="7.5"/>
    <s v="-"/>
    <s v="-"/>
    <n v="9.9"/>
    <n v="9.4"/>
    <n v="4.5999999999999996"/>
    <n v="4.7"/>
    <n v="79"/>
    <n v="86"/>
    <n v="137"/>
    <n v="134"/>
    <s v="-"/>
    <s v="-"/>
    <s v="-"/>
    <s v="-"/>
    <n v="288.08988888888888"/>
    <n v="286.64311111111112"/>
    <n v="4.6500000000000004"/>
    <n v="4.62"/>
    <n v="13.2"/>
    <n v="13.1"/>
    <n v="41.5"/>
    <n v="41"/>
    <n v="89.2"/>
    <n v="88.7"/>
    <n v="28.4"/>
    <n v="28.4"/>
    <n v="31.8"/>
    <n v="32"/>
    <n v="336"/>
    <n v="249"/>
    <n v="12.9"/>
    <n v="12.9"/>
    <n v="1.36"/>
    <n v="1.1299999999999999"/>
    <n v="6.28"/>
    <n v="4.71"/>
    <n v="66.3"/>
    <n v="48.6"/>
    <n v="22.9"/>
    <n v="34"/>
    <n v="7.5"/>
    <n v="11.9"/>
    <n v="2.5"/>
    <n v="4.7"/>
    <n v="0.8"/>
    <n v="0.8"/>
    <x v="0"/>
    <x v="1"/>
    <n v="70.596360000000004"/>
    <n v="80.7"/>
    <n v="182.1"/>
    <n v="50.93"/>
    <n v="56"/>
    <n v="58"/>
    <n v="12.52"/>
  </r>
  <r>
    <x v="2"/>
    <x v="1"/>
    <x v="55"/>
    <n v="28"/>
    <n v="78"/>
    <x v="0"/>
    <s v="RR"/>
    <s v="TT"/>
    <s v="DD"/>
    <s v="(+9, -9)"/>
    <n v="87.5"/>
    <n v="12.5"/>
    <n v="685"/>
    <n v="721"/>
    <n v="19"/>
    <n v="33"/>
    <s v="-"/>
    <s v="-"/>
    <n v="626"/>
    <n v="964"/>
    <n v="59"/>
    <n v="95"/>
    <n v="4.4000000000000004"/>
    <n v="4.4000000000000004"/>
    <n v="57"/>
    <n v="76"/>
    <n v="37"/>
    <n v="38"/>
    <s v="-"/>
    <s v="-"/>
    <n v="125.17286966375688"/>
    <n v="130.32381263076621"/>
    <n v="33"/>
    <n v="39"/>
    <n v="0.8"/>
    <n v="0.7"/>
    <n v="0"/>
    <n v="3.4"/>
    <n v="3.9"/>
    <n v="7.4"/>
    <n v="7.5"/>
    <s v="-"/>
    <s v="-"/>
    <n v="9.4"/>
    <n v="9.3000000000000007"/>
    <n v="4.5"/>
    <n v="4.7"/>
    <n v="93"/>
    <n v="96"/>
    <n v="136"/>
    <n v="134"/>
    <s v="-"/>
    <s v="-"/>
    <s v="-"/>
    <s v="-"/>
    <n v="286.7716666666667"/>
    <n v="284.6153333333333"/>
    <n v="4.54"/>
    <n v="4.38"/>
    <n v="13.1"/>
    <n v="12.7"/>
    <n v="41.3"/>
    <n v="40.299999999999997"/>
    <n v="91"/>
    <n v="92"/>
    <n v="28.9"/>
    <n v="29"/>
    <n v="31.7"/>
    <n v="31.5"/>
    <n v="245"/>
    <n v="292"/>
    <n v="13"/>
    <n v="12.7"/>
    <n v="0.8"/>
    <n v="1.04"/>
    <n v="6.59"/>
    <n v="10.53"/>
    <n v="57.5"/>
    <n v="42.2"/>
    <n v="27"/>
    <n v="22"/>
    <n v="9.4"/>
    <n v="10.1"/>
    <n v="5.9"/>
    <n v="25.1"/>
    <n v="0.2"/>
    <n v="0.6"/>
    <x v="0"/>
    <x v="0"/>
    <n v="70.250040000000013"/>
    <n v="85.4"/>
    <n v="179.3"/>
    <n v="49.65"/>
    <n v="44"/>
    <n v="35"/>
    <n v="17.739999999999998"/>
  </r>
  <r>
    <x v="2"/>
    <x v="2"/>
    <x v="56"/>
    <n v="28"/>
    <n v="0"/>
    <x v="0"/>
    <s v="RX "/>
    <s v="MT"/>
    <s v="II"/>
    <s v="(+9, -9)"/>
    <n v="37.5"/>
    <n v="62.5"/>
    <n v="252"/>
    <n v="2475"/>
    <n v="15"/>
    <n v="82"/>
    <s v="-"/>
    <s v="-"/>
    <n v="630"/>
    <n v="1236"/>
    <n v="40"/>
    <n v="125"/>
    <n v="4.4000000000000004"/>
    <n v="4.2"/>
    <n v="43"/>
    <n v="70"/>
    <n v="21"/>
    <n v="22"/>
    <s v="-"/>
    <s v="-"/>
    <n v="85.533385678368745"/>
    <n v="106.45183652429932"/>
    <n v="45"/>
    <n v="49"/>
    <n v="1.2"/>
    <n v="1"/>
    <n v="0"/>
    <n v="4.5"/>
    <n v="4"/>
    <n v="7.6"/>
    <n v="7.3"/>
    <s v="-"/>
    <s v="-"/>
    <n v="9.8000000000000007"/>
    <n v="9"/>
    <n v="4.9000000000000004"/>
    <n v="4.4000000000000004"/>
    <n v="100"/>
    <n v="82"/>
    <n v="136"/>
    <n v="131"/>
    <s v="-"/>
    <s v="-"/>
    <s v="-"/>
    <s v="-"/>
    <n v="289.96288888888893"/>
    <n v="279.24955555555562"/>
    <n v="4.59"/>
    <n v="4.5"/>
    <n v="13.6"/>
    <n v="13.4"/>
    <n v="43"/>
    <n v="40.299999999999997"/>
    <n v="93.7"/>
    <n v="89.6"/>
    <n v="29.6"/>
    <n v="29.8"/>
    <n v="31.6"/>
    <n v="33.299999999999997"/>
    <n v="204"/>
    <n v="262"/>
    <n v="13.5"/>
    <n v="13.7"/>
    <n v="2.2400000000000002"/>
    <n v="1.7"/>
    <n v="8.81"/>
    <n v="9.2799999999999994"/>
    <n v="54.3"/>
    <n v="55.7"/>
    <n v="26.3"/>
    <n v="27.9"/>
    <n v="14"/>
    <n v="11"/>
    <n v="4.4000000000000004"/>
    <n v="4.5"/>
    <n v="1"/>
    <n v="0.9"/>
    <x v="0"/>
    <x v="1"/>
    <n v="66.794890000000009"/>
    <n v="70.900000000000006"/>
    <n v="166"/>
    <n v="52.92"/>
    <n v="54.5"/>
    <n v="52.5"/>
    <n v="5.79"/>
  </r>
  <r>
    <x v="2"/>
    <x v="2"/>
    <x v="57"/>
    <n v="29"/>
    <n v="74"/>
    <x v="1"/>
    <s v="RX "/>
    <s v="MT"/>
    <s v="II"/>
    <s v="(+9, -9)"/>
    <n v="37.5"/>
    <n v="62.5"/>
    <n v="992"/>
    <n v="2845"/>
    <n v="13"/>
    <n v="34"/>
    <s v="-"/>
    <s v="-"/>
    <n v="580"/>
    <n v="981"/>
    <n v="52"/>
    <n v="108"/>
    <n v="4.4000000000000004"/>
    <n v="4.0999999999999996"/>
    <n v="58"/>
    <n v="81"/>
    <n v="23"/>
    <n v="25"/>
    <s v="-"/>
    <s v="-"/>
    <n v="106.45183652429932"/>
    <n v="120.79866842153496"/>
    <n v="40"/>
    <n v="36"/>
    <n v="1"/>
    <n v="0.9"/>
    <n v="0"/>
    <n v="4.0999999999999996"/>
    <n v="4.7"/>
    <n v="7.2"/>
    <n v="7"/>
    <s v="-"/>
    <s v="-"/>
    <n v="9.5"/>
    <n v="9.4"/>
    <n v="5.2"/>
    <n v="4.4000000000000004"/>
    <n v="85"/>
    <n v="84"/>
    <n v="135"/>
    <n v="133"/>
    <s v="-"/>
    <s v="-"/>
    <s v="-"/>
    <s v="-"/>
    <n v="286.86922222222222"/>
    <n v="280.9306666666667"/>
    <n v="5.16"/>
    <n v="5.13"/>
    <n v="15.1"/>
    <n v="15.1"/>
    <n v="45.7"/>
    <n v="44"/>
    <n v="88.6"/>
    <n v="85.8"/>
    <n v="29.3"/>
    <n v="29.4"/>
    <n v="33"/>
    <n v="34.299999999999997"/>
    <n v="283"/>
    <n v="313"/>
    <n v="12.1"/>
    <n v="12.2"/>
    <n v="0.8"/>
    <n v="0.59"/>
    <n v="4.8"/>
    <n v="8.9499999999999993"/>
    <n v="38.4"/>
    <n v="51.5"/>
    <n v="32.5"/>
    <n v="27.2"/>
    <n v="11.5"/>
    <n v="10.7"/>
    <n v="13.8"/>
    <n v="9.5"/>
    <n v="3.8"/>
    <n v="1.1000000000000001"/>
    <x v="0"/>
    <x v="1"/>
    <n v="64.758570000000006"/>
    <n v="73.900000000000006"/>
    <n v="172.6"/>
    <n v="52.06"/>
    <n v="42"/>
    <n v="36.5"/>
    <n v="12.37"/>
  </r>
  <r>
    <x v="2"/>
    <x v="2"/>
    <x v="58"/>
    <n v="28"/>
    <n v="78"/>
    <x v="2"/>
    <s v="XX"/>
    <s v="MT"/>
    <s v="II"/>
    <s v="(+9, +9)"/>
    <n v="37.5"/>
    <n v="62.5"/>
    <n v="298"/>
    <n v="879"/>
    <n v="3"/>
    <n v="9"/>
    <s v="-"/>
    <s v="-"/>
    <n v="455"/>
    <n v="642"/>
    <n v="44"/>
    <n v="63"/>
    <n v="4"/>
    <n v="4"/>
    <n v="47"/>
    <n v="48"/>
    <n v="22"/>
    <n v="20"/>
    <s v="-"/>
    <s v="-"/>
    <n v="94.947150652744313"/>
    <n v="106.45183652429932"/>
    <n v="46"/>
    <n v="47"/>
    <n v="1.1000000000000001"/>
    <n v="1"/>
    <n v="0"/>
    <n v="4.4000000000000004"/>
    <n v="4.4000000000000004"/>
    <n v="6.7"/>
    <n v="6.8"/>
    <s v="-"/>
    <s v="-"/>
    <n v="9.3000000000000007"/>
    <n v="9.3000000000000007"/>
    <n v="4.3"/>
    <n v="4.2"/>
    <n v="91"/>
    <n v="91"/>
    <n v="134"/>
    <n v="132"/>
    <s v="-"/>
    <s v="-"/>
    <s v="-"/>
    <s v="-"/>
    <n v="284.71855555555561"/>
    <n v="280.97922222222218"/>
    <n v="4.25"/>
    <n v="4.22"/>
    <n v="12.9"/>
    <n v="12.8"/>
    <n v="39.700000000000003"/>
    <n v="38.299999999999997"/>
    <n v="93.4"/>
    <n v="90.8"/>
    <n v="30.4"/>
    <n v="30.3"/>
    <n v="32.5"/>
    <n v="33.4"/>
    <n v="252"/>
    <n v="308"/>
    <n v="12.1"/>
    <n v="12.6"/>
    <n v="1.21"/>
    <n v="1.45"/>
    <n v="6.44"/>
    <n v="7.92"/>
    <n v="58.4"/>
    <n v="55.7"/>
    <n v="21"/>
    <n v="20.5"/>
    <n v="13.2"/>
    <n v="18.600000000000001"/>
    <n v="6.8"/>
    <n v="4.4000000000000004"/>
    <n v="0.6"/>
    <n v="0.8"/>
    <x v="0"/>
    <x v="0"/>
    <n v="64.734659999999991"/>
    <n v="76.599999999999994"/>
    <n v="177"/>
    <n v="52.21"/>
    <n v="52"/>
    <n v="49"/>
    <n v="15.49"/>
  </r>
  <r>
    <x v="2"/>
    <x v="2"/>
    <x v="59"/>
    <n v="28"/>
    <n v="93"/>
    <x v="0"/>
    <s v="RR"/>
    <s v="MT"/>
    <s v="DD"/>
    <s v="(-9, -9)"/>
    <n v="62.5"/>
    <n v="37.5"/>
    <n v="273"/>
    <n v="958"/>
    <n v="7"/>
    <n v="24"/>
    <s v="-"/>
    <s v="-"/>
    <n v="538"/>
    <n v="677"/>
    <n v="36"/>
    <n v="62"/>
    <n v="4.4000000000000004"/>
    <n v="4.2"/>
    <n v="40"/>
    <n v="43"/>
    <n v="53"/>
    <n v="48"/>
    <s v="-"/>
    <s v="-"/>
    <n v="106.45183652429932"/>
    <n v="106.45183652429932"/>
    <n v="42"/>
    <n v="49"/>
    <n v="1"/>
    <n v="1"/>
    <n v="0"/>
    <n v="4.5"/>
    <n v="4.8"/>
    <n v="7.5"/>
    <n v="7.3"/>
    <s v="-"/>
    <s v="-"/>
    <n v="9.4"/>
    <n v="9.5"/>
    <n v="5.4"/>
    <n v="4.2"/>
    <n v="96"/>
    <n v="81"/>
    <n v="135"/>
    <n v="132"/>
    <s v="-"/>
    <s v="-"/>
    <s v="-"/>
    <s v="-"/>
    <n v="288.27733333333333"/>
    <n v="280.67366666666669"/>
    <n v="4.45"/>
    <n v="4.59"/>
    <n v="13.2"/>
    <n v="13.8"/>
    <n v="42.3"/>
    <n v="42"/>
    <n v="95.1"/>
    <n v="91.5"/>
    <n v="30.3"/>
    <n v="30.1"/>
    <n v="31.9"/>
    <n v="32.9"/>
    <n v="257"/>
    <n v="295"/>
    <n v="13.3"/>
    <n v="13.9"/>
    <n v="1.1000000000000001"/>
    <n v="0.99"/>
    <n v="4.7"/>
    <n v="6.69"/>
    <n v="38.299999999999997"/>
    <n v="35.799999999999997"/>
    <n v="43.8"/>
    <n v="47.1"/>
    <n v="11.9"/>
    <n v="12.6"/>
    <n v="4.3"/>
    <n v="3"/>
    <n v="1.7"/>
    <n v="1.5"/>
    <x v="0"/>
    <x v="0"/>
    <n v="82.193119999999993"/>
    <n v="85.6"/>
    <n v="192.5"/>
    <n v="0"/>
    <n v="74"/>
    <n v="70"/>
    <n v="3.98"/>
  </r>
  <r>
    <x v="2"/>
    <x v="2"/>
    <x v="60"/>
    <n v="28"/>
    <n v="85"/>
    <x v="1"/>
    <s v="RX "/>
    <s v="TT"/>
    <s v="ID"/>
    <s v="(+9, -9)"/>
    <n v="62.5"/>
    <n v="37.5"/>
    <n v="270"/>
    <n v="890"/>
    <n v="3"/>
    <n v="10"/>
    <s v="-"/>
    <s v="-"/>
    <n v="457"/>
    <n v="726"/>
    <n v="22"/>
    <n v="44"/>
    <n v="4.0999999999999996"/>
    <n v="4.5"/>
    <n v="33"/>
    <n v="45"/>
    <n v="25"/>
    <n v="25"/>
    <s v="-"/>
    <s v="-"/>
    <n v="85.533385678368745"/>
    <n v="77.700020894732489"/>
    <n v="39"/>
    <n v="44"/>
    <n v="1.2"/>
    <n v="1.3"/>
    <n v="0.10000000000000009"/>
    <n v="4.5"/>
    <n v="5"/>
    <n v="7"/>
    <n v="7.6"/>
    <s v="-"/>
    <s v="-"/>
    <n v="9.6"/>
    <n v="9.6"/>
    <n v="5.3"/>
    <n v="4.3"/>
    <n v="101"/>
    <n v="79"/>
    <n v="135"/>
    <n v="132"/>
    <s v="-"/>
    <s v="-"/>
    <s v="-"/>
    <s v="-"/>
    <n v="287.91077777777781"/>
    <n v="279.89855555555556"/>
    <n v="4.2699999999999996"/>
    <n v="4.4000000000000004"/>
    <n v="14.5"/>
    <n v="14.4"/>
    <n v="42.8"/>
    <n v="44"/>
    <n v="100.2"/>
    <n v="100"/>
    <n v="34"/>
    <n v="32.700000000000003"/>
    <n v="33.9"/>
    <n v="32.700000000000003"/>
    <n v="358"/>
    <n v="352"/>
    <n v="12.3"/>
    <n v="12.7"/>
    <n v="1.79"/>
    <n v="1.34"/>
    <n v="5.75"/>
    <n v="7.7"/>
    <n v="53.1"/>
    <n v="51.4"/>
    <n v="27.7"/>
    <n v="23.1"/>
    <n v="15.1"/>
    <n v="23"/>
    <n v="2.4"/>
    <n v="1.6"/>
    <n v="1.7"/>
    <n v="0.9"/>
    <x v="0"/>
    <x v="0"/>
    <n v="78.848640000000003"/>
    <n v="86.4"/>
    <n v="184"/>
    <n v="50.17"/>
    <n v="48"/>
    <n v="42.5"/>
    <n v="8.74"/>
  </r>
  <r>
    <x v="2"/>
    <x v="2"/>
    <x v="61"/>
    <n v="34"/>
    <n v="82"/>
    <x v="1"/>
    <s v="XX"/>
    <s v="MT"/>
    <s v="ID"/>
    <s v="(+9, -9)"/>
    <n v="37.5"/>
    <n v="62.5"/>
    <n v="390"/>
    <n v="2605"/>
    <n v="3"/>
    <n v="37"/>
    <s v="-"/>
    <s v="-"/>
    <n v="391"/>
    <n v="918"/>
    <n v="37"/>
    <n v="132"/>
    <n v="3.8"/>
    <n v="3.9"/>
    <n v="51"/>
    <n v="96"/>
    <n v="85"/>
    <n v="61"/>
    <s v="-"/>
    <s v="-"/>
    <n v="106.45183652429932"/>
    <n v="94.947150652744313"/>
    <n v="41"/>
    <n v="46"/>
    <n v="1"/>
    <n v="1.1000000000000001"/>
    <n v="0.10000000000000009"/>
    <n v="3.9"/>
    <n v="4.2"/>
    <n v="7.1"/>
    <n v="7.2"/>
    <s v="-"/>
    <s v="-"/>
    <n v="9.1"/>
    <n v="9.3000000000000007"/>
    <n v="4.5"/>
    <n v="4.0999999999999996"/>
    <n v="95"/>
    <n v="90"/>
    <n v="133"/>
    <n v="131"/>
    <s v="-"/>
    <s v="-"/>
    <s v="-"/>
    <s v="-"/>
    <n v="282.65277777777777"/>
    <n v="278.70266666666669"/>
    <n v="4.83"/>
    <n v="4.8600000000000003"/>
    <n v="14.8"/>
    <n v="15"/>
    <n v="46"/>
    <n v="44.5"/>
    <n v="95.2"/>
    <n v="91.6"/>
    <n v="30.6"/>
    <n v="30.9"/>
    <n v="32.200000000000003"/>
    <n v="33.700000000000003"/>
    <n v="283"/>
    <n v="295"/>
    <n v="14.7"/>
    <n v="14.1"/>
    <n v="1.38"/>
    <n v="0.62"/>
    <n v="9.5299999999999994"/>
    <n v="10.17"/>
    <n v="65.7"/>
    <n v="65.8"/>
    <n v="23"/>
    <n v="21.9"/>
    <n v="9.3000000000000007"/>
    <n v="9.9"/>
    <n v="1.3"/>
    <n v="1.9"/>
    <n v="0.7"/>
    <n v="0.5"/>
    <x v="0"/>
    <x v="1"/>
    <n v="73.472700000000003"/>
    <n v="88.5"/>
    <n v="187"/>
    <n v="49.59"/>
    <n v="59.5"/>
    <n v="0"/>
    <n v="16.98"/>
  </r>
  <r>
    <x v="2"/>
    <x v="2"/>
    <x v="62"/>
    <n v="34"/>
    <n v="82"/>
    <x v="1"/>
    <s v="RX "/>
    <s v="MT"/>
    <s v="II"/>
    <s v="(+9, -9)"/>
    <n v="37.5"/>
    <n v="62.5"/>
    <n v="145"/>
    <n v="457"/>
    <n v="8"/>
    <n v="14"/>
    <s v="-"/>
    <s v="-"/>
    <n v="431"/>
    <n v="572"/>
    <n v="34"/>
    <n v="60"/>
    <n v="4.2"/>
    <n v="4.0999999999999996"/>
    <n v="48"/>
    <n v="60"/>
    <n v="31"/>
    <n v="32"/>
    <s v="-"/>
    <s v="-"/>
    <n v="77.700020894732489"/>
    <n v="85.533385678368745"/>
    <n v="36"/>
    <n v="44"/>
    <n v="1.3"/>
    <n v="1.2"/>
    <n v="0"/>
    <n v="4.4000000000000004"/>
    <n v="4.8"/>
    <n v="7.6"/>
    <n v="7.4"/>
    <s v="-"/>
    <s v="-"/>
    <n v="9.4"/>
    <n v="9.3000000000000007"/>
    <n v="4.8"/>
    <n v="4.3"/>
    <n v="95"/>
    <n v="81"/>
    <n v="137"/>
    <n v="133"/>
    <s v="-"/>
    <s v="-"/>
    <s v="-"/>
    <s v="-"/>
    <n v="289.8174444444445"/>
    <n v="281.88633333333337"/>
    <n v="5.14"/>
    <n v="4.91"/>
    <n v="14.1"/>
    <n v="13.6"/>
    <n v="44.8"/>
    <n v="41.6"/>
    <n v="87.2"/>
    <n v="84.7"/>
    <n v="27.4"/>
    <n v="27.7"/>
    <n v="31.5"/>
    <n v="32.700000000000003"/>
    <n v="158"/>
    <n v="177"/>
    <n v="13.2"/>
    <n v="13.7"/>
    <n v="1.26"/>
    <n v="1.4"/>
    <n v="4.83"/>
    <n v="7.76"/>
    <n v="37.5"/>
    <n v="54.9"/>
    <n v="49.5"/>
    <n v="33"/>
    <n v="12"/>
    <n v="11.5"/>
    <n v="0.4"/>
    <n v="0.3"/>
    <n v="0.6"/>
    <n v="0.3"/>
    <x v="0"/>
    <x v="0"/>
    <n v="71.675339999999991"/>
    <n v="78.599999999999994"/>
    <n v="172"/>
    <n v="51.33"/>
    <n v="48"/>
    <n v="49"/>
    <n v="8.81"/>
  </r>
  <r>
    <x v="2"/>
    <x v="2"/>
    <x v="63"/>
    <n v="34"/>
    <n v="87"/>
    <x v="1"/>
    <s v="XX"/>
    <s v="MM"/>
    <s v="ID"/>
    <s v="(+9, +9)"/>
    <n v="37.5"/>
    <n v="62.5"/>
    <n v="287"/>
    <n v="899"/>
    <n v="3"/>
    <n v="19"/>
    <s v="-"/>
    <s v="-"/>
    <n v="451"/>
    <n v="632"/>
    <n v="32"/>
    <n v="57"/>
    <n v="4.0999999999999996"/>
    <n v="4.2"/>
    <n v="42"/>
    <n v="52"/>
    <n v="28"/>
    <n v="28"/>
    <s v="-"/>
    <s v="-"/>
    <n v="120.79866842153496"/>
    <n v="120.79866842153496"/>
    <n v="31"/>
    <n v="29"/>
    <n v="0.9"/>
    <n v="0.9"/>
    <n v="0"/>
    <n v="4.5999999999999996"/>
    <n v="5.2"/>
    <n v="6.9"/>
    <n v="6.9"/>
    <s v="-"/>
    <s v="-"/>
    <n v="9.4"/>
    <n v="9.1999999999999993"/>
    <n v="5.3"/>
    <n v="4.4000000000000004"/>
    <n v="102"/>
    <n v="89"/>
    <n v="137"/>
    <n v="134"/>
    <s v="-"/>
    <s v="-"/>
    <s v="-"/>
    <s v="-"/>
    <n v="290.36133333333339"/>
    <n v="281.94344444444448"/>
    <n v="4.8099999999999996"/>
    <n v="4.8099999999999996"/>
    <n v="13.1"/>
    <n v="13.1"/>
    <n v="41.9"/>
    <n v="40.6"/>
    <n v="87.1"/>
    <n v="84.4"/>
    <n v="27.2"/>
    <n v="27.2"/>
    <n v="31.3"/>
    <n v="32.299999999999997"/>
    <n v="260"/>
    <n v="259"/>
    <n v="13.1"/>
    <n v="13.7"/>
    <n v="1.34"/>
    <n v="1.25"/>
    <n v="4.53"/>
    <n v="8.92"/>
    <n v="51.9"/>
    <n v="55.1"/>
    <n v="34.200000000000003"/>
    <n v="33.299999999999997"/>
    <n v="9.5"/>
    <n v="9.3000000000000007"/>
    <n v="3.3"/>
    <n v="2"/>
    <n v="1.1000000000000001"/>
    <n v="0.3"/>
    <x v="0"/>
    <x v="0"/>
    <n v="75.626200000000011"/>
    <n v="88.4"/>
    <n v="179"/>
    <n v="47.54"/>
    <n v="51.5"/>
    <n v="50.5"/>
    <n v="14.45"/>
  </r>
  <r>
    <x v="2"/>
    <x v="2"/>
    <x v="64"/>
    <n v="30"/>
    <n v="0"/>
    <x v="1"/>
    <s v="RX"/>
    <s v="MM"/>
    <s v="DD"/>
    <s v="(+9, +9)"/>
    <n v="62.5"/>
    <n v="37.5"/>
    <n v="302"/>
    <n v="1261"/>
    <n v="6"/>
    <n v="21"/>
    <s v="-"/>
    <s v="-"/>
    <n v="403"/>
    <n v="636"/>
    <n v="41"/>
    <n v="75"/>
    <n v="4.4000000000000004"/>
    <n v="4.7"/>
    <n v="54"/>
    <n v="65"/>
    <n v="106"/>
    <n v="93"/>
    <s v="-"/>
    <s v="-"/>
    <n v="120.79866842153496"/>
    <n v="130.32381263076621"/>
    <n v="32"/>
    <n v="35"/>
    <n v="0.9"/>
    <n v="0.7"/>
    <n v="0"/>
    <n v="4.5999999999999996"/>
    <n v="4.9000000000000004"/>
    <n v="7.2"/>
    <n v="7.4"/>
    <s v="-"/>
    <s v="-"/>
    <n v="9.5"/>
    <n v="9.5"/>
    <n v="5.2"/>
    <n v="4.0999999999999996"/>
    <n v="98"/>
    <n v="93"/>
    <n v="134"/>
    <n v="133"/>
    <s v="-"/>
    <s v="-"/>
    <s v="-"/>
    <s v="-"/>
    <n v="284.50644444444441"/>
    <n v="280.78100000000001"/>
    <n v="4.8600000000000003"/>
    <n v="4.76"/>
    <n v="15.3"/>
    <n v="15.1"/>
    <n v="47.4"/>
    <n v="45"/>
    <n v="97.5"/>
    <n v="94.5"/>
    <n v="31.5"/>
    <n v="31.7"/>
    <n v="32.299999999999997"/>
    <n v="33.6"/>
    <n v="276"/>
    <n v="252"/>
    <n v="11.8"/>
    <n v="12.1"/>
    <n v="0.94"/>
    <n v="0.6"/>
    <n v="5.84"/>
    <n v="4.5999999999999996"/>
    <n v="50.2"/>
    <n v="48.6"/>
    <n v="36.1"/>
    <n v="34.299999999999997"/>
    <n v="10.6"/>
    <n v="13.7"/>
    <n v="2.6"/>
    <n v="3"/>
    <n v="0.5"/>
    <n v="0.4"/>
    <x v="0"/>
    <x v="1"/>
    <n v="60.885999999999996"/>
    <n v="70"/>
    <n v="167"/>
    <n v="53.35"/>
    <n v="42.5"/>
    <n v="38"/>
    <n v="13.02"/>
  </r>
  <r>
    <x v="2"/>
    <x v="2"/>
    <x v="65"/>
    <n v="32"/>
    <n v="83"/>
    <x v="1"/>
    <s v="RR"/>
    <s v="MM"/>
    <s v="ID"/>
    <s v="(+9, -9)"/>
    <n v="50"/>
    <n v="50"/>
    <n v="1231"/>
    <n v="2548"/>
    <n v="10"/>
    <n v="35"/>
    <s v="-"/>
    <s v="-"/>
    <n v="538"/>
    <n v="893"/>
    <n v="53"/>
    <n v="97"/>
    <n v="4.4000000000000004"/>
    <n v="4.2"/>
    <n v="56"/>
    <n v="68"/>
    <n v="18"/>
    <n v="17"/>
    <s v="-"/>
    <s v="-"/>
    <n v="94.947150652744313"/>
    <n v="106.45183652429932"/>
    <n v="42"/>
    <n v="41"/>
    <n v="1.1000000000000001"/>
    <n v="1"/>
    <n v="0"/>
    <n v="4.8"/>
    <n v="4.9000000000000004"/>
    <n v="7.5"/>
    <n v="7.2"/>
    <s v="-"/>
    <s v="-"/>
    <n v="9.3000000000000007"/>
    <n v="9.5"/>
    <n v="5.0999999999999996"/>
    <n v="4.4000000000000004"/>
    <n v="87"/>
    <n v="83"/>
    <n v="137"/>
    <n v="137"/>
    <s v="-"/>
    <s v="-"/>
    <s v="-"/>
    <s v="-"/>
    <n v="290.86433333333332"/>
    <n v="289.14011111111114"/>
    <n v="4.57"/>
    <n v="4.4000000000000004"/>
    <n v="13.6"/>
    <n v="13.1"/>
    <n v="42.7"/>
    <n v="39.9"/>
    <n v="93.4"/>
    <n v="90.7"/>
    <n v="29.8"/>
    <n v="29.8"/>
    <n v="31.9"/>
    <n v="32.799999999999997"/>
    <n v="341"/>
    <n v="342"/>
    <n v="12.2"/>
    <n v="13.3"/>
    <n v="1.1399999999999999"/>
    <n v="0.85"/>
    <n v="6.51"/>
    <n v="5.64"/>
    <n v="43.4"/>
    <n v="49.3"/>
    <n v="30.1"/>
    <n v="25.7"/>
    <n v="8.4"/>
    <n v="10.1"/>
    <n v="17.8"/>
    <n v="14.7"/>
    <n v="0.3"/>
    <n v="0.2"/>
    <x v="0"/>
    <x v="1"/>
    <n v="71.683920000000001"/>
    <n v="79.2"/>
    <n v="172.6"/>
    <n v="51.6"/>
    <n v="60"/>
    <n v="54"/>
    <n v="9.49"/>
  </r>
  <r>
    <x v="2"/>
    <x v="2"/>
    <x v="66"/>
    <n v="31"/>
    <n v="85"/>
    <x v="1"/>
    <s v="XX"/>
    <s v="MT"/>
    <s v="DD"/>
    <s v="(+9, -9)"/>
    <n v="50"/>
    <n v="50"/>
    <n v="220"/>
    <n v="584"/>
    <n v="5"/>
    <n v="14"/>
    <s v="-"/>
    <s v="-"/>
    <n v="388"/>
    <n v="558"/>
    <n v="39"/>
    <n v="60"/>
    <n v="4.2"/>
    <n v="4.5"/>
    <n v="56"/>
    <n v="54"/>
    <n v="20"/>
    <n v="19"/>
    <s v="-"/>
    <s v="-"/>
    <n v="94.947150652744313"/>
    <n v="94.947150652744313"/>
    <n v="38"/>
    <n v="38"/>
    <n v="1.1000000000000001"/>
    <n v="1.1000000000000001"/>
    <n v="0"/>
    <n v="4.5"/>
    <n v="5.3"/>
    <n v="7.2"/>
    <n v="7.5"/>
    <s v="-"/>
    <s v="-"/>
    <n v="9.6"/>
    <n v="10.1"/>
    <n v="5.6"/>
    <n v="4.9000000000000004"/>
    <n v="104"/>
    <n v="93"/>
    <n v="135"/>
    <n v="135"/>
    <s v="-"/>
    <s v="-"/>
    <s v="-"/>
    <s v="-"/>
    <n v="288.49377777777778"/>
    <n v="286.48899999999998"/>
    <n v="5.26"/>
    <n v="5.29"/>
    <n v="14.6"/>
    <n v="14.7"/>
    <n v="43"/>
    <n v="42.1"/>
    <n v="81.7"/>
    <n v="79.599999999999994"/>
    <n v="27.8"/>
    <n v="27.8"/>
    <n v="34"/>
    <n v="34.9"/>
    <n v="258"/>
    <n v="327"/>
    <n v="12.9"/>
    <n v="12.8"/>
    <n v="1.27"/>
    <n v="1.08"/>
    <n v="6.35"/>
    <n v="7.62"/>
    <n v="43.8"/>
    <n v="52.2"/>
    <n v="38.1"/>
    <n v="31.5"/>
    <n v="13.2"/>
    <n v="13.3"/>
    <n v="3.8"/>
    <n v="2.5"/>
    <n v="1.1000000000000001"/>
    <n v="0.9"/>
    <x v="0"/>
    <x v="0"/>
    <n v="76.33"/>
    <n v="85"/>
    <n v="181"/>
    <n v="50.68"/>
    <n v="52"/>
    <n v="55"/>
    <n v="10.199999999999999"/>
  </r>
  <r>
    <x v="2"/>
    <x v="2"/>
    <x v="67"/>
    <n v="31"/>
    <n v="80"/>
    <x v="1"/>
    <s v="RR"/>
    <s v="MT"/>
    <s v="DD"/>
    <s v="(-9, -9)"/>
    <n v="62.5"/>
    <n v="37.5"/>
    <n v="418"/>
    <n v="932"/>
    <n v="63"/>
    <n v="42"/>
    <s v="-"/>
    <s v="-"/>
    <n v="494"/>
    <n v="600"/>
    <n v="93"/>
    <n v="55"/>
    <n v="4.5999999999999996"/>
    <n v="4.2"/>
    <n v="55"/>
    <n v="48"/>
    <n v="22"/>
    <n v="21"/>
    <s v="-"/>
    <s v="-"/>
    <n v="106.45183652429932"/>
    <n v="120.79866842153496"/>
    <n v="33"/>
    <n v="33"/>
    <n v="1"/>
    <n v="0.9"/>
    <n v="0"/>
    <n v="3.8"/>
    <n v="4.5999999999999996"/>
    <n v="7.7"/>
    <n v="7.4"/>
    <s v="-"/>
    <s v="-"/>
    <n v="9.5"/>
    <n v="9.5"/>
    <n v="4.3"/>
    <n v="4.4000000000000004"/>
    <n v="88"/>
    <n v="85"/>
    <n v="135"/>
    <n v="135"/>
    <s v="-"/>
    <s v="-"/>
    <s v="-"/>
    <s v="-"/>
    <n v="284.22022222222222"/>
    <n v="284.21455555555559"/>
    <n v="5.13"/>
    <n v="5.0199999999999996"/>
    <n v="15.3"/>
    <n v="15.1"/>
    <n v="46.9"/>
    <n v="44.5"/>
    <n v="91.4"/>
    <n v="88.6"/>
    <n v="29.8"/>
    <n v="30.1"/>
    <n v="32.6"/>
    <n v="33.9"/>
    <n v="192"/>
    <n v="207"/>
    <n v="11.9"/>
    <n v="12.5"/>
    <n v="1.02"/>
    <n v="1.2"/>
    <n v="5.68"/>
    <n v="7.22"/>
    <n v="42.4"/>
    <n v="51.8"/>
    <n v="46.5"/>
    <n v="34.799999999999997"/>
    <n v="9.5"/>
    <n v="10.7"/>
    <n v="1.2"/>
    <n v="2.4"/>
    <n v="0.4"/>
    <n v="0.3"/>
    <x v="0"/>
    <x v="0"/>
    <n v="71.280989999999989"/>
    <n v="80.099999999999994"/>
    <n v="184"/>
    <n v="51.35"/>
    <n v="57"/>
    <n v="55"/>
    <n v="11.01"/>
  </r>
  <r>
    <x v="2"/>
    <x v="2"/>
    <x v="44"/>
    <n v="30"/>
    <n v="72"/>
    <x v="0"/>
    <s v="RX"/>
    <s v="MM"/>
    <s v="DD"/>
    <s v="(+9, -9)"/>
    <n v="50"/>
    <n v="50"/>
    <n v="1040"/>
    <n v="1254"/>
    <n v="13"/>
    <n v="23"/>
    <s v="-"/>
    <s v="-"/>
    <n v="516"/>
    <n v="657"/>
    <n v="53"/>
    <n v="61"/>
    <n v="4.5999999999999996"/>
    <n v="4.4000000000000004"/>
    <n v="45"/>
    <n v="45"/>
    <n v="11"/>
    <n v="10"/>
    <s v="-"/>
    <s v="-"/>
    <n v="106.45183652429932"/>
    <n v="106.45183652429932"/>
    <n v="55"/>
    <n v="53"/>
    <n v="1"/>
    <n v="1"/>
    <n v="0"/>
    <n v="4.2"/>
    <n v="4.2"/>
    <n v="7.8"/>
    <n v="7.5"/>
    <s v="-"/>
    <s v="-"/>
    <n v="9.6999999999999993"/>
    <n v="9.6999999999999993"/>
    <n v="5.3"/>
    <n v="4.5999999999999996"/>
    <n v="88"/>
    <n v="91"/>
    <n v="136"/>
    <n v="134"/>
    <s v="-"/>
    <s v="-"/>
    <s v="-"/>
    <s v="-"/>
    <n v="291.60688888888893"/>
    <n v="286.44322222222218"/>
    <n v="5.16"/>
    <n v="5.0599999999999996"/>
    <n v="15.1"/>
    <n v="14.7"/>
    <n v="49.2"/>
    <n v="45.2"/>
    <n v="95.3"/>
    <n v="89.3"/>
    <n v="29.3"/>
    <n v="29.1"/>
    <n v="30.7"/>
    <n v="32.5"/>
    <n v="288"/>
    <n v="335"/>
    <n v="12.7"/>
    <n v="13"/>
    <n v="1.1599999999999999"/>
    <n v="1.03"/>
    <n v="5.18"/>
    <n v="8.48"/>
    <n v="55.4"/>
    <n v="64"/>
    <n v="29.3"/>
    <n v="19.2"/>
    <n v="11.8"/>
    <n v="11"/>
    <n v="2.7"/>
    <n v="5.2"/>
    <n v="0.8"/>
    <n v="0.6"/>
    <x v="0"/>
    <x v="1"/>
    <n v="66.363659999999996"/>
    <n v="72.599999999999994"/>
    <n v="180"/>
    <n v="52.5"/>
    <n v="45"/>
    <n v="42"/>
    <n v="8.59"/>
  </r>
  <r>
    <x v="2"/>
    <x v="2"/>
    <x v="45"/>
    <n v="29"/>
    <n v="70"/>
    <x v="1"/>
    <s v="RX"/>
    <s v="MT"/>
    <s v="DD"/>
    <s v="(+9, -9)"/>
    <n v="62.5"/>
    <n v="37.5"/>
    <n v="108"/>
    <n v="490"/>
    <n v="3"/>
    <n v="9"/>
    <s v="-"/>
    <s v="-"/>
    <n v="445"/>
    <n v="670"/>
    <n v="29"/>
    <n v="66"/>
    <n v="4.4000000000000004"/>
    <n v="4.5"/>
    <n v="36"/>
    <n v="58"/>
    <n v="14"/>
    <n v="15"/>
    <s v="-"/>
    <s v="-"/>
    <n v="94.947150652744313"/>
    <n v="106.45183652429932"/>
    <n v="43"/>
    <n v="38"/>
    <n v="1.1000000000000001"/>
    <n v="1"/>
    <n v="0"/>
    <n v="4"/>
    <n v="5.4"/>
    <n v="6.9"/>
    <n v="7"/>
    <s v="-"/>
    <s v="-"/>
    <n v="9.6999999999999993"/>
    <n v="10"/>
    <n v="4.9000000000000004"/>
    <n v="4.9000000000000004"/>
    <n v="84"/>
    <n v="83"/>
    <n v="138"/>
    <n v="137"/>
    <s v="-"/>
    <s v="-"/>
    <s v="-"/>
    <s v="-"/>
    <n v="292.3273333333334"/>
    <n v="289.57011111111109"/>
    <n v="4.9000000000000004"/>
    <n v="5.04"/>
    <n v="14.4"/>
    <n v="14.8"/>
    <n v="43.4"/>
    <n v="43.2"/>
    <n v="88.6"/>
    <n v="85.7"/>
    <n v="29.4"/>
    <n v="29.4"/>
    <n v="33.200000000000003"/>
    <n v="34.299999999999997"/>
    <n v="172"/>
    <n v="216"/>
    <n v="12.3"/>
    <n v="12.9"/>
    <n v="1.76"/>
    <n v="1.58"/>
    <n v="5.12"/>
    <n v="5.49"/>
    <n v="42.2"/>
    <n v="37"/>
    <n v="35"/>
    <n v="44.6"/>
    <n v="11.9"/>
    <n v="10.7"/>
    <n v="10.5"/>
    <n v="7.3"/>
    <n v="0.4"/>
    <n v="0.4"/>
    <x v="0"/>
    <x v="0"/>
    <n v="0"/>
    <n v="0"/>
    <n v="0"/>
    <n v="0"/>
    <n v="0"/>
    <n v="0"/>
    <n v="0"/>
  </r>
  <r>
    <x v="2"/>
    <x v="2"/>
    <x v="46"/>
    <n v="28"/>
    <n v="75"/>
    <x v="0"/>
    <s v="RX"/>
    <s v="TT"/>
    <s v="DD"/>
    <s v="(-9, -9)"/>
    <n v="62.5"/>
    <n v="37.5"/>
    <n v="446"/>
    <n v="626"/>
    <n v="11"/>
    <n v="21"/>
    <s v="-"/>
    <s v="-"/>
    <n v="559"/>
    <n v="668"/>
    <n v="36"/>
    <n v="50"/>
    <n v="4.4000000000000004"/>
    <n v="4.4000000000000004"/>
    <n v="47"/>
    <n v="51"/>
    <n v="31"/>
    <n v="35"/>
    <s v="-"/>
    <s v="-"/>
    <n v="106.45183652429932"/>
    <n v="94.947150652744313"/>
    <n v="29"/>
    <n v="35"/>
    <n v="1"/>
    <n v="1.1000000000000001"/>
    <n v="0.10000000000000009"/>
    <n v="4.0999999999999996"/>
    <n v="4.0999999999999996"/>
    <n v="7.2"/>
    <n v="7.2"/>
    <s v="-"/>
    <s v="-"/>
    <n v="9.5"/>
    <n v="9.3000000000000007"/>
    <n v="4.5"/>
    <n v="4.2"/>
    <n v="107"/>
    <n v="91"/>
    <n v="136"/>
    <n v="133"/>
    <s v="-"/>
    <s v="-"/>
    <s v="-"/>
    <s v="-"/>
    <n v="286.99944444444446"/>
    <n v="280.83922222222219"/>
    <n v="4.9000000000000004"/>
    <n v="4.83"/>
    <n v="14.4"/>
    <n v="14.2"/>
    <n v="44.4"/>
    <n v="42.1"/>
    <n v="90.6"/>
    <n v="87.2"/>
    <n v="29.4"/>
    <n v="29.4"/>
    <n v="32.4"/>
    <n v="33.700000000000003"/>
    <n v="186"/>
    <n v="253"/>
    <n v="12.9"/>
    <n v="13.3"/>
    <n v="1.1499999999999999"/>
    <n v="1.04"/>
    <n v="3.6"/>
    <n v="6.98"/>
    <n v="46.9"/>
    <n v="54"/>
    <n v="33.1"/>
    <n v="27.7"/>
    <n v="14.2"/>
    <n v="14.9"/>
    <n v="4.7"/>
    <n v="3"/>
    <n v="1.1000000000000001"/>
    <n v="0.4"/>
    <x v="0"/>
    <x v="0"/>
    <n v="69.236999999999995"/>
    <n v="73.5"/>
    <n v="177"/>
    <n v="53.28"/>
    <n v="52.5"/>
    <n v="50"/>
    <n v="5.8"/>
  </r>
  <r>
    <x v="2"/>
    <x v="2"/>
    <x v="48"/>
    <n v="27"/>
    <n v="86"/>
    <x v="0"/>
    <s v="RX"/>
    <s v="TT"/>
    <s v="ID"/>
    <s v="(+9, +9)"/>
    <n v="75"/>
    <n v="25"/>
    <n v="264"/>
    <n v="631"/>
    <n v="3"/>
    <n v="12"/>
    <s v="-"/>
    <s v="-"/>
    <n v="462"/>
    <n v="557"/>
    <n v="39"/>
    <n v="54"/>
    <n v="4.4000000000000004"/>
    <n v="4.3"/>
    <n v="45"/>
    <n v="47"/>
    <n v="26"/>
    <n v="24"/>
    <s v="-"/>
    <s v="-"/>
    <n v="120.79866842153496"/>
    <n v="106.45183652429932"/>
    <n v="33"/>
    <n v="41"/>
    <n v="0.9"/>
    <n v="1"/>
    <n v="9.9999999999999978E-2"/>
    <n v="4.4000000000000004"/>
    <n v="4.7"/>
    <n v="8.1"/>
    <n v="7.9"/>
    <s v="-"/>
    <s v="-"/>
    <n v="9.3000000000000007"/>
    <n v="9.1999999999999993"/>
    <n v="4.8"/>
    <n v="4.7"/>
    <n v="87"/>
    <n v="98"/>
    <n v="136"/>
    <n v="133"/>
    <s v="-"/>
    <s v="-"/>
    <s v="-"/>
    <s v="-"/>
    <n v="286.94633333333337"/>
    <n v="283.21644444444445"/>
    <n v="4.8099999999999996"/>
    <n v="4.7"/>
    <n v="12.7"/>
    <n v="12.5"/>
    <n v="41.1"/>
    <n v="38.1"/>
    <n v="85.4"/>
    <n v="81.099999999999994"/>
    <n v="26.4"/>
    <n v="26.6"/>
    <n v="30.9"/>
    <n v="32.799999999999997"/>
    <n v="298"/>
    <n v="301"/>
    <n v="13"/>
    <n v="13.4"/>
    <n v="0.94"/>
    <n v="0.99"/>
    <n v="8.48"/>
    <n v="7.4"/>
    <n v="53.9"/>
    <n v="37.299999999999997"/>
    <n v="32.700000000000003"/>
    <n v="39.1"/>
    <n v="10.6"/>
    <n v="13.9"/>
    <n v="2.6"/>
    <n v="9.1999999999999993"/>
    <n v="0.2"/>
    <n v="0.5"/>
    <x v="0"/>
    <x v="0"/>
    <n v="74.045439999999999"/>
    <n v="89.6"/>
    <n v="176"/>
    <n v="45.45"/>
    <n v="46.5"/>
    <n v="42"/>
    <n v="17.36"/>
  </r>
  <r>
    <x v="2"/>
    <x v="2"/>
    <x v="49"/>
    <n v="29"/>
    <n v="70"/>
    <x v="0"/>
    <s v="XX"/>
    <s v="MT"/>
    <s v="DD"/>
    <s v="(+9, -9)"/>
    <n v="50"/>
    <n v="50"/>
    <n v="161"/>
    <n v="444"/>
    <n v="4"/>
    <n v="6"/>
    <s v="-"/>
    <s v="-"/>
    <n v="377"/>
    <n v="535"/>
    <n v="38"/>
    <n v="58"/>
    <n v="4.5999999999999996"/>
    <n v="4.8"/>
    <n v="32"/>
    <n v="42"/>
    <n v="17"/>
    <n v="18"/>
    <s v="-"/>
    <s v="-"/>
    <n v="120.79866842153496"/>
    <n v="120.79866842153496"/>
    <n v="32"/>
    <n v="41"/>
    <n v="0.9"/>
    <n v="0.9"/>
    <n v="0"/>
    <n v="4.3"/>
    <n v="4.8"/>
    <n v="7.6"/>
    <n v="7.7"/>
    <s v="-"/>
    <s v="-"/>
    <n v="9.1"/>
    <n v="9.8000000000000007"/>
    <n v="5"/>
    <n v="4.5"/>
    <n v="105"/>
    <n v="88"/>
    <n v="134"/>
    <n v="134"/>
    <s v="-"/>
    <s v="-"/>
    <s v="-"/>
    <s v="-"/>
    <n v="284.58166666666665"/>
    <n v="284.06555555555553"/>
    <n v="5.22"/>
    <n v="5.24"/>
    <n v="14.9"/>
    <n v="15.2"/>
    <n v="46.2"/>
    <n v="45"/>
    <n v="88.5"/>
    <n v="85.9"/>
    <n v="28.5"/>
    <n v="29"/>
    <n v="32.299999999999997"/>
    <n v="33.799999999999997"/>
    <n v="231"/>
    <n v="256"/>
    <n v="12.6"/>
    <n v="13.1"/>
    <n v="1.1599999999999999"/>
    <n v="1.19"/>
    <n v="4.21"/>
    <n v="7.62"/>
    <n v="53.2"/>
    <n v="69.400000000000006"/>
    <n v="31.8"/>
    <n v="18.100000000000001"/>
    <n v="12.1"/>
    <n v="10.6"/>
    <n v="1.9"/>
    <n v="1.2"/>
    <n v="1"/>
    <n v="0.7"/>
    <x v="0"/>
    <x v="0"/>
    <n v="63.743760000000002"/>
    <n v="72.900000000000006"/>
    <n v="168.6"/>
    <n v="48.54"/>
    <n v="50"/>
    <n v="47"/>
    <n v="12.56"/>
  </r>
  <r>
    <x v="2"/>
    <x v="2"/>
    <x v="53"/>
    <n v="28"/>
    <n v="82"/>
    <x v="0"/>
    <s v="RX"/>
    <s v="MM"/>
    <s v="DD"/>
    <s v="(-9, -9)"/>
    <n v="37.5"/>
    <n v="62.5"/>
    <n v="200"/>
    <n v="466"/>
    <n v="4"/>
    <n v="12"/>
    <s v="-"/>
    <s v="-"/>
    <n v="414"/>
    <n v="538"/>
    <n v="46"/>
    <n v="48"/>
    <n v="4.5999999999999996"/>
    <n v="4.5"/>
    <n v="73"/>
    <n v="58"/>
    <n v="20"/>
    <n v="19"/>
    <s v="-"/>
    <s v="-"/>
    <n v="120.79866842153496"/>
    <n v="106.45183652429932"/>
    <n v="33"/>
    <n v="41"/>
    <n v="0.9"/>
    <n v="1"/>
    <n v="9.9999999999999978E-2"/>
    <n v="4.3"/>
    <n v="5.4"/>
    <n v="7.8"/>
    <n v="7.5"/>
    <s v="-"/>
    <s v="-"/>
    <n v="9.6999999999999993"/>
    <n v="9.4"/>
    <n v="5.2"/>
    <n v="4.7"/>
    <n v="89"/>
    <n v="79"/>
    <n v="135"/>
    <n v="134"/>
    <s v="-"/>
    <s v="-"/>
    <s v="-"/>
    <s v="-"/>
    <n v="285.95811111111112"/>
    <n v="283.8625555555555"/>
    <n v="5.0199999999999996"/>
    <n v="5.09"/>
    <n v="14.1"/>
    <n v="14.2"/>
    <n v="43.5"/>
    <n v="43.2"/>
    <n v="86.7"/>
    <n v="84.9"/>
    <n v="28.1"/>
    <n v="27.9"/>
    <n v="32.4"/>
    <n v="32.9"/>
    <n v="223"/>
    <n v="270"/>
    <n v="12.5"/>
    <n v="12.8"/>
    <n v="1.22"/>
    <n v="1.24"/>
    <n v="4.9400000000000004"/>
    <n v="5.7"/>
    <n v="48.8"/>
    <n v="41"/>
    <n v="36"/>
    <n v="40.4"/>
    <n v="8.5"/>
    <n v="10.9"/>
    <n v="5.0999999999999996"/>
    <n v="6.1"/>
    <n v="1.6"/>
    <n v="1.6"/>
    <x v="0"/>
    <x v="0"/>
    <n v="70.596360000000004"/>
    <n v="80.7"/>
    <n v="182.1"/>
    <n v="50.93"/>
    <n v="56"/>
    <n v="58"/>
    <n v="12.52"/>
  </r>
  <r>
    <x v="2"/>
    <x v="2"/>
    <x v="55"/>
    <n v="28"/>
    <n v="79"/>
    <x v="0"/>
    <s v="RR"/>
    <s v="TT"/>
    <s v="DD"/>
    <s v="(+9, -9)"/>
    <n v="87.5"/>
    <n v="12.5"/>
    <n v="70"/>
    <n v="429"/>
    <n v="3"/>
    <n v="11"/>
    <s v="-"/>
    <s v="-"/>
    <n v="347"/>
    <n v="583"/>
    <n v="21"/>
    <n v="52"/>
    <n v="4.4000000000000004"/>
    <n v="4.7"/>
    <n v="39"/>
    <n v="64"/>
    <n v="46"/>
    <n v="50"/>
    <s v="-"/>
    <s v="-"/>
    <n v="106.45183652429932"/>
    <n v="125.17286966375688"/>
    <n v="33"/>
    <n v="36"/>
    <n v="1"/>
    <n v="0.8"/>
    <n v="0"/>
    <n v="3.9"/>
    <n v="4.8"/>
    <n v="7.3"/>
    <n v="7.8"/>
    <s v="-"/>
    <s v="-"/>
    <n v="9.3000000000000007"/>
    <n v="9.6"/>
    <n v="5.8"/>
    <n v="4.0999999999999996"/>
    <n v="113"/>
    <n v="90"/>
    <n v="135"/>
    <n v="134"/>
    <s v="-"/>
    <s v="-"/>
    <s v="-"/>
    <s v="-"/>
    <n v="288.60744444444447"/>
    <n v="282.61599999999999"/>
    <n v="4.57"/>
    <n v="4.84"/>
    <n v="13.3"/>
    <n v="14"/>
    <n v="42.1"/>
    <n v="43"/>
    <n v="92.1"/>
    <n v="88.8"/>
    <n v="29.1"/>
    <n v="28.9"/>
    <n v="31.6"/>
    <n v="32.6"/>
    <n v="209"/>
    <n v="235"/>
    <n v="13"/>
    <n v="13.6"/>
    <n v="1.01"/>
    <n v="1.26"/>
    <n v="8.67"/>
    <n v="9.56"/>
    <n v="57.6"/>
    <n v="55.1"/>
    <n v="27.3"/>
    <n v="33.4"/>
    <n v="8.3000000000000007"/>
    <n v="10.3"/>
    <n v="6.3"/>
    <n v="0.9"/>
    <n v="0.5"/>
    <n v="0.3"/>
    <x v="0"/>
    <x v="0"/>
    <n v="70.250040000000013"/>
    <n v="85.4"/>
    <n v="179.3"/>
    <n v="49.65"/>
    <n v="44"/>
    <n v="35"/>
    <n v="17.739999999999998"/>
  </r>
  <r>
    <x v="2"/>
    <x v="3"/>
    <x v="57"/>
    <n v="29"/>
    <n v="74"/>
    <x v="1"/>
    <s v="RX "/>
    <s v="MT"/>
    <s v="II"/>
    <s v="(+9, -9)"/>
    <n v="37.5"/>
    <n v="62.5"/>
    <n v="1600"/>
    <n v="2243"/>
    <s v="-"/>
    <n v="25"/>
    <s v="-"/>
    <s v="-"/>
    <n v="805"/>
    <n v="858"/>
    <n v="73"/>
    <n v="56"/>
    <n v="4.4000000000000004"/>
    <n v="4.9000000000000004"/>
    <n v="75"/>
    <n v="54"/>
    <n v="28"/>
    <n v="25"/>
    <s v="-"/>
    <s v="-"/>
    <n v="106.45183652429932"/>
    <n v="94.947150652744313"/>
    <n v="42"/>
    <n v="41"/>
    <n v="1"/>
    <n v="1.1000000000000001"/>
    <n v="0.10000000000000009"/>
    <n v="5"/>
    <n v="5.0999999999999996"/>
    <n v="7.3"/>
    <n v="7.8"/>
    <s v="-"/>
    <s v="-"/>
    <n v="9.4"/>
    <n v="9.8000000000000007"/>
    <n v="4.5"/>
    <n v="4.3"/>
    <n v="83"/>
    <n v="111"/>
    <n v="140"/>
    <n v="143"/>
    <s v="-"/>
    <s v="-"/>
    <s v="-"/>
    <s v="-"/>
    <n v="295.07277777777779"/>
    <n v="301.90299999999996"/>
    <n v="5.52"/>
    <n v="5.45"/>
    <n v="16"/>
    <n v="16.100000000000001"/>
    <n v="47.1"/>
    <n v="45.9"/>
    <n v="85.3"/>
    <n v="84.2"/>
    <n v="29"/>
    <n v="29.5"/>
    <n v="34"/>
    <n v="35.1"/>
    <n v="296"/>
    <n v="337"/>
    <n v="12.1"/>
    <n v="11.8"/>
    <n v="0.6"/>
    <n v="0.62"/>
    <n v="10.24"/>
    <n v="10.53"/>
    <n v="54.7"/>
    <n v="50.4"/>
    <n v="26.6"/>
    <n v="30.7"/>
    <n v="9"/>
    <n v="11.8"/>
    <n v="8.5"/>
    <n v="6.1"/>
    <n v="1.2"/>
    <n v="1"/>
    <x v="0"/>
    <x v="1"/>
    <n v="64.758570000000006"/>
    <n v="73.900000000000006"/>
    <n v="172.6"/>
    <n v="52.06"/>
    <n v="42"/>
    <n v="36.5"/>
    <n v="12.37"/>
  </r>
  <r>
    <x v="2"/>
    <x v="3"/>
    <x v="58"/>
    <n v="28"/>
    <n v="77"/>
    <x v="2"/>
    <s v="XX"/>
    <s v="MT"/>
    <s v="II"/>
    <s v="(+9, +9)"/>
    <n v="37.5"/>
    <n v="62.5"/>
    <n v="540"/>
    <n v="546"/>
    <n v="10"/>
    <n v="13"/>
    <s v="-"/>
    <s v="-"/>
    <n v="516"/>
    <n v="638"/>
    <n v="43"/>
    <n v="36"/>
    <n v="4.5999999999999996"/>
    <n v="4.7"/>
    <n v="34"/>
    <n v="28"/>
    <n v="20"/>
    <n v="15"/>
    <s v="-"/>
    <s v="-"/>
    <n v="94.947150652744313"/>
    <n v="85.533385678368745"/>
    <n v="46"/>
    <n v="54"/>
    <n v="1.1000000000000001"/>
    <n v="1.2"/>
    <n v="9.9999999999999867E-2"/>
    <n v="5.6"/>
    <n v="5.2"/>
    <n v="7.5"/>
    <n v="7.2"/>
    <s v="-"/>
    <s v="-"/>
    <n v="9.6999999999999993"/>
    <n v="10.199999999999999"/>
    <n v="4.4000000000000004"/>
    <n v="4.8"/>
    <n v="88"/>
    <n v="89"/>
    <n v="143"/>
    <n v="149"/>
    <s v="-"/>
    <s v="-"/>
    <s v="-"/>
    <s v="-"/>
    <n v="301.45288888888894"/>
    <n v="314.75411111111117"/>
    <n v="4.67"/>
    <n v="4.63"/>
    <n v="14.1"/>
    <n v="13.9"/>
    <n v="42.6"/>
    <n v="41.3"/>
    <n v="91.2"/>
    <n v="89.2"/>
    <n v="30.2"/>
    <n v="30"/>
    <n v="33.1"/>
    <n v="33.700000000000003"/>
    <n v="302"/>
    <n v="300"/>
    <n v="12.3"/>
    <n v="11.9"/>
    <n v="1.01"/>
    <n v="0.66"/>
    <n v="12.93"/>
    <n v="9.52"/>
    <n v="67"/>
    <n v="64.7"/>
    <n v="15"/>
    <n v="20.6"/>
    <n v="11.4"/>
    <n v="11.1"/>
    <n v="6.1"/>
    <n v="2.8"/>
    <n v="0.5"/>
    <n v="0.8"/>
    <x v="0"/>
    <x v="0"/>
    <n v="64.734659999999991"/>
    <n v="76.599999999999994"/>
    <n v="177"/>
    <n v="52.21"/>
    <n v="52"/>
    <n v="49"/>
    <n v="15.49"/>
  </r>
  <r>
    <x v="2"/>
    <x v="3"/>
    <x v="59"/>
    <n v="28"/>
    <n v="92"/>
    <x v="0"/>
    <s v="RR"/>
    <s v="MT"/>
    <s v="DD"/>
    <s v="(-9, -9)"/>
    <n v="62.5"/>
    <n v="37.5"/>
    <n v="1473"/>
    <n v="571"/>
    <n v="40"/>
    <n v="19"/>
    <s v="-"/>
    <s v="-"/>
    <n v="651"/>
    <n v="656"/>
    <n v="77"/>
    <n v="34"/>
    <n v="4.4000000000000004"/>
    <n v="4.9000000000000004"/>
    <n v="40"/>
    <n v="36"/>
    <n v="43"/>
    <n v="55"/>
    <s v="-"/>
    <s v="-"/>
    <n v="106.45183652429932"/>
    <n v="85.533385678368745"/>
    <n v="48"/>
    <n v="49"/>
    <n v="1"/>
    <n v="1.2"/>
    <n v="0.19999999999999996"/>
    <n v="4.9000000000000004"/>
    <n v="5.5"/>
    <n v="7.7"/>
    <n v="8"/>
    <s v="-"/>
    <s v="-"/>
    <n v="9.8000000000000007"/>
    <n v="10.9"/>
    <n v="4.8"/>
    <s v="-"/>
    <n v="90"/>
    <n v="91"/>
    <n v="143"/>
    <n v="151"/>
    <s v="-"/>
    <s v="-"/>
    <s v="-"/>
    <s v="-"/>
    <n v="302.65800000000002"/>
    <s v="Dados Insuficientes"/>
    <n v="4.59"/>
    <n v="4.62"/>
    <n v="13.8"/>
    <n v="13.7"/>
    <n v="42.3"/>
    <n v="41.9"/>
    <n v="92.2"/>
    <n v="90.7"/>
    <n v="30.1"/>
    <n v="29.7"/>
    <n v="32.6"/>
    <n v="32.700000000000003"/>
    <n v="314"/>
    <n v="315"/>
    <n v="13.7"/>
    <n v="13.3"/>
    <n v="0.66"/>
    <n v="0.57999999999999996"/>
    <n v="7.73"/>
    <n v="7.64"/>
    <n v="44.8"/>
    <n v="42.7"/>
    <n v="41.8"/>
    <n v="37.799999999999997"/>
    <n v="7.8"/>
    <n v="11.4"/>
    <n v="4.4000000000000004"/>
    <n v="6.5"/>
    <n v="1.2"/>
    <n v="1.6"/>
    <x v="0"/>
    <x v="1"/>
    <n v="82.193119999999993"/>
    <n v="85.6"/>
    <n v="192.5"/>
    <n v="0"/>
    <n v="74"/>
    <n v="70"/>
    <n v="3.98"/>
  </r>
  <r>
    <x v="2"/>
    <x v="3"/>
    <x v="60"/>
    <n v="28"/>
    <n v="85"/>
    <x v="1"/>
    <s v="RX "/>
    <s v="TT"/>
    <s v="ID"/>
    <s v="(+9, -9)"/>
    <n v="62.5"/>
    <n v="37.5"/>
    <n v="957"/>
    <n v="739"/>
    <n v="18"/>
    <n v="20"/>
    <s v="-"/>
    <s v="-"/>
    <n v="648"/>
    <n v="900"/>
    <n v="35"/>
    <n v="30"/>
    <n v="4.4000000000000004"/>
    <n v="5.0999999999999996"/>
    <n v="41"/>
    <n v="29"/>
    <n v="26"/>
    <n v="23"/>
    <s v="-"/>
    <s v="-"/>
    <n v="85.533385678368745"/>
    <n v="65.440053767210657"/>
    <n v="45"/>
    <n v="48"/>
    <n v="1.2"/>
    <n v="1.5"/>
    <n v="0.30000000000000004"/>
    <n v="5.0999999999999996"/>
    <n v="5.3"/>
    <n v="7.4"/>
    <n v="8.1999999999999993"/>
    <s v="-"/>
    <s v="-"/>
    <n v="9.5"/>
    <n v="10.9"/>
    <n v="4.7"/>
    <n v="4.9000000000000004"/>
    <n v="78"/>
    <n v="87"/>
    <n v="141"/>
    <n v="156"/>
    <s v="-"/>
    <s v="-"/>
    <s v="-"/>
    <s v="-"/>
    <n v="297.48533333333336"/>
    <n v="326.83233333333334"/>
    <n v="4.74"/>
    <n v="4.72"/>
    <n v="15.5"/>
    <n v="15.2"/>
    <n v="47.3"/>
    <n v="46.5"/>
    <n v="99.8"/>
    <n v="98.5"/>
    <n v="32.700000000000003"/>
    <n v="32.200000000000003"/>
    <n v="32.799999999999997"/>
    <n v="32.700000000000003"/>
    <n v="374"/>
    <n v="364"/>
    <n v="12.4"/>
    <n v="12.2"/>
    <n v="1.42"/>
    <n v="1.2"/>
    <n v="5.73"/>
    <n v="8.02"/>
    <n v="45.7"/>
    <n v="50.7"/>
    <n v="34.4"/>
    <n v="34.4"/>
    <n v="15.9"/>
    <n v="12.5"/>
    <n v="2.6"/>
    <n v="1.7"/>
    <n v="1.4"/>
    <n v="0.7"/>
    <x v="1"/>
    <x v="0"/>
    <n v="78.848640000000003"/>
    <n v="86.4"/>
    <n v="184"/>
    <n v="50.17"/>
    <n v="48"/>
    <n v="42.5"/>
    <n v="8.74"/>
  </r>
  <r>
    <x v="2"/>
    <x v="3"/>
    <x v="61"/>
    <n v="34"/>
    <n v="0"/>
    <x v="1"/>
    <s v="XX"/>
    <s v="MT"/>
    <s v="ID"/>
    <s v="(+9, -9)"/>
    <n v="37.5"/>
    <n v="62.5"/>
    <n v="819"/>
    <n v="1233"/>
    <n v="17"/>
    <n v="18"/>
    <s v="-"/>
    <s v="-"/>
    <n v="523"/>
    <n v="674"/>
    <n v="58"/>
    <n v="52"/>
    <n v="4.4000000000000004"/>
    <n v="4"/>
    <n v="59"/>
    <n v="47"/>
    <n v="63"/>
    <n v="50"/>
    <s v="-"/>
    <s v="-"/>
    <n v="106.45183652429932"/>
    <n v="85.533385678368745"/>
    <n v="48"/>
    <n v="55"/>
    <n v="1"/>
    <n v="1.2"/>
    <n v="0.19999999999999996"/>
    <n v="4.5999999999999996"/>
    <n v="5"/>
    <n v="7.8"/>
    <n v="7.9"/>
    <s v="-"/>
    <s v="-"/>
    <n v="9.4"/>
    <n v="9.9"/>
    <n v="5.0999999999999996"/>
    <n v="4.5"/>
    <n v="96"/>
    <n v="101"/>
    <n v="142"/>
    <n v="149"/>
    <s v="-"/>
    <s v="-"/>
    <s v="-"/>
    <s v="-"/>
    <n v="301.73933333333332"/>
    <n v="315.12944444444446"/>
    <n v="5.34"/>
    <n v="5.14"/>
    <n v="16.2"/>
    <n v="15.7"/>
    <n v="49.3"/>
    <n v="46.5"/>
    <n v="92.3"/>
    <n v="90.5"/>
    <n v="30.3"/>
    <n v="30.5"/>
    <n v="32.9"/>
    <n v="33.799999999999997"/>
    <n v="273"/>
    <n v="267"/>
    <n v="14.1"/>
    <n v="13.6"/>
    <n v="0.63"/>
    <n v="0.54"/>
    <n v="8.14"/>
    <n v="10.54"/>
    <n v="59.7"/>
    <n v="62.8"/>
    <n v="29.9"/>
    <n v="26.3"/>
    <n v="7.9"/>
    <n v="8.9"/>
    <n v="2"/>
    <n v="1.5"/>
    <n v="0.5"/>
    <n v="0.5"/>
    <x v="0"/>
    <x v="1"/>
    <n v="73.472700000000003"/>
    <n v="88.5"/>
    <n v="187"/>
    <n v="49.59"/>
    <n v="59.5"/>
    <n v="0"/>
    <n v="16.98"/>
  </r>
  <r>
    <x v="2"/>
    <x v="3"/>
    <x v="62"/>
    <n v="34"/>
    <n v="80"/>
    <x v="1"/>
    <s v="RX "/>
    <s v="MT"/>
    <s v="II"/>
    <s v="(+9, -9)"/>
    <n v="37.5"/>
    <n v="62.5"/>
    <n v="994"/>
    <n v="587"/>
    <n v="31"/>
    <n v="14"/>
    <s v="-"/>
    <s v="-"/>
    <n v="607"/>
    <n v="501"/>
    <n v="78"/>
    <n v="28"/>
    <n v="4.2"/>
    <n v="3.3"/>
    <n v="52"/>
    <n v="35"/>
    <n v="28"/>
    <n v="20"/>
    <s v="-"/>
    <s v="-"/>
    <n v="85.533385678368745"/>
    <n v="106.45183652429932"/>
    <n v="39"/>
    <n v="34"/>
    <n v="1.2"/>
    <n v="1"/>
    <n v="0"/>
    <n v="5"/>
    <n v="4"/>
    <n v="7.3"/>
    <n v="5.6"/>
    <s v="-"/>
    <s v="-"/>
    <n v="9.5"/>
    <n v="7.6"/>
    <n v="4.8"/>
    <n v="3.9"/>
    <n v="94"/>
    <n v="69"/>
    <n v="141"/>
    <n v="120"/>
    <s v="-"/>
    <s v="-"/>
    <s v="-"/>
    <s v="-"/>
    <n v="297.69355555555558"/>
    <n v="254.52900000000002"/>
    <n v="5.13"/>
    <n v="5.86"/>
    <n v="14.1"/>
    <n v="16.399999999999999"/>
    <n v="43.4"/>
    <n v="48.9"/>
    <n v="84.6"/>
    <n v="83.4"/>
    <n v="27.5"/>
    <n v="28"/>
    <n v="32.5"/>
    <n v="33.5"/>
    <n v="165"/>
    <n v="190"/>
    <n v="13.4"/>
    <n v="13.1"/>
    <n v="0.92"/>
    <n v="0.73"/>
    <n v="5.93"/>
    <n v="7.17"/>
    <n v="41.7"/>
    <n v="50.8"/>
    <n v="43.7"/>
    <n v="37.799999999999997"/>
    <n v="13.8"/>
    <n v="10.6"/>
    <n v="0.5"/>
    <n v="0.7"/>
    <n v="0.3"/>
    <n v="0.1"/>
    <x v="0"/>
    <x v="0"/>
    <n v="71.675339999999991"/>
    <n v="78.599999999999994"/>
    <n v="172"/>
    <n v="51.33"/>
    <n v="48"/>
    <n v="49"/>
    <n v="8.81"/>
  </r>
  <r>
    <x v="2"/>
    <x v="3"/>
    <x v="63"/>
    <n v="34"/>
    <n v="87"/>
    <x v="1"/>
    <s v="XX"/>
    <s v="MM"/>
    <s v="ID"/>
    <s v="(+9, +9)"/>
    <n v="37.5"/>
    <n v="62.5"/>
    <n v="1515"/>
    <n v="1344"/>
    <n v="34"/>
    <n v="19"/>
    <s v="-"/>
    <s v="-"/>
    <n v="670"/>
    <n v="644"/>
    <n v="77"/>
    <n v="60"/>
    <n v="4.4000000000000004"/>
    <n v="4.8"/>
    <n v="58"/>
    <n v="35"/>
    <n v="32"/>
    <n v="22"/>
    <s v="-"/>
    <s v="-"/>
    <n v="120.79866842153496"/>
    <n v="106.45183652429932"/>
    <n v="30"/>
    <n v="34"/>
    <n v="0.9"/>
    <n v="1"/>
    <n v="9.9999999999999978E-2"/>
    <n v="5"/>
    <n v="4.9000000000000004"/>
    <n v="7.4"/>
    <n v="7.6"/>
    <s v="-"/>
    <s v="-"/>
    <n v="9.6"/>
    <n v="10.1"/>
    <n v="5"/>
    <n v="5.3"/>
    <n v="94"/>
    <n v="89"/>
    <n v="145"/>
    <n v="146"/>
    <s v="-"/>
    <s v="-"/>
    <s v="-"/>
    <s v="-"/>
    <n v="304.00555555555553"/>
    <n v="306.77077777777788"/>
    <n v="5.36"/>
    <n v="5.01"/>
    <n v="14.6"/>
    <n v="13.7"/>
    <n v="44.9"/>
    <n v="42"/>
    <n v="83.8"/>
    <n v="83.8"/>
    <n v="27.2"/>
    <n v="27.3"/>
    <n v="32.5"/>
    <n v="32.6"/>
    <n v="259"/>
    <n v="245"/>
    <n v="13.2"/>
    <n v="12.8"/>
    <n v="0.8"/>
    <n v="0.73"/>
    <n v="9.49"/>
    <n v="8.4600000000000009"/>
    <n v="57.7"/>
    <n v="56.9"/>
    <n v="31"/>
    <n v="31.6"/>
    <n v="8.6"/>
    <n v="8.5"/>
    <n v="2.2000000000000002"/>
    <n v="2.4"/>
    <n v="0.5"/>
    <n v="0.6"/>
    <x v="0"/>
    <x v="1"/>
    <n v="75.626200000000011"/>
    <n v="88.4"/>
    <n v="179"/>
    <n v="47.54"/>
    <n v="51.5"/>
    <n v="50.5"/>
    <n v="14.45"/>
  </r>
  <r>
    <x v="2"/>
    <x v="3"/>
    <x v="65"/>
    <n v="32"/>
    <n v="83"/>
    <x v="1"/>
    <s v="RR"/>
    <s v="MM"/>
    <s v="ID"/>
    <s v="(+9, -9)"/>
    <n v="50"/>
    <n v="50"/>
    <n v="4687"/>
    <n v="1451"/>
    <n v="47"/>
    <n v="15"/>
    <s v="-"/>
    <s v="-"/>
    <n v="743"/>
    <n v="591"/>
    <n v="90"/>
    <n v="34"/>
    <n v="4.2"/>
    <n v="3.4"/>
    <n v="52"/>
    <n v="34"/>
    <n v="17"/>
    <n v="10"/>
    <s v="-"/>
    <s v="-"/>
    <n v="120.79866842153496"/>
    <n v="106.45183652429932"/>
    <n v="44"/>
    <n v="41"/>
    <n v="0.9"/>
    <n v="1"/>
    <n v="9.9999999999999978E-2"/>
    <n v="4.7"/>
    <n v="4.3"/>
    <n v="7.3"/>
    <n v="5.7"/>
    <s v="-"/>
    <s v="-"/>
    <n v="9.1"/>
    <n v="8"/>
    <n v="4.7"/>
    <n v="4.0999999999999996"/>
    <n v="85"/>
    <n v="68"/>
    <n v="140"/>
    <n v="129"/>
    <s v="-"/>
    <s v="-"/>
    <s v="-"/>
    <s v="-"/>
    <n v="295.90588888888885"/>
    <n v="272.74377777777778"/>
    <n v="4.45"/>
    <n v="4.28"/>
    <n v="13.3"/>
    <n v="12.9"/>
    <n v="40.200000000000003"/>
    <n v="38.5"/>
    <n v="90.3"/>
    <n v="90"/>
    <n v="29.9"/>
    <n v="30.1"/>
    <n v="33.1"/>
    <n v="33.5"/>
    <n v="290"/>
    <n v="325"/>
    <n v="12.9"/>
    <n v="12.5"/>
    <n v="0.8"/>
    <n v="0.83"/>
    <n v="5.68"/>
    <n v="6.46"/>
    <n v="44.9"/>
    <n v="47.5"/>
    <n v="26.2"/>
    <n v="27.6"/>
    <n v="8.5"/>
    <n v="10.199999999999999"/>
    <n v="20.2"/>
    <n v="14.4"/>
    <n v="0.2"/>
    <n v="0.3"/>
    <x v="0"/>
    <x v="1"/>
    <n v="71.683920000000001"/>
    <n v="79.2"/>
    <n v="172.6"/>
    <n v="51.6"/>
    <n v="60"/>
    <n v="54"/>
    <n v="9.49"/>
  </r>
  <r>
    <x v="2"/>
    <x v="3"/>
    <x v="66"/>
    <n v="31"/>
    <n v="85"/>
    <x v="1"/>
    <s v="XX"/>
    <s v="MT"/>
    <s v="DD"/>
    <s v="(+9, -9)"/>
    <n v="50"/>
    <n v="50"/>
    <n v="378"/>
    <n v="592"/>
    <n v="17"/>
    <n v="21"/>
    <s v="-"/>
    <s v="-"/>
    <n v="426"/>
    <n v="484"/>
    <n v="36"/>
    <n v="44"/>
    <n v="4.3"/>
    <n v="5"/>
    <n v="42"/>
    <n v="44"/>
    <n v="17"/>
    <n v="16"/>
    <s v="-"/>
    <s v="-"/>
    <n v="106.45183652429932"/>
    <n v="85.533385678368745"/>
    <n v="39"/>
    <n v="53"/>
    <n v="1"/>
    <n v="1.2"/>
    <n v="0.19999999999999996"/>
    <n v="5.3"/>
    <n v="5.7"/>
    <n v="7.2"/>
    <n v="8"/>
    <s v="-"/>
    <s v="-"/>
    <n v="9.4"/>
    <n v="11.2"/>
    <n v="6.2"/>
    <n v="5.3"/>
    <n v="92"/>
    <n v="95"/>
    <n v="142"/>
    <n v="154"/>
    <s v="-"/>
    <s v="-"/>
    <s v="-"/>
    <s v="-"/>
    <n v="302.02977777777778"/>
    <n v="325.20077777777783"/>
    <n v="5.15"/>
    <n v="4.99"/>
    <n v="14.2"/>
    <n v="13.9"/>
    <n v="41.4"/>
    <n v="40"/>
    <n v="80.400000000000006"/>
    <n v="80.2"/>
    <n v="27.6"/>
    <n v="27.9"/>
    <n v="34.299999999999997"/>
    <n v="34.799999999999997"/>
    <n v="301"/>
    <n v="295"/>
    <n v="12.6"/>
    <n v="12.7"/>
    <n v="1.05"/>
    <n v="0.77"/>
    <n v="7.68"/>
    <n v="9.26"/>
    <n v="47.6"/>
    <n v="51.5"/>
    <n v="37.1"/>
    <n v="32.299999999999997"/>
    <n v="11.1"/>
    <n v="12.3"/>
    <n v="3.5"/>
    <n v="3.3"/>
    <n v="0.7"/>
    <n v="0.6"/>
    <x v="0"/>
    <x v="0"/>
    <n v="76.33"/>
    <n v="85"/>
    <n v="181"/>
    <n v="50.68"/>
    <n v="52"/>
    <n v="55"/>
    <n v="10.199999999999999"/>
  </r>
  <r>
    <x v="2"/>
    <x v="3"/>
    <x v="67"/>
    <n v="31"/>
    <n v="81"/>
    <x v="1"/>
    <s v="RR"/>
    <s v="MT"/>
    <s v="DD"/>
    <s v="(-9, -9)"/>
    <n v="62.5"/>
    <n v="37.5"/>
    <n v="1142"/>
    <n v="949"/>
    <n v="27"/>
    <n v="24"/>
    <s v="-"/>
    <s v="-"/>
    <n v="608"/>
    <n v="692"/>
    <n v="56"/>
    <n v="36"/>
    <n v="4.5"/>
    <n v="4.7"/>
    <n v="59"/>
    <n v="36"/>
    <n v="23"/>
    <n v="16"/>
    <s v="-"/>
    <s v="-"/>
    <n v="120.79866842153496"/>
    <n v="94.947150652744313"/>
    <n v="45"/>
    <n v="50"/>
    <n v="0.9"/>
    <n v="1.1000000000000001"/>
    <n v="0.20000000000000007"/>
    <n v="4.4000000000000004"/>
    <n v="4.5"/>
    <n v="7.6"/>
    <n v="7.2"/>
    <s v="-"/>
    <s v="-"/>
    <n v="9.1"/>
    <n v="9.4"/>
    <n v="4.7"/>
    <n v="4.2"/>
    <n v="87"/>
    <n v="88"/>
    <n v="141"/>
    <n v="141"/>
    <s v="-"/>
    <s v="-"/>
    <s v="-"/>
    <s v="-"/>
    <n v="298.06033333333335"/>
    <n v="298.02755555555552"/>
    <n v="4.97"/>
    <n v="4.8600000000000003"/>
    <n v="14.8"/>
    <n v="14.6"/>
    <n v="44.2"/>
    <n v="42.7"/>
    <n v="88.9"/>
    <n v="87.9"/>
    <n v="29.8"/>
    <n v="30"/>
    <n v="33.5"/>
    <n v="34.200000000000003"/>
    <n v="175"/>
    <n v="204"/>
    <n v="12.4"/>
    <n v="12.1"/>
    <n v="0.82"/>
    <n v="0.82"/>
    <n v="7.28"/>
    <n v="8.34"/>
    <n v="57"/>
    <n v="56.8"/>
    <n v="33.200000000000003"/>
    <n v="29.9"/>
    <n v="8.5"/>
    <n v="12.2"/>
    <n v="1.2"/>
    <n v="1"/>
    <n v="0.1"/>
    <n v="0.1"/>
    <x v="0"/>
    <x v="1"/>
    <n v="71.280989999999989"/>
    <n v="80.099999999999994"/>
    <n v="184"/>
    <n v="51.35"/>
    <n v="57"/>
    <n v="55"/>
    <n v="11.01"/>
  </r>
  <r>
    <x v="2"/>
    <x v="3"/>
    <x v="44"/>
    <n v="30"/>
    <n v="72"/>
    <x v="0"/>
    <s v="RX"/>
    <s v="MM"/>
    <s v="DD"/>
    <s v="(+9, -9)"/>
    <n v="50"/>
    <n v="50"/>
    <n v="1531"/>
    <n v="1139"/>
    <n v="28"/>
    <n v="17"/>
    <s v="-"/>
    <s v="-"/>
    <n v="538"/>
    <n v="461"/>
    <n v="49"/>
    <n v="27"/>
    <n v="4.3"/>
    <n v="3.8"/>
    <n v="35"/>
    <n v="26"/>
    <n v="10"/>
    <n v="10"/>
    <s v="-"/>
    <s v="-"/>
    <n v="125.17286966375688"/>
    <n v="120.79866842153496"/>
    <n v="47"/>
    <n v="41"/>
    <n v="0.8"/>
    <n v="0.9"/>
    <n v="9.9999999999999978E-2"/>
    <n v="4.5999999999999996"/>
    <n v="3.7"/>
    <n v="7.2"/>
    <n v="6"/>
    <s v="-"/>
    <s v="-"/>
    <n v="9.6"/>
    <n v="8.8000000000000007"/>
    <n v="6.1"/>
    <n v="3.8"/>
    <n v="82"/>
    <n v="70"/>
    <n v="142"/>
    <n v="124"/>
    <s v="-"/>
    <s v="-"/>
    <s v="-"/>
    <s v="-"/>
    <n v="302.5382222222222"/>
    <n v="263.01355555555557"/>
    <n v="5.08"/>
    <n v="4.99"/>
    <n v="14.7"/>
    <n v="14.5"/>
    <n v="45.8"/>
    <n v="44.5"/>
    <n v="90.2"/>
    <n v="89.2"/>
    <n v="28.9"/>
    <n v="29.1"/>
    <n v="32.1"/>
    <n v="32.6"/>
    <n v="293"/>
    <n v="315"/>
    <n v="13"/>
    <n v="12.3"/>
    <n v="0.92"/>
    <n v="0.84"/>
    <n v="6.12"/>
    <n v="8.68"/>
    <n v="55.9"/>
    <n v="58.6"/>
    <n v="30.9"/>
    <n v="30.4"/>
    <n v="9.8000000000000007"/>
    <n v="8.1999999999999993"/>
    <n v="3.1"/>
    <n v="2.2000000000000002"/>
    <n v="0.3"/>
    <n v="0.6"/>
    <x v="0"/>
    <x v="1"/>
    <n v="66.363659999999996"/>
    <n v="72.599999999999994"/>
    <n v="180"/>
    <n v="52.5"/>
    <n v="45"/>
    <n v="42"/>
    <n v="8.59"/>
  </r>
  <r>
    <x v="2"/>
    <x v="3"/>
    <x v="45"/>
    <n v="29"/>
    <n v="70"/>
    <x v="1"/>
    <s v="RX"/>
    <s v="MT"/>
    <s v="DD"/>
    <s v="(+9, -9)"/>
    <n v="62.5"/>
    <n v="37.5"/>
    <n v="307"/>
    <n v="320"/>
    <n v="17"/>
    <n v="15"/>
    <s v="-"/>
    <s v="-"/>
    <n v="529"/>
    <n v="514"/>
    <n v="35"/>
    <n v="30"/>
    <n v="4.5999999999999996"/>
    <n v="4.8"/>
    <n v="35"/>
    <n v="24"/>
    <n v="15"/>
    <n v="11"/>
    <s v="-"/>
    <s v="-"/>
    <n v="120.79866842153496"/>
    <n v="94.947150652744313"/>
    <n v="52"/>
    <n v="40"/>
    <n v="0.9"/>
    <n v="1.1000000000000001"/>
    <n v="0.20000000000000007"/>
    <n v="5.4"/>
    <n v="5"/>
    <n v="7.2"/>
    <n v="7.2"/>
    <s v="-"/>
    <s v="-"/>
    <n v="9.6"/>
    <n v="10.3"/>
    <n v="5.5"/>
    <n v="4.9000000000000004"/>
    <n v="92"/>
    <n v="107"/>
    <n v="143"/>
    <n v="140"/>
    <s v="-"/>
    <s v="-"/>
    <s v="-"/>
    <s v="-"/>
    <n v="304.75444444444452"/>
    <n v="297.0167777777778"/>
    <n v="4.93"/>
    <n v="5.13"/>
    <n v="14.8"/>
    <n v="15.1"/>
    <n v="42.3"/>
    <n v="43.7"/>
    <n v="85.8"/>
    <n v="85.2"/>
    <n v="30"/>
    <n v="29.4"/>
    <n v="35"/>
    <n v="34.6"/>
    <n v="184"/>
    <n v="204"/>
    <n v="13"/>
    <n v="12.7"/>
    <n v="1.44"/>
    <n v="1.19"/>
    <n v="5.66"/>
    <n v="7.29"/>
    <n v="42.1"/>
    <n v="46.8"/>
    <n v="39.799999999999997"/>
    <n v="37.700000000000003"/>
    <n v="8.6999999999999993"/>
    <n v="8.9"/>
    <n v="9"/>
    <n v="6.3"/>
    <n v="0.4"/>
    <n v="0.3"/>
    <x v="0"/>
    <x v="0"/>
    <n v="0"/>
    <n v="0"/>
    <n v="0"/>
    <n v="0"/>
    <n v="0"/>
    <n v="0"/>
    <n v="0"/>
  </r>
  <r>
    <x v="2"/>
    <x v="3"/>
    <x v="46"/>
    <n v="28"/>
    <n v="75"/>
    <x v="0"/>
    <s v="RX"/>
    <s v="TT"/>
    <s v="DD"/>
    <s v="(-9, -9)"/>
    <n v="62.5"/>
    <n v="37.5"/>
    <n v="587"/>
    <n v="12218"/>
    <n v="13"/>
    <n v="31"/>
    <s v="-"/>
    <s v="-"/>
    <n v="601"/>
    <n v="1907"/>
    <n v="35"/>
    <n v="152"/>
    <n v="4.2"/>
    <n v="4.4000000000000004"/>
    <n v="40"/>
    <n v="51"/>
    <n v="30"/>
    <n v="26"/>
    <s v="-"/>
    <s v="-"/>
    <n v="106.45183652429932"/>
    <n v="85.533385678368745"/>
    <n v="42"/>
    <n v="45"/>
    <n v="1"/>
    <n v="1.2"/>
    <n v="0.19999999999999996"/>
    <n v="4.3"/>
    <n v="3.8"/>
    <n v="7"/>
    <n v="6.9"/>
    <s v="-"/>
    <s v="-"/>
    <n v="8.6999999999999993"/>
    <n v="9.1"/>
    <n v="6.4"/>
    <n v="4"/>
    <n v="97"/>
    <n v="86"/>
    <n v="139"/>
    <n v="137"/>
    <s v="-"/>
    <s v="-"/>
    <s v="-"/>
    <s v="-"/>
    <n v="297.64122222222221"/>
    <n v="289.25444444444446"/>
    <n v="4.84"/>
    <n v="4.96"/>
    <n v="14.2"/>
    <n v="14.5"/>
    <n v="42.6"/>
    <n v="43"/>
    <n v="88"/>
    <n v="86.7"/>
    <n v="29.3"/>
    <n v="29.2"/>
    <n v="33.299999999999997"/>
    <n v="33.700000000000003"/>
    <n v="253"/>
    <n v="244"/>
    <n v="13.1"/>
    <n v="12.9"/>
    <n v="0.75"/>
    <n v="0.7"/>
    <n v="5.39"/>
    <n v="8.39"/>
    <n v="50.2"/>
    <n v="64.599999999999994"/>
    <n v="35.299999999999997"/>
    <n v="21.6"/>
    <n v="10.4"/>
    <n v="12.9"/>
    <n v="3.5"/>
    <n v="0.7"/>
    <n v="0.6"/>
    <n v="0.2"/>
    <x v="0"/>
    <x v="1"/>
    <n v="69.236999999999995"/>
    <n v="73.5"/>
    <n v="177"/>
    <n v="53.28"/>
    <n v="52.5"/>
    <n v="50"/>
    <n v="5.8"/>
  </r>
  <r>
    <x v="2"/>
    <x v="3"/>
    <x v="48"/>
    <n v="27"/>
    <n v="86"/>
    <x v="0"/>
    <s v="RX"/>
    <s v="TT"/>
    <s v="ID"/>
    <s v="(+9, +9)"/>
    <n v="75"/>
    <n v="25"/>
    <n v="343"/>
    <n v="377"/>
    <n v="13"/>
    <n v="17"/>
    <s v="-"/>
    <s v="-"/>
    <n v="443"/>
    <n v="580"/>
    <n v="33"/>
    <n v="32"/>
    <n v="4.3"/>
    <n v="5.2"/>
    <n v="38"/>
    <n v="31"/>
    <n v="22"/>
    <n v="20"/>
    <s v="-"/>
    <s v="-"/>
    <n v="120.79866842153496"/>
    <n v="77.700020894732489"/>
    <n v="45"/>
    <n v="54"/>
    <n v="0.9"/>
    <n v="1.3"/>
    <n v="0.4"/>
    <n v="4.5999999999999996"/>
    <n v="5.8"/>
    <n v="8"/>
    <n v="9.1999999999999993"/>
    <s v="-"/>
    <s v="-"/>
    <n v="9"/>
    <n v="10.5"/>
    <n v="6.6"/>
    <n v="4.8"/>
    <n v="95"/>
    <n v="99"/>
    <n v="137"/>
    <n v="157"/>
    <s v="-"/>
    <s v="-"/>
    <s v="-"/>
    <s v="-"/>
    <n v="294.66544444444446"/>
    <n v="330.27300000000002"/>
    <n v="4.7699999999999996"/>
    <n v="4.96"/>
    <n v="12.6"/>
    <n v="13.1"/>
    <n v="39"/>
    <n v="40.4"/>
    <n v="81.8"/>
    <n v="81.5"/>
    <n v="26.4"/>
    <n v="26.4"/>
    <n v="32.299999999999997"/>
    <n v="32.4"/>
    <n v="312"/>
    <n v="326"/>
    <n v="13.2"/>
    <n v="13"/>
    <n v="0.73"/>
    <n v="0.64"/>
    <n v="8.07"/>
    <n v="10.02"/>
    <n v="45.4"/>
    <n v="48.2"/>
    <n v="37.9"/>
    <n v="37.4"/>
    <n v="11.8"/>
    <n v="11.8"/>
    <n v="4.7"/>
    <n v="2.2999999999999998"/>
    <n v="0.2"/>
    <n v="0.3"/>
    <x v="1"/>
    <x v="0"/>
    <n v="74.045439999999999"/>
    <n v="89.6"/>
    <n v="176"/>
    <n v="45.45"/>
    <n v="46.5"/>
    <n v="42"/>
    <n v="17.36"/>
  </r>
  <r>
    <x v="2"/>
    <x v="3"/>
    <x v="49"/>
    <n v="29"/>
    <n v="70"/>
    <x v="0"/>
    <s v="XX"/>
    <s v="MT"/>
    <s v="DD"/>
    <s v="(+9, -9)"/>
    <n v="50"/>
    <n v="50"/>
    <n v="160"/>
    <n v="304"/>
    <n v="13"/>
    <n v="10"/>
    <s v="-"/>
    <s v="-"/>
    <n v="417"/>
    <n v="305"/>
    <n v="33"/>
    <n v="23"/>
    <n v="4.4000000000000004"/>
    <n v="2.9"/>
    <n v="29"/>
    <n v="26"/>
    <n v="17"/>
    <n v="10"/>
    <s v="-"/>
    <s v="-"/>
    <n v="120.79866842153496"/>
    <n v="125.17286966375688"/>
    <n v="37"/>
    <n v="36"/>
    <n v="0.9"/>
    <n v="0.8"/>
    <n v="0"/>
    <n v="5"/>
    <n v="4.0999999999999996"/>
    <n v="7.4"/>
    <n v="5"/>
    <s v="-"/>
    <s v="-"/>
    <n v="9.3000000000000007"/>
    <n v="7.1"/>
    <n v="4.7"/>
    <n v="3.8"/>
    <n v="75"/>
    <n v="59"/>
    <n v="142"/>
    <n v="115"/>
    <s v="-"/>
    <s v="-"/>
    <s v="-"/>
    <s v="-"/>
    <n v="297.82033333333334"/>
    <n v="244.73744444444446"/>
    <n v="5.31"/>
    <n v="5.13"/>
    <n v="15.3"/>
    <n v="14.8"/>
    <n v="46.1"/>
    <n v="43.7"/>
    <n v="86.8"/>
    <n v="85.2"/>
    <n v="28.8"/>
    <n v="28.8"/>
    <n v="33.200000000000003"/>
    <n v="33.9"/>
    <n v="238"/>
    <n v="208"/>
    <n v="13"/>
    <n v="12.6"/>
    <n v="1.0900000000000001"/>
    <n v="0.93"/>
    <n v="5.36"/>
    <n v="7.2"/>
    <n v="57.8"/>
    <n v="62.8"/>
    <n v="27.8"/>
    <n v="25"/>
    <n v="11.8"/>
    <n v="10.4"/>
    <n v="1.9"/>
    <n v="1.1000000000000001"/>
    <n v="0.7"/>
    <n v="0.7"/>
    <x v="0"/>
    <x v="0"/>
    <n v="63.743760000000002"/>
    <n v="72.900000000000006"/>
    <n v="168.6"/>
    <n v="48.54"/>
    <n v="50"/>
    <n v="47"/>
    <n v="12.56"/>
  </r>
  <r>
    <x v="2"/>
    <x v="3"/>
    <x v="53"/>
    <n v="28"/>
    <n v="82"/>
    <x v="0"/>
    <s v="RX"/>
    <s v="MM"/>
    <s v="DD"/>
    <s v="(-9, -9)"/>
    <n v="37.5"/>
    <n v="62.5"/>
    <n v="278"/>
    <n v="315"/>
    <n v="16"/>
    <n v="16"/>
    <s v="-"/>
    <s v="-"/>
    <n v="446"/>
    <n v="564"/>
    <n v="35"/>
    <n v="30"/>
    <n v="4.4000000000000004"/>
    <n v="4.9000000000000004"/>
    <n v="42"/>
    <n v="29"/>
    <n v="17"/>
    <n v="14"/>
    <s v="-"/>
    <s v="-"/>
    <n v="120.79866842153496"/>
    <n v="94.947150652744313"/>
    <n v="43"/>
    <n v="39"/>
    <n v="0.9"/>
    <n v="1.1000000000000001"/>
    <n v="0.20000000000000007"/>
    <n v="5.7"/>
    <n v="5.8"/>
    <n v="7.4"/>
    <n v="7.7"/>
    <s v="-"/>
    <s v="-"/>
    <n v="9.8000000000000007"/>
    <n v="10.1"/>
    <n v="6.8"/>
    <n v="4.5999999999999996"/>
    <n v="80"/>
    <n v="80"/>
    <n v="142"/>
    <n v="146"/>
    <s v="-"/>
    <s v="-"/>
    <s v="-"/>
    <s v="-"/>
    <n v="303.0457777777778"/>
    <n v="305.72711111111107"/>
    <n v="5.27"/>
    <n v="5.09"/>
    <n v="14.8"/>
    <n v="14.3"/>
    <n v="45"/>
    <n v="42.9"/>
    <n v="85.4"/>
    <n v="84.3"/>
    <n v="28.1"/>
    <n v="28.1"/>
    <n v="32.9"/>
    <n v="33.299999999999997"/>
    <n v="256"/>
    <n v="270"/>
    <n v="13"/>
    <n v="12.6"/>
    <n v="1.1200000000000001"/>
    <n v="0.86"/>
    <n v="6.1"/>
    <n v="5.67"/>
    <n v="45.2"/>
    <n v="41.8"/>
    <n v="38.700000000000003"/>
    <n v="43"/>
    <n v="9.5"/>
    <n v="10.1"/>
    <n v="5.0999999999999996"/>
    <n v="3.5"/>
    <n v="1.5"/>
    <n v="1.6"/>
    <x v="0"/>
    <x v="0"/>
    <n v="70.596360000000004"/>
    <n v="80.7"/>
    <n v="182.1"/>
    <n v="50.93"/>
    <n v="56"/>
    <n v="58"/>
    <n v="12.52"/>
  </r>
  <r>
    <x v="2"/>
    <x v="3"/>
    <x v="55"/>
    <n v="28"/>
    <n v="85"/>
    <x v="0"/>
    <s v="RR"/>
    <s v="TT"/>
    <s v="DD"/>
    <s v="(+9, -9)"/>
    <n v="87.5"/>
    <n v="12.5"/>
    <n v="140"/>
    <n v="193"/>
    <n v="6"/>
    <n v="16"/>
    <s v="-"/>
    <s v="-"/>
    <n v="398"/>
    <n v="474"/>
    <n v="27"/>
    <n v="25"/>
    <n v="4.5"/>
    <n v="5.3"/>
    <n v="43"/>
    <n v="27"/>
    <n v="49"/>
    <n v="45"/>
    <s v="-"/>
    <s v="-"/>
    <n v="125.17286966375688"/>
    <n v="94.947150652744313"/>
    <n v="34"/>
    <n v="43"/>
    <n v="0.8"/>
    <n v="1.1000000000000001"/>
    <n v="0.30000000000000004"/>
    <n v="4.5999999999999996"/>
    <n v="5.0999999999999996"/>
    <n v="7.6"/>
    <n v="8.3000000000000007"/>
    <s v="-"/>
    <s v="-"/>
    <n v="9.1999999999999993"/>
    <n v="10.7"/>
    <n v="4.8"/>
    <n v="4.5"/>
    <n v="97"/>
    <n v="114"/>
    <n v="142"/>
    <n v="151"/>
    <s v="-"/>
    <s v="-"/>
    <s v="-"/>
    <s v="-"/>
    <n v="298.91188888888894"/>
    <n v="317.68000000000006"/>
    <n v="4.8"/>
    <n v="4.9000000000000004"/>
    <n v="13.9"/>
    <n v="14.1"/>
    <n v="43.1"/>
    <n v="43.6"/>
    <n v="89.8"/>
    <n v="89"/>
    <n v="29"/>
    <n v="28.8"/>
    <n v="32.299999999999997"/>
    <n v="32.299999999999997"/>
    <n v="235"/>
    <n v="229"/>
    <n v="13.2"/>
    <n v="12.9"/>
    <n v="0.76"/>
    <n v="0.57999999999999996"/>
    <n v="7.82"/>
    <n v="9.8699999999999992"/>
    <n v="43.6"/>
    <n v="49.6"/>
    <n v="43.5"/>
    <n v="38.299999999999997"/>
    <n v="10.199999999999999"/>
    <n v="10.199999999999999"/>
    <n v="2.4"/>
    <n v="1.6"/>
    <n v="0.3"/>
    <n v="0.3"/>
    <x v="1"/>
    <x v="0"/>
    <n v="70.250040000000013"/>
    <n v="85.4"/>
    <n v="179.3"/>
    <n v="49.65"/>
    <n v="44"/>
    <n v="35"/>
    <n v="17.739999999999998"/>
  </r>
  <r>
    <x v="2"/>
    <x v="7"/>
    <x v="57"/>
    <n v="29"/>
    <n v="74"/>
    <x v="1"/>
    <s v="RX "/>
    <s v="MT"/>
    <s v="II"/>
    <s v="(+9, -9)"/>
    <n v="37.5"/>
    <n v="62.5"/>
    <n v="1495"/>
    <n v="3200"/>
    <n v="40"/>
    <n v="179"/>
    <s v="-"/>
    <s v="-"/>
    <n v="807"/>
    <n v="1503"/>
    <n v="63"/>
    <n v="211"/>
    <n v="4.2"/>
    <n v="5.0999999999999996"/>
    <n v="64"/>
    <n v="89"/>
    <n v="22"/>
    <n v="26"/>
    <s v="-"/>
    <s v="-"/>
    <n v="125.17286966375688"/>
    <n v="94.947150652744313"/>
    <n v="27"/>
    <n v="44"/>
    <n v="0.8"/>
    <n v="1.1000000000000001"/>
    <n v="0.30000000000000004"/>
    <n v="3.9"/>
    <n v="5.4"/>
    <n v="7.1"/>
    <n v="8.3000000000000007"/>
    <s v="-"/>
    <s v="-"/>
    <n v="9.5"/>
    <n v="9.9"/>
    <n v="4.8"/>
    <n v="4.0999999999999996"/>
    <n v="97"/>
    <n v="99"/>
    <n v="138"/>
    <n v="140"/>
    <s v="-"/>
    <s v="-"/>
    <s v="-"/>
    <s v="-"/>
    <n v="290.30522222222226"/>
    <n v="295.68433333333331"/>
    <n v="4.84"/>
    <n v="5.41"/>
    <n v="14.4"/>
    <n v="16.5"/>
    <n v="46.6"/>
    <n v="46.4"/>
    <n v="96.3"/>
    <n v="85.8"/>
    <n v="29.8"/>
    <n v="30.5"/>
    <n v="30.9"/>
    <n v="35.6"/>
    <n v="267"/>
    <n v="324"/>
    <n v="13.3"/>
    <n v="12.6"/>
    <n v="0.83"/>
    <n v="2.1"/>
    <n v="7.64"/>
    <n v="6.42"/>
    <n v="63.481675392670155"/>
    <n v="39.6"/>
    <n v="20.549738219895289"/>
    <n v="36.299999999999997"/>
    <n v="6.9371727748691105"/>
    <n v="20.2"/>
    <n v="7.8534031413612571"/>
    <n v="1.1000000000000001"/>
    <n v="1.1780104712041886"/>
    <n v="2.8"/>
    <x v="1"/>
    <x v="1"/>
    <n v="64.758570000000006"/>
    <n v="73.900000000000006"/>
    <n v="172.6"/>
    <n v="52.06"/>
    <n v="42"/>
    <n v="36.5"/>
    <n v="12.37"/>
  </r>
  <r>
    <x v="2"/>
    <x v="7"/>
    <x v="58"/>
    <n v="28"/>
    <n v="77"/>
    <x v="2"/>
    <s v="XX"/>
    <s v="MT"/>
    <s v="II"/>
    <s v="(+9, +9)"/>
    <n v="37.5"/>
    <n v="62.5"/>
    <n v="151"/>
    <n v="3033"/>
    <n v="16"/>
    <n v="68"/>
    <s v="-"/>
    <s v="-"/>
    <n v="508"/>
    <n v="1352"/>
    <n v="24"/>
    <n v="118"/>
    <n v="4.2"/>
    <n v="4.8"/>
    <n v="24"/>
    <n v="41"/>
    <n v="12"/>
    <n v="14"/>
    <s v="-"/>
    <s v="-"/>
    <n v="120.79866842153496"/>
    <n v="106.45183652429932"/>
    <n v="45"/>
    <n v="37"/>
    <n v="0.9"/>
    <n v="1"/>
    <n v="9.9999999999999978E-2"/>
    <n v="4.0999999999999996"/>
    <n v="4.4000000000000004"/>
    <n v="6.8"/>
    <n v="7.4"/>
    <s v="-"/>
    <s v="-"/>
    <n v="9.5"/>
    <n v="9.8000000000000007"/>
    <n v="4.5"/>
    <n v="4"/>
    <n v="134"/>
    <n v="112"/>
    <n v="143"/>
    <n v="138"/>
    <s v="-"/>
    <s v="-"/>
    <s v="-"/>
    <s v="-"/>
    <n v="304.41111111111115"/>
    <n v="291.44222222222226"/>
    <n v="4.1100000000000003"/>
    <n v="4.43"/>
    <n v="12.4"/>
    <n v="13.6"/>
    <n v="41"/>
    <n v="39.799999999999997"/>
    <n v="99.8"/>
    <n v="89.8"/>
    <n v="30.2"/>
    <n v="30.7"/>
    <n v="30.2"/>
    <n v="34.200000000000003"/>
    <n v="246"/>
    <n v="270"/>
    <n v="13.7"/>
    <n v="12.9"/>
    <n v="1.28"/>
    <n v="1.98"/>
    <n v="6.33"/>
    <n v="8.76"/>
    <n v="65.876777251184834"/>
    <n v="69.8"/>
    <n v="20.379146919431278"/>
    <n v="12.2"/>
    <n v="7.8988941548183256"/>
    <n v="17.2"/>
    <n v="5.2132701421800949"/>
    <n v="0.1"/>
    <n v="0.63191153238546605"/>
    <n v="0.7"/>
    <x v="0"/>
    <x v="1"/>
    <n v="64.734659999999991"/>
    <n v="76.599999999999994"/>
    <n v="177"/>
    <n v="52.21"/>
    <n v="52"/>
    <n v="49"/>
    <n v="15.49"/>
  </r>
  <r>
    <x v="2"/>
    <x v="7"/>
    <x v="59"/>
    <n v="28"/>
    <n v="90"/>
    <x v="0"/>
    <s v="RR"/>
    <s v="MT"/>
    <s v="DD"/>
    <s v="(-9, -9)"/>
    <n v="62.5"/>
    <n v="37.5"/>
    <n v="298"/>
    <n v="2204"/>
    <n v="27"/>
    <n v="72"/>
    <s v="-"/>
    <s v="-"/>
    <n v="577"/>
    <n v="1195"/>
    <n v="27"/>
    <n v="84"/>
    <n v="4"/>
    <n v="5.0999999999999996"/>
    <n v="31"/>
    <n v="45"/>
    <n v="84"/>
    <n v="83"/>
    <s v="-"/>
    <s v="-"/>
    <n v="94.947150652744313"/>
    <n v="106.45183652429932"/>
    <n v="47"/>
    <n v="36"/>
    <n v="1.1000000000000001"/>
    <n v="1"/>
    <n v="0"/>
    <n v="4.4000000000000004"/>
    <n v="3.7"/>
    <n v="7"/>
    <n v="8.3000000000000007"/>
    <s v="-"/>
    <s v="-"/>
    <n v="9.5"/>
    <n v="10.1"/>
    <n v="4.5999999999999996"/>
    <n v="4.3"/>
    <n v="82"/>
    <n v="98"/>
    <n v="141"/>
    <n v="137"/>
    <s v="-"/>
    <s v="-"/>
    <s v="-"/>
    <s v="-"/>
    <n v="297.88822222222223"/>
    <n v="289.07911111111116"/>
    <n v="4.4400000000000004"/>
    <n v="4.97"/>
    <n v="13.2"/>
    <n v="15"/>
    <n v="40.9"/>
    <n v="44.9"/>
    <n v="92.1"/>
    <n v="90.3"/>
    <n v="29.7"/>
    <n v="30.2"/>
    <n v="32.299999999999997"/>
    <n v="33.4"/>
    <n v="304"/>
    <n v="325"/>
    <n v="14"/>
    <n v="13.8"/>
    <n v="0.77"/>
    <n v="1.48"/>
    <n v="8.24"/>
    <n v="5.4"/>
    <n v="41.990291262135919"/>
    <n v="45.6"/>
    <n v="37.621359223300971"/>
    <n v="40.200000000000003"/>
    <n v="10.922330097087379"/>
    <n v="11.9"/>
    <n v="8.3737864077669908"/>
    <n v="0.6"/>
    <n v="1.0922330097087378"/>
    <n v="1.7"/>
    <x v="0"/>
    <x v="1"/>
    <n v="82.193119999999993"/>
    <n v="85.6"/>
    <n v="192.5"/>
    <n v="0"/>
    <n v="74"/>
    <n v="70"/>
    <n v="3.98"/>
  </r>
  <r>
    <x v="2"/>
    <x v="7"/>
    <x v="60"/>
    <n v="28"/>
    <n v="84"/>
    <x v="1"/>
    <s v="RX "/>
    <s v="TT"/>
    <s v="ID"/>
    <s v="(+9, -9)"/>
    <n v="62.5"/>
    <n v="37.5"/>
    <n v="1009"/>
    <n v="3200"/>
    <n v="31"/>
    <n v="98"/>
    <s v="-"/>
    <s v="-"/>
    <n v="952"/>
    <n v="2150"/>
    <n v="40"/>
    <n v="112"/>
    <n v="4.4000000000000004"/>
    <n v="5.0999999999999996"/>
    <n v="63"/>
    <n v="72"/>
    <n v="26"/>
    <n v="30"/>
    <s v="-"/>
    <s v="-"/>
    <n v="106.45183652429932"/>
    <n v="85.533385678368745"/>
    <n v="44"/>
    <n v="44"/>
    <n v="1"/>
    <n v="1.2"/>
    <n v="0.19999999999999996"/>
    <n v="4.3"/>
    <n v="5.4"/>
    <n v="7.2"/>
    <n v="8.1"/>
    <s v="-"/>
    <s v="-"/>
    <n v="9.6999999999999993"/>
    <n v="10.3"/>
    <n v="4.5"/>
    <n v="4.4000000000000004"/>
    <n v="119"/>
    <n v="90"/>
    <n v="139"/>
    <n v="140"/>
    <s v="-"/>
    <s v="-"/>
    <s v="-"/>
    <s v="-"/>
    <n v="295.8461111111111"/>
    <n v="295.66733333333332"/>
    <n v="4.0999999999999996"/>
    <n v="4.66"/>
    <n v="14"/>
    <n v="15.8"/>
    <n v="42.3"/>
    <n v="46.5"/>
    <n v="101"/>
    <n v="99.8"/>
    <n v="33.4"/>
    <n v="33.9"/>
    <n v="33.1"/>
    <n v="34"/>
    <n v="405"/>
    <n v="430"/>
    <n v="12.3"/>
    <n v="12.9"/>
    <n v="1.28"/>
    <n v="1.83"/>
    <n v="6.06"/>
    <n v="8.1300000000000008"/>
    <n v="75.247524752475243"/>
    <n v="65.2"/>
    <n v="16.336633663366339"/>
    <n v="10.8"/>
    <n v="8.2508250825082516"/>
    <n v="22.4"/>
    <n v="0"/>
    <n v="0"/>
    <n v="0.16501650165016502"/>
    <n v="1.6"/>
    <x v="0"/>
    <x v="1"/>
    <n v="78.848640000000003"/>
    <n v="86.4"/>
    <n v="184"/>
    <n v="50.17"/>
    <n v="48"/>
    <n v="42.5"/>
    <n v="8.74"/>
  </r>
  <r>
    <x v="2"/>
    <x v="7"/>
    <x v="61"/>
    <n v="34"/>
    <n v="0"/>
    <x v="1"/>
    <s v="XX"/>
    <s v="MT"/>
    <s v="ID"/>
    <s v="(+9, -9)"/>
    <n v="37.5"/>
    <n v="62.5"/>
    <n v="2144"/>
    <n v="3200"/>
    <n v="64"/>
    <n v="95"/>
    <s v="-"/>
    <s v="-"/>
    <n v="1096"/>
    <n v="1517"/>
    <n v="96"/>
    <n v="118"/>
    <n v="4"/>
    <n v="4.5999999999999996"/>
    <n v="99"/>
    <n v="69"/>
    <n v="72"/>
    <n v="86"/>
    <s v="-"/>
    <s v="-"/>
    <n v="125.17286966375688"/>
    <n v="106.45183652429932"/>
    <n v="42"/>
    <n v="49"/>
    <n v="0.8"/>
    <n v="1"/>
    <n v="0.19999999999999996"/>
    <n v="3.3"/>
    <n v="5.0999999999999996"/>
    <n v="7.2"/>
    <n v="7.7"/>
    <s v="-"/>
    <s v="-"/>
    <n v="9"/>
    <n v="9.4"/>
    <n v="4.8"/>
    <n v="4.2"/>
    <n v="132"/>
    <n v="88"/>
    <n v="137"/>
    <n v="137"/>
    <s v="-"/>
    <s v="-"/>
    <s v="-"/>
    <s v="-"/>
    <n v="293.18133333333338"/>
    <n v="290.4208888888889"/>
    <n v="4.58"/>
    <n v="5.1100000000000003"/>
    <n v="13.8"/>
    <n v="15.9"/>
    <n v="44.4"/>
    <n v="46.2"/>
    <n v="96.9"/>
    <n v="90.4"/>
    <n v="30.1"/>
    <n v="31.1"/>
    <n v="31.1"/>
    <n v="34.4"/>
    <n v="234"/>
    <n v="324"/>
    <n v="15.8"/>
    <n v="14.8"/>
    <n v="0.99"/>
    <n v="1.77"/>
    <n v="6.8"/>
    <n v="12.38"/>
    <n v="89.705882352941174"/>
    <n v="68.5"/>
    <n v="6.7647058823529411"/>
    <n v="17"/>
    <n v="0.88235294117647056"/>
    <n v="12.9"/>
    <n v="2.5"/>
    <n v="0.6"/>
    <n v="0.14705882352941177"/>
    <n v="1"/>
    <x v="0"/>
    <x v="1"/>
    <n v="73.472700000000003"/>
    <n v="88.5"/>
    <n v="187"/>
    <n v="49.59"/>
    <n v="59.5"/>
    <n v="0"/>
    <n v="16.98"/>
  </r>
  <r>
    <x v="2"/>
    <x v="7"/>
    <x v="62"/>
    <n v="34"/>
    <n v="80"/>
    <x v="1"/>
    <s v="RX "/>
    <s v="MT"/>
    <s v="II"/>
    <s v="(+9, -9)"/>
    <n v="37.5"/>
    <n v="62.5"/>
    <n v="548"/>
    <n v="1443"/>
    <n v="30"/>
    <n v="60"/>
    <s v="-"/>
    <s v="-"/>
    <n v="652"/>
    <n v="917"/>
    <n v="47"/>
    <n v="76"/>
    <n v="4.8"/>
    <n v="4.8"/>
    <n v="49"/>
    <n v="46"/>
    <n v="33"/>
    <n v="30"/>
    <s v="-"/>
    <s v="-"/>
    <n v="106.45183652429932"/>
    <n v="71.088527013625097"/>
    <n v="36"/>
    <n v="39"/>
    <n v="1"/>
    <n v="1.4"/>
    <n v="0.39999999999999991"/>
    <n v="3.1"/>
    <n v="5.6"/>
    <n v="8.1"/>
    <n v="8.1"/>
    <s v="-"/>
    <s v="-"/>
    <n v="9.9"/>
    <n v="9.8000000000000007"/>
    <n v="4.5"/>
    <n v="4.2"/>
    <n v="120"/>
    <n v="111"/>
    <n v="142"/>
    <n v="140"/>
    <s v="-"/>
    <s v="-"/>
    <s v="-"/>
    <s v="-"/>
    <n v="300.15666666666669"/>
    <n v="295.80366666666663"/>
    <n v="5.12"/>
    <n v="5.58"/>
    <n v="14"/>
    <n v="15.6"/>
    <n v="47.2"/>
    <n v="46.2"/>
    <s v="92.2"/>
    <n v="82.8"/>
    <n v="27.3"/>
    <n v="28"/>
    <n v="29.7"/>
    <n v="33.799999999999997"/>
    <n v="174"/>
    <n v="174"/>
    <n v="14"/>
    <n v="13.1"/>
    <n v="0.7"/>
    <n v="1.67"/>
    <n v="7.46"/>
    <n v="9.4600000000000009"/>
    <n v="75.737265415549601"/>
    <n v="42.1"/>
    <n v="23.056300268096514"/>
    <n v="41.3"/>
    <n v="1.0723860589812333"/>
    <n v="15.1"/>
    <n v="0.13404825737265416"/>
    <n v="0.3"/>
    <n v="0"/>
    <n v="1.2"/>
    <x v="1"/>
    <x v="1"/>
    <n v="71.675339999999991"/>
    <n v="78.599999999999994"/>
    <n v="172"/>
    <n v="51.33"/>
    <n v="48"/>
    <n v="49"/>
    <n v="8.81"/>
  </r>
  <r>
    <x v="2"/>
    <x v="7"/>
    <x v="63"/>
    <n v="34"/>
    <n v="85"/>
    <x v="1"/>
    <s v="XX"/>
    <s v="MM"/>
    <s v="ID"/>
    <s v="(+9, +9)"/>
    <n v="37.5"/>
    <n v="62.5"/>
    <n v="618"/>
    <n v="3200"/>
    <n v="30"/>
    <n v="101"/>
    <s v="-"/>
    <s v="-"/>
    <n v="563"/>
    <n v="1502"/>
    <n v="41"/>
    <n v="136"/>
    <n v="4.5"/>
    <n v="4.9000000000000004"/>
    <n v="45"/>
    <n v="71"/>
    <n v="29"/>
    <n v="27"/>
    <s v="-"/>
    <s v="-"/>
    <n v="125.17286966375688"/>
    <n v="94.947150652744313"/>
    <n v="35"/>
    <n v="34"/>
    <n v="0.8"/>
    <n v="1.1000000000000001"/>
    <n v="0.30000000000000004"/>
    <n v="4.0999999999999996"/>
    <n v="4.9000000000000004"/>
    <n v="7.3"/>
    <n v="7.8"/>
    <s v="-"/>
    <s v="-"/>
    <n v="9.5"/>
    <n v="9.5"/>
    <n v="4.9000000000000004"/>
    <n v="4.4000000000000004"/>
    <n v="127"/>
    <n v="134"/>
    <n v="141"/>
    <n v="140"/>
    <s v="-"/>
    <s v="-"/>
    <s v="-"/>
    <s v="-"/>
    <n v="299.32122222222222"/>
    <n v="296.81177777777782"/>
    <n v="4.91"/>
    <n v="5.49"/>
    <n v="13.2"/>
    <n v="15.1"/>
    <n v="44.5"/>
    <n v="45.6"/>
    <n v="90.6"/>
    <n v="83.1"/>
    <n v="26.9"/>
    <n v="27.5"/>
    <n v="29.7"/>
    <n v="33.1"/>
    <n v="231"/>
    <n v="226"/>
    <n v="14.9"/>
    <n v="13.9"/>
    <n v="1.1100000000000001"/>
    <n v="1.83"/>
    <n v="8.84"/>
    <n v="6.21"/>
    <n v="85.407239819004531"/>
    <n v="33.700000000000003"/>
    <n v="12.556561085972852"/>
    <n v="45.6"/>
    <n v="1.6968325791855203"/>
    <n v="19"/>
    <n v="0.11312217194570136"/>
    <n v="0.3"/>
    <n v="0.22624434389140272"/>
    <n v="1.4"/>
    <x v="1"/>
    <x v="1"/>
    <n v="75.626200000000011"/>
    <n v="88.4"/>
    <n v="179"/>
    <n v="47.54"/>
    <n v="51.5"/>
    <n v="50.5"/>
    <n v="14.45"/>
  </r>
  <r>
    <x v="2"/>
    <x v="7"/>
    <x v="65"/>
    <n v="32"/>
    <n v="0"/>
    <x v="1"/>
    <s v="RR"/>
    <s v="MM"/>
    <s v="ID"/>
    <s v="(+9, -9)"/>
    <n v="50"/>
    <n v="50"/>
    <n v="2277"/>
    <n v="3200"/>
    <n v="47"/>
    <n v="147"/>
    <s v="-"/>
    <s v="-"/>
    <n v="770"/>
    <n v="1563"/>
    <n v="77"/>
    <n v="164"/>
    <n v="4.3"/>
    <n v="4.9000000000000004"/>
    <n v="55"/>
    <n v="67"/>
    <n v="15"/>
    <n v="18"/>
    <s v="-"/>
    <s v="-"/>
    <n v="120.79866842153496"/>
    <n v="120.79866842153496"/>
    <n v="27"/>
    <n v="39"/>
    <n v="0.9"/>
    <n v="0.9"/>
    <n v="0"/>
    <n v="4.2"/>
    <n v="4.9000000000000004"/>
    <n v="7.2"/>
    <n v="8.1"/>
    <s v="-"/>
    <s v="-"/>
    <n v="9"/>
    <n v="9.6"/>
    <n v="4.2"/>
    <n v="4"/>
    <n v="109"/>
    <n v="88"/>
    <n v="142"/>
    <n v="139"/>
    <s v="-"/>
    <s v="-"/>
    <s v="-"/>
    <s v="-"/>
    <n v="297.39588888888892"/>
    <n v="292.10222222222222"/>
    <n v="4.08"/>
    <n v="4.59"/>
    <n v="12.3"/>
    <n v="14"/>
    <n v="41"/>
    <n v="40.799999999999997"/>
    <n v="100.5"/>
    <n v="88.9"/>
    <n v="30.1"/>
    <n v="30.5"/>
    <n v="30"/>
    <n v="34.4"/>
    <n v="284"/>
    <n v="375"/>
    <n v="13.5"/>
    <n v="13"/>
    <n v="0.78"/>
    <n v="1.6"/>
    <n v="4.63"/>
    <n v="12.53"/>
    <n v="53.995680345572353"/>
    <n v="82.7"/>
    <n v="25.269978401727862"/>
    <n v="9.6999999999999993"/>
    <n v="9.9352051835853139"/>
    <n v="7.1"/>
    <n v="10.583153347732182"/>
    <n v="0.3"/>
    <n v="0.21598272138228941"/>
    <n v="0.2"/>
    <x v="0"/>
    <x v="1"/>
    <n v="71.683920000000001"/>
    <n v="79.2"/>
    <n v="172.6"/>
    <n v="51.6"/>
    <n v="60"/>
    <n v="54"/>
    <n v="9.49"/>
  </r>
  <r>
    <x v="2"/>
    <x v="7"/>
    <x v="66"/>
    <n v="31"/>
    <n v="85"/>
    <x v="1"/>
    <s v="XX"/>
    <s v="MT"/>
    <s v="DD"/>
    <s v="(+9, -9)"/>
    <n v="50"/>
    <n v="50"/>
    <n v="232"/>
    <n v="2701"/>
    <n v="22"/>
    <n v="65"/>
    <s v="-"/>
    <s v="-"/>
    <n v="421"/>
    <n v="951"/>
    <n v="29"/>
    <n v="102"/>
    <n v="4.3"/>
    <n v="5.3"/>
    <n v="30"/>
    <n v="51"/>
    <n v="13"/>
    <n v="17"/>
    <s v="-"/>
    <s v="-"/>
    <n v="120.79866842153496"/>
    <n v="77.700020894732489"/>
    <n v="31"/>
    <n v="52"/>
    <n v="0.9"/>
    <n v="1.3"/>
    <n v="0.4"/>
    <n v="4"/>
    <n v="5.3"/>
    <n v="7.1"/>
    <n v="8.3000000000000007"/>
    <s v="-"/>
    <s v="-"/>
    <n v="9.6"/>
    <n v="10.1"/>
    <n v="4.9000000000000004"/>
    <n v="4.5"/>
    <n v="102"/>
    <n v="103"/>
    <n v="141"/>
    <n v="137"/>
    <s v="-"/>
    <s v="-"/>
    <s v="-"/>
    <s v="-"/>
    <n v="297.05733333333336"/>
    <n v="292.43722222222226"/>
    <n v="4.93"/>
    <n v="5.44"/>
    <n v="13.7"/>
    <n v="15.6"/>
    <n v="43.9"/>
    <n v="43.2"/>
    <n v="89"/>
    <n v="79.400000000000006"/>
    <n v="27.8"/>
    <n v="28.7"/>
    <n v="31.2"/>
    <n v="36.1"/>
    <n v="302"/>
    <n v="341"/>
    <n v="13.8"/>
    <n v="12.8"/>
    <n v="1.27"/>
    <n v="1.63"/>
    <n v="6.89"/>
    <n v="10.56"/>
    <n v="52.975326560232226"/>
    <s v="-"/>
    <n v="33.09143686502177"/>
    <s v="-"/>
    <n v="8.8534107402031932"/>
    <n v="15.2"/>
    <n v="4.3541364296081282"/>
    <n v="0.2"/>
    <n v="0.72568940493468803"/>
    <n v="1.6"/>
    <x v="1"/>
    <x v="1"/>
    <n v="76.33"/>
    <n v="85"/>
    <n v="181"/>
    <n v="50.68"/>
    <n v="52"/>
    <n v="55"/>
    <n v="10.199999999999999"/>
  </r>
  <r>
    <x v="2"/>
    <x v="7"/>
    <x v="67"/>
    <n v="31"/>
    <n v="81"/>
    <x v="1"/>
    <s v="RR"/>
    <s v="MT"/>
    <s v="DD"/>
    <s v="(-9, -9)"/>
    <n v="62.5"/>
    <n v="37.5"/>
    <n v="428"/>
    <n v="2862"/>
    <n v="29"/>
    <n v="76"/>
    <s v="-"/>
    <s v="-"/>
    <n v="602"/>
    <n v="1109"/>
    <n v="31"/>
    <n v="99"/>
    <n v="4.4000000000000004"/>
    <n v="5.0999999999999996"/>
    <n v="36"/>
    <n v="51"/>
    <n v="18"/>
    <n v="23"/>
    <s v="-"/>
    <s v="-"/>
    <n v="125.17286966375688"/>
    <n v="106.45183652429932"/>
    <n v="30"/>
    <n v="45"/>
    <n v="0.8"/>
    <n v="1"/>
    <n v="0.19999999999999996"/>
    <n v="4"/>
    <n v="4.8"/>
    <n v="7.1"/>
    <n v="8"/>
    <s v="-"/>
    <s v="-"/>
    <n v="9.1999999999999993"/>
    <n v="9.6"/>
    <n v="4.3"/>
    <n v="4.2"/>
    <n v="91"/>
    <n v="123"/>
    <n v="142"/>
    <n v="139"/>
    <s v="-"/>
    <s v="-"/>
    <s v="-"/>
    <s v="-"/>
    <n v="296.93188888888892"/>
    <n v="295.71033333333332"/>
    <n v="4.5599999999999996"/>
    <n v="5.25"/>
    <n v="13.7"/>
    <n v="16.3"/>
    <n v="45.8"/>
    <n v="46.5"/>
    <n v="100.4"/>
    <n v="88.6"/>
    <n v="30"/>
    <n v="31"/>
    <n v="29.9"/>
    <n v="35.1"/>
    <n v="188"/>
    <n v="189"/>
    <n v="13.1"/>
    <n v="12.3"/>
    <n v="1.0900000000000001"/>
    <n v="1.61"/>
    <n v="6.2"/>
    <n v="5.86"/>
    <n v="49.032258064516128"/>
    <n v="38.700000000000003"/>
    <n v="39.516129032258071"/>
    <n v="41.5"/>
    <n v="8.5483870967741939"/>
    <n v="17.899999999999999"/>
    <n v="2.7419354838709675"/>
    <n v="0.2"/>
    <n v="0.16129032258064516"/>
    <n v="1.7"/>
    <x v="0"/>
    <x v="1"/>
    <n v="71.280989999999989"/>
    <n v="80.099999999999994"/>
    <n v="184"/>
    <n v="51.35"/>
    <n v="57"/>
    <n v="55"/>
    <n v="11.01"/>
  </r>
  <r>
    <x v="2"/>
    <x v="7"/>
    <x v="44"/>
    <n v="30"/>
    <n v="70"/>
    <x v="0"/>
    <s v="RX"/>
    <s v="MM"/>
    <s v="DD"/>
    <s v="(+9, -9)"/>
    <n v="50"/>
    <n v="50"/>
    <n v="1050"/>
    <n v="3200"/>
    <n v="35"/>
    <n v="103"/>
    <s v="-"/>
    <s v="-"/>
    <n v="621"/>
    <n v="1336"/>
    <n v="45"/>
    <n v="126"/>
    <n v="4.8"/>
    <n v="5.5"/>
    <n v="37"/>
    <n v="52"/>
    <n v="10"/>
    <n v="10"/>
    <s v="-"/>
    <s v="-"/>
    <n v="125.17286966375688"/>
    <n v="106.45183652429932"/>
    <n v="39"/>
    <n v="53"/>
    <n v="0.8"/>
    <n v="1"/>
    <n v="0.19999999999999996"/>
    <n v="3.1"/>
    <n v="5.8"/>
    <n v="7.9"/>
    <n v="8.8000000000000007"/>
    <s v="-"/>
    <s v="-"/>
    <n v="10.1"/>
    <n v="10.5"/>
    <n v="4.8"/>
    <n v="4.9000000000000004"/>
    <n v="115"/>
    <n v="122"/>
    <n v="141"/>
    <n v="141"/>
    <s v="-"/>
    <s v="-"/>
    <s v="-"/>
    <s v="-"/>
    <n v="299.03522222222227"/>
    <n v="302.00177777777776"/>
    <n v="4.95"/>
    <n v="5.48"/>
    <n v="14.3"/>
    <n v="16.2"/>
    <n v="52.3"/>
    <n v="50"/>
    <n v="105.7"/>
    <n v="91.2"/>
    <n v="28.9"/>
    <n v="29.6"/>
    <n v="27.3"/>
    <n v="32.4"/>
    <n v="316"/>
    <n v="387"/>
    <n v="14.5"/>
    <n v="13.3"/>
    <n v="0.95"/>
    <n v="1.56"/>
    <n v="8.1999999999999993"/>
    <n v="5.08"/>
    <n v="89.146341463414643"/>
    <n v="64.900000000000006"/>
    <n v="9.5121951219512209"/>
    <n v="19.7"/>
    <n v="1.3414634146341464"/>
    <n v="13.6"/>
    <n v="0"/>
    <n v="0"/>
    <n v="0"/>
    <n v="1.8"/>
    <x v="0"/>
    <x v="1"/>
    <n v="66.363659999999996"/>
    <n v="72.599999999999994"/>
    <n v="180"/>
    <n v="52.5"/>
    <n v="45"/>
    <n v="42"/>
    <n v="8.59"/>
  </r>
  <r>
    <x v="2"/>
    <x v="7"/>
    <x v="45"/>
    <n v="29"/>
    <n v="70"/>
    <x v="1"/>
    <s v="RX"/>
    <s v="MT"/>
    <s v="DD"/>
    <s v="(+9, -9)"/>
    <n v="62.5"/>
    <n v="37.5"/>
    <n v="258"/>
    <n v="2135"/>
    <n v="22"/>
    <n v="66"/>
    <s v="-"/>
    <s v="-"/>
    <n v="569"/>
    <n v="1089"/>
    <n v="34"/>
    <n v="89"/>
    <n v="4.5"/>
    <n v="5.3"/>
    <n v="37"/>
    <n v="47"/>
    <n v="11"/>
    <n v="13"/>
    <s v="-"/>
    <s v="-"/>
    <n v="106.45183652429932"/>
    <n v="106.45183652429932"/>
    <n v="36"/>
    <n v="41"/>
    <n v="1"/>
    <n v="1"/>
    <n v="0"/>
    <n v="4.3"/>
    <n v="4.4000000000000004"/>
    <n v="6.8"/>
    <n v="7.9"/>
    <s v="-"/>
    <s v="-"/>
    <n v="9.8000000000000007"/>
    <n v="10"/>
    <n v="5"/>
    <n v="4.5999999999999996"/>
    <n v="84"/>
    <n v="94"/>
    <n v="141"/>
    <n v="140"/>
    <s v="-"/>
    <s v="-"/>
    <s v="-"/>
    <s v="-"/>
    <n v="296.92666666666668"/>
    <n v="295.79488888888886"/>
    <n v="4.6900000000000004"/>
    <n v="5.38"/>
    <n v="13.8"/>
    <n v="15.9"/>
    <n v="44.8"/>
    <n v="46"/>
    <n v="95.5"/>
    <n v="85.5"/>
    <n v="29.4"/>
    <n v="29.6"/>
    <n v="30.8"/>
    <n v="34.6"/>
    <n v="168"/>
    <n v="234"/>
    <n v="13.6"/>
    <n v="12.7"/>
    <n v="1.32"/>
    <n v="2.11"/>
    <n v="5.72"/>
    <n v="6.38"/>
    <n v="41.25874125874126"/>
    <n v="59"/>
    <n v="38.286713286713287"/>
    <n v="22.1"/>
    <n v="7.5174825174825175"/>
    <n v="12.7"/>
    <n v="12.587412587412588"/>
    <n v="2"/>
    <n v="0.34965034965034969"/>
    <n v="4.2"/>
    <x v="0"/>
    <x v="1"/>
    <n v="0"/>
    <n v="0"/>
    <n v="0"/>
    <n v="0"/>
    <n v="0"/>
    <n v="0"/>
    <n v="0"/>
  </r>
  <r>
    <x v="2"/>
    <x v="7"/>
    <x v="46"/>
    <n v="28"/>
    <n v="75"/>
    <x v="0"/>
    <s v="RX"/>
    <s v="TT"/>
    <s v="DD"/>
    <s v="(-9, -9)"/>
    <n v="62.5"/>
    <n v="37.5"/>
    <n v="2378"/>
    <n v="2469"/>
    <n v="66"/>
    <n v="78"/>
    <s v="-"/>
    <s v="-"/>
    <n v="1040"/>
    <n v="1114"/>
    <n v="88"/>
    <n v="98"/>
    <n v="4.9000000000000004"/>
    <n v="5.2"/>
    <n v="73"/>
    <n v="62"/>
    <n v="28"/>
    <n v="28"/>
    <s v="-"/>
    <s v="-"/>
    <n v="120.79866842153496"/>
    <n v="94.947150652744313"/>
    <n v="31"/>
    <n v="40"/>
    <n v="0.9"/>
    <n v="1.1000000000000001"/>
    <n v="0.20000000000000007"/>
    <n v="3"/>
    <n v="4.4000000000000004"/>
    <n v="7.5"/>
    <n v="8.1"/>
    <s v="-"/>
    <s v="-"/>
    <n v="9.9"/>
    <n v="9.6999999999999993"/>
    <n v="4.0999999999999996"/>
    <n v="4.2"/>
    <n v="161"/>
    <n v="88"/>
    <n v="141"/>
    <n v="140"/>
    <s v="-"/>
    <s v="-"/>
    <s v="-"/>
    <s v="-"/>
    <n v="299.33877777777781"/>
    <n v="294.50088888888888"/>
    <n v="4.7699999999999996"/>
    <n v="5.13"/>
    <n v="14.1"/>
    <n v="15.3"/>
    <n v="45.6"/>
    <n v="44.5"/>
    <n v="95.6"/>
    <n v="86.7"/>
    <n v="29.6"/>
    <n v="29.8"/>
    <n v="30.9"/>
    <n v="34.4"/>
    <n v="273"/>
    <n v="290"/>
    <n v="14.5"/>
    <n v="13.1"/>
    <n v="0.78"/>
    <n v="1.47"/>
    <n v="7.35"/>
    <n v="3.64"/>
    <n v="91.700680272108855"/>
    <n v="44.3"/>
    <n v="7.4829931972789128"/>
    <n v="29.7"/>
    <n v="0.81632653061224492"/>
    <n v="22.5"/>
    <n v="0"/>
    <n v="0.5"/>
    <n v="0"/>
    <n v="3"/>
    <x v="0"/>
    <x v="1"/>
    <n v="69.236999999999995"/>
    <n v="73.5"/>
    <n v="177"/>
    <n v="53.28"/>
    <n v="52.5"/>
    <n v="50"/>
    <n v="5.8"/>
  </r>
  <r>
    <x v="2"/>
    <x v="7"/>
    <x v="48"/>
    <n v="27"/>
    <n v="86"/>
    <x v="0"/>
    <s v="RX"/>
    <s v="TT"/>
    <s v="ID"/>
    <s v="(+9, +9)"/>
    <n v="75"/>
    <n v="25"/>
    <n v="587"/>
    <n v="1547"/>
    <n v="26"/>
    <n v="54"/>
    <s v="-"/>
    <s v="-"/>
    <n v="571"/>
    <n v="770"/>
    <n v="47"/>
    <n v="75"/>
    <n v="4.4000000000000004"/>
    <n v="4.7"/>
    <n v="55"/>
    <n v="42"/>
    <n v="24"/>
    <n v="23"/>
    <s v="-"/>
    <s v="-"/>
    <n v="120.79866842153496"/>
    <n v="120.79866842153496"/>
    <n v="30"/>
    <n v="31"/>
    <n v="0.9"/>
    <n v="0.9"/>
    <n v="0"/>
    <n v="3.9"/>
    <n v="5.3"/>
    <n v="7.6"/>
    <n v="8.3000000000000007"/>
    <s v="-"/>
    <s v="-"/>
    <n v="9.1"/>
    <n v="9.3000000000000007"/>
    <n v="4.7"/>
    <n v="4.3"/>
    <n v="120"/>
    <n v="103"/>
    <n v="140"/>
    <n v="141"/>
    <s v="-"/>
    <s v="-"/>
    <s v="-"/>
    <s v="-"/>
    <n v="295.80866666666668"/>
    <n v="296.0052222222223"/>
    <n v="4.58"/>
    <n v="5.17"/>
    <n v="12"/>
    <n v="13.7"/>
    <n v="41.2"/>
    <n v="41.3"/>
    <n v="90"/>
    <n v="79.900000000000006"/>
    <n v="26.2"/>
    <n v="26.5"/>
    <n v="29.1"/>
    <n v="33.200000000000003"/>
    <n v="270"/>
    <n v="304"/>
    <n v="14.4"/>
    <n v="13"/>
    <n v="0.64"/>
    <n v="1.36"/>
    <n v="7.04"/>
    <n v="5.72"/>
    <n v="51.988636363636367"/>
    <n v="39.5"/>
    <n v="33.238636363636367"/>
    <n v="46.7"/>
    <n v="9.232954545454545"/>
    <n v="12.4"/>
    <n v="5.3977272727272725"/>
    <n v="0.7"/>
    <n v="0.14204545454545456"/>
    <n v="0.7"/>
    <x v="0"/>
    <x v="1"/>
    <n v="74.045439999999999"/>
    <n v="89.6"/>
    <n v="176"/>
    <n v="45.45"/>
    <n v="46.5"/>
    <n v="42"/>
    <n v="17.36"/>
  </r>
  <r>
    <x v="2"/>
    <x v="7"/>
    <x v="49"/>
    <n v="29"/>
    <n v="70"/>
    <x v="0"/>
    <s v="XX"/>
    <s v="MT"/>
    <s v="DD"/>
    <s v="(+9, -9)"/>
    <n v="50"/>
    <n v="50"/>
    <n v="199"/>
    <n v="2305"/>
    <n v="22"/>
    <n v="55"/>
    <s v="-"/>
    <s v="-"/>
    <n v="425"/>
    <n v="919"/>
    <n v="35"/>
    <n v="104"/>
    <n v="4.7"/>
    <n v="5.5"/>
    <n v="31"/>
    <n v="48"/>
    <n v="14"/>
    <n v="14"/>
    <s v="-"/>
    <s v="-"/>
    <n v="120.79866842153496"/>
    <n v="106.45183652429932"/>
    <n v="34"/>
    <n v="39"/>
    <n v="0.9"/>
    <n v="1"/>
    <n v="9.9999999999999978E-2"/>
    <n v="3.7"/>
    <n v="5.9"/>
    <n v="7.4"/>
    <n v="8.6"/>
    <s v="-"/>
    <s v="-"/>
    <n v="9.6999999999999993"/>
    <n v="9.9"/>
    <n v="5"/>
    <n v="4.3"/>
    <n v="105"/>
    <n v="81"/>
    <n v="142"/>
    <n v="142"/>
    <s v="-"/>
    <s v="-"/>
    <s v="-"/>
    <s v="-"/>
    <n v="299.79500000000002"/>
    <n v="297.79300000000006"/>
    <n v="4.8600000000000003"/>
    <n v="5.49"/>
    <n v="14"/>
    <n v="16.100000000000001"/>
    <n v="46.9"/>
    <n v="46.8"/>
    <n v="96.5"/>
    <n v="85.2"/>
    <n v="28.8"/>
    <n v="29.3"/>
    <n v="29.9"/>
    <n v="34.4"/>
    <n v="215"/>
    <n v="264"/>
    <n v="13.5"/>
    <n v="12.9"/>
    <n v="1.0900000000000001"/>
    <n v="2.21"/>
    <n v="5.12"/>
    <n v="5.2"/>
    <n v="61.1328125"/>
    <n v="61.5"/>
    <n v="27.9296875"/>
    <n v="23.1"/>
    <n v="8.0078125"/>
    <n v="13.5"/>
    <n v="2.34375"/>
    <n v="0.2"/>
    <n v="0.5859375"/>
    <n v="1.7"/>
    <x v="0"/>
    <x v="1"/>
    <n v="63.743760000000002"/>
    <n v="72.900000000000006"/>
    <n v="168.6"/>
    <n v="48.54"/>
    <n v="50"/>
    <n v="47"/>
    <n v="12.56"/>
  </r>
  <r>
    <x v="2"/>
    <x v="7"/>
    <x v="55"/>
    <n v="28"/>
    <n v="85"/>
    <x v="0"/>
    <s v="RR"/>
    <s v="TT"/>
    <s v="DD"/>
    <s v="(+9, -9)"/>
    <n v="87.5"/>
    <n v="12.5"/>
    <n v="92"/>
    <n v="648"/>
    <n v="18"/>
    <n v="41"/>
    <s v="-"/>
    <s v="-"/>
    <n v="449"/>
    <n v="860"/>
    <n v="24"/>
    <n v="51"/>
    <n v="4.5999999999999996"/>
    <n v="5.2"/>
    <n v="45"/>
    <n v="37"/>
    <n v="42"/>
    <n v="47"/>
    <s v="-"/>
    <s v="-"/>
    <n v="125.17286966375688"/>
    <n v="106.45183652429932"/>
    <n v="29"/>
    <n v="32"/>
    <n v="0.8"/>
    <n v="1"/>
    <n v="0.19999999999999996"/>
    <n v="3.3"/>
    <n v="5.6"/>
    <n v="7.3"/>
    <n v="8.3000000000000007"/>
    <s v="-"/>
    <s v="-"/>
    <n v="9.6999999999999993"/>
    <n v="9.6999999999999993"/>
    <n v="4.7"/>
    <n v="4.0999999999999996"/>
    <n v="109"/>
    <n v="106"/>
    <n v="143"/>
    <n v="141"/>
    <s v="-"/>
    <s v="-"/>
    <s v="-"/>
    <s v="-"/>
    <n v="300.5192222222222"/>
    <n v="295.99155555555558"/>
    <n v="4.49"/>
    <n v="5.0199999999999996"/>
    <n v="13.1"/>
    <n v="14.6"/>
    <n v="44"/>
    <n v="44.2"/>
    <n v="98"/>
    <n v="88"/>
    <n v="29.2"/>
    <n v="29.1"/>
    <n v="29.8"/>
    <n v="33"/>
    <n v="225"/>
    <n v="265"/>
    <n v="13.7"/>
    <n v="13"/>
    <n v="0.91"/>
    <n v="1.6"/>
    <n v="7.41"/>
    <n v="9.11"/>
    <n v="57.48987854251012"/>
    <n v="59.1"/>
    <n v="31.713900134952766"/>
    <n v="28.5"/>
    <n v="7.5573549257759796"/>
    <n v="11.2"/>
    <n v="3"/>
    <n v="0.1"/>
    <n v="0.3"/>
    <n v="1.1000000000000001"/>
    <x v="0"/>
    <x v="0"/>
    <n v="70.250040000000013"/>
    <n v="85.4"/>
    <n v="179.3"/>
    <n v="49.65"/>
    <n v="44"/>
    <n v="35"/>
    <n v="17.739999999999998"/>
  </r>
  <r>
    <x v="3"/>
    <x v="0"/>
    <x v="68"/>
    <n v="26"/>
    <n v="83.6"/>
    <x v="0"/>
    <s v="RR"/>
    <s v="MM"/>
    <s v="DD"/>
    <s v="(-9,-9)"/>
    <n v="50"/>
    <n v="50"/>
    <n v="243"/>
    <n v="1082"/>
    <n v="7"/>
    <n v="55"/>
    <n v="2.8"/>
    <n v="3"/>
    <n v="160"/>
    <n v="295"/>
    <n v="27"/>
    <n v="68"/>
    <n v="4.5999999999999996"/>
    <n v="4.5999999999999996"/>
    <n v="33"/>
    <n v="63"/>
    <n v="17"/>
    <n v="22"/>
    <n v="6.4"/>
    <n v="6.8"/>
    <n v="106.45183652429932"/>
    <n v="106.45183652429932"/>
    <n v="21"/>
    <n v="35"/>
    <n v="1"/>
    <n v="1"/>
    <n v="0"/>
    <n v="3.3"/>
    <n v="3.9"/>
    <n v="7.5"/>
    <n v="7.6"/>
    <n v="10"/>
    <n v="52"/>
    <n v="2.8"/>
    <n v="10.4"/>
    <n v="4"/>
    <n v="4.2"/>
    <n v="113"/>
    <n v="113"/>
    <n v="139"/>
    <n v="141"/>
    <n v="1.3"/>
    <n v="2"/>
    <n v="97"/>
    <n v="104"/>
    <n v="290.69944444444445"/>
    <n v="297.12477777777775"/>
    <s v="-"/>
    <n v="4.68"/>
    <s v="-"/>
    <n v="14.3"/>
    <s v="-"/>
    <n v="42"/>
    <s v="-"/>
    <n v="89.7"/>
    <s v="-"/>
    <n v="30.6"/>
    <s v="-"/>
    <n v="34"/>
    <s v="-"/>
    <n v="447"/>
    <s v="-"/>
    <n v="12.4"/>
    <s v="-"/>
    <n v="8.0500000000000002E-2"/>
    <s v="-"/>
    <n v="8.5399999999999991"/>
    <s v="-"/>
    <n v="74.5"/>
    <s v="-"/>
    <n v="19.100000000000001"/>
    <s v="-"/>
    <n v="5.5"/>
    <s v="-"/>
    <n v="0.7"/>
    <s v="-"/>
    <n v="0.2"/>
    <x v="0"/>
    <x v="1"/>
    <n v="76.297020000000003"/>
    <n v="85.65"/>
    <n v="177"/>
    <n v="51.46"/>
    <n v="48"/>
    <n v="52"/>
    <n v="10.92"/>
  </r>
  <r>
    <x v="3"/>
    <x v="0"/>
    <x v="69"/>
    <n v="25"/>
    <n v="76.3"/>
    <x v="0"/>
    <s v="XX"/>
    <s v="TT"/>
    <s v="ID"/>
    <s v="(-9,-9)"/>
    <n v="37.5"/>
    <n v="62.5"/>
    <n v="129"/>
    <n v="860"/>
    <n v="4"/>
    <n v="45"/>
    <n v="2"/>
    <n v="2.8"/>
    <n v="127"/>
    <n v="334"/>
    <n v="21"/>
    <n v="72"/>
    <n v="4.2"/>
    <n v="4.5999999999999996"/>
    <n v="20"/>
    <n v="82"/>
    <n v="21"/>
    <n v="43"/>
    <n v="4.4000000000000004"/>
    <n v="4.3"/>
    <n v="125.17286966375688"/>
    <n v="120.79866842153496"/>
    <n v="31"/>
    <n v="45"/>
    <n v="0.8"/>
    <n v="0.9"/>
    <n v="9.9999999999999978E-2"/>
    <n v="3.2"/>
    <n v="3.1"/>
    <n v="7"/>
    <n v="7.2"/>
    <n v="10"/>
    <n v="85"/>
    <n v="2.4"/>
    <n v="10.3"/>
    <n v="4.4000000000000004"/>
    <n v="4.3"/>
    <n v="90"/>
    <n v="90"/>
    <n v="139"/>
    <n v="141"/>
    <n v="1.2"/>
    <n v="2.2000000000000002"/>
    <s v="-"/>
    <n v="104"/>
    <n v="291.64066666666673"/>
    <n v="297.50800000000004"/>
    <s v="-"/>
    <n v="4.28"/>
    <s v="-"/>
    <n v="12.8"/>
    <s v="-"/>
    <n v="39"/>
    <s v="-"/>
    <n v="91.1"/>
    <s v="-"/>
    <n v="29.9"/>
    <s v="-"/>
    <n v="32.799999999999997"/>
    <s v="-"/>
    <n v="355"/>
    <s v="-"/>
    <n v="13.3"/>
    <s v="-"/>
    <n v="7.9200000000000007E-2"/>
    <s v="-"/>
    <n v="6.19"/>
    <s v="-"/>
    <n v="74.900000000000006"/>
    <s v="-"/>
    <n v="16.2"/>
    <s v="-"/>
    <n v="8.4"/>
    <s v="-"/>
    <n v="0.3"/>
    <s v="-"/>
    <n v="0.2"/>
    <x v="0"/>
    <x v="0"/>
    <n v="73.936000000000007"/>
    <n v="80"/>
    <n v="177.5"/>
    <n v="0"/>
    <n v="42"/>
    <n v="42"/>
    <n v="7.58"/>
  </r>
  <r>
    <x v="3"/>
    <x v="0"/>
    <x v="70"/>
    <n v="25"/>
    <n v="85.3"/>
    <x v="0"/>
    <s v="XX"/>
    <s v="MM"/>
    <s v="ID"/>
    <s v="(+9,-9)"/>
    <n v="25"/>
    <n v="75"/>
    <n v="192"/>
    <n v="826"/>
    <n v="9"/>
    <n v="46"/>
    <n v="1.9"/>
    <n v="4.5999999999999996"/>
    <n v="164"/>
    <n v="436"/>
    <n v="31"/>
    <n v="71"/>
    <n v="4.0999999999999996"/>
    <n v="4.8"/>
    <n v="31"/>
    <n v="62"/>
    <n v="32"/>
    <n v="60"/>
    <n v="4.5999999999999996"/>
    <n v="5.3"/>
    <n v="125.17286966375688"/>
    <n v="130.32381263076621"/>
    <n v="40"/>
    <n v="37"/>
    <n v="0.8"/>
    <n v="0.7"/>
    <n v="0"/>
    <n v="3.9"/>
    <n v="3.5"/>
    <n v="6.8"/>
    <n v="7.5"/>
    <n v="10"/>
    <n v="72"/>
    <n v="1.9"/>
    <n v="9.9"/>
    <n v="3.8"/>
    <n v="3.9"/>
    <n v="100"/>
    <n v="100"/>
    <n v="140"/>
    <n v="141"/>
    <n v="1.1000000000000001"/>
    <n v="2.2000000000000002"/>
    <s v="-"/>
    <n v="104"/>
    <n v="294.52355555555562"/>
    <n v="296.06955555555561"/>
    <s v="-"/>
    <n v="4.37"/>
    <s v="-"/>
    <n v="13.4"/>
    <s v="-"/>
    <n v="41.1"/>
    <s v="-"/>
    <n v="94.1"/>
    <s v="-"/>
    <n v="30.7"/>
    <s v="-"/>
    <n v="32.6"/>
    <s v="-"/>
    <n v="183"/>
    <s v="-"/>
    <n v="13"/>
    <s v="-"/>
    <n v="8.48E-2"/>
    <s v="-"/>
    <n v="12.3"/>
    <s v="-"/>
    <n v="77.2"/>
    <s v="-"/>
    <n v="14.2"/>
    <s v="-"/>
    <n v="8.1999999999999993"/>
    <s v="-"/>
    <n v="0.2"/>
    <s v="-"/>
    <n v="0.2"/>
    <x v="0"/>
    <x v="0"/>
    <n v="81.37906000000001"/>
    <n v="88.9"/>
    <n v="184.5"/>
    <n v="49.69"/>
    <n v="54"/>
    <n v="50"/>
    <n v="8.4600000000000009"/>
  </r>
  <r>
    <x v="3"/>
    <x v="0"/>
    <x v="71"/>
    <n v="32"/>
    <n v="75.2"/>
    <x v="0"/>
    <s v="RR"/>
    <s v="-"/>
    <s v="ID"/>
    <s v="(+9,-9)"/>
    <s v="-"/>
    <s v="-"/>
    <n v="120"/>
    <n v="963"/>
    <n v="5"/>
    <n v="61"/>
    <n v="2.4"/>
    <n v="3.9"/>
    <n v="153"/>
    <n v="484"/>
    <n v="23"/>
    <n v="78"/>
    <n v="4.3"/>
    <n v="5.2"/>
    <n v="26"/>
    <n v="90"/>
    <n v="26"/>
    <n v="32"/>
    <n v="5.0999999999999996"/>
    <n v="6"/>
    <n v="120.79866842153496"/>
    <n v="106.45183652429932"/>
    <n v="38"/>
    <n v="53"/>
    <n v="0.9"/>
    <n v="1"/>
    <n v="9.9999999999999978E-2"/>
    <n v="4"/>
    <n v="3.5"/>
    <n v="6.5"/>
    <n v="7.6"/>
    <n v="10"/>
    <n v="55"/>
    <n v="1.8"/>
    <n v="10.4"/>
    <n v="4.2"/>
    <n v="4.0999999999999996"/>
    <n v="141"/>
    <n v="141"/>
    <n v="138"/>
    <n v="142"/>
    <n v="1.1000000000000001"/>
    <n v="2.1"/>
    <n v="99"/>
    <n v="103"/>
    <n v="293.83366666666666"/>
    <n v="303.58766666666662"/>
    <s v="-"/>
    <n v="4.79"/>
    <s v="-"/>
    <n v="14.3"/>
    <s v="-"/>
    <n v="42.6"/>
    <s v="-"/>
    <n v="88.9"/>
    <s v="-"/>
    <n v="29.9"/>
    <s v="-"/>
    <n v="33.6"/>
    <s v="-"/>
    <n v="257"/>
    <s v="-"/>
    <n v="12.8"/>
    <s v="-"/>
    <n v="7.9000000000000001E-2"/>
    <s v="-"/>
    <n v="9.82"/>
    <s v="-"/>
    <n v="71.7"/>
    <s v="-"/>
    <n v="16.2"/>
    <s v="-"/>
    <n v="9.6"/>
    <s v="-"/>
    <n v="1.5"/>
    <s v="-"/>
    <n v="1"/>
    <x v="0"/>
    <x v="0"/>
    <n v="70.381349999999998"/>
    <n v="79.5"/>
    <n v="176.5"/>
    <n v="52.51"/>
    <n v="48"/>
    <n v="52"/>
    <n v="11.47"/>
  </r>
  <r>
    <x v="3"/>
    <x v="0"/>
    <x v="72"/>
    <n v="32"/>
    <n v="76.2"/>
    <x v="0"/>
    <s v="RR"/>
    <s v="MT"/>
    <s v="ID"/>
    <s v="(-9,-9)"/>
    <n v="37.5"/>
    <n v="62.5"/>
    <n v="154"/>
    <n v="5038"/>
    <n v="5"/>
    <n v="133"/>
    <n v="2.9"/>
    <n v="6.4"/>
    <n v="149"/>
    <n v="697"/>
    <n v="22"/>
    <n v="166"/>
    <n v="4.5"/>
    <n v="4.3"/>
    <n v="25"/>
    <n v="102"/>
    <n v="22"/>
    <n v="22"/>
    <n v="3.8"/>
    <n v="4.5"/>
    <n v="125.17286966375688"/>
    <n v="120.79866842153496"/>
    <n v="21"/>
    <n v="36"/>
    <n v="0.8"/>
    <n v="0.9"/>
    <n v="9.9999999999999978E-2"/>
    <n v="3.3"/>
    <n v="3.2"/>
    <n v="7.3"/>
    <n v="6.8"/>
    <n v="10"/>
    <n v="45"/>
    <n v="2.1"/>
    <n v="9.9"/>
    <n v="4.8"/>
    <n v="4.0999999999999996"/>
    <n v="93"/>
    <n v="93"/>
    <n v="141"/>
    <n v="141"/>
    <n v="1"/>
    <n v="2"/>
    <n v="97"/>
    <n v="105"/>
    <n v="294.62966666666671"/>
    <n v="295.82766666666669"/>
    <s v="-"/>
    <n v="3.94"/>
    <s v="-"/>
    <n v="12.4"/>
    <s v="-"/>
    <n v="38.1"/>
    <s v="-"/>
    <n v="96.7"/>
    <s v="-"/>
    <n v="31.5"/>
    <s v="-"/>
    <n v="32.5"/>
    <s v="-"/>
    <n v="285"/>
    <s v="-"/>
    <n v="13.9"/>
    <s v="-"/>
    <n v="6.3E-2"/>
    <s v="-"/>
    <n v="13.43"/>
    <s v="-"/>
    <n v="81.400000000000006"/>
    <s v="-"/>
    <n v="8.8000000000000007"/>
    <s v="-"/>
    <n v="9.6"/>
    <s v="-"/>
    <n v="0.1"/>
    <s v="-"/>
    <n v="0.1"/>
    <x v="0"/>
    <x v="1"/>
    <n v="71.386020000000002"/>
    <n v="77.400000000000006"/>
    <n v="175"/>
    <n v="53.39"/>
    <n v="48"/>
    <n v="44"/>
    <n v="7.77"/>
  </r>
  <r>
    <x v="3"/>
    <x v="0"/>
    <x v="73"/>
    <n v="31"/>
    <n v="79"/>
    <x v="0"/>
    <s v="RX"/>
    <s v="MM"/>
    <s v="II"/>
    <s v="(+9,+9)"/>
    <n v="25"/>
    <n v="75"/>
    <n v="123"/>
    <n v="696"/>
    <n v="4"/>
    <n v="34"/>
    <n v="3.2"/>
    <n v="3.2"/>
    <n v="140"/>
    <n v="299"/>
    <n v="24"/>
    <n v="55"/>
    <n v="4.0999999999999996"/>
    <n v="4.2"/>
    <n v="26"/>
    <n v="45"/>
    <n v="26"/>
    <n v="34"/>
    <n v="5"/>
    <n v="5.7"/>
    <n v="125.17286966375688"/>
    <n v="130.32381263076621"/>
    <n v="31"/>
    <n v="37"/>
    <n v="0.8"/>
    <n v="0.7"/>
    <n v="0"/>
    <n v="3.3"/>
    <n v="3.7"/>
    <n v="6.5"/>
    <n v="6.7"/>
    <n v="10"/>
    <n v="40"/>
    <n v="1.8"/>
    <n v="9.5"/>
    <n v="4.0999999999999996"/>
    <n v="4.2"/>
    <n v="117"/>
    <n v="117"/>
    <n v="141"/>
    <n v="138"/>
    <n v="1"/>
    <n v="2"/>
    <n v="97"/>
    <n v="101"/>
    <n v="296.52766666666673"/>
    <n v="292.13366666666673"/>
    <s v="-"/>
    <n v="4.58"/>
    <s v="-"/>
    <n v="13.1"/>
    <s v="-"/>
    <n v="39.6"/>
    <s v="-"/>
    <n v="86.5"/>
    <s v="-"/>
    <n v="28.6"/>
    <s v="-"/>
    <n v="33.1"/>
    <s v="-"/>
    <n v="256"/>
    <s v="-"/>
    <n v="12.8"/>
    <s v="-"/>
    <s v="-"/>
    <s v="-"/>
    <n v="9.3699999999999992"/>
    <s v="-"/>
    <n v="80.599999999999994"/>
    <s v="-"/>
    <n v="11.8"/>
    <s v="-"/>
    <n v="7"/>
    <s v="-"/>
    <n v="0.4"/>
    <s v="-"/>
    <n v="0.2"/>
    <x v="0"/>
    <x v="0"/>
    <n v="70.427400000000006"/>
    <n v="80.25"/>
    <n v="178"/>
    <n v="51.39"/>
    <n v="48"/>
    <n v="47"/>
    <n v="12.24"/>
  </r>
  <r>
    <x v="3"/>
    <x v="0"/>
    <x v="74"/>
    <n v="33"/>
    <n v="73.400000000000006"/>
    <x v="0"/>
    <s v="XX"/>
    <s v="MM"/>
    <s v="ID"/>
    <s v="(+9,-9)"/>
    <n v="25"/>
    <n v="75"/>
    <n v="77"/>
    <n v="583"/>
    <n v="3"/>
    <n v="40"/>
    <n v="2.2000000000000002"/>
    <n v="3.3"/>
    <n v="149"/>
    <n v="365"/>
    <n v="17"/>
    <n v="65"/>
    <n v="4"/>
    <n v="4.4000000000000004"/>
    <n v="18"/>
    <n v="66"/>
    <n v="15"/>
    <n v="28"/>
    <n v="2.6"/>
    <n v="4.0999999999999996"/>
    <n v="125.17286966375688"/>
    <n v="106.45183652429932"/>
    <n v="40"/>
    <n v="42"/>
    <n v="0.8"/>
    <n v="1"/>
    <n v="0.19999999999999996"/>
    <n v="3"/>
    <n v="3"/>
    <n v="6.5"/>
    <n v="7.2"/>
    <n v="10"/>
    <n v="49"/>
    <n v="1"/>
    <n v="9.9"/>
    <n v="4.7"/>
    <n v="4.0999999999999996"/>
    <n v="104"/>
    <n v="104"/>
    <n v="128"/>
    <n v="138"/>
    <n v="0.4"/>
    <n v="2.1"/>
    <n v="89"/>
    <n v="104"/>
    <n v="274.13311111111113"/>
    <n v="291.95044444444443"/>
    <s v="-"/>
    <n v="4.47"/>
    <s v="-"/>
    <n v="13"/>
    <s v="-"/>
    <n v="40.200000000000003"/>
    <s v="-"/>
    <n v="89.9"/>
    <s v="-"/>
    <n v="29.1"/>
    <s v="-"/>
    <n v="32.299999999999997"/>
    <s v="-"/>
    <n v="281"/>
    <s v="-"/>
    <n v="13.3"/>
    <s v="-"/>
    <n v="7.1499999999999994E-2"/>
    <s v="-"/>
    <n v="11.83"/>
    <s v="-"/>
    <n v="86.2"/>
    <s v="-"/>
    <n v="7.7"/>
    <s v="-"/>
    <n v="5.3"/>
    <s v="-"/>
    <n v="0.5"/>
    <s v="-"/>
    <n v="0.3"/>
    <x v="0"/>
    <x v="0"/>
    <n v="66.237339999999989"/>
    <n v="74.599999999999994"/>
    <n v="178.5"/>
    <n v="50"/>
    <n v="62"/>
    <n v="58"/>
    <n v="11.21"/>
  </r>
  <r>
    <x v="3"/>
    <x v="0"/>
    <x v="75"/>
    <n v="31"/>
    <n v="70"/>
    <x v="0"/>
    <s v="RR"/>
    <s v="MM"/>
    <s v="ID"/>
    <s v="(+9,-9)"/>
    <n v="50"/>
    <n v="50"/>
    <n v="186"/>
    <n v="928"/>
    <n v="9"/>
    <n v="49"/>
    <n v="2.9"/>
    <n v="2.6"/>
    <n v="178"/>
    <n v="455"/>
    <n v="29"/>
    <n v="72"/>
    <n v="4.5999999999999996"/>
    <n v="4.8"/>
    <n v="36"/>
    <n v="58"/>
    <n v="34"/>
    <n v="40"/>
    <n v="5.5"/>
    <n v="5.8"/>
    <n v="120.79866842153496"/>
    <n v="125.17286966375688"/>
    <n v="34"/>
    <n v="50"/>
    <n v="0.9"/>
    <n v="0.8"/>
    <n v="0"/>
    <n v="2.8"/>
    <n v="3"/>
    <n v="7.2"/>
    <n v="7.6"/>
    <n v="10"/>
    <n v="95"/>
    <n v="1.9"/>
    <n v="10.1"/>
    <n v="3.8"/>
    <n v="3.8"/>
    <n v="133"/>
    <n v="133"/>
    <n v="141"/>
    <n v="141"/>
    <n v="1.2"/>
    <n v="2.2999999999999998"/>
    <n v="99"/>
    <n v="104"/>
    <n v="297.49188888888892"/>
    <n v="300.15855555555555"/>
    <s v="-"/>
    <n v="4.93"/>
    <s v="-"/>
    <n v="15.2"/>
    <s v="-"/>
    <n v="46.1"/>
    <s v="-"/>
    <n v="93.5"/>
    <s v="-"/>
    <n v="30.8"/>
    <s v="-"/>
    <n v="33"/>
    <s v="-"/>
    <n v="215"/>
    <s v="-"/>
    <n v="12.3"/>
    <s v="-"/>
    <n v="7.0999999999999994E-2"/>
    <s v="-"/>
    <n v="10.51"/>
    <s v="-"/>
    <n v="84.2"/>
    <s v="-"/>
    <n v="10.6"/>
    <s v="-"/>
    <n v="4.5"/>
    <s v="-"/>
    <n v="0.5"/>
    <s v="-"/>
    <n v="0.2"/>
    <x v="0"/>
    <x v="0"/>
    <n v="65.387150000000005"/>
    <n v="70.75"/>
    <n v="181.5"/>
    <n v="54.55"/>
    <n v="50"/>
    <n v="42"/>
    <n v="7.58"/>
  </r>
  <r>
    <x v="3"/>
    <x v="0"/>
    <x v="76"/>
    <n v="0"/>
    <n v="0"/>
    <x v="0"/>
    <s v="RR"/>
    <s v="MT"/>
    <s v="DD"/>
    <s v="(+9,-9)"/>
    <n v="75"/>
    <n v="25"/>
    <n v="116"/>
    <n v="2974"/>
    <n v="6"/>
    <n v="81"/>
    <n v="3.3"/>
    <n v="2.8"/>
    <n v="139"/>
    <n v="617"/>
    <n v="17"/>
    <n v="156"/>
    <n v="4.5999999999999996"/>
    <n v="4"/>
    <s v="-"/>
    <n v="188"/>
    <n v="22"/>
    <n v="82"/>
    <n v="6.1"/>
    <n v="6.3"/>
    <n v="120.79866842153496"/>
    <n v="125.17286966375688"/>
    <n v="36"/>
    <n v="45"/>
    <n v="0.9"/>
    <n v="0.8"/>
    <n v="0"/>
    <n v="3.3"/>
    <n v="3.2"/>
    <n v="7.3"/>
    <n v="6.4"/>
    <n v="10"/>
    <n v="34"/>
    <n v="2.2000000000000002"/>
    <n v="9.5"/>
    <n v="3.7"/>
    <n v="3.6"/>
    <n v="91"/>
    <n v="91"/>
    <n v="140"/>
    <n v="142"/>
    <n v="1.1000000000000001"/>
    <n v="2.1"/>
    <n v="97"/>
    <n v="107"/>
    <n v="293.09588888888885"/>
    <n v="298.1298888888889"/>
    <s v="-"/>
    <n v="4.0199999999999996"/>
    <s v="-"/>
    <n v="11.6"/>
    <s v="-"/>
    <n v="35.5"/>
    <s v="-"/>
    <n v="88.3"/>
    <s v="-"/>
    <n v="28.9"/>
    <s v="-"/>
    <n v="32.700000000000003"/>
    <s v="-"/>
    <n v="214"/>
    <s v="-"/>
    <n v="13"/>
    <s v="-"/>
    <n v="8.0799999999999997E-2"/>
    <s v="-"/>
    <n v="12.01"/>
    <s v="-"/>
    <n v="79.7"/>
    <s v="-"/>
    <n v="14.2"/>
    <s v="-"/>
    <n v="5.6"/>
    <s v="-"/>
    <n v="0.2"/>
    <s v="-"/>
    <n v="0.3"/>
    <x v="0"/>
    <x v="1"/>
    <n v="63.753039999999999"/>
    <n v="76.7"/>
    <n v="165"/>
    <n v="49.68"/>
    <n v="52"/>
    <n v="52"/>
    <n v="16.88"/>
  </r>
  <r>
    <x v="3"/>
    <x v="0"/>
    <x v="77"/>
    <n v="29"/>
    <n v="0"/>
    <x v="0"/>
    <s v="RX"/>
    <s v="MT"/>
    <s v="DD"/>
    <s v="(+9,-9)"/>
    <n v="62.5"/>
    <n v="37.5"/>
    <n v="90"/>
    <n v="504"/>
    <n v="4"/>
    <n v="32"/>
    <n v="3"/>
    <n v="3.4"/>
    <n v="189"/>
    <n v="531"/>
    <n v="24"/>
    <n v="46"/>
    <n v="4.5"/>
    <n v="4.7"/>
    <n v="37"/>
    <n v="54"/>
    <n v="26"/>
    <n v="35"/>
    <n v="5.5"/>
    <n v="5.4"/>
    <n v="120.79866842153496"/>
    <n v="120.79866842153496"/>
    <n v="46"/>
    <n v="58"/>
    <n v="0.9"/>
    <n v="0.9"/>
    <n v="0"/>
    <n v="3.9"/>
    <n v="3.5"/>
    <n v="7.2"/>
    <n v="7.2"/>
    <n v="10"/>
    <n v="66"/>
    <n v="4.5"/>
    <n v="10"/>
    <n v="4.7"/>
    <n v="4.4000000000000004"/>
    <n v="104"/>
    <n v="104"/>
    <n v="144"/>
    <n v="139"/>
    <n v="1.8"/>
    <n v="2"/>
    <n v="104"/>
    <n v="102"/>
    <n v="304.89311111111112"/>
    <n v="297.03511111111118"/>
    <s v="-"/>
    <n v="4.37"/>
    <s v="-"/>
    <n v="12.6"/>
    <s v="-"/>
    <n v="38.4"/>
    <s v="-"/>
    <n v="87.9"/>
    <s v="-"/>
    <n v="28.8"/>
    <s v="-"/>
    <n v="32.799999999999997"/>
    <s v="-"/>
    <n v="303"/>
    <s v="-"/>
    <n v="13.1"/>
    <s v="-"/>
    <n v="6.8599999999999994E-2"/>
    <s v="-"/>
    <n v="13.32"/>
    <s v="-"/>
    <n v="78.7"/>
    <s v="-"/>
    <n v="15.3"/>
    <s v="-"/>
    <n v="5.3"/>
    <s v="-"/>
    <n v="0.5"/>
    <s v="-"/>
    <n v="0.2"/>
    <x v="0"/>
    <x v="0"/>
    <n v="75.047719999999998"/>
    <n v="83.6"/>
    <n v="174"/>
    <n v="47.04"/>
    <n v="38"/>
    <n v="32"/>
    <n v="10.23"/>
  </r>
  <r>
    <x v="3"/>
    <x v="0"/>
    <x v="78"/>
    <n v="28"/>
    <n v="61"/>
    <x v="0"/>
    <s v="RR"/>
    <s v="MT"/>
    <s v="ID"/>
    <s v="(-9,-9)"/>
    <n v="50"/>
    <n v="50"/>
    <n v="62"/>
    <n v="462"/>
    <n v="3"/>
    <n v="35"/>
    <n v="2.1"/>
    <n v="2.4"/>
    <n v="168"/>
    <n v="418"/>
    <n v="22"/>
    <n v="54"/>
    <n v="3.9"/>
    <n v="4.5"/>
    <n v="21"/>
    <n v="49"/>
    <n v="17"/>
    <n v="20"/>
    <n v="4.0999999999999996"/>
    <n v="3.8"/>
    <n v="125.17286966375688"/>
    <n v="125.17286966375688"/>
    <n v="29"/>
    <n v="40"/>
    <n v="0.8"/>
    <n v="0.8"/>
    <n v="0"/>
    <n v="2.8"/>
    <n v="3.6"/>
    <n v="6"/>
    <n v="6.8"/>
    <n v="10"/>
    <n v="64"/>
    <n v="1"/>
    <n v="9.6999999999999993"/>
    <n v="4.3"/>
    <n v="4.0999999999999996"/>
    <n v="84"/>
    <n v="84"/>
    <n v="130"/>
    <n v="140"/>
    <n v="0.6"/>
    <n v="2.2000000000000002"/>
    <n v="89"/>
    <n v="103"/>
    <n v="273.99800000000005"/>
    <n v="294.05933333333337"/>
    <s v="-"/>
    <n v="4.6100000000000003"/>
    <s v="-"/>
    <n v="13.3"/>
    <s v="-"/>
    <n v="40.5"/>
    <s v="-"/>
    <n v="87.9"/>
    <s v="-"/>
    <n v="28.9"/>
    <s v="-"/>
    <n v="32.799999999999997"/>
    <s v="-"/>
    <n v="323"/>
    <s v="-"/>
    <n v="13"/>
    <s v="-"/>
    <n v="4.3799999999999999E-2"/>
    <s v="-"/>
    <n v="4.13"/>
    <s v="-"/>
    <n v="67.599999999999994"/>
    <s v="-"/>
    <n v="21.8"/>
    <s v="-"/>
    <n v="9.9"/>
    <s v="-"/>
    <n v="0.5"/>
    <s v="-"/>
    <n v="0.2"/>
    <x v="0"/>
    <x v="0"/>
    <n v="56.283344999999997"/>
    <n v="62.35"/>
    <n v="169"/>
    <n v="52.58"/>
    <n v="44"/>
    <n v="38"/>
    <n v="9.73"/>
  </r>
  <r>
    <x v="3"/>
    <x v="0"/>
    <x v="79"/>
    <n v="30"/>
    <n v="0"/>
    <x v="0"/>
    <s v="RX"/>
    <s v="MT"/>
    <s v="ID"/>
    <s v="(+9,+9)"/>
    <n v="62.5"/>
    <n v="37.5"/>
    <n v="177"/>
    <n v="1024"/>
    <n v="3"/>
    <n v="54"/>
    <n v="3.2"/>
    <n v="2.2999999999999998"/>
    <n v="157"/>
    <n v="338"/>
    <n v="28"/>
    <n v="69"/>
    <n v="4.7"/>
    <n v="4.5"/>
    <n v="27"/>
    <n v="60"/>
    <n v="17"/>
    <n v="19"/>
    <n v="4.3"/>
    <n v="4.4000000000000004"/>
    <n v="106.45183652429932"/>
    <n v="106.45183652429932"/>
    <n v="28"/>
    <n v="34"/>
    <n v="1"/>
    <n v="1"/>
    <n v="0"/>
    <n v="2.9"/>
    <n v="3.4"/>
    <n v="7.7"/>
    <n v="7.3"/>
    <n v="10"/>
    <n v="46"/>
    <n v="3.1"/>
    <n v="10.1"/>
    <n v="4.4000000000000004"/>
    <n v="4.5999999999999996"/>
    <n v="70"/>
    <n v="70"/>
    <n v="145"/>
    <n v="142"/>
    <n v="1.3"/>
    <n v="2.1"/>
    <n v="99"/>
    <n v="101"/>
    <n v="301.02288888888893"/>
    <n v="296.8148888888889"/>
    <s v="-"/>
    <n v="4.8499999999999996"/>
    <s v="-"/>
    <n v="13.1"/>
    <s v="-"/>
    <n v="40.299999999999997"/>
    <s v="-"/>
    <n v="83.1"/>
    <s v="-"/>
    <n v="27"/>
    <s v="-"/>
    <n v="32.5"/>
    <s v="-"/>
    <n v="383"/>
    <s v="-"/>
    <n v="12.6"/>
    <s v="-"/>
    <n v="4.5600000000000002E-2"/>
    <s v="-"/>
    <n v="10.91"/>
    <s v="-"/>
    <n v="80.400000000000006"/>
    <s v="-"/>
    <n v="14"/>
    <s v="-"/>
    <n v="4.9000000000000004"/>
    <s v="-"/>
    <n v="0.5"/>
    <s v="-"/>
    <n v="0.2"/>
    <x v="0"/>
    <x v="1"/>
    <n v="74.986559999999997"/>
    <n v="79.2"/>
    <n v="173"/>
    <n v="51.33"/>
    <n v="58"/>
    <n v="58"/>
    <n v="5.32"/>
  </r>
  <r>
    <x v="3"/>
    <x v="0"/>
    <x v="80"/>
    <n v="27"/>
    <n v="81.2"/>
    <x v="0"/>
    <s v="XX"/>
    <s v="TT"/>
    <s v="DD"/>
    <s v="(+9,-9)"/>
    <n v="62.5"/>
    <n v="37.5"/>
    <n v="157"/>
    <n v="856"/>
    <n v="12"/>
    <n v="58"/>
    <n v="2.2999999999999998"/>
    <n v="2.2999999999999998"/>
    <n v="173"/>
    <n v="441"/>
    <n v="32"/>
    <n v="79"/>
    <n v="4.4000000000000004"/>
    <n v="3.7"/>
    <n v="31"/>
    <n v="59"/>
    <n v="23"/>
    <n v="20"/>
    <n v="5.7"/>
    <n v="5.6"/>
    <n v="120.79866842153496"/>
    <n v="120.79866842153496"/>
    <n v="32"/>
    <n v="39"/>
    <n v="0.9"/>
    <n v="0.9"/>
    <n v="0"/>
    <n v="2.8"/>
    <n v="3.3"/>
    <n v="7.5"/>
    <n v="6.8"/>
    <n v="10"/>
    <n v="32"/>
    <n v="3"/>
    <n v="9.4"/>
    <n v="4.2"/>
    <n v="4.2"/>
    <n v="97"/>
    <n v="97"/>
    <n v="140"/>
    <n v="139"/>
    <n v="1.3"/>
    <n v="1.9"/>
    <n v="99"/>
    <n v="104"/>
    <n v="293.7425555555555"/>
    <n v="293.04922222222217"/>
    <s v="-"/>
    <n v="4.62"/>
    <s v="-"/>
    <n v="13.3"/>
    <s v="-"/>
    <n v="39.200000000000003"/>
    <s v="-"/>
    <n v="84.8"/>
    <s v="-"/>
    <n v="28.8"/>
    <s v="-"/>
    <n v="33.9"/>
    <s v="-"/>
    <n v="279"/>
    <s v="-"/>
    <n v="13.2"/>
    <s v="-"/>
    <n v="7.85E-2"/>
    <s v="-"/>
    <n v="8.11"/>
    <s v="-"/>
    <n v="82.8"/>
    <s v="-"/>
    <n v="9.4"/>
    <s v="-"/>
    <n v="5.9"/>
    <s v="-"/>
    <n v="1.5"/>
    <s v="-"/>
    <n v="0.4"/>
    <x v="0"/>
    <x v="0"/>
    <n v="76.552520000000001"/>
    <n v="83.6"/>
    <n v="175"/>
    <n v="50.56"/>
    <n v="54"/>
    <n v="42"/>
    <n v="8.43"/>
  </r>
  <r>
    <x v="3"/>
    <x v="1"/>
    <x v="68"/>
    <n v="26"/>
    <n v="80"/>
    <x v="0"/>
    <s v="RR"/>
    <s v="MM"/>
    <s v="DD"/>
    <s v="(-9,-9)"/>
    <n v="50"/>
    <n v="50"/>
    <n v="304"/>
    <n v="4034"/>
    <n v="29"/>
    <n v="102"/>
    <n v="3.2"/>
    <n v="3.1"/>
    <n v="239"/>
    <n v="550"/>
    <n v="40"/>
    <n v="124"/>
    <n v="3.9"/>
    <n v="4.4000000000000004"/>
    <n v="48"/>
    <n v="71"/>
    <n v="15"/>
    <n v="19"/>
    <n v="5.4"/>
    <n v="8"/>
    <n v="120.79866842153496"/>
    <n v="106.45183652429932"/>
    <n v="40"/>
    <n v="49"/>
    <n v="0.9"/>
    <n v="1"/>
    <n v="9.9999999999999978E-2"/>
    <n v="2.9"/>
    <n v="6"/>
    <n v="6.8"/>
    <n v="7.8"/>
    <n v="57"/>
    <n v="20"/>
    <n v="9.9"/>
    <n v="10.199999999999999"/>
    <n v="4.0999999999999996"/>
    <n v="4.5999999999999996"/>
    <n v="87"/>
    <n v="70"/>
    <n v="139"/>
    <n v="135"/>
    <n v="1.9"/>
    <n v="2.1"/>
    <n v="103"/>
    <n v="96"/>
    <n v="292.39100000000002"/>
    <n v="286.29488888888892"/>
    <n v="4.6100000000000003"/>
    <n v="4.41"/>
    <n v="14"/>
    <n v="13.3"/>
    <n v="42.1"/>
    <n v="40.299999999999997"/>
    <n v="91.3"/>
    <n v="91.4"/>
    <n v="30.4"/>
    <n v="30.2"/>
    <n v="33.299999999999997"/>
    <n v="33"/>
    <n v="474"/>
    <n v="483"/>
    <n v="12.5"/>
    <n v="12.6"/>
    <n v="9.8199999999999996E-2"/>
    <n v="8.8200000000000001E-2"/>
    <n v="8.4499999999999993"/>
    <n v="15.95"/>
    <n v="72.3"/>
    <n v="85.3"/>
    <n v="20.8"/>
    <n v="10.199999999999999"/>
    <n v="5.3"/>
    <n v="4.4000000000000004"/>
    <n v="1.2"/>
    <n v="0"/>
    <n v="0.4"/>
    <n v="0.02"/>
    <x v="0"/>
    <x v="1"/>
    <n v="76.297020000000003"/>
    <n v="85.65"/>
    <n v="177"/>
    <n v="51.46"/>
    <n v="48"/>
    <n v="52"/>
    <n v="10.92"/>
  </r>
  <r>
    <x v="3"/>
    <x v="1"/>
    <x v="69"/>
    <n v="25"/>
    <n v="75.2"/>
    <x v="0"/>
    <s v="XX"/>
    <s v="TT"/>
    <s v="ID"/>
    <s v="(-9,-9)"/>
    <n v="37.5"/>
    <n v="62.5"/>
    <n v="1358"/>
    <n v="3093"/>
    <n v="59"/>
    <n v="74"/>
    <n v="2.4"/>
    <n v="2.4"/>
    <n v="389"/>
    <n v="668"/>
    <n v="125"/>
    <n v="175"/>
    <n v="4"/>
    <n v="4.3"/>
    <n v="110"/>
    <n v="162"/>
    <n v="39"/>
    <n v="43"/>
    <n v="4.5999999999999996"/>
    <n v="4.5"/>
    <n v="125.17286966375688"/>
    <n v="130.32381263076621"/>
    <n v="53"/>
    <n v="41"/>
    <n v="0.8"/>
    <n v="0.7"/>
    <n v="0"/>
    <n v="3.4"/>
    <n v="4.8"/>
    <n v="7.1"/>
    <n v="7.6"/>
    <n v="47"/>
    <n v="21"/>
    <n v="10.199999999999999"/>
    <n v="10.1"/>
    <n v="4.5"/>
    <n v="4.7"/>
    <n v="115"/>
    <n v="87"/>
    <n v="137"/>
    <n v="137"/>
    <n v="2.1"/>
    <n v="2.2999999999999998"/>
    <n v="101"/>
    <n v="94"/>
    <n v="293.37055555555554"/>
    <n v="289.95366666666666"/>
    <n v="4.38"/>
    <n v="4.33"/>
    <n v="12.9"/>
    <n v="12.9"/>
    <n v="40.299999999999997"/>
    <n v="40.4"/>
    <n v="92"/>
    <n v="93.3"/>
    <n v="29.5"/>
    <n v="29.8"/>
    <n v="32"/>
    <n v="31.9"/>
    <n v="381"/>
    <n v="400"/>
    <n v="13.4"/>
    <n v="13.6"/>
    <n v="8.0600000000000005E-2"/>
    <n v="9.5699999999999993E-2"/>
    <n v="5.57"/>
    <n v="10.74"/>
    <n v="71.8"/>
    <n v="81.5"/>
    <n v="17.399999999999999"/>
    <n v="9.1"/>
    <n v="9.6999999999999993"/>
    <n v="8.6999999999999993"/>
    <n v="0.9"/>
    <n v="0.1"/>
    <n v="0.2"/>
    <n v="0.6"/>
    <x v="0"/>
    <x v="1"/>
    <n v="73.936000000000007"/>
    <n v="80"/>
    <n v="177.5"/>
    <n v="0"/>
    <n v="42"/>
    <n v="42"/>
    <n v="7.58"/>
  </r>
  <r>
    <x v="3"/>
    <x v="1"/>
    <x v="70"/>
    <n v="25"/>
    <n v="85.3"/>
    <x v="0"/>
    <s v="XX"/>
    <s v="MM"/>
    <s v="ID"/>
    <s v="(+9,-9)"/>
    <n v="25"/>
    <n v="75"/>
    <n v="321"/>
    <n v="4259"/>
    <n v="27"/>
    <n v="121"/>
    <n v="2"/>
    <n v="2.7"/>
    <n v="364"/>
    <n v="891"/>
    <n v="61"/>
    <n v="191"/>
    <n v="4.2"/>
    <n v="4.4000000000000004"/>
    <n v="79"/>
    <n v="149"/>
    <n v="86"/>
    <n v="84"/>
    <n v="3.7"/>
    <n v="6.2"/>
    <n v="130.32381263076621"/>
    <n v="125.17286966375688"/>
    <n v="78"/>
    <n v="50"/>
    <n v="0.7"/>
    <n v="0.8"/>
    <n v="0.10000000000000009"/>
    <n v="3.9"/>
    <n v="4.5999999999999996"/>
    <n v="6.9"/>
    <n v="7.3"/>
    <n v="60"/>
    <n v="43"/>
    <n v="10.1"/>
    <n v="10.1"/>
    <n v="4.5"/>
    <n v="4.2"/>
    <n v="113"/>
    <n v="79"/>
    <n v="139"/>
    <n v="132"/>
    <n v="2.1"/>
    <n v="2.2999999999999998"/>
    <n v="102"/>
    <n v="96"/>
    <n v="301.12944444444446"/>
    <n v="280.71255555555553"/>
    <n v="4.42"/>
    <n v="4.12"/>
    <n v="13.6"/>
    <n v="12.6"/>
    <n v="43.4"/>
    <n v="40.200000000000003"/>
    <n v="98.2"/>
    <n v="97.6"/>
    <n v="30.8"/>
    <n v="30.6"/>
    <n v="31.3"/>
    <n v="31.3"/>
    <n v="194"/>
    <n v="177"/>
    <n v="13.5"/>
    <n v="13.6"/>
    <n v="0.1109"/>
    <n v="8.0299999999999996E-2"/>
    <n v="12.9"/>
    <n v="14.56"/>
    <n v="75.7"/>
    <n v="74.2"/>
    <n v="14.4"/>
    <n v="12.4"/>
    <n v="9.1999999999999993"/>
    <n v="13.1"/>
    <n v="0.4"/>
    <n v="0"/>
    <n v="0.3"/>
    <n v="0.3"/>
    <x v="0"/>
    <x v="1"/>
    <n v="81.37906000000001"/>
    <n v="88.9"/>
    <n v="184.5"/>
    <n v="49.69"/>
    <n v="54"/>
    <n v="50"/>
    <n v="8.4600000000000009"/>
  </r>
  <r>
    <x v="3"/>
    <x v="1"/>
    <x v="71"/>
    <n v="32"/>
    <n v="71.400000000000006"/>
    <x v="0"/>
    <s v="RR"/>
    <s v="-"/>
    <s v="ID"/>
    <s v="(+9,-9)"/>
    <s v="-"/>
    <s v="-"/>
    <n v="196"/>
    <n v="3156"/>
    <n v="27"/>
    <n v="114"/>
    <n v="2.5"/>
    <n v="2.9"/>
    <n v="327"/>
    <n v="586"/>
    <n v="62"/>
    <n v="126"/>
    <n v="3.9"/>
    <n v="4.7"/>
    <n v="80"/>
    <n v="76"/>
    <n v="32"/>
    <n v="37"/>
    <n v="5.0999999999999996"/>
    <n v="7.4"/>
    <n v="125.17286966375688"/>
    <n v="106.45183652429932"/>
    <n v="46"/>
    <n v="57"/>
    <n v="0.8"/>
    <n v="1"/>
    <n v="0.19999999999999996"/>
    <n v="3.1"/>
    <n v="5.7"/>
    <n v="6.3"/>
    <n v="7.3"/>
    <n v="60"/>
    <n v="52"/>
    <n v="10"/>
    <n v="10.3"/>
    <n v="4.3"/>
    <n v="5.2"/>
    <n v="112"/>
    <n v="93"/>
    <n v="136"/>
    <n v="134"/>
    <n v="1.9"/>
    <n v="2.2000000000000002"/>
    <n v="105"/>
    <n v="95"/>
    <n v="289.78022222222228"/>
    <n v="288.35366666666664"/>
    <n v="4.2300000000000004"/>
    <n v="4.59"/>
    <n v="12.6"/>
    <n v="13.8"/>
    <n v="38.6"/>
    <n v="41.7"/>
    <n v="91.3"/>
    <n v="90.8"/>
    <n v="29.8"/>
    <n v="30.1"/>
    <n v="32.6"/>
    <n v="33.1"/>
    <n v="370"/>
    <n v="360"/>
    <n v="13.2"/>
    <n v="13.5"/>
    <n v="7.6100000000000001E-2"/>
    <n v="8.2600000000000007E-2"/>
    <n v="9.2799999999999994"/>
    <n v="15.92"/>
    <n v="70.900000000000006"/>
    <n v="77.7"/>
    <n v="19.899999999999999"/>
    <n v="10.8"/>
    <n v="6.6"/>
    <n v="10.8"/>
    <n v="1.3"/>
    <n v="0.2"/>
    <n v="1.3"/>
    <n v="0.5"/>
    <x v="0"/>
    <x v="1"/>
    <n v="70.381349999999998"/>
    <n v="79.5"/>
    <n v="176.5"/>
    <n v="52.51"/>
    <n v="48"/>
    <n v="52"/>
    <n v="11.47"/>
  </r>
  <r>
    <x v="3"/>
    <x v="1"/>
    <x v="72"/>
    <n v="32"/>
    <n v="0"/>
    <x v="0"/>
    <s v="RR"/>
    <s v="MT"/>
    <s v="ID"/>
    <s v="(-9,-9)"/>
    <n v="37.5"/>
    <n v="62.5"/>
    <n v="692"/>
    <s v="-"/>
    <n v="41"/>
    <s v="-"/>
    <n v="2.9"/>
    <s v="-"/>
    <n v="552"/>
    <s v="-"/>
    <n v="77"/>
    <s v="-"/>
    <n v="3.9"/>
    <s v="-"/>
    <n v="93"/>
    <s v="-"/>
    <n v="45"/>
    <s v="-"/>
    <n v="4.5"/>
    <s v="-"/>
    <n v="106.45183652429932"/>
    <s v="Dados Insuficientes"/>
    <n v="45"/>
    <s v="-"/>
    <n v="1"/>
    <s v="-"/>
    <s v="Dados Insuficientes"/>
    <n v="4.0999999999999996"/>
    <s v="-"/>
    <n v="6.5"/>
    <s v="-"/>
    <n v="40"/>
    <s v="-"/>
    <n v="10.1"/>
    <s v="-"/>
    <n v="4.5"/>
    <s v="-"/>
    <n v="124"/>
    <s v="-"/>
    <n v="137"/>
    <s v="-"/>
    <n v="2"/>
    <s v="-"/>
    <n v="100"/>
    <s v="-"/>
    <n v="292.61222222222221"/>
    <s v="Dados Insuficientes"/>
    <n v="3.93"/>
    <s v="-"/>
    <n v="12.4"/>
    <s v="-"/>
    <n v="39.200000000000003"/>
    <s v="-"/>
    <n v="99.7"/>
    <s v="-"/>
    <n v="31.6"/>
    <s v="-"/>
    <n v="31.6"/>
    <s v="-"/>
    <n v="403"/>
    <s v="-"/>
    <n v="14.8"/>
    <s v="-"/>
    <n v="0.15409999999999999"/>
    <s v="-"/>
    <n v="14.85"/>
    <s v="-"/>
    <n v="87.3"/>
    <s v="-"/>
    <n v="7.1"/>
    <s v="-"/>
    <n v="5.4"/>
    <s v="-"/>
    <n v="0.1"/>
    <s v="-"/>
    <n v="0.1"/>
    <s v="-"/>
    <x v="2"/>
    <x v="1"/>
    <n v="71.386020000000002"/>
    <n v="77.400000000000006"/>
    <n v="175"/>
    <n v="53.39"/>
    <n v="48"/>
    <n v="44"/>
    <n v="7.77"/>
  </r>
  <r>
    <x v="3"/>
    <x v="1"/>
    <x v="73"/>
    <n v="31"/>
    <n v="76.400000000000006"/>
    <x v="0"/>
    <s v="RX"/>
    <s v="MM"/>
    <s v="II"/>
    <s v="(+9,+9)"/>
    <n v="25"/>
    <n v="75"/>
    <n v="349"/>
    <n v="1080"/>
    <n v="27"/>
    <n v="31"/>
    <n v="3.2"/>
    <n v="2.9"/>
    <n v="305"/>
    <n v="608"/>
    <n v="55"/>
    <n v="78"/>
    <n v="4"/>
    <n v="4.0999999999999996"/>
    <n v="57"/>
    <n v="71"/>
    <n v="53"/>
    <n v="101"/>
    <n v="5.3"/>
    <n v="7.1"/>
    <n v="125.17286966375688"/>
    <n v="125.17286966375688"/>
    <n v="40"/>
    <n v="49"/>
    <n v="0.8"/>
    <n v="0.8"/>
    <n v="0"/>
    <n v="3.2"/>
    <n v="5.4"/>
    <n v="6.8"/>
    <n v="7.1"/>
    <n v="54"/>
    <n v="46"/>
    <n v="9.6999999999999993"/>
    <n v="9.6999999999999993"/>
    <n v="4.5999999999999996"/>
    <n v="4.8"/>
    <n v="95"/>
    <n v="86"/>
    <n v="137"/>
    <n v="136"/>
    <n v="2"/>
    <n v="2.2999999999999998"/>
    <n v="99"/>
    <n v="97"/>
    <n v="290.11211111111112"/>
    <n v="289.54911111111119"/>
    <n v="4.3899999999999997"/>
    <n v="4.1500000000000004"/>
    <n v="12.5"/>
    <n v="11.9"/>
    <n v="39.299999999999997"/>
    <n v="37.299999999999997"/>
    <n v="89.5"/>
    <n v="89.9"/>
    <n v="28.5"/>
    <n v="28.7"/>
    <n v="31.8"/>
    <n v="31.9"/>
    <n v="317"/>
    <n v="328"/>
    <n v="13"/>
    <n v="13.6"/>
    <n v="9.2200000000000004E-2"/>
    <n v="0.1038"/>
    <n v="8.84"/>
    <n v="12.35"/>
    <n v="81.7"/>
    <n v="77.900000000000006"/>
    <n v="10.6"/>
    <n v="13.6"/>
    <n v="6.8"/>
    <n v="8.3000000000000007"/>
    <n v="0.6"/>
    <n v="0"/>
    <n v="0.3"/>
    <n v="0.2"/>
    <x v="0"/>
    <x v="1"/>
    <n v="70.427400000000006"/>
    <n v="80.25"/>
    <n v="178"/>
    <n v="51.39"/>
    <n v="48"/>
    <n v="47"/>
    <n v="12.24"/>
  </r>
  <r>
    <x v="3"/>
    <x v="1"/>
    <x v="74"/>
    <n v="33"/>
    <n v="71"/>
    <x v="0"/>
    <s v="XX"/>
    <s v="MM"/>
    <s v="ID"/>
    <s v="(+9,-9)"/>
    <n v="25"/>
    <n v="75"/>
    <n v="721"/>
    <n v="971"/>
    <n v="46"/>
    <n v="54"/>
    <n v="2.5"/>
    <n v="2.1"/>
    <n v="396"/>
    <n v="521"/>
    <n v="99"/>
    <n v="96"/>
    <n v="3.7"/>
    <n v="4.2"/>
    <n v="73"/>
    <n v="78"/>
    <n v="41"/>
    <n v="65"/>
    <n v="3.6"/>
    <n v="4"/>
    <n v="120.79866842153496"/>
    <n v="120.79866842153496"/>
    <n v="47"/>
    <n v="48"/>
    <n v="0.9"/>
    <n v="0.9"/>
    <n v="0"/>
    <n v="2.7"/>
    <n v="4.5"/>
    <n v="6.5"/>
    <n v="7.4"/>
    <n v="46"/>
    <n v="60"/>
    <n v="9.3000000000000007"/>
    <n v="9.6999999999999993"/>
    <n v="3.8"/>
    <n v="4.2"/>
    <n v="98"/>
    <n v="84"/>
    <n v="140"/>
    <n v="135"/>
    <n v="2.1"/>
    <n v="2.2000000000000002"/>
    <n v="102"/>
    <n v="96"/>
    <n v="295.56244444444445"/>
    <n v="286.27866666666665"/>
    <n v="4.2300000000000004"/>
    <n v="4.29"/>
    <n v="12.3"/>
    <n v="12.4"/>
    <n v="38.799999999999997"/>
    <n v="39.6"/>
    <n v="91.7"/>
    <n v="92.3"/>
    <n v="29.1"/>
    <n v="28.9"/>
    <n v="31.7"/>
    <n v="31.3"/>
    <n v="312"/>
    <n v="341"/>
    <n v="13.9"/>
    <n v="14.5"/>
    <n v="7.5300000000000006E-2"/>
    <n v="0.1021"/>
    <n v="9"/>
    <n v="8.82"/>
    <n v="84"/>
    <n v="77.7"/>
    <n v="8.1"/>
    <n v="11.3"/>
    <n v="6.7"/>
    <n v="10.7"/>
    <n v="0.9"/>
    <n v="0.1"/>
    <n v="0.3"/>
    <n v="0.2"/>
    <x v="0"/>
    <x v="0"/>
    <n v="66.237339999999989"/>
    <n v="74.599999999999994"/>
    <n v="178.5"/>
    <n v="50"/>
    <n v="62"/>
    <n v="58"/>
    <n v="11.21"/>
  </r>
  <r>
    <x v="3"/>
    <x v="1"/>
    <x v="75"/>
    <n v="31"/>
    <n v="69.3"/>
    <x v="0"/>
    <s v="RR"/>
    <s v="MM"/>
    <s v="ID"/>
    <s v="(+9,-9)"/>
    <n v="50"/>
    <n v="50"/>
    <n v="535"/>
    <n v="2513"/>
    <n v="36"/>
    <n v="70"/>
    <n v="3"/>
    <n v="2.4"/>
    <n v="422"/>
    <n v="740"/>
    <n v="80"/>
    <n v="116"/>
    <n v="3.6"/>
    <n v="3.9"/>
    <n v="75"/>
    <n v="83"/>
    <n v="32"/>
    <n v="40"/>
    <n v="4.5"/>
    <n v="5.7"/>
    <n v="130.32381263076621"/>
    <n v="130.32381263076621"/>
    <n v="39"/>
    <n v="46"/>
    <n v="0.7"/>
    <n v="0.7"/>
    <n v="0"/>
    <n v="2.4"/>
    <n v="4.4000000000000004"/>
    <n v="6.3"/>
    <n v="6.9"/>
    <n v="28"/>
    <n v="87"/>
    <n v="9.5"/>
    <n v="9.6"/>
    <n v="3.7"/>
    <n v="4.2"/>
    <n v="119"/>
    <n v="123"/>
    <n v="139"/>
    <n v="136"/>
    <n v="2.1"/>
    <n v="2.2999999999999998"/>
    <n v="102"/>
    <n v="96"/>
    <n v="293.52477777777773"/>
    <n v="290.29700000000003"/>
    <n v="4.51"/>
    <n v="4.25"/>
    <n v="13.7"/>
    <n v="12.8"/>
    <n v="43"/>
    <n v="41"/>
    <n v="95.3"/>
    <n v="96.5"/>
    <n v="30.4"/>
    <n v="30.1"/>
    <n v="31.9"/>
    <n v="31.2"/>
    <n v="270"/>
    <n v="316"/>
    <n v="12.2"/>
    <n v="12.7"/>
    <n v="8.6099999999999996E-2"/>
    <n v="8.2900000000000001E-2"/>
    <n v="12.03"/>
    <n v="11.36"/>
    <n v="84.6"/>
    <n v="78"/>
    <n v="8.8000000000000007"/>
    <n v="12.4"/>
    <n v="5.7"/>
    <n v="9.1"/>
    <n v="0.7"/>
    <n v="0.3"/>
    <n v="0.2"/>
    <n v="0.2"/>
    <x v="0"/>
    <x v="1"/>
    <n v="65.387150000000005"/>
    <n v="70.75"/>
    <n v="181.5"/>
    <n v="54.55"/>
    <n v="50"/>
    <n v="42"/>
    <n v="7.58"/>
  </r>
  <r>
    <x v="3"/>
    <x v="1"/>
    <x v="78"/>
    <n v="28"/>
    <n v="59"/>
    <x v="0"/>
    <s v="RR"/>
    <s v="MT"/>
    <s v="ID"/>
    <s v="(-9,-9)"/>
    <n v="50"/>
    <n v="50"/>
    <n v="1345"/>
    <n v="2397"/>
    <n v="61"/>
    <n v="68"/>
    <n v="2.5"/>
    <n v="2.4"/>
    <n v="463"/>
    <n v="757"/>
    <n v="129"/>
    <n v="127"/>
    <n v="4.0999999999999996"/>
    <n v="4.5"/>
    <n v="87"/>
    <n v="76"/>
    <n v="23"/>
    <n v="25"/>
    <n v="3.7"/>
    <n v="5.9"/>
    <n v="125.17286966375688"/>
    <n v="120.79866842153496"/>
    <n v="53"/>
    <n v="65"/>
    <n v="0.8"/>
    <n v="0.9"/>
    <n v="9.9999999999999978E-2"/>
    <n v="2.9"/>
    <n v="5.0999999999999996"/>
    <n v="6.4"/>
    <n v="7.4"/>
    <n v="55"/>
    <n v="62"/>
    <n v="9.6999999999999993"/>
    <n v="10.1"/>
    <n v="3.8"/>
    <n v="4.7"/>
    <n v="78"/>
    <n v="101"/>
    <n v="137"/>
    <n v="136"/>
    <n v="2"/>
    <n v="2.2000000000000002"/>
    <n v="100"/>
    <n v="96"/>
    <n v="289.7046666666667"/>
    <n v="292.9881111111111"/>
    <n v="4.3899999999999997"/>
    <n v="4.0599999999999996"/>
    <n v="12.7"/>
    <n v="11.9"/>
    <n v="39.4"/>
    <n v="36.6"/>
    <n v="89.7"/>
    <n v="90.1"/>
    <n v="28.9"/>
    <n v="29.3"/>
    <n v="32.200000000000003"/>
    <n v="32.5"/>
    <n v="338"/>
    <n v="362"/>
    <n v="13.8"/>
    <n v="14.2"/>
    <n v="6.9400000000000003E-2"/>
    <n v="6.0100000000000001E-2"/>
    <n v="6.21"/>
    <n v="10.210000000000001"/>
    <n v="76.900000000000006"/>
    <n v="87.5"/>
    <n v="14.2"/>
    <n v="5.4"/>
    <n v="8.1999999999999993"/>
    <n v="7"/>
    <n v="0.5"/>
    <n v="0"/>
    <n v="0.2"/>
    <n v="0.1"/>
    <x v="0"/>
    <x v="1"/>
    <n v="63.753039999999999"/>
    <n v="76.7"/>
    <n v="165"/>
    <n v="49.68"/>
    <n v="52"/>
    <n v="52"/>
    <n v="16.88"/>
  </r>
  <r>
    <x v="3"/>
    <x v="1"/>
    <x v="80"/>
    <n v="27"/>
    <n v="79.7"/>
    <x v="0"/>
    <s v="XX"/>
    <s v="TT"/>
    <s v="DD"/>
    <s v="(+9,-9)"/>
    <n v="62.5"/>
    <n v="37.5"/>
    <n v="349"/>
    <n v="4804"/>
    <n v="52"/>
    <n v="134"/>
    <n v="2.7"/>
    <n v="2.5"/>
    <n v="395"/>
    <n v="1025"/>
    <n v="90"/>
    <n v="238"/>
    <n v="3.7"/>
    <n v="4.0999999999999996"/>
    <n v="96"/>
    <n v="152"/>
    <n v="24"/>
    <n v="28"/>
    <n v="6"/>
    <n v="8.1999999999999993"/>
    <n v="120.79866842153496"/>
    <n v="106.45183652429932"/>
    <n v="46"/>
    <n v="53"/>
    <n v="0.9"/>
    <n v="1"/>
    <n v="9.9999999999999978E-2"/>
    <n v="3"/>
    <n v="6.1"/>
    <n v="6.8"/>
    <n v="7.8"/>
    <n v="53"/>
    <n v="69"/>
    <n v="9.5"/>
    <n v="9.6999999999999993"/>
    <n v="4.0999999999999996"/>
    <n v="5.0999999999999996"/>
    <n v="125"/>
    <n v="95"/>
    <n v="139"/>
    <n v="138"/>
    <n v="2"/>
    <n v="2.2999999999999998"/>
    <n v="100"/>
    <n v="96"/>
    <n v="295.81877777777777"/>
    <n v="295.06877777777777"/>
    <n v="4.7300000000000004"/>
    <n v="4.42"/>
    <n v="13.7"/>
    <n v="12.7"/>
    <n v="41.2"/>
    <n v="38.6"/>
    <n v="87.1"/>
    <n v="87.3"/>
    <n v="29"/>
    <n v="28.7"/>
    <n v="33.299999999999997"/>
    <n v="32.9"/>
    <n v="315"/>
    <n v="259"/>
    <n v="13.7"/>
    <n v="13.8"/>
    <n v="9.4600000000000004E-2"/>
    <n v="8.0399999999999999E-2"/>
    <n v="7.14"/>
    <n v="8.3800000000000008"/>
    <n v="76.8"/>
    <n v="79"/>
    <n v="15"/>
    <n v="13.6"/>
    <n v="5.9"/>
    <n v="7.2"/>
    <n v="1.7"/>
    <n v="0"/>
    <n v="0.6"/>
    <n v="0.2"/>
    <x v="0"/>
    <x v="1"/>
    <n v="76.552520000000001"/>
    <n v="83.6"/>
    <n v="175"/>
    <n v="50.56"/>
    <n v="54"/>
    <n v="42"/>
    <n v="8.43"/>
  </r>
  <r>
    <x v="3"/>
    <x v="2"/>
    <x v="68"/>
    <n v="27"/>
    <n v="83"/>
    <x v="0"/>
    <s v="RR"/>
    <s v="MM"/>
    <s v="DD"/>
    <s v="(-9,-9)"/>
    <n v="50"/>
    <n v="50"/>
    <n v="859"/>
    <n v="3637"/>
    <n v="46"/>
    <n v="128"/>
    <n v="1.7"/>
    <n v="1.3"/>
    <n v="292"/>
    <n v="393"/>
    <n v="52"/>
    <n v="154"/>
    <n v="4"/>
    <n v="3.9"/>
    <n v="33"/>
    <n v="106"/>
    <n v="18"/>
    <n v="16"/>
    <n v="6.3"/>
    <n v="5.7"/>
    <n v="120.79866842153496"/>
    <n v="120.79866842153496"/>
    <n v="33"/>
    <n v="38"/>
    <n v="0.9"/>
    <n v="0.9"/>
    <n v="0"/>
    <n v="4.4000000000000004"/>
    <n v="4.9000000000000004"/>
    <n v="6.7"/>
    <n v="6.5"/>
    <n v="40"/>
    <n v="66"/>
    <n v="9.1"/>
    <n v="9.1999999999999993"/>
    <n v="4.7"/>
    <n v="4.4000000000000004"/>
    <n v="82"/>
    <n v="90"/>
    <n v="133"/>
    <n v="134"/>
    <n v="2.1"/>
    <n v="1.9"/>
    <n v="106"/>
    <n v="104"/>
    <n v="280.86088888888889"/>
    <n v="283.50733333333335"/>
    <n v="4.68"/>
    <n v="4.57"/>
    <n v="13.8"/>
    <n v="13.6"/>
    <n v="42.2"/>
    <n v="42.1"/>
    <n v="90.2"/>
    <n v="92.1"/>
    <n v="29.5"/>
    <n v="29.8"/>
    <n v="32.700000000000003"/>
    <n v="32.299999999999997"/>
    <n v="390"/>
    <n v="383"/>
    <n v="12.3"/>
    <n v="12.2"/>
    <n v="33.5"/>
    <n v="33.6"/>
    <n v="7.2"/>
    <n v="6.42"/>
    <n v="58.7"/>
    <n v="42.8"/>
    <n v="28.055555555555554"/>
    <n v="46.1"/>
    <n v="10.694444444444445"/>
    <n v="7.3"/>
    <n v="2.3611111111111112"/>
    <n v="3.3"/>
    <n v="0.1388888888888889"/>
    <n v="0.5"/>
    <x v="0"/>
    <x v="1"/>
    <n v="76.297020000000003"/>
    <n v="85.65"/>
    <n v="177"/>
    <n v="51.46"/>
    <n v="48"/>
    <n v="52"/>
    <n v="10.92"/>
  </r>
  <r>
    <x v="3"/>
    <x v="2"/>
    <x v="69"/>
    <n v="25"/>
    <n v="79.900000000000006"/>
    <x v="0"/>
    <s v="XX"/>
    <s v="TT"/>
    <s v="ID"/>
    <s v="(-9,-9)"/>
    <n v="37.5"/>
    <n v="62.5"/>
    <n v="1016"/>
    <n v="338"/>
    <n v="49"/>
    <n v="17"/>
    <n v="1.4"/>
    <n v="1.3"/>
    <n v="396"/>
    <n v="298"/>
    <n v="63"/>
    <n v="37"/>
    <n v="4.4000000000000004"/>
    <n v="4.2"/>
    <n v="37"/>
    <n v="39"/>
    <n v="32"/>
    <n v="23"/>
    <n v="5.3"/>
    <n v="4"/>
    <n v="120.79866842153496"/>
    <n v="125.17286966375688"/>
    <n v="42"/>
    <n v="46"/>
    <n v="0.9"/>
    <n v="0.8"/>
    <n v="0"/>
    <n v="4.3"/>
    <n v="4.3"/>
    <n v="7"/>
    <n v="6.7"/>
    <n v="40"/>
    <n v="68"/>
    <n v="9.5"/>
    <n v="9.1999999999999993"/>
    <n v="4.5"/>
    <n v="4.3"/>
    <n v="99"/>
    <n v="100"/>
    <n v="135"/>
    <n v="135"/>
    <n v="2"/>
    <n v="1.9"/>
    <n v="106"/>
    <n v="100"/>
    <n v="286.79500000000002"/>
    <n v="287.15355555555561"/>
    <n v="4.3600000000000003"/>
    <n v="4.2300000000000004"/>
    <n v="12.7"/>
    <n v="12.3"/>
    <n v="39.700000000000003"/>
    <n v="40"/>
    <n v="91.1"/>
    <n v="94.6"/>
    <n v="29.1"/>
    <n v="29.1"/>
    <n v="32"/>
    <n v="30.8"/>
    <n v="295"/>
    <n v="282"/>
    <n v="12.8"/>
    <n v="12.8"/>
    <n v="33.4"/>
    <n v="33.4"/>
    <n v="6.44"/>
    <n v="4.8600000000000003"/>
    <n v="55.900621118012417"/>
    <n v="37.799999999999997"/>
    <n v="27.329192546583851"/>
    <n v="45.9"/>
    <n v="15.838509316770185"/>
    <n v="13"/>
    <n v="0.77639751552795022"/>
    <n v="3.1"/>
    <n v="0.15527950310559005"/>
    <n v="0.2"/>
    <x v="0"/>
    <x v="1"/>
    <n v="73.936000000000007"/>
    <n v="80"/>
    <n v="177.5"/>
    <n v="0"/>
    <n v="42"/>
    <n v="42"/>
    <n v="7.58"/>
  </r>
  <r>
    <x v="3"/>
    <x v="2"/>
    <x v="70"/>
    <n v="26"/>
    <n v="86"/>
    <x v="0"/>
    <s v="XX"/>
    <s v="MM"/>
    <s v="ID"/>
    <s v="(+9,-9)"/>
    <n v="25"/>
    <n v="75"/>
    <n v="594"/>
    <n v="849"/>
    <n v="36"/>
    <n v="46"/>
    <n v="1.5"/>
    <n v="1.3"/>
    <n v="296"/>
    <n v="463"/>
    <n v="52"/>
    <n v="63"/>
    <n v="4.5"/>
    <n v="4"/>
    <n v="30"/>
    <n v="40"/>
    <n v="26"/>
    <n v="29"/>
    <n v="5.4"/>
    <n v="3.6"/>
    <n v="125.17286966375688"/>
    <n v="130.32381263076621"/>
    <n v="30"/>
    <n v="39"/>
    <n v="0.8"/>
    <n v="0.7"/>
    <n v="0"/>
    <n v="4.4000000000000004"/>
    <n v="4"/>
    <n v="7"/>
    <n v="6.4"/>
    <n v="55"/>
    <n v="69"/>
    <n v="9.3000000000000007"/>
    <n v="8.9"/>
    <n v="4.3"/>
    <n v="4.3"/>
    <n v="95"/>
    <n v="95"/>
    <n v="138"/>
    <n v="136"/>
    <n v="2.2999999999999998"/>
    <n v="1.9"/>
    <n v="112"/>
    <n v="101"/>
    <n v="289.74744444444451"/>
    <n v="287.52744444444448"/>
    <n v="4.1399999999999997"/>
    <n v="3.89"/>
    <n v="12.6"/>
    <n v="12.1"/>
    <n v="39.5"/>
    <n v="38.6"/>
    <n v="95.4"/>
    <n v="99.2"/>
    <n v="30.4"/>
    <n v="31.1"/>
    <n v="31.9"/>
    <n v="31.3"/>
    <n v="128"/>
    <n v="110"/>
    <n v="12.7"/>
    <n v="12.8"/>
    <n v="35.6"/>
    <n v="35.299999999999997"/>
    <n v="7.59"/>
    <n v="5.46"/>
    <n v="60.342555994729906"/>
    <n v="44.8"/>
    <n v="24.901185770750988"/>
    <n v="43.8"/>
    <n v="13.570487483530963"/>
    <n v="9.6999999999999993"/>
    <n v="0.79051383399209485"/>
    <n v="1.3"/>
    <n v="0.39525691699604742"/>
    <n v="0.4"/>
    <x v="0"/>
    <x v="0"/>
    <n v="81.37906000000001"/>
    <n v="88.9"/>
    <n v="184.5"/>
    <n v="49.69"/>
    <n v="54"/>
    <n v="50"/>
    <n v="8.4600000000000009"/>
  </r>
  <r>
    <x v="3"/>
    <x v="2"/>
    <x v="71"/>
    <n v="32"/>
    <n v="74.900000000000006"/>
    <x v="0"/>
    <s v="RR"/>
    <s v="-"/>
    <s v="ID"/>
    <s v="(+9,-9)"/>
    <s v="-"/>
    <s v="-"/>
    <n v="1146"/>
    <n v="1058"/>
    <n v="63"/>
    <n v="56"/>
    <n v="1.4"/>
    <n v="1.3"/>
    <n v="599"/>
    <n v="635"/>
    <n v="77"/>
    <n v="70"/>
    <n v="4.8"/>
    <n v="4.0999999999999996"/>
    <n v="42"/>
    <n v="55"/>
    <n v="46"/>
    <n v="32"/>
    <n v="6.8"/>
    <n v="5"/>
    <n v="106.45183652429932"/>
    <n v="125.17286966375688"/>
    <n v="43"/>
    <n v="48"/>
    <n v="1"/>
    <n v="0.8"/>
    <n v="0"/>
    <n v="4.8"/>
    <n v="3.8"/>
    <n v="7.4"/>
    <n v="6.1"/>
    <n v="44"/>
    <n v="56"/>
    <n v="10"/>
    <n v="9"/>
    <n v="4.7"/>
    <n v="4.3"/>
    <n v="107"/>
    <n v="96"/>
    <n v="144"/>
    <n v="135"/>
    <n v="2.2999999999999998"/>
    <n v="1.9"/>
    <n v="116"/>
    <n v="104"/>
    <n v="304.58477777777779"/>
    <n v="287.23133333333334"/>
    <n v="4.1500000000000004"/>
    <n v="3.93"/>
    <n v="12"/>
    <n v="11.5"/>
    <n v="36.9"/>
    <n v="36.5"/>
    <n v="88.9"/>
    <n v="92.9"/>
    <n v="28.9"/>
    <n v="29.3"/>
    <n v="32.5"/>
    <n v="31.5"/>
    <n v="250"/>
    <n v="198"/>
    <n v="13.1"/>
    <n v="13.5"/>
    <n v="33.5"/>
    <n v="34.1"/>
    <n v="8.9600000000000009"/>
    <n v="6.11"/>
    <n v="52.34375"/>
    <n v="43.4"/>
    <n v="30.803571428571427"/>
    <n v="42.2"/>
    <n v="13.281249999999998"/>
    <n v="8.6999999999999993"/>
    <n v="2.6785714285714284"/>
    <n v="4.7"/>
    <n v="0.89285714285714279"/>
    <n v="1"/>
    <x v="0"/>
    <x v="1"/>
    <n v="70.381349999999998"/>
    <n v="79.5"/>
    <n v="176.5"/>
    <n v="52.51"/>
    <n v="48"/>
    <n v="52"/>
    <n v="11.47"/>
  </r>
  <r>
    <x v="3"/>
    <x v="2"/>
    <x v="73"/>
    <n v="32"/>
    <n v="81"/>
    <x v="0"/>
    <s v="RX"/>
    <s v="MM"/>
    <s v="II"/>
    <s v="(+9,+9)"/>
    <n v="25"/>
    <n v="75"/>
    <n v="376"/>
    <n v="1953"/>
    <n v="24"/>
    <n v="71"/>
    <n v="1.5"/>
    <n v="1.7"/>
    <n v="352"/>
    <n v="811"/>
    <n v="43"/>
    <n v="97"/>
    <n v="4.5999999999999996"/>
    <n v="3.7"/>
    <n v="25"/>
    <n v="50"/>
    <n v="30"/>
    <n v="23"/>
    <n v="6.1"/>
    <n v="4.5"/>
    <n v="120.79866842153496"/>
    <n v="130.32381263076621"/>
    <n v="40"/>
    <n v="36"/>
    <n v="0.9"/>
    <n v="0.7"/>
    <n v="0"/>
    <n v="4.5999999999999996"/>
    <n v="4.3"/>
    <n v="7.2"/>
    <n v="5.9"/>
    <n v="46"/>
    <n v="43"/>
    <n v="9.6"/>
    <n v="8.4"/>
    <n v="4.5999999999999996"/>
    <n v="4.2"/>
    <n v="108"/>
    <n v="101"/>
    <n v="140"/>
    <n v="135"/>
    <n v="2.1"/>
    <n v="1.6"/>
    <n v="112"/>
    <n v="103"/>
    <n v="296.52266666666668"/>
    <n v="285.36477777777776"/>
    <n v="4.45"/>
    <n v="3.77"/>
    <n v="12.6"/>
    <n v="10.6"/>
    <n v="38.700000000000003"/>
    <n v="34.299999999999997"/>
    <n v="87"/>
    <n v="91"/>
    <n v="28.3"/>
    <n v="28.1"/>
    <n v="32.6"/>
    <n v="30.9"/>
    <n v="252"/>
    <n v="209"/>
    <n v="12.4"/>
    <n v="12.6"/>
    <n v="32.9"/>
    <n v="32.299999999999997"/>
    <n v="9.51"/>
    <n v="5.92"/>
    <n v="65.099999999999994"/>
    <n v="52.6"/>
    <n v="25"/>
    <n v="33.1"/>
    <n v="9.1"/>
    <n v="11.5"/>
    <n v="0.6"/>
    <n v="2.5"/>
    <n v="0.2"/>
    <n v="0.3"/>
    <x v="0"/>
    <x v="1"/>
    <n v="70.427400000000006"/>
    <n v="80.25"/>
    <n v="178"/>
    <n v="51.39"/>
    <n v="48"/>
    <n v="47"/>
    <n v="12.24"/>
  </r>
  <r>
    <x v="3"/>
    <x v="2"/>
    <x v="74"/>
    <n v="33"/>
    <n v="75.099999999999994"/>
    <x v="0"/>
    <s v="XX"/>
    <s v="MM"/>
    <s v="ID"/>
    <s v="(+9,-9)"/>
    <n v="25"/>
    <n v="75"/>
    <n v="1023"/>
    <n v="585"/>
    <n v="67"/>
    <n v="38"/>
    <n v="2"/>
    <n v="1.2"/>
    <n v="695"/>
    <n v="683"/>
    <n v="89"/>
    <n v="65"/>
    <n v="5.5"/>
    <n v="4.2"/>
    <n v="50"/>
    <n v="52"/>
    <n v="25"/>
    <n v="21"/>
    <n v="5.3"/>
    <n v="3.4"/>
    <n v="85.533385678368745"/>
    <n v="120.79866842153496"/>
    <n v="56"/>
    <n v="46"/>
    <n v="1.2"/>
    <n v="0.9"/>
    <n v="0"/>
    <n v="5"/>
    <n v="3.7"/>
    <n v="8.9"/>
    <n v="6.8"/>
    <n v="79"/>
    <n v="85"/>
    <n v="11.1"/>
    <n v="8.9"/>
    <n v="5"/>
    <n v="4"/>
    <n v="112"/>
    <n v="98"/>
    <n v="159"/>
    <n v="134"/>
    <n v="2.5"/>
    <n v="1.9"/>
    <n v="132"/>
    <n v="102"/>
    <n v="335.5288888888889"/>
    <n v="284.60777777777781"/>
    <n v="4.3600000000000003"/>
    <n v="4.1500000000000004"/>
    <n v="12.5"/>
    <n v="11.8"/>
    <n v="38.6"/>
    <n v="38.700000000000003"/>
    <n v="88.5"/>
    <n v="93.3"/>
    <n v="28.7"/>
    <n v="28.4"/>
    <n v="32.4"/>
    <n v="30.5"/>
    <n v="250"/>
    <n v="289"/>
    <n v="13"/>
    <n v="13.5"/>
    <n v="33.299999999999997"/>
    <n v="34.200000000000003"/>
    <n v="6.79"/>
    <n v="6.56"/>
    <n v="55.37555228276878"/>
    <n v="55.6"/>
    <n v="27.39322533136966"/>
    <n v="32.299999999999997"/>
    <n v="13.991163475699558"/>
    <n v="8.1999999999999993"/>
    <n v="2.9455081001472756"/>
    <n v="3.4"/>
    <n v="0.29455081001472755"/>
    <n v="0.5"/>
    <x v="0"/>
    <x v="1"/>
    <n v="66.237339999999989"/>
    <n v="74.599999999999994"/>
    <n v="178.5"/>
    <n v="50"/>
    <n v="62"/>
    <n v="58"/>
    <n v="11.21"/>
  </r>
  <r>
    <x v="3"/>
    <x v="2"/>
    <x v="75"/>
    <n v="32"/>
    <n v="72.3"/>
    <x v="0"/>
    <s v="RR"/>
    <s v="MM"/>
    <s v="ID"/>
    <s v="(+9,-9)"/>
    <n v="50"/>
    <n v="50"/>
    <n v="1106"/>
    <n v="1216"/>
    <n v="58"/>
    <n v="63"/>
    <n v="1.4"/>
    <n v="1.7"/>
    <n v="501"/>
    <n v="548"/>
    <n v="68"/>
    <n v="70"/>
    <n v="4.4000000000000004"/>
    <n v="4.2"/>
    <n v="43"/>
    <n v="51"/>
    <n v="34"/>
    <n v="28"/>
    <n v="6"/>
    <n v="4.9000000000000004"/>
    <n v="120.79866842153496"/>
    <n v="130.32381263076621"/>
    <n v="42"/>
    <n v="40"/>
    <n v="0.9"/>
    <n v="0.7"/>
    <n v="0"/>
    <n v="3.7"/>
    <n v="3.6"/>
    <n v="6.9"/>
    <n v="6.6"/>
    <n v="65"/>
    <n v="75"/>
    <n v="9.4"/>
    <n v="9.1999999999999993"/>
    <n v="4.2"/>
    <n v="4.2"/>
    <n v="101"/>
    <n v="92"/>
    <n v="140"/>
    <n v="136"/>
    <n v="2.4"/>
    <n v="2.1"/>
    <n v="113"/>
    <n v="103"/>
    <n v="295.66477777777777"/>
    <n v="287.31644444444447"/>
    <n v="4.46"/>
    <n v="4.6900000000000004"/>
    <n v="13.6"/>
    <n v="14.4"/>
    <n v="42.7"/>
    <n v="46.4"/>
    <n v="95.7"/>
    <n v="99.1"/>
    <n v="30.5"/>
    <n v="30.7"/>
    <n v="31.9"/>
    <n v="31"/>
    <n v="202"/>
    <n v="202"/>
    <n v="12.1"/>
    <n v="12.5"/>
    <n v="35.700000000000003"/>
    <n v="34.9"/>
    <n v="8.17"/>
    <n v="5.7"/>
    <n v="72.215422276621794"/>
    <n v="50.5"/>
    <n v="17.625458996328028"/>
    <n v="35.1"/>
    <n v="7.466340269277846"/>
    <n v="8.4"/>
    <n v="2.4479804161566707"/>
    <n v="5.0999999999999996"/>
    <n v="0.24479804161566707"/>
    <n v="0.9"/>
    <x v="0"/>
    <x v="1"/>
    <n v="65.387150000000005"/>
    <n v="70.75"/>
    <n v="181.5"/>
    <n v="54.55"/>
    <n v="50"/>
    <n v="42"/>
    <n v="7.58"/>
  </r>
  <r>
    <x v="3"/>
    <x v="2"/>
    <x v="78"/>
    <n v="28"/>
    <n v="62"/>
    <x v="0"/>
    <s v="RR"/>
    <s v="MT"/>
    <s v="ID"/>
    <s v="(-9,-9)"/>
    <n v="50"/>
    <n v="50"/>
    <n v="465"/>
    <n v="660"/>
    <n v="36"/>
    <n v="38"/>
    <n v="2.1"/>
    <n v="1.5"/>
    <n v="412"/>
    <n v="375"/>
    <n v="52"/>
    <n v="60"/>
    <n v="5.5"/>
    <n v="4.5999999999999996"/>
    <n v="33"/>
    <n v="38"/>
    <n v="24"/>
    <n v="16"/>
    <n v="5.7"/>
    <n v="3.5"/>
    <n v="106.45183652429932"/>
    <n v="125.17286966375688"/>
    <n v="44"/>
    <n v="42"/>
    <n v="1"/>
    <n v="0.8"/>
    <n v="0"/>
    <n v="4.8"/>
    <n v="3.8"/>
    <n v="8.3000000000000007"/>
    <n v="6.9"/>
    <n v="65"/>
    <n v="58"/>
    <n v="10.4"/>
    <n v="9.1999999999999993"/>
    <n v="4.5"/>
    <n v="4"/>
    <n v="111"/>
    <n v="95"/>
    <n v="145"/>
    <n v="134"/>
    <n v="2.2999999999999998"/>
    <n v="2"/>
    <n v="115"/>
    <n v="100"/>
    <n v="306.49499999999995"/>
    <n v="283.74944444444446"/>
    <n v="4.6900000000000004"/>
    <n v="4.4400000000000004"/>
    <n v="13.5"/>
    <n v="12.7"/>
    <n v="41.3"/>
    <n v="41.2"/>
    <n v="88.1"/>
    <n v="92.8"/>
    <n v="28.8"/>
    <n v="28.6"/>
    <n v="32.700000000000003"/>
    <n v="30.8"/>
    <n v="304"/>
    <n v="279"/>
    <n v="12.7"/>
    <n v="12.5"/>
    <n v="34.200000000000003"/>
    <n v="32.5"/>
    <n v="6.74"/>
    <n v="5.52"/>
    <n v="62.166172106824931"/>
    <n v="61.1"/>
    <n v="28.63501483679525"/>
    <n v="28.1"/>
    <n v="8.4569732937685451"/>
    <n v="8.6999999999999993"/>
    <n v="0.59347181008902072"/>
    <n v="1.6"/>
    <n v="0.14836795252225518"/>
    <n v="0.5"/>
    <x v="0"/>
    <x v="0"/>
    <n v="56.283344999999997"/>
    <n v="62.35"/>
    <n v="169"/>
    <n v="52.58"/>
    <n v="44"/>
    <n v="38"/>
    <n v="9.73"/>
  </r>
  <r>
    <x v="3"/>
    <x v="2"/>
    <x v="80"/>
    <n v="28"/>
    <n v="89"/>
    <x v="0"/>
    <s v="XX"/>
    <s v="TT"/>
    <s v="DD"/>
    <s v="(+9,-9)"/>
    <n v="62.5"/>
    <n v="37.5"/>
    <n v="1308"/>
    <n v="1224"/>
    <n v="84"/>
    <n v="66"/>
    <n v="1.5"/>
    <n v="1.5"/>
    <n v="696"/>
    <n v="507"/>
    <n v="142"/>
    <n v="98"/>
    <n v="4.5"/>
    <n v="3.8"/>
    <n v="76"/>
    <n v="75"/>
    <n v="20"/>
    <n v="16"/>
    <n v="6.9"/>
    <n v="5.8"/>
    <n v="77.700020894732489"/>
    <n v="106.45183652429932"/>
    <n v="47"/>
    <n v="43"/>
    <n v="1.3"/>
    <n v="1"/>
    <n v="0"/>
    <n v="5.0999999999999996"/>
    <n v="4.4000000000000004"/>
    <n v="7.5"/>
    <n v="6.7"/>
    <n v="46"/>
    <n v="112"/>
    <n v="9.6999999999999993"/>
    <n v="8.6999999999999993"/>
    <n v="4.7"/>
    <n v="4.3"/>
    <n v="111"/>
    <n v="95"/>
    <n v="144"/>
    <n v="134"/>
    <n v="2.1"/>
    <n v="1.8"/>
    <n v="116"/>
    <n v="101"/>
    <n v="305.50699999999995"/>
    <n v="284.4741111111112"/>
    <n v="4.4800000000000004"/>
    <n v="4.6399999999999997"/>
    <n v="13"/>
    <n v="13.4"/>
    <n v="38.6"/>
    <n v="41.5"/>
    <n v="86.2"/>
    <n v="89.4"/>
    <n v="29"/>
    <n v="28.9"/>
    <n v="33.700000000000003"/>
    <n v="32.299999999999997"/>
    <n v="217"/>
    <n v="219"/>
    <n v="13.1"/>
    <n v="13.1"/>
    <n v="32.6"/>
    <n v="32.9"/>
    <n v="6.08"/>
    <n v="5.67"/>
    <n v="60.19736842105263"/>
    <n v="49.6"/>
    <n v="27.302631578947366"/>
    <n v="38.6"/>
    <n v="9.2105263157894743"/>
    <n v="7.4"/>
    <n v="2.7960526315789473"/>
    <n v="3.7"/>
    <n v="0.49342105263157893"/>
    <n v="0.7"/>
    <x v="0"/>
    <x v="1"/>
    <n v="76.552520000000001"/>
    <n v="83.6"/>
    <n v="175"/>
    <n v="50.56"/>
    <n v="54"/>
    <n v="42"/>
    <n v="8.43"/>
  </r>
  <r>
    <x v="3"/>
    <x v="3"/>
    <x v="68"/>
    <n v="27"/>
    <n v="0"/>
    <x v="0"/>
    <s v="RR"/>
    <s v="MM"/>
    <s v="DD"/>
    <s v="(-9,-9)"/>
    <n v="50"/>
    <n v="50"/>
    <n v="172"/>
    <n v="225"/>
    <s v="-"/>
    <n v="11"/>
    <s v="-"/>
    <n v="2.1"/>
    <s v="-"/>
    <n v="130"/>
    <s v="-"/>
    <n v="22"/>
    <n v="4.7"/>
    <n v="3.4"/>
    <s v="-"/>
    <n v="15"/>
    <s v="-"/>
    <n v="12"/>
    <n v="5.3"/>
    <n v="6.5"/>
    <n v="85.533385678368745"/>
    <n v="120.79866842153496"/>
    <n v="26"/>
    <n v="30"/>
    <n v="1.2"/>
    <n v="0.9"/>
    <n v="0"/>
    <n v="4.0999999999999996"/>
    <n v="3.7"/>
    <s v="-"/>
    <n v="6"/>
    <s v="-"/>
    <n v="39"/>
    <n v="9.6"/>
    <n v="8.6"/>
    <n v="4.5"/>
    <n v="4.4000000000000004"/>
    <s v="-"/>
    <n v="74"/>
    <s v="-"/>
    <n v="134"/>
    <s v="-"/>
    <n v="2"/>
    <s v="-"/>
    <n v="100"/>
    <s v="Dados Insuficientes"/>
    <n v="281.1517777777778"/>
    <n v="5"/>
    <n v="4.57"/>
    <n v="15"/>
    <n v="13.8"/>
    <n v="44.3"/>
    <n v="40.5"/>
    <n v="88.4"/>
    <n v="88.6"/>
    <n v="29.9"/>
    <n v="30.2"/>
    <n v="33.9"/>
    <n v="34.1"/>
    <n v="414"/>
    <n v="354"/>
    <n v="12.9"/>
    <n v="12.9"/>
    <s v="-"/>
    <s v="-"/>
    <n v="11.7"/>
    <n v="11.56"/>
    <n v="71"/>
    <n v="71.900000000000006"/>
    <n v="21"/>
    <n v="17.7"/>
    <n v="8"/>
    <n v="7.2"/>
    <n v="0"/>
    <n v="2.9"/>
    <n v="0"/>
    <n v="0.3"/>
    <x v="0"/>
    <x v="0"/>
    <n v="76.297020000000003"/>
    <n v="85.65"/>
    <n v="177"/>
    <n v="51.46"/>
    <n v="48"/>
    <n v="52"/>
    <n v="10.92"/>
  </r>
  <r>
    <x v="3"/>
    <x v="3"/>
    <x v="69"/>
    <n v="28"/>
    <n v="0"/>
    <x v="0"/>
    <s v="XX"/>
    <s v="TT"/>
    <s v="ID"/>
    <s v="(-9,-9)"/>
    <n v="37.5"/>
    <n v="62.5"/>
    <n v="169"/>
    <n v="572"/>
    <s v="-"/>
    <n v="28"/>
    <s v="-"/>
    <n v="1.3"/>
    <s v="-"/>
    <n v="185"/>
    <s v="-"/>
    <n v="50"/>
    <n v="4.8"/>
    <n v="4"/>
    <s v="-"/>
    <n v="20"/>
    <s v="-"/>
    <n v="23"/>
    <n v="4.9000000000000004"/>
    <n v="5.4"/>
    <n v="94.947150652744313"/>
    <n v="120.79866842153496"/>
    <n v="40"/>
    <n v="38"/>
    <n v="1.1000000000000001"/>
    <n v="0.9"/>
    <n v="0"/>
    <n v="4.8"/>
    <n v="3.8"/>
    <s v="-"/>
    <n v="6.9"/>
    <s v="-"/>
    <n v="57"/>
    <n v="8.5"/>
    <n v="9.3000000000000007"/>
    <n v="4.5999999999999996"/>
    <n v="3.8"/>
    <s v="-"/>
    <n v="95"/>
    <s v="-"/>
    <n v="140"/>
    <s v="-"/>
    <n v="2.1"/>
    <s v="-"/>
    <n v="104"/>
    <s v="Dados Insuficientes"/>
    <n v="293.87077777777779"/>
    <n v="4.7"/>
    <n v="4.8"/>
    <n v="13.9"/>
    <n v="14.3"/>
    <n v="42.4"/>
    <n v="42.7"/>
    <n v="90.4"/>
    <n v="89"/>
    <n v="29.6"/>
    <n v="29.8"/>
    <n v="32.799999999999997"/>
    <n v="33.5"/>
    <n v="292"/>
    <n v="272"/>
    <n v="13.5"/>
    <n v="13.2"/>
    <s v="-"/>
    <s v="-"/>
    <n v="6.23"/>
    <n v="13"/>
    <n v="59"/>
    <n v="79.599999999999994"/>
    <n v="22"/>
    <n v="8.9"/>
    <n v="12"/>
    <n v="8.9"/>
    <n v="6"/>
    <n v="2.2000000000000002"/>
    <n v="1"/>
    <n v="0.4"/>
    <x v="0"/>
    <x v="0"/>
    <n v="73.936000000000007"/>
    <n v="80"/>
    <n v="177.5"/>
    <n v="0"/>
    <n v="42"/>
    <n v="42"/>
    <n v="7.58"/>
  </r>
  <r>
    <x v="3"/>
    <x v="3"/>
    <x v="70"/>
    <n v="26"/>
    <n v="0"/>
    <x v="0"/>
    <s v="XX"/>
    <s v="MM"/>
    <s v="ID"/>
    <s v="(+9,-9)"/>
    <n v="25"/>
    <n v="75"/>
    <n v="166"/>
    <n v="187"/>
    <s v="-"/>
    <n v="9"/>
    <s v="-"/>
    <n v="1.7"/>
    <s v="-"/>
    <n v="183"/>
    <s v="-"/>
    <n v="26"/>
    <n v="4.7"/>
    <n v="3.6"/>
    <s v="-"/>
    <n v="17"/>
    <s v="-"/>
    <n v="34"/>
    <n v="3.8"/>
    <n v="4.7"/>
    <n v="120.79866842153496"/>
    <n v="125.17286966375688"/>
    <n v="35"/>
    <n v="33"/>
    <n v="0.9"/>
    <n v="0.8"/>
    <n v="0"/>
    <n v="4.5999999999999996"/>
    <n v="3.3"/>
    <s v="-"/>
    <n v="6.4"/>
    <s v="-"/>
    <n v="60"/>
    <n v="9.6"/>
    <n v="8.5"/>
    <n v="4.3"/>
    <n v="4"/>
    <s v="-"/>
    <n v="93"/>
    <s v="-"/>
    <n v="133"/>
    <s v="-"/>
    <n v="2.1"/>
    <s v="-"/>
    <n v="107"/>
    <s v="Dados Insuficientes"/>
    <n v="280.26166666666671"/>
    <n v="4.4000000000000004"/>
    <n v="4.3099999999999996"/>
    <n v="13.6"/>
    <n v="3.4"/>
    <n v="42.1"/>
    <n v="40.6"/>
    <n v="95.5"/>
    <n v="90.2"/>
    <n v="30.8"/>
    <n v="31.1"/>
    <n v="32.299999999999997"/>
    <n v="33"/>
    <n v="156"/>
    <n v="155"/>
    <n v="13.1"/>
    <n v="12.7"/>
    <s v="-"/>
    <s v="-"/>
    <n v="14.5"/>
    <n v="10.039999999999999"/>
    <n v="74"/>
    <n v="69.400000000000006"/>
    <n v="14"/>
    <n v="17.100000000000001"/>
    <n v="11"/>
    <n v="10.9"/>
    <n v="1"/>
    <n v="2.1"/>
    <n v="0"/>
    <n v="0.5"/>
    <x v="0"/>
    <x v="0"/>
    <n v="81.37906000000001"/>
    <n v="88.9"/>
    <n v="184.5"/>
    <n v="49.69"/>
    <n v="54"/>
    <n v="50"/>
    <n v="8.4600000000000009"/>
  </r>
  <r>
    <x v="3"/>
    <x v="3"/>
    <x v="71"/>
    <n v="32"/>
    <n v="0"/>
    <x v="0"/>
    <s v="RR"/>
    <s v="-"/>
    <s v="ID"/>
    <s v="(+9,-9)"/>
    <s v="-"/>
    <s v="-"/>
    <n v="211"/>
    <n v="262"/>
    <s v="-"/>
    <n v="21"/>
    <s v="-"/>
    <n v="1.5"/>
    <s v="-"/>
    <n v="250"/>
    <s v="-"/>
    <n v="31"/>
    <n v="4.9000000000000004"/>
    <n v="4.2"/>
    <s v="-"/>
    <n v="23"/>
    <s v="-"/>
    <n v="32"/>
    <n v="5.4"/>
    <n v="6.2"/>
    <n v="94.947150652744313"/>
    <n v="120.79866842153496"/>
    <n v="42"/>
    <n v="41"/>
    <n v="1.1000000000000001"/>
    <n v="0.9"/>
    <n v="0"/>
    <n v="5.4"/>
    <n v="3.6"/>
    <s v="-"/>
    <n v="6.8"/>
    <s v="-"/>
    <n v="89"/>
    <n v="9.9"/>
    <n v="9.1"/>
    <n v="5.7"/>
    <n v="4.2"/>
    <s v="-"/>
    <n v="119"/>
    <s v="-"/>
    <n v="138"/>
    <s v="-"/>
    <n v="2.2000000000000002"/>
    <s v="-"/>
    <n v="102"/>
    <s v="Dados Insuficientes"/>
    <n v="292.92811111111109"/>
    <n v="4.8"/>
    <n v="4.63"/>
    <n v="14.1"/>
    <n v="3.8"/>
    <n v="43"/>
    <n v="41.3"/>
    <n v="90.5"/>
    <n v="89.2"/>
    <n v="29.7"/>
    <n v="29.8"/>
    <n v="32.799999999999997"/>
    <n v="33.4"/>
    <n v="282"/>
    <n v="251"/>
    <n v="14.5"/>
    <n v="13.8"/>
    <s v="-"/>
    <s v="-"/>
    <n v="10.5"/>
    <n v="15.24"/>
    <n v="58"/>
    <n v="74.099999999999994"/>
    <n v="27"/>
    <n v="16.5"/>
    <n v="9"/>
    <n v="5"/>
    <n v="4"/>
    <n v="3.5"/>
    <n v="2"/>
    <n v="0.9"/>
    <x v="0"/>
    <x v="0"/>
    <n v="70.381349999999998"/>
    <n v="79.5"/>
    <n v="176.5"/>
    <n v="52.51"/>
    <n v="48"/>
    <n v="52"/>
    <n v="11.47"/>
  </r>
  <r>
    <x v="3"/>
    <x v="3"/>
    <x v="73"/>
    <n v="32"/>
    <n v="0"/>
    <x v="0"/>
    <s v="RX"/>
    <s v="MM"/>
    <s v="II"/>
    <s v="(+9,+9)"/>
    <n v="25"/>
    <n v="75"/>
    <n v="125"/>
    <n v="98"/>
    <s v="-"/>
    <n v="5"/>
    <s v="-"/>
    <n v="2.5"/>
    <s v="-"/>
    <n v="181"/>
    <s v="-"/>
    <n v="21"/>
    <n v="4.7"/>
    <n v="3.7"/>
    <s v="-"/>
    <n v="17"/>
    <s v="-"/>
    <n v="35"/>
    <n v="5.0999999999999996"/>
    <n v="6.2"/>
    <n v="106.45183652429932"/>
    <n v="71.088527013625097"/>
    <n v="36"/>
    <n v="41"/>
    <n v="1"/>
    <n v="1.4"/>
    <n v="0.39999999999999991"/>
    <n v="4.2"/>
    <n v="3.9"/>
    <s v="-"/>
    <n v="6.3"/>
    <s v="-"/>
    <n v="15"/>
    <n v="9.3000000000000007"/>
    <n v="8.5"/>
    <n v="4.7"/>
    <n v="4.3"/>
    <s v="-"/>
    <n v="85"/>
    <s v="-"/>
    <n v="135"/>
    <s v="-"/>
    <n v="2.2000000000000002"/>
    <s v="-"/>
    <n v="100"/>
    <s v="Dados Insuficientes"/>
    <n v="285.36188888888887"/>
    <n v="4.5"/>
    <n v="4.5999999999999996"/>
    <n v="13"/>
    <n v="13.5"/>
    <n v="39.9"/>
    <n v="40.299999999999997"/>
    <n v="88.9"/>
    <n v="87.6"/>
    <n v="29"/>
    <n v="29.3"/>
    <n v="32.6"/>
    <n v="33.5"/>
    <n v="277"/>
    <n v="243"/>
    <n v="13.9"/>
    <n v="13.5"/>
    <s v="-"/>
    <s v="-"/>
    <n v="9.15"/>
    <n v="13.42"/>
    <n v="70"/>
    <n v="75.099999999999994"/>
    <n v="19"/>
    <n v="15.4"/>
    <n v="9"/>
    <n v="7.4"/>
    <n v="2"/>
    <n v="1.9"/>
    <n v="0"/>
    <n v="0.2"/>
    <x v="1"/>
    <x v="0"/>
    <n v="70.427400000000006"/>
    <n v="80.25"/>
    <n v="178"/>
    <n v="51.39"/>
    <n v="48"/>
    <n v="47"/>
    <n v="12.24"/>
  </r>
  <r>
    <x v="3"/>
    <x v="3"/>
    <x v="74"/>
    <n v="33"/>
    <n v="0"/>
    <x v="0"/>
    <s v="XX"/>
    <s v="MM"/>
    <s v="ID"/>
    <s v="(+9,-9)"/>
    <n v="25"/>
    <n v="75"/>
    <n v="120"/>
    <n v="151"/>
    <s v="-"/>
    <n v="11"/>
    <s v="-"/>
    <n v="1.4"/>
    <s v="-"/>
    <n v="183"/>
    <s v="-"/>
    <n v="27"/>
    <n v="4.5999999999999996"/>
    <n v="3.6"/>
    <s v="-"/>
    <n v="20"/>
    <s v="-"/>
    <n v="26"/>
    <n v="2.6"/>
    <n v="3.8"/>
    <n v="94.947150652744313"/>
    <n v="120.79866842153496"/>
    <n v="56"/>
    <n v="35"/>
    <n v="1.1000000000000001"/>
    <n v="0.9"/>
    <n v="0"/>
    <n v="4.3"/>
    <n v="3.7"/>
    <s v="-"/>
    <n v="6.3"/>
    <s v="-"/>
    <n v="55"/>
    <n v="9.3000000000000007"/>
    <n v="8.1"/>
    <n v="4.2"/>
    <n v="4"/>
    <s v="-"/>
    <n v="77"/>
    <s v="-"/>
    <n v="129"/>
    <s v="-"/>
    <n v="2"/>
    <s v="-"/>
    <n v="93"/>
    <s v="Dados Insuficientes"/>
    <n v="272.13277777777779"/>
    <n v="4.5999999999999996"/>
    <n v="4.83"/>
    <n v="13.4"/>
    <n v="14.2"/>
    <n v="41.7"/>
    <n v="42.8"/>
    <n v="91.2"/>
    <n v="88"/>
    <n v="29.3"/>
    <n v="29.4"/>
    <n v="32.1"/>
    <n v="33.200000000000003"/>
    <n v="244"/>
    <n v="258"/>
    <n v="14.9"/>
    <n v="14.2"/>
    <s v="-"/>
    <s v="-"/>
    <n v="10.19"/>
    <n v="9.6"/>
    <n v="73"/>
    <n v="68.8"/>
    <n v="15"/>
    <n v="18.600000000000001"/>
    <n v="9"/>
    <n v="9.3000000000000007"/>
    <n v="3"/>
    <n v="2.8"/>
    <n v="0"/>
    <n v="0.5"/>
    <x v="0"/>
    <x v="0"/>
    <n v="66.237339999999989"/>
    <n v="74.599999999999994"/>
    <n v="178.5"/>
    <n v="50"/>
    <n v="62"/>
    <n v="58"/>
    <n v="11.21"/>
  </r>
  <r>
    <x v="3"/>
    <x v="3"/>
    <x v="75"/>
    <n v="32"/>
    <n v="0"/>
    <x v="0"/>
    <s v="RR"/>
    <s v="MM"/>
    <s v="ID"/>
    <s v="(+9,-9)"/>
    <n v="50"/>
    <n v="50"/>
    <n v="155"/>
    <n v="359"/>
    <s v="-"/>
    <n v="24"/>
    <s v="-"/>
    <n v="2"/>
    <s v="-"/>
    <n v="244"/>
    <s v="-"/>
    <n v="35"/>
    <n v="4.5999999999999996"/>
    <n v="4"/>
    <s v="-"/>
    <n v="23"/>
    <s v="-"/>
    <n v="28"/>
    <n v="5.2"/>
    <n v="6.3"/>
    <n v="106.45183652429932"/>
    <n v="125.17286966375688"/>
    <n v="44"/>
    <n v="37"/>
    <n v="1"/>
    <n v="0.8"/>
    <n v="0"/>
    <n v="3.4"/>
    <n v="3.1"/>
    <s v="-"/>
    <n v="6.9"/>
    <s v="-"/>
    <n v="75"/>
    <n v="9.6"/>
    <n v="9.1"/>
    <n v="5.0999999999999996"/>
    <n v="4"/>
    <s v="-"/>
    <n v="114"/>
    <s v="-"/>
    <n v="140"/>
    <s v="-"/>
    <n v="2.2000000000000002"/>
    <s v="-"/>
    <n v="103"/>
    <s v="Dados Insuficientes"/>
    <n v="295.29000000000008"/>
    <n v="4.8899999999999997"/>
    <n v="4.8899999999999997"/>
    <n v="15.1"/>
    <n v="15.1"/>
    <n v="46.1"/>
    <n v="45.2"/>
    <n v="94.3"/>
    <n v="92.4"/>
    <n v="30.9"/>
    <n v="30.9"/>
    <n v="32.799999999999997"/>
    <n v="33.4"/>
    <n v="205"/>
    <n v="205"/>
    <n v="12.5"/>
    <n v="12.5"/>
    <s v="-"/>
    <s v="-"/>
    <n v="8.61"/>
    <n v="9.85"/>
    <n v="74.599999999999994"/>
    <n v="71.7"/>
    <n v="14.2"/>
    <n v="17.3"/>
    <n v="5.7"/>
    <n v="5.8"/>
    <n v="4.9000000000000004"/>
    <n v="5"/>
    <n v="0.6"/>
    <n v="0.2"/>
    <x v="0"/>
    <x v="0"/>
    <n v="65.387150000000005"/>
    <n v="70.75"/>
    <n v="181.5"/>
    <n v="54.55"/>
    <n v="50"/>
    <n v="42"/>
    <n v="7.58"/>
  </r>
  <r>
    <x v="3"/>
    <x v="3"/>
    <x v="78"/>
    <n v="28"/>
    <n v="0"/>
    <x v="0"/>
    <s v="RR"/>
    <s v="MT"/>
    <s v="ID"/>
    <s v="(-9,-9)"/>
    <n v="50"/>
    <n v="50"/>
    <n v="121"/>
    <n v="86"/>
    <s v="-"/>
    <n v="4"/>
    <s v="-"/>
    <n v="2.7"/>
    <s v="-"/>
    <n v="227"/>
    <s v="-"/>
    <n v="23"/>
    <n v="4.5999999999999996"/>
    <n v="4"/>
    <s v="-"/>
    <n v="15"/>
    <s v="-"/>
    <n v="16"/>
    <n v="4.4000000000000004"/>
    <n v="5"/>
    <n v="94.947150652744313"/>
    <n v="120.79866842153496"/>
    <n v="39"/>
    <n v="39"/>
    <n v="1.1000000000000001"/>
    <n v="0.9"/>
    <n v="0"/>
    <n v="4.5"/>
    <n v="2.9"/>
    <s v="-"/>
    <n v="6.7"/>
    <s v="-"/>
    <n v="10"/>
    <n v="8.8000000000000007"/>
    <n v="8.8000000000000007"/>
    <n v="4.5"/>
    <n v="4.3"/>
    <s v="-"/>
    <n v="117"/>
    <s v="-"/>
    <n v="138"/>
    <s v="-"/>
    <n v="2.2999999999999998"/>
    <s v="-"/>
    <n v="102"/>
    <s v="Dados Insuficientes"/>
    <n v="292.65300000000008"/>
    <n v="4.3600000000000003"/>
    <n v="4.4000000000000004"/>
    <n v="12.5"/>
    <n v="12.7"/>
    <n v="98.5"/>
    <n v="38.5"/>
    <n v="88.3"/>
    <n v="87.1"/>
    <n v="28.7"/>
    <n v="28.7"/>
    <n v="32.5"/>
    <n v="33"/>
    <n v="315"/>
    <n v="304"/>
    <n v="13.2"/>
    <n v="13.2"/>
    <s v="-"/>
    <s v="-"/>
    <n v="6.32"/>
    <n v="9.43"/>
    <n v="64.7"/>
    <n v="75"/>
    <n v="21.7"/>
    <n v="16"/>
    <n v="10.6"/>
    <n v="8"/>
    <n v="2.2000000000000002"/>
    <n v="1"/>
    <n v="0.8"/>
    <n v="0"/>
    <x v="0"/>
    <x v="0"/>
    <n v="56.283344999999997"/>
    <n v="62.35"/>
    <n v="169"/>
    <n v="52.58"/>
    <n v="44"/>
    <n v="38"/>
    <n v="9.73"/>
  </r>
  <r>
    <x v="3"/>
    <x v="3"/>
    <x v="80"/>
    <n v="28"/>
    <n v="0"/>
    <x v="0"/>
    <s v="XX"/>
    <s v="TT"/>
    <s v="DD"/>
    <s v="(+9,-9)"/>
    <n v="62.5"/>
    <n v="37.5"/>
    <n v="179"/>
    <n v="118"/>
    <s v="-"/>
    <n v="12"/>
    <s v="-"/>
    <n v="2.6"/>
    <s v="-"/>
    <n v="190"/>
    <s v="-"/>
    <n v="31"/>
    <n v="4.3"/>
    <n v="3.9"/>
    <s v="-"/>
    <n v="14"/>
    <s v="-"/>
    <n v="17"/>
    <n v="5.0999999999999996"/>
    <n v="6.5"/>
    <n v="85.533385678368745"/>
    <n v="106.45183652429932"/>
    <n v="43"/>
    <n v="40"/>
    <n v="1.2"/>
    <n v="1"/>
    <n v="0"/>
    <n v="6.4"/>
    <n v="3.8"/>
    <s v="-"/>
    <n v="7.1"/>
    <s v="-"/>
    <n v="18"/>
    <n v="9.1"/>
    <n v="8.8000000000000007"/>
    <n v="5"/>
    <n v="4.8"/>
    <s v="-"/>
    <n v="104"/>
    <s v="-"/>
    <n v="142"/>
    <s v="-"/>
    <n v="2.1"/>
    <s v="-"/>
    <n v="104"/>
    <s v="Dados Insuficientes"/>
    <n v="300.35911111111119"/>
    <n v="5.0599999999999996"/>
    <n v="4.97"/>
    <n v="14.8"/>
    <n v="14.5"/>
    <n v="43.3"/>
    <n v="41.7"/>
    <n v="85.6"/>
    <n v="83.9"/>
    <n v="29.2"/>
    <n v="29.2"/>
    <n v="34.200000000000003"/>
    <n v="34.799999999999997"/>
    <n v="223"/>
    <n v="213"/>
    <n v="13.7"/>
    <n v="13.3"/>
    <s v="-"/>
    <s v="-"/>
    <n v="8.85"/>
    <n v="8.5399999999999991"/>
    <n v="63.6"/>
    <n v="58.7"/>
    <n v="21.5"/>
    <n v="21.2"/>
    <n v="7.5"/>
    <n v="6.1"/>
    <n v="6.7"/>
    <n v="13.2"/>
    <n v="0.7"/>
    <n v="0.8"/>
    <x v="0"/>
    <x v="0"/>
    <n v="76.552520000000001"/>
    <n v="83.6"/>
    <n v="175"/>
    <n v="50.56"/>
    <n v="54"/>
    <n v="42"/>
    <n v="8.43"/>
  </r>
  <r>
    <x v="3"/>
    <x v="6"/>
    <x v="68"/>
    <n v="27"/>
    <n v="81.8"/>
    <x v="0"/>
    <s v="RR"/>
    <s v="MM"/>
    <s v="DD"/>
    <s v="(-9,-9)"/>
    <n v="50"/>
    <n v="50"/>
    <n v="99"/>
    <n v="2405"/>
    <n v="7"/>
    <n v="70"/>
    <n v="2.1"/>
    <n v="2.5"/>
    <n v="140"/>
    <n v="319"/>
    <n v="20"/>
    <n v="79"/>
    <n v="3.9"/>
    <n v="4.4000000000000004"/>
    <n v="24"/>
    <n v="41"/>
    <n v="19"/>
    <n v="17"/>
    <n v="6.8"/>
    <n v="8.8000000000000007"/>
    <n v="120.79866842153496"/>
    <n v="94.947150652744313"/>
    <n v="31"/>
    <n v="38"/>
    <n v="0.9"/>
    <n v="1.1000000000000001"/>
    <n v="0.20000000000000007"/>
    <n v="5.3"/>
    <n v="4.9000000000000004"/>
    <n v="6.8"/>
    <n v="7.1"/>
    <n v="77"/>
    <n v="53"/>
    <n v="9.3000000000000007"/>
    <n v="9.4"/>
    <n v="4.5999999999999996"/>
    <n v="4.3"/>
    <n v="87"/>
    <n v="95"/>
    <n v="141"/>
    <n v="138"/>
    <n v="2.2999999999999998"/>
    <n v="2.2999999999999998"/>
    <n v="102"/>
    <n v="101"/>
    <n v="295.54100000000005"/>
    <n v="291.08077777777783"/>
    <n v="4.3"/>
    <n v="4.3099999999999996"/>
    <n v="13.5"/>
    <n v="13.6"/>
    <n v="40.700000000000003"/>
    <n v="41.7"/>
    <n v="95.2"/>
    <n v="96.7"/>
    <n v="31.6"/>
    <n v="31.6"/>
    <n v="33.200000000000003"/>
    <n v="32.6"/>
    <n v="394"/>
    <n v="371"/>
    <n v="14"/>
    <n v="13.5"/>
    <n v="2.89"/>
    <s v="-"/>
    <n v="5.13"/>
    <n v="10.039999999999999"/>
    <n v="43.3"/>
    <n v="62.1"/>
    <n v="42.3"/>
    <n v="24.4"/>
    <n v="6.4"/>
    <n v="11.2"/>
    <n v="4.4000000000000004"/>
    <n v="1.3"/>
    <n v="3.6"/>
    <n v="1"/>
    <x v="0"/>
    <x v="1"/>
    <n v="76.297020000000003"/>
    <n v="85.65"/>
    <n v="177"/>
    <n v="51.46"/>
    <n v="48"/>
    <n v="52"/>
    <n v="10.92"/>
  </r>
  <r>
    <x v="3"/>
    <x v="6"/>
    <x v="69"/>
    <n v="25"/>
    <n v="80"/>
    <x v="0"/>
    <s v="XX"/>
    <s v="TT"/>
    <s v="ID"/>
    <s v="(-9,-9)"/>
    <n v="37.5"/>
    <n v="62.5"/>
    <n v="128"/>
    <n v="608"/>
    <n v="13"/>
    <n v="31"/>
    <n v="1.7"/>
    <n v="1.7"/>
    <n v="157"/>
    <n v="272"/>
    <n v="21"/>
    <n v="41"/>
    <n v="4.2"/>
    <n v="4.4000000000000004"/>
    <n v="22"/>
    <n v="28"/>
    <n v="22"/>
    <n v="18"/>
    <n v="5.0999999999999996"/>
    <n v="5.8"/>
    <n v="120.79866842153496"/>
    <n v="120.79866842153496"/>
    <n v="43"/>
    <n v="39"/>
    <n v="0.9"/>
    <n v="0.9"/>
    <n v="0"/>
    <n v="5.5"/>
    <n v="4.3"/>
    <n v="7.3"/>
    <n v="7"/>
    <n v="101"/>
    <n v="88"/>
    <n v="9.6999999999999993"/>
    <n v="9.5"/>
    <n v="4.5999999999999996"/>
    <n v="4.4000000000000004"/>
    <n v="97"/>
    <n v="103"/>
    <n v="142"/>
    <n v="140"/>
    <n v="2.4"/>
    <n v="2.2999999999999998"/>
    <n v="102"/>
    <n v="102"/>
    <n v="300.03988888888887"/>
    <n v="295.66455555555558"/>
    <n v="4.8"/>
    <n v="4.2699999999999996"/>
    <n v="14.8"/>
    <n v="13"/>
    <n v="44.5"/>
    <n v="40.1"/>
    <n v="92.7"/>
    <n v="93.9"/>
    <n v="30.9"/>
    <n v="30.4"/>
    <n v="33.299999999999997"/>
    <n v="32.4"/>
    <n v="267"/>
    <n v="278"/>
    <n v="15.3"/>
    <n v="14"/>
    <n v="1.42"/>
    <s v="-"/>
    <n v="3.92"/>
    <n v="7.39"/>
    <n v="25.3"/>
    <n v="60.5"/>
    <n v="45.6"/>
    <n v="21.5"/>
    <n v="11.1"/>
    <n v="14.5"/>
    <n v="11.3"/>
    <n v="2.9"/>
    <n v="6.7"/>
    <n v="0.6"/>
    <x v="0"/>
    <x v="0"/>
    <n v="73.936000000000007"/>
    <n v="80"/>
    <n v="177.5"/>
    <n v="0"/>
    <n v="42"/>
    <n v="42"/>
    <n v="7.58"/>
  </r>
  <r>
    <x v="3"/>
    <x v="6"/>
    <x v="70"/>
    <n v="26"/>
    <n v="0"/>
    <x v="0"/>
    <s v="XX"/>
    <s v="MM"/>
    <s v="ID"/>
    <s v="(+9,-9)"/>
    <n v="25"/>
    <n v="75"/>
    <n v="6374"/>
    <s v="-"/>
    <n v="135"/>
    <s v="-"/>
    <n v="1.9"/>
    <s v="-"/>
    <n v="563"/>
    <s v="-"/>
    <n v="200"/>
    <s v="-"/>
    <n v="4.3"/>
    <s v="-"/>
    <n v="67"/>
    <s v="-"/>
    <n v="46"/>
    <s v="-"/>
    <n v="5.0999999999999996"/>
    <s v="-"/>
    <n v="125.17286966375688"/>
    <s v="Dados Insuficientes"/>
    <n v="37"/>
    <s v="-"/>
    <n v="0.8"/>
    <s v="-"/>
    <s v="Dados Insuficientes"/>
    <n v="4.5999999999999996"/>
    <s v="-"/>
    <n v="7.5"/>
    <s v="-"/>
    <n v="92"/>
    <s v="-"/>
    <n v="9.5"/>
    <s v="-"/>
    <n v="4.5999999999999996"/>
    <s v="-"/>
    <n v="87"/>
    <s v="-"/>
    <n v="144"/>
    <s v="-"/>
    <n v="2.4"/>
    <s v="-"/>
    <n v="104"/>
    <s v="-"/>
    <n v="302.12100000000004"/>
    <s v="Dados Insuficientes"/>
    <n v="4.3"/>
    <s v="-"/>
    <n v="14.1"/>
    <s v="-"/>
    <n v="42.8"/>
    <s v="-"/>
    <n v="97.2"/>
    <s v="-"/>
    <n v="32"/>
    <s v="-"/>
    <n v="32.9"/>
    <s v="-"/>
    <n v="113"/>
    <s v="-"/>
    <n v="15.9"/>
    <s v="-"/>
    <n v="2.23"/>
    <s v="-"/>
    <n v="4.93"/>
    <s v="-"/>
    <n v="46"/>
    <s v="-"/>
    <n v="31.7"/>
    <s v="-"/>
    <n v="14.6"/>
    <s v="-"/>
    <n v="3.1"/>
    <s v="-"/>
    <n v="4.5999999999999996"/>
    <s v="-"/>
    <x v="2"/>
    <x v="1"/>
    <n v="81.37906000000001"/>
    <n v="88.9"/>
    <n v="184.5"/>
    <n v="49.69"/>
    <n v="54"/>
    <n v="50"/>
    <n v="8.4600000000000009"/>
  </r>
  <r>
    <x v="3"/>
    <x v="6"/>
    <x v="71"/>
    <n v="32"/>
    <n v="76"/>
    <x v="0"/>
    <s v="RR"/>
    <s v="-"/>
    <s v="ID"/>
    <s v="(+9,-9)"/>
    <s v="-"/>
    <s v="-"/>
    <n v="152"/>
    <n v="1589"/>
    <n v="21"/>
    <n v="76"/>
    <n v="2.4"/>
    <n v="1.8"/>
    <n v="178"/>
    <n v="367"/>
    <n v="25"/>
    <n v="90"/>
    <n v="4.2"/>
    <n v="4.5999999999999996"/>
    <n v="28"/>
    <n v="44"/>
    <n v="32"/>
    <n v="26"/>
    <n v="6.7"/>
    <n v="7.2"/>
    <n v="120.79866842153496"/>
    <n v="106.45183652429932"/>
    <n v="37"/>
    <n v="41"/>
    <n v="0.9"/>
    <n v="1"/>
    <n v="9.9999999999999978E-2"/>
    <n v="5.6"/>
    <n v="4.7"/>
    <n v="7.1"/>
    <n v="6.8"/>
    <n v="93"/>
    <n v="71"/>
    <n v="9.5"/>
    <n v="9.5"/>
    <n v="4.5"/>
    <n v="4.2"/>
    <n v="116"/>
    <n v="108"/>
    <n v="141"/>
    <n v="140"/>
    <n v="2.2999999999999998"/>
    <n v="2.2999999999999998"/>
    <n v="100"/>
    <n v="104"/>
    <n v="298.20777777777778"/>
    <n v="295.94533333333328"/>
    <n v="4.9000000000000004"/>
    <n v="4.4000000000000004"/>
    <n v="15.1"/>
    <n v="13.3"/>
    <n v="45.4"/>
    <n v="40.9"/>
    <n v="91.9"/>
    <n v="92.7"/>
    <n v="30.5"/>
    <n v="30.1"/>
    <n v="33.200000000000003"/>
    <n v="32.5"/>
    <n v="244"/>
    <n v="244"/>
    <n v="15.6"/>
    <n v="14.5"/>
    <n v="1.84"/>
    <s v="-"/>
    <n v="6.25"/>
    <n v="7.84"/>
    <n v="37.200000000000003"/>
    <n v="41.3"/>
    <n v="41.2"/>
    <n v="40.799999999999997"/>
    <n v="7.8"/>
    <n v="11.9"/>
    <n v="7.8"/>
    <n v="2.9"/>
    <n v="6"/>
    <n v="3.1"/>
    <x v="0"/>
    <x v="1"/>
    <n v="70.381349999999998"/>
    <n v="79.5"/>
    <n v="176.5"/>
    <n v="52.51"/>
    <n v="48"/>
    <n v="52"/>
    <n v="11.47"/>
  </r>
  <r>
    <x v="3"/>
    <x v="6"/>
    <x v="78"/>
    <n v="28"/>
    <n v="61"/>
    <x v="0"/>
    <s v="RR"/>
    <s v="MT"/>
    <s v="ID"/>
    <s v="(-9,-9)"/>
    <n v="50"/>
    <n v="50"/>
    <n v="887"/>
    <n v="457"/>
    <n v="31"/>
    <n v="25"/>
    <n v="1.8"/>
    <n v="1.9"/>
    <n v="251"/>
    <n v="310"/>
    <n v="54"/>
    <n v="47"/>
    <n v="4.5999999999999996"/>
    <n v="5.0999999999999996"/>
    <n v="36"/>
    <n v="41"/>
    <n v="18"/>
    <n v="17"/>
    <n v="5.0999999999999996"/>
    <n v="6.6"/>
    <n v="120.79866842153496"/>
    <n v="94.947150652744313"/>
    <n v="44"/>
    <n v="44"/>
    <n v="0.9"/>
    <n v="1.1000000000000001"/>
    <n v="0.20000000000000007"/>
    <n v="4.8"/>
    <n v="4"/>
    <n v="7.8"/>
    <n v="7.9"/>
    <n v="87"/>
    <n v="132"/>
    <n v="9.6"/>
    <n v="10"/>
    <n v="4.5999999999999996"/>
    <n v="4.2"/>
    <n v="93"/>
    <n v="102"/>
    <n v="142"/>
    <n v="139"/>
    <n v="2.2000000000000002"/>
    <n v="2.2999999999999998"/>
    <n v="102"/>
    <n v="100"/>
    <n v="299.95099999999996"/>
    <n v="294.20199999999994"/>
    <n v="4.75"/>
    <n v="4.5"/>
    <n v="14.7"/>
    <n v="13.5"/>
    <n v="43.7"/>
    <n v="40.6"/>
    <n v="89.9"/>
    <n v="89.8"/>
    <n v="30.1"/>
    <n v="29.8"/>
    <n v="33.5"/>
    <n v="33.200000000000003"/>
    <n v="257"/>
    <n v="243"/>
    <n v="15.1"/>
    <n v="14.4"/>
    <n v="0.95"/>
    <s v="-"/>
    <n v="2.98"/>
    <n v="4.42"/>
    <n v="22.8"/>
    <n v="32.9"/>
    <n v="51.2"/>
    <n v="42"/>
    <n v="9.1"/>
    <n v="14.5"/>
    <n v="8"/>
    <n v="4.8"/>
    <n v="8.9"/>
    <n v="5.8"/>
    <x v="0"/>
    <x v="0"/>
    <n v="56.283344999999997"/>
    <n v="62.35"/>
    <n v="169"/>
    <n v="52.58"/>
    <n v="44"/>
    <n v="38"/>
    <n v="9.73"/>
  </r>
  <r>
    <x v="3"/>
    <x v="6"/>
    <x v="80"/>
    <n v="28"/>
    <n v="87"/>
    <x v="0"/>
    <s v="XX"/>
    <s v="TT"/>
    <s v="DD"/>
    <s v="(+9,-9)"/>
    <n v="62.5"/>
    <n v="37.5"/>
    <n v="105"/>
    <n v="2083"/>
    <n v="21"/>
    <n v="85"/>
    <n v="1.6"/>
    <n v="2"/>
    <n v="188"/>
    <n v="428"/>
    <n v="31"/>
    <n v="125"/>
    <n v="3.9"/>
    <n v="4.3"/>
    <n v="29"/>
    <n v="50"/>
    <n v="20"/>
    <n v="17"/>
    <n v="5.9"/>
    <n v="8.8000000000000007"/>
    <n v="106.45183652429932"/>
    <n v="85.533385678368745"/>
    <n v="44"/>
    <n v="51"/>
    <n v="1"/>
    <n v="1.2"/>
    <n v="0.19999999999999996"/>
    <n v="5.4"/>
    <n v="4.8"/>
    <n v="7.4"/>
    <n v="7.5"/>
    <n v="74"/>
    <n v="48"/>
    <n v="9"/>
    <n v="8.5"/>
    <n v="4.4000000000000004"/>
    <n v="4.0999999999999996"/>
    <n v="93"/>
    <n v="118"/>
    <n v="140"/>
    <n v="135"/>
    <n v="2.1"/>
    <n v="2.2999999999999998"/>
    <n v="99"/>
    <n v="98"/>
    <n v="295.85899999999998"/>
    <n v="288.76488888888889"/>
    <n v="4.97"/>
    <n v="4.8"/>
    <n v="15.1"/>
    <n v="14.3"/>
    <n v="46"/>
    <n v="44.6"/>
    <n v="92"/>
    <n v="92.8"/>
    <n v="30.1"/>
    <n v="29.7"/>
    <n v="32.799999999999997"/>
    <n v="32"/>
    <n v="182"/>
    <n v="208"/>
    <n v="15.9"/>
    <n v="15.3"/>
    <n v="1.64"/>
    <s v="-"/>
    <n v="4.1399999999999997"/>
    <n v="5.69"/>
    <n v="37.4"/>
    <n v="48.8"/>
    <n v="42.8"/>
    <n v="32.6"/>
    <n v="7.6"/>
    <n v="14.6"/>
    <n v="4.7"/>
    <n v="0.9"/>
    <n v="7.5"/>
    <n v="3.1"/>
    <x v="0"/>
    <x v="1"/>
    <n v="76.552520000000001"/>
    <n v="83.6"/>
    <n v="175"/>
    <n v="50.56"/>
    <n v="54"/>
    <n v="42"/>
    <n v="8.43"/>
  </r>
  <r>
    <x v="3"/>
    <x v="7"/>
    <x v="68"/>
    <n v="27"/>
    <n v="78.5"/>
    <x v="0"/>
    <s v="RR"/>
    <s v="MM"/>
    <s v="DD"/>
    <s v="(-9,-9)"/>
    <n v="50"/>
    <n v="50"/>
    <n v="321"/>
    <n v="4300"/>
    <n v="20"/>
    <n v="153"/>
    <n v="2.1"/>
    <n v="5.3"/>
    <n v="191"/>
    <n v="642"/>
    <n v="36"/>
    <n v="116"/>
    <n v="4.4000000000000004"/>
    <n v="4.7"/>
    <n v="38"/>
    <n v="42"/>
    <n v="17"/>
    <n v="19"/>
    <n v="6.6"/>
    <n v="8.9"/>
    <n v="120.79866842153496"/>
    <n v="94.947150652744313"/>
    <n v="30"/>
    <n v="51"/>
    <n v="0.9"/>
    <n v="1.1000000000000001"/>
    <n v="0.20000000000000007"/>
    <n v="4.5999999999999996"/>
    <n v="5.5"/>
    <n v="7.2"/>
    <n v="7.9"/>
    <n v="52"/>
    <n v="77"/>
    <n v="9.6"/>
    <n v="9.9"/>
    <n v="4.7"/>
    <n v="4.3"/>
    <n v="85"/>
    <n v="91"/>
    <n v="139"/>
    <n v="137"/>
    <n v="2"/>
    <n v="2"/>
    <n v="104"/>
    <n v="95"/>
    <n v="291.71255555555553"/>
    <n v="291.13188888888891"/>
    <n v="4.58"/>
    <n v="4.4800000000000004"/>
    <n v="14.4"/>
    <n v="16.2"/>
    <n v="44.2"/>
    <n v="48.4"/>
    <n v="96.4"/>
    <n v="95.4"/>
    <n v="31.4"/>
    <n v="32"/>
    <n v="32.6"/>
    <n v="33.5"/>
    <n v="411"/>
    <n v="228"/>
    <n v="12.6"/>
    <n v="12.2"/>
    <s v="-"/>
    <n v="1.56"/>
    <n v="8.07"/>
    <n v="5.35"/>
    <n v="73.2"/>
    <n v="73.5"/>
    <n v="16.3"/>
    <n v="17.399999999999999"/>
    <n v="6.8"/>
    <n v="7.4"/>
    <n v="3.3"/>
    <n v="1.5"/>
    <n v="0.4"/>
    <n v="0.2"/>
    <x v="0"/>
    <x v="1"/>
    <n v="76.297020000000003"/>
    <n v="85.65"/>
    <n v="177"/>
    <n v="51.46"/>
    <n v="48"/>
    <n v="52"/>
    <n v="10.92"/>
  </r>
  <r>
    <x v="3"/>
    <x v="7"/>
    <x v="69"/>
    <n v="25"/>
    <n v="85.1"/>
    <x v="0"/>
    <s v="XX"/>
    <s v="TT"/>
    <s v="ID"/>
    <s v="(-9,-9)"/>
    <n v="37.5"/>
    <n v="62.5"/>
    <n v="233"/>
    <n v="832"/>
    <n v="20"/>
    <n v="45"/>
    <n v="1.6"/>
    <n v="3"/>
    <n v="190"/>
    <n v="751"/>
    <n v="29"/>
    <n v="59"/>
    <n v="4.4000000000000004"/>
    <n v="5.0999999999999996"/>
    <n v="25"/>
    <n v="28"/>
    <n v="19"/>
    <n v="22"/>
    <n v="5.7"/>
    <n v="7"/>
    <n v="120.79866842153496"/>
    <n v="94.947150652744313"/>
    <n v="40"/>
    <n v="52"/>
    <n v="0.9"/>
    <n v="1.1000000000000001"/>
    <n v="0.20000000000000007"/>
    <n v="4.4000000000000004"/>
    <n v="5.5"/>
    <n v="7.2"/>
    <n v="8.6999999999999993"/>
    <n v="107"/>
    <n v="91"/>
    <n v="9.5"/>
    <n v="10.3"/>
    <n v="4.4000000000000004"/>
    <n v="4.7"/>
    <n v="91"/>
    <n v="94"/>
    <n v="139"/>
    <n v="138"/>
    <n v="2"/>
    <n v="2.2999999999999998"/>
    <n v="101"/>
    <n v="95"/>
    <n v="293.2045555555556"/>
    <n v="294.09422222222219"/>
    <n v="4.49"/>
    <n v="5.61"/>
    <n v="13.7"/>
    <n v="11.8"/>
    <n v="42.2"/>
    <n v="36.5"/>
    <n v="93.8"/>
    <n v="93.7"/>
    <n v="30.4"/>
    <n v="30.3"/>
    <n v="32.4"/>
    <n v="32.4"/>
    <n v="295"/>
    <n v="238"/>
    <n v="14"/>
    <n v="13.1"/>
    <s v="-"/>
    <n v="1.1000000000000001"/>
    <n v="4.92"/>
    <n v="6.33"/>
    <n v="55"/>
    <n v="62.9"/>
    <n v="24.4"/>
    <n v="20.399999999999999"/>
    <n v="14.8"/>
    <n v="13.2"/>
    <n v="5.2"/>
    <n v="3.1"/>
    <n v="0.6"/>
    <n v="0.4"/>
    <x v="0"/>
    <x v="0"/>
    <n v="73.936000000000007"/>
    <n v="80"/>
    <n v="177.5"/>
    <n v="0"/>
    <n v="42"/>
    <n v="42"/>
    <n v="7.58"/>
  </r>
  <r>
    <x v="3"/>
    <x v="7"/>
    <x v="71"/>
    <n v="32"/>
    <n v="61.5"/>
    <x v="0"/>
    <s v="RR"/>
    <s v="-"/>
    <s v="ID"/>
    <s v="(+9,-9)"/>
    <s v="-"/>
    <s v="-"/>
    <n v="229"/>
    <n v="988"/>
    <n v="18"/>
    <n v="57"/>
    <n v="1.4"/>
    <n v="4.9000000000000004"/>
    <n v="228"/>
    <n v="461"/>
    <n v="30"/>
    <n v="57"/>
    <n v="4.4000000000000004"/>
    <n v="5.0999999999999996"/>
    <n v="29"/>
    <n v="43"/>
    <n v="25"/>
    <n v="30"/>
    <n v="6.7"/>
    <n v="7.9"/>
    <n v="120.79866842153496"/>
    <n v="106.45183652429932"/>
    <n v="37"/>
    <n v="46"/>
    <n v="0.9"/>
    <n v="1"/>
    <n v="9.9999999999999978E-2"/>
    <n v="4.2"/>
    <n v="5"/>
    <n v="6.7"/>
    <n v="8.1999999999999993"/>
    <n v="81"/>
    <n v="44"/>
    <n v="9.4"/>
    <n v="9.9"/>
    <n v="4.7"/>
    <n v="4.4000000000000004"/>
    <n v="88"/>
    <n v="101"/>
    <n v="140"/>
    <n v="138"/>
    <n v="2.1"/>
    <n v="2"/>
    <n v="103"/>
    <n v="95"/>
    <n v="294.93088888888889"/>
    <n v="292.9834444444445"/>
    <n v="4.6100000000000003"/>
    <n v="4.7"/>
    <n v="14"/>
    <n v="12.5"/>
    <n v="42.7"/>
    <n v="37.9"/>
    <n v="92.5"/>
    <n v="92"/>
    <n v="30.3"/>
    <n v="30.3"/>
    <n v="32.700000000000003"/>
    <n v="32.9"/>
    <n v="264"/>
    <n v="200"/>
    <n v="14.4"/>
    <n v="14.8"/>
    <s v="-"/>
    <n v="0.96"/>
    <n v="7.05"/>
    <n v="8.75"/>
    <n v="52.7"/>
    <n v="67"/>
    <n v="34.1"/>
    <n v="19.5"/>
    <n v="7.7"/>
    <n v="10.3"/>
    <n v="3.7"/>
    <n v="3"/>
    <n v="1.8"/>
    <n v="0.6"/>
    <x v="0"/>
    <x v="0"/>
    <n v="70.381349999999998"/>
    <n v="79.5"/>
    <n v="176.5"/>
    <n v="52.51"/>
    <n v="48"/>
    <n v="52"/>
    <n v="11.47"/>
  </r>
  <r>
    <x v="3"/>
    <x v="7"/>
    <x v="78"/>
    <n v="28"/>
    <n v="85"/>
    <x v="0"/>
    <s v="RR"/>
    <s v="MT"/>
    <s v="ID"/>
    <s v="(-9,-9)"/>
    <n v="50"/>
    <n v="50"/>
    <n v="153"/>
    <n v="1536"/>
    <n v="19"/>
    <n v="76"/>
    <n v="1.6"/>
    <n v="4.0999999999999996"/>
    <n v="246"/>
    <n v="545"/>
    <n v="31"/>
    <n v="82"/>
    <n v="4.5"/>
    <n v="5.5"/>
    <n v="28"/>
    <n v="33"/>
    <n v="17"/>
    <n v="18"/>
    <n v="5.2"/>
    <n v="7"/>
    <n v="125.17286966375688"/>
    <n v="106.45183652429932"/>
    <n v="38"/>
    <n v="59"/>
    <n v="0.8"/>
    <n v="1"/>
    <n v="0.19999999999999996"/>
    <n v="4"/>
    <n v="5.8"/>
    <n v="7.3"/>
    <n v="8.6999999999999993"/>
    <n v="82"/>
    <n v="121"/>
    <n v="9.1999999999999993"/>
    <n v="10"/>
    <n v="4.4000000000000004"/>
    <n v="5"/>
    <n v="93"/>
    <n v="107"/>
    <n v="138"/>
    <n v="139"/>
    <n v="2.1"/>
    <n v="2.2999999999999998"/>
    <n v="101"/>
    <n v="96"/>
    <n v="291.13900000000001"/>
    <n v="298.50944444444445"/>
    <n v="4.6399999999999997"/>
    <n v="3.24"/>
    <n v="13.8"/>
    <n v="12.3"/>
    <n v="41.7"/>
    <n v="37.299999999999997"/>
    <n v="89.8"/>
    <n v="89.6"/>
    <n v="29.8"/>
    <n v="29.5"/>
    <n v="33.200000000000003"/>
    <n v="32.9"/>
    <n v="278"/>
    <n v="239"/>
    <n v="15.1"/>
    <n v="14.6"/>
    <s v="-"/>
    <n v="0.56999999999999995"/>
    <n v="5.63"/>
    <n v="5.0999999999999996"/>
    <n v="47.6"/>
    <n v="65"/>
    <n v="30.7"/>
    <n v="20.2"/>
    <n v="11.3"/>
    <n v="12.4"/>
    <n v="8.8000000000000007"/>
    <n v="2"/>
    <n v="1.6"/>
    <n v="0.4"/>
    <x v="0"/>
    <x v="1"/>
    <n v="56.283344999999997"/>
    <n v="62.35"/>
    <n v="169"/>
    <n v="52.58"/>
    <n v="44"/>
    <n v="38"/>
    <n v="9.73"/>
  </r>
  <r>
    <x v="3"/>
    <x v="7"/>
    <x v="80"/>
    <n v="28"/>
    <n v="81"/>
    <x v="0"/>
    <s v="XX"/>
    <s v="TT"/>
    <s v="DD"/>
    <s v="(+9,-9)"/>
    <n v="62.5"/>
    <n v="37.5"/>
    <n v="468"/>
    <n v="3200"/>
    <n v="38"/>
    <n v="135"/>
    <n v="1.2"/>
    <n v="5"/>
    <n v="265"/>
    <n v="881"/>
    <n v="62"/>
    <n v="156"/>
    <n v="4.0999999999999996"/>
    <n v="5.2"/>
    <n v="44"/>
    <n v="51"/>
    <n v="18"/>
    <n v="21"/>
    <n v="6.5"/>
    <n v="10"/>
    <n v="106.45183652429932"/>
    <n v="77.700020894732489"/>
    <n v="43"/>
    <n v="65"/>
    <n v="1"/>
    <n v="1.3"/>
    <n v="0.30000000000000004"/>
    <n v="4"/>
    <n v="6.1"/>
    <n v="7.4"/>
    <n v="9.4"/>
    <n v="69"/>
    <n v="130"/>
    <n v="8.6999999999999993"/>
    <n v="9.9"/>
    <n v="4.4000000000000004"/>
    <n v="5.3"/>
    <n v="102"/>
    <n v="102"/>
    <n v="139"/>
    <n v="140"/>
    <n v="2"/>
    <n v="2.2999999999999998"/>
    <n v="102"/>
    <n v="94"/>
    <n v="294.40733333333338"/>
    <n v="301.608"/>
    <n v="4.8099999999999996"/>
    <n v="5.41"/>
    <n v="14.4"/>
    <n v="13.2"/>
    <n v="44.5"/>
    <n v="41.2"/>
    <n v="92.5"/>
    <n v="92.8"/>
    <n v="29.9"/>
    <n v="29.7"/>
    <n v="32.4"/>
    <n v="32"/>
    <n v="231"/>
    <n v="220"/>
    <n v="15.5"/>
    <n v="14"/>
    <s v="-"/>
    <n v="1.67"/>
    <n v="7.97"/>
    <n v="5.01"/>
    <n v="70.8"/>
    <n v="54.3"/>
    <n v="17.8"/>
    <n v="33.4"/>
    <n v="7.4"/>
    <n v="8.9"/>
    <n v="3.1"/>
    <n v="2.2999999999999998"/>
    <n v="0.9"/>
    <n v="1.1000000000000001"/>
    <x v="1"/>
    <x v="1"/>
    <n v="76.552520000000001"/>
    <n v="83.6"/>
    <n v="175"/>
    <n v="50.56"/>
    <n v="54"/>
    <n v="42"/>
    <n v="8.43"/>
  </r>
  <r>
    <x v="4"/>
    <x v="0"/>
    <x v="81"/>
    <s v="-"/>
    <n v="55.4"/>
    <x v="3"/>
    <s v="-"/>
    <s v="-"/>
    <s v="-"/>
    <s v="-"/>
    <s v="-"/>
    <s v="-"/>
    <n v="553"/>
    <n v="1450"/>
    <s v="-"/>
    <s v="-"/>
    <n v="4.3"/>
    <n v="2.9"/>
    <n v="218"/>
    <n v="398"/>
    <n v="46"/>
    <n v="103"/>
    <n v="4.7"/>
    <n v="4.8"/>
    <n v="30"/>
    <n v="71"/>
    <n v="22"/>
    <n v="20"/>
    <n v="5.3"/>
    <n v="5"/>
    <n v="130.32381263076621"/>
    <n v="120.79866842153496"/>
    <n v="47"/>
    <n v="39"/>
    <n v="0.7"/>
    <n v="0.9"/>
    <n v="0.20000000000000007"/>
    <n v="4"/>
    <n v="4.5"/>
    <n v="7.8"/>
    <n v="7.3"/>
    <n v="28"/>
    <n v="30"/>
    <n v="8"/>
    <n v="9.1"/>
    <n v="4.4000000000000004"/>
    <n v="3.8"/>
    <n v="98"/>
    <n v="83"/>
    <n v="137"/>
    <n v="136"/>
    <n v="2.2999999999999998"/>
    <n v="2.2999999999999998"/>
    <n v="102"/>
    <n v="100"/>
    <n v="291.09844444444445"/>
    <n v="285.83077777777783"/>
    <n v="5.25"/>
    <n v="4.47"/>
    <n v="15.6"/>
    <n v="13.3"/>
    <n v="46.8"/>
    <n v="40.299999999999997"/>
    <n v="89.2"/>
    <n v="90.1"/>
    <n v="29.7"/>
    <n v="29.8"/>
    <n v="33.299999999999997"/>
    <n v="33.1"/>
    <n v="248"/>
    <n v="349"/>
    <n v="12"/>
    <n v="12.6"/>
    <s v="-"/>
    <s v="-"/>
    <n v="7.24"/>
    <n v="10.93"/>
    <n v="0.60499999999999998"/>
    <n v="75.099999999999994"/>
    <n v="29"/>
    <n v="17.3"/>
    <n v="7.17"/>
    <n v="5.9"/>
    <n v="2.38"/>
    <n v="1.4"/>
    <n v="0.9365"/>
    <n v="0.3"/>
    <x v="0"/>
    <x v="1"/>
    <n v="73.156725000000009"/>
    <n v="81.150000000000006"/>
    <n v="178.5"/>
    <s v="51,41"/>
    <n v="56"/>
    <n v="50"/>
    <s v="9,85"/>
  </r>
  <r>
    <x v="4"/>
    <x v="0"/>
    <x v="82"/>
    <n v="25"/>
    <n v="73.099999999999994"/>
    <x v="0"/>
    <s v="-"/>
    <s v="-"/>
    <s v="-"/>
    <s v="-"/>
    <s v="-"/>
    <s v="-"/>
    <n v="292"/>
    <n v="5109"/>
    <s v="-"/>
    <s v="-"/>
    <n v="4.4000000000000004"/>
    <n v="2.6"/>
    <n v="260"/>
    <n v="595"/>
    <n v="47"/>
    <n v="231"/>
    <n v="5.4"/>
    <n v="4.0999999999999996"/>
    <n v="36"/>
    <n v="134"/>
    <n v="26"/>
    <n v="23"/>
    <n v="5.0999999999999996"/>
    <n v="4.5999999999999996"/>
    <n v="125.17286966375688"/>
    <n v="124.70415076869705"/>
    <n v="49"/>
    <n v="37"/>
    <n v="0.8"/>
    <n v="0.81"/>
    <n v="1.0000000000000009E-2"/>
    <n v="4.0999999999999996"/>
    <n v="3.4"/>
    <n v="9.4"/>
    <n v="6.4"/>
    <n v="20"/>
    <n v="29"/>
    <n v="9.4"/>
    <n v="8.8000000000000007"/>
    <n v="5.2"/>
    <n v="4.2"/>
    <n v="112"/>
    <n v="114"/>
    <n v="149"/>
    <n v="135"/>
    <n v="2.6"/>
    <n v="2.1"/>
    <n v="107"/>
    <n v="102"/>
    <n v="316.13422222222226"/>
    <n v="286.36200000000002"/>
    <n v="5.48"/>
    <n v="4.3600000000000003"/>
    <n v="16"/>
    <n v="13.1"/>
    <n v="49.3"/>
    <n v="39.6"/>
    <n v="90"/>
    <n v="90.7"/>
    <n v="29.7"/>
    <n v="30.1"/>
    <n v="32.5"/>
    <n v="33.200000000000003"/>
    <n v="215"/>
    <n v="235"/>
    <n v="11.7"/>
    <n v="12.4"/>
    <s v="-"/>
    <s v="-"/>
    <n v="6.84"/>
    <n v="10.19"/>
    <n v="60.9"/>
    <n v="78.599999999999994"/>
    <n v="1.83"/>
    <n v="12.3"/>
    <n v="9.14"/>
    <n v="8.3000000000000007"/>
    <n v="2.0299999999999998"/>
    <n v="0.6"/>
    <n v="1.1599999999999999"/>
    <n v="0.2"/>
    <x v="0"/>
    <x v="1"/>
    <n v="63.201930000000004"/>
    <n v="75.900000000000006"/>
    <n v="179"/>
    <s v="51,73"/>
    <n v="52"/>
    <n v="58"/>
    <s v="16,73"/>
  </r>
  <r>
    <x v="4"/>
    <x v="0"/>
    <x v="83"/>
    <n v="25"/>
    <n v="75.3"/>
    <x v="0"/>
    <s v="-"/>
    <s v="-"/>
    <s v="-"/>
    <s v="-"/>
    <s v="-"/>
    <s v="-"/>
    <n v="488"/>
    <n v="2528"/>
    <s v="-"/>
    <s v="-"/>
    <n v="4"/>
    <n v="2.8"/>
    <n v="227"/>
    <n v="430"/>
    <n v="55"/>
    <n v="159"/>
    <n v="5.4"/>
    <n v="4.5999999999999996"/>
    <n v="35"/>
    <n v="72"/>
    <n v="26"/>
    <n v="20"/>
    <n v="4.2"/>
    <n v="3.9"/>
    <n v="120.79866842153496"/>
    <s v="Dados Insuficientes"/>
    <n v="46"/>
    <n v="44"/>
    <n v="0.9"/>
    <s v="-"/>
    <s v="Dados Insuficientes"/>
    <n v="4.3"/>
    <n v="3.9"/>
    <n v="8.9"/>
    <n v="6.5"/>
    <n v="11"/>
    <n v="35"/>
    <n v="9.1"/>
    <n v="9"/>
    <n v="4.4000000000000004"/>
    <n v="4.0999999999999996"/>
    <n v="115"/>
    <n v="118"/>
    <n v="146"/>
    <n v="136"/>
    <n v="2.2000000000000002"/>
    <n v="1.9"/>
    <n v="106"/>
    <n v="104"/>
    <n v="308.75788888888894"/>
    <n v="289.45822222222222"/>
    <n v="4.9000000000000004"/>
    <s v="-"/>
    <n v="14.3"/>
    <s v="-"/>
    <n v="44.4"/>
    <s v="-"/>
    <n v="90.6"/>
    <s v="-"/>
    <n v="29.3"/>
    <s v="-"/>
    <n v="32.299999999999997"/>
    <s v="-"/>
    <n v="206"/>
    <s v="-"/>
    <n v="11.7"/>
    <s v="-"/>
    <s v="-"/>
    <s v="-"/>
    <n v="7.1"/>
    <s v="-"/>
    <n v="63.8"/>
    <s v="-"/>
    <n v="23.5"/>
    <s v="-"/>
    <n v="7.59"/>
    <s v="-"/>
    <n v="3.88"/>
    <s v="-"/>
    <n v="1.24"/>
    <s v="-"/>
    <x v="2"/>
    <x v="1"/>
    <n v="69.765299999999996"/>
    <n v="78.3"/>
    <n v="173"/>
    <s v="52,21"/>
    <n v="58"/>
    <n v="54"/>
    <s v="10,90"/>
  </r>
  <r>
    <x v="4"/>
    <x v="0"/>
    <x v="84"/>
    <n v="24"/>
    <n v="75.7"/>
    <x v="1"/>
    <s v="-"/>
    <s v="-"/>
    <s v="-"/>
    <s v="-"/>
    <s v="-"/>
    <s v="-"/>
    <n v="600"/>
    <n v="4243"/>
    <s v="-"/>
    <s v="-"/>
    <n v="3.3"/>
    <n v="2.5"/>
    <n v="212"/>
    <n v="555"/>
    <n v="42"/>
    <n v="133"/>
    <n v="4.5999999999999996"/>
    <n v="4.9000000000000004"/>
    <n v="61"/>
    <n v="142"/>
    <n v="16"/>
    <n v="59"/>
    <n v="4.8"/>
    <n v="5.7"/>
    <n v="130.32381263076621"/>
    <n v="74.925111914950691"/>
    <n v="36"/>
    <n v="32"/>
    <n v="0.7"/>
    <n v="1.34"/>
    <n v="0.64000000000000012"/>
    <n v="4"/>
    <n v="3.5"/>
    <n v="7.6"/>
    <n v="7.3"/>
    <n v="46"/>
    <n v="34"/>
    <n v="7.8"/>
    <n v="9.1"/>
    <n v="5.4"/>
    <n v="4.4000000000000004"/>
    <n v="104"/>
    <n v="139"/>
    <n v="135"/>
    <n v="139"/>
    <n v="2"/>
    <n v="1.9"/>
    <n v="102"/>
    <n v="107"/>
    <n v="287.78844444444445"/>
    <n v="294.93788888888889"/>
    <n v="4.9000000000000004"/>
    <n v="4.17"/>
    <n v="14.6"/>
    <n v="12.6"/>
    <n v="44.6"/>
    <n v="37.9"/>
    <n v="91.1"/>
    <n v="90.9"/>
    <n v="29.8"/>
    <n v="30.2"/>
    <n v="32.700000000000003"/>
    <n v="33.299999999999997"/>
    <n v="228"/>
    <n v="267"/>
    <n v="11.7"/>
    <n v="12.2"/>
    <s v="-"/>
    <s v="-"/>
    <n v="5.32"/>
    <n v="9.2200000000000006"/>
    <n v="48.2"/>
    <n v="76.3"/>
    <n v="38"/>
    <n v="15.2"/>
    <n v="7.42"/>
    <n v="6.4"/>
    <n v="4.82"/>
    <n v="2"/>
    <n v="1.57"/>
    <n v="0.1"/>
    <x v="1"/>
    <x v="1"/>
    <n v="69.677400000000006"/>
    <n v="78"/>
    <n v="178"/>
    <s v="52,07"/>
    <n v="56"/>
    <n v="56"/>
    <s v="10,67"/>
  </r>
  <r>
    <x v="4"/>
    <x v="0"/>
    <x v="85"/>
    <n v="34"/>
    <n v="80.099999999999994"/>
    <x v="0"/>
    <s v="-"/>
    <s v="-"/>
    <s v="-"/>
    <s v="-"/>
    <s v="-"/>
    <s v="-"/>
    <n v="292"/>
    <n v="1958"/>
    <s v="-"/>
    <s v="-"/>
    <n v="3.4"/>
    <n v="2.7"/>
    <n v="192"/>
    <n v="346"/>
    <n v="38"/>
    <n v="97"/>
    <n v="4.3"/>
    <n v="4.5999999999999996"/>
    <n v="34"/>
    <n v="67"/>
    <n v="17"/>
    <n v="17"/>
    <n v="6.5"/>
    <n v="7"/>
    <n v="106.45183652429932"/>
    <n v="129.21977216031021"/>
    <n v="35"/>
    <n v="37"/>
    <n v="1"/>
    <n v="0.72"/>
    <n v="0"/>
    <n v="3.3"/>
    <n v="4.0999999999999996"/>
    <n v="7.4"/>
    <n v="7"/>
    <n v="60"/>
    <n v="60"/>
    <n v="7.7"/>
    <n v="8.9"/>
    <n v="4.7"/>
    <n v="4.0999999999999996"/>
    <n v="108"/>
    <n v="125"/>
    <n v="136"/>
    <n v="138"/>
    <n v="2.2000000000000002"/>
    <n v="2.1"/>
    <n v="102"/>
    <n v="104"/>
    <n v="288.43533333333329"/>
    <n v="292.45877777777775"/>
    <n v="5.87"/>
    <s v="-"/>
    <n v="13"/>
    <s v="-"/>
    <n v="44"/>
    <s v="-"/>
    <n v="74.900000000000006"/>
    <s v="-"/>
    <n v="22.2"/>
    <s v="-"/>
    <n v="29.6"/>
    <s v="-"/>
    <n v="247"/>
    <s v="-"/>
    <n v="12.2"/>
    <s v="-"/>
    <s v="-"/>
    <s v="-"/>
    <n v="9.11"/>
    <s v="-"/>
    <n v="60.3"/>
    <s v="-"/>
    <n v="26.1"/>
    <s v="-"/>
    <n v="8"/>
    <s v="-"/>
    <n v="4.43"/>
    <s v="-"/>
    <n v="1.21"/>
    <s v="-"/>
    <x v="0"/>
    <x v="1"/>
    <n v="65.063019999999995"/>
    <n v="81.400000000000006"/>
    <n v="178.5"/>
    <s v="47,31"/>
    <n v="52"/>
    <n v="52"/>
    <s v="20,07"/>
  </r>
  <r>
    <x v="4"/>
    <x v="0"/>
    <x v="86"/>
    <n v="32"/>
    <n v="77.3"/>
    <x v="1"/>
    <s v="-"/>
    <s v="-"/>
    <s v="-"/>
    <s v="-"/>
    <s v="-"/>
    <s v="-"/>
    <n v="671"/>
    <n v="1635"/>
    <s v="-"/>
    <s v="-"/>
    <s v="-"/>
    <n v="2.4"/>
    <n v="206"/>
    <n v="338"/>
    <n v="49"/>
    <n v="82"/>
    <n v="5"/>
    <n v="4.9000000000000004"/>
    <n v="30"/>
    <n v="56"/>
    <n v="16"/>
    <n v="25"/>
    <n v="5.5"/>
    <n v="5"/>
    <n v="125.17286966375688"/>
    <n v="127.63649903357638"/>
    <n v="4.8"/>
    <n v="50"/>
    <n v="0.8"/>
    <n v="0.75"/>
    <n v="0"/>
    <n v="3.8"/>
    <n v="3.7"/>
    <n v="8.5"/>
    <n v="7.6"/>
    <n v="47"/>
    <n v="56"/>
    <n v="8.9"/>
    <n v="9.9"/>
    <n v="5"/>
    <n v="4.4000000000000004"/>
    <n v="89"/>
    <n v="94"/>
    <n v="145"/>
    <n v="142"/>
    <n v="2.2000000000000002"/>
    <n v="2.2000000000000002"/>
    <n v="108"/>
    <n v="107"/>
    <n v="299.48611111111114"/>
    <n v="300.64288888888888"/>
    <n v="5.12"/>
    <s v="-"/>
    <n v="13.9"/>
    <s v="-"/>
    <n v="42.8"/>
    <s v="-"/>
    <n v="83.6"/>
    <s v="-"/>
    <n v="27.3"/>
    <s v="-"/>
    <n v="32.6"/>
    <s v="-"/>
    <n v="230"/>
    <s v="-"/>
    <n v="12.8"/>
    <s v="-"/>
    <s v="-"/>
    <s v="-"/>
    <n v="3.93"/>
    <s v="-"/>
    <n v="55.2"/>
    <s v="-"/>
    <n v="33.200000000000003"/>
    <s v="-"/>
    <n v="10.4"/>
    <s v="-"/>
    <n v="0.53300000000000003"/>
    <s v="-"/>
    <n v="0.56100000000000005"/>
    <s v="-"/>
    <x v="0"/>
    <x v="1"/>
    <n v="67.988160000000008"/>
    <n v="77.400000000000006"/>
    <n v="172"/>
    <s v="50,97"/>
    <n v="52"/>
    <n v="56"/>
    <s v="12,16"/>
  </r>
  <r>
    <x v="4"/>
    <x v="0"/>
    <x v="87"/>
    <n v="33"/>
    <n v="89.6"/>
    <x v="1"/>
    <s v="-"/>
    <s v="-"/>
    <s v="-"/>
    <s v="-"/>
    <s v="-"/>
    <s v="-"/>
    <n v="672"/>
    <n v="3232"/>
    <s v="-"/>
    <s v="-"/>
    <s v="-"/>
    <n v="3.9"/>
    <n v="222"/>
    <n v="495"/>
    <n v="62"/>
    <n v="175"/>
    <n v="4.9000000000000004"/>
    <n v="4.4000000000000004"/>
    <n v="39"/>
    <n v="142"/>
    <n v="17"/>
    <n v="25"/>
    <n v="6.8"/>
    <n v="5"/>
    <n v="106.45183652429932"/>
    <s v="Dados Insuficientes"/>
    <n v="45"/>
    <n v="43"/>
    <n v="1"/>
    <s v="-"/>
    <s v="Dados Insuficientes"/>
    <n v="3.9"/>
    <n v="3.5"/>
    <n v="8.4"/>
    <n v="6.4"/>
    <n v="10"/>
    <n v="21"/>
    <n v="8.8000000000000007"/>
    <n v="8.8000000000000007"/>
    <n v="4.5999999999999996"/>
    <n v="4.5"/>
    <n v="102"/>
    <n v="119"/>
    <n v="145"/>
    <n v="138"/>
    <n v="2.1"/>
    <n v="2.1"/>
    <n v="111"/>
    <n v="105"/>
    <n v="306.27266666666668"/>
    <n v="293.81944444444446"/>
    <n v="5.31"/>
    <n v="4.58"/>
    <n v="15.1"/>
    <n v="12.6"/>
    <n v="45.8"/>
    <n v="38.299999999999997"/>
    <n v="86.2"/>
    <n v="83.7"/>
    <n v="28.3"/>
    <n v="27.6"/>
    <n v="32.9"/>
    <n v="33"/>
    <n v="266"/>
    <n v="296"/>
    <n v="12.1"/>
    <n v="13.6"/>
    <s v="-"/>
    <s v="-"/>
    <n v="8.69"/>
    <n v="10.11"/>
    <n v="66.099999999999994"/>
    <n v="78.3"/>
    <n v="22.9"/>
    <n v="15.2"/>
    <n v="6.86"/>
    <n v="6.2"/>
    <n v="3.18"/>
    <n v="0.1"/>
    <n v="0.96599999999999997"/>
    <n v="0.2"/>
    <x v="2"/>
    <x v="1"/>
    <n v="76.278030000000001"/>
    <n v="91.1"/>
    <n v="182"/>
    <s v="47,64"/>
    <n v="64"/>
    <n v="64"/>
    <s v="16,27"/>
  </r>
  <r>
    <x v="4"/>
    <x v="0"/>
    <x v="88"/>
    <n v="34"/>
    <n v="79.400000000000006"/>
    <x v="1"/>
    <s v="-"/>
    <s v="-"/>
    <s v="-"/>
    <s v="-"/>
    <s v="-"/>
    <s v="-"/>
    <n v="204"/>
    <n v="2750"/>
    <s v="-"/>
    <s v="-"/>
    <n v="4.5999999999999996"/>
    <n v="3.2"/>
    <n v="224"/>
    <n v="659"/>
    <n v="26"/>
    <n v="100"/>
    <n v="4.2"/>
    <n v="4.8"/>
    <n v="29"/>
    <n v="92"/>
    <n v="46"/>
    <n v="92"/>
    <n v="4.7"/>
    <n v="5.9"/>
    <n v="120.79866842153496"/>
    <n v="86.396630404528494"/>
    <n v="29"/>
    <n v="35"/>
    <n v="0.9"/>
    <n v="1.19"/>
    <n v="0.28999999999999992"/>
    <n v="3"/>
    <n v="3.9"/>
    <n v="6.6"/>
    <n v="7"/>
    <n v="12"/>
    <n v="10"/>
    <n v="8.6"/>
    <n v="9.4"/>
    <n v="4.9000000000000004"/>
    <n v="3.8"/>
    <n v="127"/>
    <n v="98"/>
    <n v="134"/>
    <n v="139"/>
    <n v="1.8"/>
    <n v="2.1"/>
    <n v="100"/>
    <n v="104"/>
    <n v="285.30122222222224"/>
    <n v="291.7024444444445"/>
    <n v="5.7"/>
    <s v="-"/>
    <n v="15"/>
    <s v="-"/>
    <n v="49.1"/>
    <s v="-"/>
    <n v="86.2"/>
    <s v="-"/>
    <n v="26.4"/>
    <s v="-"/>
    <n v="30.6"/>
    <s v="-"/>
    <n v="221"/>
    <s v="-"/>
    <n v="14"/>
    <s v="-"/>
    <s v="-"/>
    <s v="-"/>
    <n v="7.24"/>
    <s v="-"/>
    <n v="87"/>
    <s v="-"/>
    <n v="10.1"/>
    <s v="-"/>
    <n v="2.3199999999999998"/>
    <s v="-"/>
    <n v="0.23499999999999999"/>
    <s v="-"/>
    <n v="0.34499999999999997"/>
    <s v="-"/>
    <x v="0"/>
    <x v="1"/>
    <n v="64.173225000000002"/>
    <n v="84.25"/>
    <n v="177"/>
    <s v="48,78"/>
    <s v="-"/>
    <s v="-"/>
    <s v="23,83"/>
  </r>
  <r>
    <x v="4"/>
    <x v="0"/>
    <x v="89"/>
    <n v="33"/>
    <n v="68.099999999999994"/>
    <x v="1"/>
    <s v="-"/>
    <s v="-"/>
    <s v="-"/>
    <s v="-"/>
    <s v="-"/>
    <s v="-"/>
    <n v="846"/>
    <n v="5554"/>
    <s v="-"/>
    <s v="-"/>
    <n v="2.9"/>
    <n v="3.3"/>
    <n v="193"/>
    <n v="511"/>
    <n v="60"/>
    <n v="271"/>
    <n v="4.8"/>
    <n v="4.9000000000000004"/>
    <n v="39"/>
    <n v="163"/>
    <n v="34"/>
    <n v="57"/>
    <n v="5.7"/>
    <n v="5.6"/>
    <n v="130.32381263076621"/>
    <n v="117.65428950348965"/>
    <n v="26"/>
    <n v="46"/>
    <n v="0.7"/>
    <n v="0.92"/>
    <n v="0.22000000000000008"/>
    <n v="3.2"/>
    <n v="3.5"/>
    <n v="7.8"/>
    <n v="7.8"/>
    <n v="26"/>
    <n v="87"/>
    <n v="9.1999999999999993"/>
    <n v="9.6"/>
    <n v="4.5999999999999996"/>
    <n v="4.7"/>
    <n v="105"/>
    <n v="94"/>
    <n v="135"/>
    <n v="141"/>
    <n v="1.9"/>
    <n v="2.1"/>
    <n v="98"/>
    <n v="103"/>
    <n v="284.69766666666663"/>
    <n v="298.67422222222223"/>
    <n v="4.41"/>
    <n v="4.92"/>
    <n v="13.5"/>
    <n v="13.2"/>
    <n v="42.4"/>
    <n v="41.8"/>
    <n v="96.1"/>
    <n v="85"/>
    <n v="30.7"/>
    <n v="26.9"/>
    <n v="31.9"/>
    <n v="31.6"/>
    <n v="176"/>
    <n v="273"/>
    <n v="11.9"/>
    <n v="14.3"/>
    <s v="-"/>
    <s v="-"/>
    <n v="4.43"/>
    <n v="13.44"/>
    <n v="71.099999999999994"/>
    <n v="82.1"/>
    <n v="17.7"/>
    <n v="11.4"/>
    <n v="9.44"/>
    <n v="6"/>
    <n v="0.72799999999999998"/>
    <n v="0.5"/>
    <n v="1.06"/>
    <n v="0"/>
    <x v="0"/>
    <x v="1"/>
    <n v="62.813019999999995"/>
    <n v="69.8"/>
    <n v="175"/>
    <s v="49,28"/>
    <n v="70"/>
    <n v="61"/>
    <s v="10,01"/>
  </r>
  <r>
    <x v="4"/>
    <x v="0"/>
    <x v="90"/>
    <n v="34"/>
    <n v="77.7"/>
    <x v="1"/>
    <s v="-"/>
    <s v="-"/>
    <s v="-"/>
    <s v="-"/>
    <s v="-"/>
    <s v="-"/>
    <n v="374"/>
    <n v="3380"/>
    <s v="-"/>
    <s v="-"/>
    <n v="4"/>
    <n v="4.3"/>
    <n v="173"/>
    <n v="476"/>
    <n v="30"/>
    <n v="105"/>
    <n v="3.9"/>
    <n v="4.7"/>
    <n v="24"/>
    <n v="80"/>
    <n v="19"/>
    <n v="19"/>
    <n v="4.3"/>
    <n v="4.8"/>
    <n v="125.17286966375688"/>
    <n v="120.79866842153496"/>
    <n v="22"/>
    <n v="33"/>
    <n v="0.8"/>
    <n v="0.9"/>
    <n v="9.9999999999999978E-2"/>
    <n v="2.5"/>
    <n v="4"/>
    <n v="6.4"/>
    <n v="7"/>
    <n v="29"/>
    <n v="27"/>
    <n v="7.2"/>
    <n v="9"/>
    <n v="4.5"/>
    <n v="4.5"/>
    <n v="78"/>
    <n v="92"/>
    <n v="134"/>
    <n v="139"/>
    <n v="2.1"/>
    <n v="2.4"/>
    <n v="102"/>
    <n v="105"/>
    <n v="280.26000000000005"/>
    <n v="292.28777777777782"/>
    <n v="4.92"/>
    <s v="-"/>
    <n v="15.4"/>
    <s v="-"/>
    <n v="48.2"/>
    <s v="-"/>
    <n v="98"/>
    <s v="-"/>
    <n v="31.2"/>
    <s v="-"/>
    <n v="31.8"/>
    <s v="-"/>
    <n v="234"/>
    <s v="-"/>
    <n v="13.5"/>
    <s v="-"/>
    <s v="-"/>
    <s v="-"/>
    <n v="4.46"/>
    <s v="-"/>
    <n v="43.4"/>
    <s v="-"/>
    <n v="46.4"/>
    <s v="-"/>
    <n v="7.76"/>
    <s v="-"/>
    <n v="0.93899999999999995"/>
    <s v="-"/>
    <n v="1.48"/>
    <s v="-"/>
    <x v="0"/>
    <x v="1"/>
    <n v="67.389839999999992"/>
    <n v="75.599999999999994"/>
    <n v="177"/>
    <s v="53,53"/>
    <n v="60"/>
    <n v="59"/>
    <s v="10,86"/>
  </r>
  <r>
    <x v="4"/>
    <x v="0"/>
    <x v="91"/>
    <n v="32"/>
    <n v="81.7"/>
    <x v="1"/>
    <s v="-"/>
    <s v="-"/>
    <s v="-"/>
    <s v="-"/>
    <s v="-"/>
    <s v="-"/>
    <n v="1276"/>
    <n v="2440"/>
    <s v="-"/>
    <s v="-"/>
    <n v="3.1"/>
    <n v="2.9"/>
    <n v="2.5"/>
    <n v="530"/>
    <n v="94"/>
    <n v="138"/>
    <n v="5.0999999999999996"/>
    <n v="4.5"/>
    <n v="49"/>
    <n v="119"/>
    <n v="30"/>
    <n v="28"/>
    <n v="3.4"/>
    <n v="5.0999999999999996"/>
    <n v="120.79866842153496"/>
    <n v="107.74346167952015"/>
    <n v="28"/>
    <n v="37"/>
    <n v="0.9"/>
    <n v="0.99"/>
    <n v="8.9999999999999969E-2"/>
    <n v="4.0999999999999996"/>
    <n v="4.5999999999999996"/>
    <n v="8.1999999999999993"/>
    <n v="6.8"/>
    <n v="46"/>
    <n v="74"/>
    <n v="8.6999999999999993"/>
    <n v="9.1999999999999993"/>
    <n v="5"/>
    <n v="4.3"/>
    <n v="97"/>
    <n v="104"/>
    <n v="141"/>
    <n v="140"/>
    <n v="2.2000000000000002"/>
    <n v="2.2000000000000002"/>
    <n v="108"/>
    <n v="104"/>
    <n v="296.42388888888888"/>
    <n v="295.20911111111116"/>
    <n v="6.28"/>
    <n v="4.3499999999999996"/>
    <n v="13.6"/>
    <n v="13.9"/>
    <n v="46.1"/>
    <n v="42.1"/>
    <n v="73.400000000000006"/>
    <n v="96.8"/>
    <n v="21.7"/>
    <n v="31.9"/>
    <n v="29.5"/>
    <n v="33"/>
    <n v="279"/>
    <n v="280"/>
    <n v="13.2"/>
    <n v="13.2"/>
    <s v="-"/>
    <s v="-"/>
    <n v="9.3699999999999992"/>
    <n v="9.75"/>
    <n v="80.400000000000006"/>
    <n v="75.099999999999994"/>
    <n v="11.2"/>
    <n v="18.7"/>
    <n v="7.76"/>
    <n v="5.6"/>
    <n v="3.6999999999999998E-2"/>
    <n v="0.5"/>
    <n v="0.52800000000000002"/>
    <n v="0.1"/>
    <x v="0"/>
    <x v="1"/>
    <n v="63.856044999999995"/>
    <n v="79.849999999999994"/>
    <n v="178.5"/>
    <s v="47,85"/>
    <n v="50"/>
    <n v="56"/>
    <s v="20,03"/>
  </r>
  <r>
    <x v="4"/>
    <x v="0"/>
    <x v="92"/>
    <n v="30"/>
    <n v="73.900000000000006"/>
    <x v="1"/>
    <s v="-"/>
    <s v="-"/>
    <s v="-"/>
    <s v="-"/>
    <s v="-"/>
    <s v="-"/>
    <n v="714"/>
    <n v="9503"/>
    <s v="-"/>
    <s v="-"/>
    <n v="2.1"/>
    <n v="2.8"/>
    <n v="238"/>
    <n v="864"/>
    <n v="54"/>
    <n v="386"/>
    <n v="5"/>
    <n v="4.5"/>
    <n v="40"/>
    <n v="203"/>
    <n v="22"/>
    <n v="50"/>
    <n v="3.5"/>
    <n v="4.8"/>
    <n v="71.088527013625097"/>
    <s v="Dados Insuficientes"/>
    <n v="28"/>
    <n v="67"/>
    <n v="1.4"/>
    <s v="-"/>
    <s v="Dados Insuficientes"/>
    <n v="4.5"/>
    <n v="4.0999999999999996"/>
    <n v="8.1999999999999993"/>
    <n v="6.8"/>
    <n v="26"/>
    <n v="33"/>
    <n v="8.9"/>
    <n v="9"/>
    <n v="4.8"/>
    <n v="4.5"/>
    <n v="106"/>
    <n v="98"/>
    <n v="143"/>
    <n v="135"/>
    <n v="2"/>
    <n v="1.9"/>
    <n v="109"/>
    <n v="102"/>
    <n v="300.34688888888894"/>
    <n v="290.89777777777783"/>
    <n v="5.68"/>
    <n v="5.53"/>
    <n v="14.2"/>
    <n v="12.7"/>
    <n v="45.4"/>
    <n v="39.6"/>
    <n v="79.8"/>
    <n v="71.5"/>
    <n v="25"/>
    <n v="22.9"/>
    <n v="31.4"/>
    <n v="32"/>
    <n v="262"/>
    <n v="312"/>
    <n v="12.8"/>
    <n v="14.2"/>
    <s v="-"/>
    <s v="-"/>
    <n v="5.13"/>
    <n v="13.82"/>
    <n v="70.5"/>
    <n v="80.099999999999994"/>
    <n v="19.8"/>
    <n v="10.7"/>
    <n v="7.3"/>
    <n v="9.1"/>
    <n v="0.36899999999999999"/>
    <n v="0.4"/>
    <n v="1.98"/>
    <n v="0.1"/>
    <x v="2"/>
    <x v="1"/>
    <n v="68.712220000000002"/>
    <n v="73.900000000000006"/>
    <n v="188"/>
    <s v="50,44"/>
    <n v="43"/>
    <n v="47"/>
    <s v="7,02"/>
  </r>
  <r>
    <x v="4"/>
    <x v="0"/>
    <x v="93"/>
    <n v="32"/>
    <n v="69.2"/>
    <x v="0"/>
    <s v="-"/>
    <s v="-"/>
    <s v="-"/>
    <s v="-"/>
    <s v="-"/>
    <s v="-"/>
    <n v="389"/>
    <n v="4570"/>
    <s v="-"/>
    <s v="-"/>
    <n v="3"/>
    <n v="3.7"/>
    <n v="225"/>
    <n v="485"/>
    <n v="34"/>
    <n v="213"/>
    <n v="5.5"/>
    <n v="4.3"/>
    <n v="28"/>
    <n v="109"/>
    <n v="25"/>
    <n v="39"/>
    <n v="5.9"/>
    <n v="6.3"/>
    <n v="125.17286966375688"/>
    <s v="Dados Insuficientes"/>
    <n v="39"/>
    <n v="37"/>
    <n v="0.8"/>
    <s v="-"/>
    <s v="Dados Insuficientes"/>
    <n v="4.2"/>
    <n v="3.8"/>
    <n v="8.4"/>
    <n v="6.9"/>
    <n v="47"/>
    <n v="27"/>
    <n v="9.1"/>
    <n v="9.4"/>
    <n v="5"/>
    <n v="3.9"/>
    <n v="86"/>
    <n v="130"/>
    <n v="148"/>
    <n v="139"/>
    <n v="2.2999999999999998"/>
    <n v="2.1"/>
    <n v="110"/>
    <n v="105"/>
    <n v="310.57444444444451"/>
    <n v="294.26622222222227"/>
    <n v="5.71"/>
    <s v="-"/>
    <n v="15.7"/>
    <s v="-"/>
    <n v="48.5"/>
    <s v="-"/>
    <n v="84.9"/>
    <s v="-"/>
    <n v="27.5"/>
    <s v="-"/>
    <n v="32.4"/>
    <s v="-"/>
    <n v="218"/>
    <s v="-"/>
    <n v="11.3"/>
    <s v="-"/>
    <s v="-"/>
    <s v="-"/>
    <n v="3.76"/>
    <s v="-"/>
    <n v="70.900000000000006"/>
    <s v="-"/>
    <n v="20.8"/>
    <s v="-"/>
    <n v="5.61"/>
    <s v="-"/>
    <n v="2.02"/>
    <s v="-"/>
    <n v="0.67200000000000004"/>
    <s v="-"/>
    <x v="2"/>
    <x v="1"/>
    <n v="63.499780000000001"/>
    <n v="71.3"/>
    <n v="175.5"/>
    <s v="49,72"/>
    <n v="59"/>
    <n v="58"/>
    <s v="10,94"/>
  </r>
  <r>
    <x v="4"/>
    <x v="0"/>
    <x v="94"/>
    <n v="33"/>
    <n v="83.4"/>
    <x v="1"/>
    <s v="-"/>
    <s v="-"/>
    <s v="-"/>
    <s v="-"/>
    <s v="-"/>
    <s v="-"/>
    <n v="391"/>
    <n v="1701"/>
    <s v="-"/>
    <s v="-"/>
    <n v="2.8"/>
    <n v="2.5"/>
    <n v="184"/>
    <n v="309"/>
    <n v="36"/>
    <n v="69"/>
    <n v="4.9000000000000004"/>
    <n v="3.9"/>
    <n v="27"/>
    <n v="49"/>
    <n v="28"/>
    <n v="22"/>
    <n v="3.5"/>
    <n v="4.4000000000000004"/>
    <n v="125.17286966375688"/>
    <n v="133.27342265464301"/>
    <n v="33"/>
    <n v="53"/>
    <n v="0.8"/>
    <n v="0.65"/>
    <n v="0"/>
    <n v="3.7"/>
    <n v="3.4"/>
    <n v="8.1999999999999993"/>
    <n v="6.3"/>
    <n v="74"/>
    <n v="38"/>
    <n v="8.4"/>
    <n v="8.3000000000000007"/>
    <n v="4.8"/>
    <n v="4.2"/>
    <n v="95"/>
    <n v="105"/>
    <n v="137"/>
    <n v="136"/>
    <n v="2.2000000000000002"/>
    <n v="2.1"/>
    <n v="103"/>
    <n v="105"/>
    <n v="289.3174444444445"/>
    <n v="290.31366666666662"/>
    <n v="5.07"/>
    <n v="4.0599999999999996"/>
    <n v="15"/>
    <n v="12.3"/>
    <n v="46"/>
    <n v="37.200000000000003"/>
    <n v="90.8"/>
    <n v="91.8"/>
    <n v="29.6"/>
    <n v="30.4"/>
    <n v="32.6"/>
    <n v="33.1"/>
    <n v="257"/>
    <n v="265"/>
    <n v="11.3"/>
    <n v="12.2"/>
    <s v="-"/>
    <s v="-"/>
    <n v="7.36"/>
    <n v="9.35"/>
    <n v="74.3"/>
    <n v="83.2"/>
    <n v="15.5"/>
    <n v="8.1"/>
    <n v="8.8800000000000008"/>
    <n v="7.9"/>
    <n v="0.23100000000000001"/>
    <n v="0.6"/>
    <n v="1.05"/>
    <n v="0.2"/>
    <x v="0"/>
    <x v="1"/>
    <n v="79.646280000000004"/>
    <n v="89.45"/>
    <n v="179"/>
    <s v="49,25"/>
    <n v="56"/>
    <n v="54"/>
    <s v="10,96"/>
  </r>
  <r>
    <x v="4"/>
    <x v="0"/>
    <x v="95"/>
    <n v="33"/>
    <n v="76.099999999999994"/>
    <x v="0"/>
    <s v="-"/>
    <s v="-"/>
    <s v="-"/>
    <s v="-"/>
    <s v="-"/>
    <s v="-"/>
    <n v="251"/>
    <n v="300"/>
    <s v="-"/>
    <s v="-"/>
    <n v="1.9"/>
    <n v="3.7"/>
    <n v="226"/>
    <n v="216"/>
    <n v="49"/>
    <n v="44"/>
    <n v="5.8"/>
    <n v="5.8"/>
    <n v="40"/>
    <n v="39"/>
    <n v="18"/>
    <n v="17"/>
    <n v="7.2"/>
    <n v="44964"/>
    <n v="125.17286966375688"/>
    <s v="Dados Insuficientes"/>
    <n v="42"/>
    <n v="45"/>
    <n v="0.8"/>
    <s v="-"/>
    <s v="Dados Insuficientes"/>
    <n v="5.3"/>
    <n v="45021"/>
    <n v="7"/>
    <n v="10.4"/>
    <n v="35"/>
    <n v="104"/>
    <n v="9.8000000000000007"/>
    <n v="11.8"/>
    <n v="5.5"/>
    <n v="5.6"/>
    <n v="90"/>
    <n v="96"/>
    <n v="149"/>
    <n v="172"/>
    <n v="2.2000000000000002"/>
    <n v="2.2000000000000002"/>
    <n v="109"/>
    <n v="131"/>
    <n v="314.12"/>
    <n v="357.96933333333334"/>
    <n v="5.32"/>
    <n v="4.82"/>
    <n v="15.2"/>
    <n v="13.9"/>
    <n v="47.3"/>
    <n v="42.5"/>
    <n v="88.9"/>
    <n v="88.3"/>
    <n v="28.5"/>
    <n v="28.9"/>
    <n v="32.1"/>
    <n v="32.700000000000003"/>
    <n v="179"/>
    <n v="196"/>
    <n v="11.8"/>
    <n v="12.1"/>
    <s v="-"/>
    <s v="-"/>
    <n v="6.33"/>
    <n v="10.36"/>
    <n v="49.6"/>
    <n v="56.6"/>
    <n v="35.5"/>
    <n v="35.799999999999997"/>
    <n v="11.7"/>
    <n v="5.6"/>
    <n v="1.43"/>
    <n v="2"/>
    <n v="1.8"/>
    <n v="0"/>
    <x v="2"/>
    <x v="0"/>
    <n v="63.732880000000009"/>
    <n v="76.400000000000006"/>
    <n v="175.5"/>
    <s v="50,68"/>
    <n v="53"/>
    <n v="50"/>
    <s v="16,58"/>
  </r>
  <r>
    <x v="4"/>
    <x v="0"/>
    <x v="96"/>
    <n v="30"/>
    <n v="91.5"/>
    <x v="1"/>
    <s v="-"/>
    <s v="-"/>
    <s v="-"/>
    <s v="-"/>
    <s v="-"/>
    <s v="-"/>
    <n v="829"/>
    <n v="1558"/>
    <s v="-"/>
    <s v="-"/>
    <n v="1.7"/>
    <n v="3.8"/>
    <n v="278"/>
    <n v="380"/>
    <n v="77"/>
    <n v="93"/>
    <n v="5.7"/>
    <n v="5.2"/>
    <n v="60"/>
    <n v="74"/>
    <n v="33"/>
    <n v="29"/>
    <n v="7.2"/>
    <n v="6.7"/>
    <n v="125.17286966375688"/>
    <s v="Dados Insuficientes"/>
    <n v="45"/>
    <n v="49"/>
    <n v="0.8"/>
    <s v="-"/>
    <s v="Dados Insuficientes"/>
    <n v="5"/>
    <n v="4.5"/>
    <n v="10.7"/>
    <n v="8.4"/>
    <n v="67"/>
    <n v="87"/>
    <n v="9.6999999999999993"/>
    <n v="9.6"/>
    <n v="5.9"/>
    <n v="4.7"/>
    <n v="110"/>
    <n v="103"/>
    <n v="152"/>
    <n v="141"/>
    <n v="2.2999999999999998"/>
    <n v="2.2000000000000002"/>
    <n v="111"/>
    <n v="106"/>
    <n v="322.22177777777779"/>
    <n v="299.74922222222227"/>
    <n v="5.2"/>
    <n v="4.58"/>
    <n v="15.2"/>
    <n v="13.5"/>
    <n v="46.9"/>
    <n v="41.5"/>
    <n v="90.3"/>
    <n v="90.8"/>
    <n v="29.2"/>
    <n v="29.5"/>
    <n v="32.299999999999997"/>
    <n v="32.5"/>
    <n v="307"/>
    <n v="371"/>
    <n v="12.5"/>
    <n v="13.1"/>
    <s v="-"/>
    <s v="-"/>
    <n v="6.36"/>
    <n v="12.54"/>
    <n v="62"/>
    <n v="82.7"/>
    <n v="30.9"/>
    <n v="13.6"/>
    <n v="3.89"/>
    <n v="3.1"/>
    <n v="2.0299999999999998"/>
    <n v="0.3"/>
    <n v="1.1599999999999999"/>
    <n v="0.3"/>
    <x v="2"/>
    <x v="1"/>
    <n v="76.103560000000002"/>
    <n v="88.4"/>
    <n v="183"/>
    <s v="49,52"/>
    <s v="-"/>
    <s v="-"/>
    <s v="13,91"/>
  </r>
  <r>
    <x v="4"/>
    <x v="0"/>
    <x v="97"/>
    <n v="35"/>
    <n v="77.099999999999994"/>
    <x v="1"/>
    <s v="-"/>
    <s v="-"/>
    <s v="-"/>
    <s v="-"/>
    <s v="-"/>
    <s v="-"/>
    <n v="751"/>
    <n v="7349"/>
    <s v="-"/>
    <s v="-"/>
    <n v="3"/>
    <n v="3.5"/>
    <n v="336"/>
    <n v="779"/>
    <n v="64"/>
    <n v="299"/>
    <n v="5.8"/>
    <n v="4.5999999999999996"/>
    <n v="80"/>
    <n v="277"/>
    <n v="38"/>
    <n v="31"/>
    <n v="6.2"/>
    <n v="5.2"/>
    <n v="106.45183652429932"/>
    <n v="54.017932393034584"/>
    <n v="37"/>
    <n v="42"/>
    <n v="1"/>
    <n v="1.76"/>
    <n v="0.76"/>
    <n v="3.6"/>
    <n v="4.0999999999999996"/>
    <n v="10"/>
    <n v="6.9"/>
    <n v="47"/>
    <n v="67"/>
    <n v="10.199999999999999"/>
    <n v="9.3000000000000007"/>
    <n v="5.0999999999999996"/>
    <n v="4.2"/>
    <n v="107"/>
    <n v="92"/>
    <n v="155"/>
    <n v="139"/>
    <n v="2.5"/>
    <n v="2.2999999999999998"/>
    <n v="116"/>
    <n v="103"/>
    <n v="324.7887777777778"/>
    <n v="293.22977777777777"/>
    <n v="5.25"/>
    <n v="4.8"/>
    <n v="15.9"/>
    <n v="14.5"/>
    <n v="47.6"/>
    <n v="44.5"/>
    <n v="90.6"/>
    <n v="92.7"/>
    <n v="30.2"/>
    <n v="30.2"/>
    <n v="33.299999999999997"/>
    <n v="32.6"/>
    <n v="190"/>
    <n v="212"/>
    <n v="12.1"/>
    <n v="13.2"/>
    <s v="-"/>
    <s v="-"/>
    <n v="5.6"/>
    <n v="8.77"/>
    <n v="68.900000000000006"/>
    <n v="70.599999999999994"/>
    <n v="22.2"/>
    <n v="18.600000000000001"/>
    <n v="7.41"/>
    <n v="8.6999999999999993"/>
    <n v="0.318"/>
    <n v="2"/>
    <n v="1.1499999999999999"/>
    <n v="0.1"/>
    <x v="1"/>
    <x v="1"/>
    <n v="64.97972"/>
    <n v="80.599999999999994"/>
    <n v="173"/>
    <s v="52,06"/>
    <n v="60"/>
    <n v="62"/>
    <s v="19,38"/>
  </r>
  <r>
    <x v="4"/>
    <x v="0"/>
    <x v="98"/>
    <n v="34"/>
    <n v="79.7"/>
    <x v="1"/>
    <s v="-"/>
    <s v="-"/>
    <s v="-"/>
    <s v="-"/>
    <s v="-"/>
    <s v="-"/>
    <n v="967"/>
    <n v="1876"/>
    <s v="-"/>
    <s v="-"/>
    <n v="3.9"/>
    <n v="3.5"/>
    <n v="253"/>
    <n v="447"/>
    <n v="57"/>
    <n v="83"/>
    <n v="4.9000000000000004"/>
    <n v="4.7"/>
    <n v="37"/>
    <n v="68"/>
    <n v="23"/>
    <n v="22"/>
    <n v="5.6"/>
    <n v="5.5"/>
    <n v="144.26282870151979"/>
    <s v="Dados Insuficientes"/>
    <n v="34"/>
    <n v="32"/>
    <n v="0.5"/>
    <s v="-"/>
    <s v="Dados Insuficientes"/>
    <n v="3.5"/>
    <n v="3.4"/>
    <n v="7.8"/>
    <n v="7"/>
    <n v="46"/>
    <n v="25"/>
    <n v="8.9"/>
    <n v="8.8000000000000007"/>
    <n v="5.2"/>
    <n v="4.3"/>
    <n v="99"/>
    <n v="133"/>
    <n v="138"/>
    <n v="139"/>
    <n v="1.9"/>
    <n v="2.1"/>
    <n v="103"/>
    <n v="106"/>
    <n v="292.34366666666665"/>
    <n v="294.36855555555553"/>
    <n v="5.54"/>
    <n v="4.62"/>
    <n v="14.8"/>
    <n v="12.4"/>
    <n v="46.5"/>
    <n v="38.6"/>
    <n v="83.9"/>
    <n v="83.5"/>
    <n v="26.7"/>
    <n v="26.8"/>
    <n v="31.9"/>
    <n v="32.1"/>
    <n v="348"/>
    <n v="418"/>
    <n v="12.5"/>
    <n v="13"/>
    <s v="-"/>
    <s v="-"/>
    <n v="7.31"/>
    <n v="12.44"/>
    <n v="40.700000000000003"/>
    <n v="80"/>
    <n v="40.1"/>
    <n v="14"/>
    <n v="7.48"/>
    <n v="5.0999999999999996"/>
    <n v="10.4"/>
    <n v="0.9"/>
    <n v="1.28"/>
    <n v="0"/>
    <x v="2"/>
    <x v="1"/>
    <n v="62.787399999999991"/>
    <n v="80.599999999999994"/>
    <n v="179"/>
    <s v="52,38"/>
    <n v="66"/>
    <n v="60"/>
    <s v="22,10"/>
  </r>
  <r>
    <x v="4"/>
    <x v="0"/>
    <x v="99"/>
    <s v="-"/>
    <n v="85.1"/>
    <x v="3"/>
    <s v="-"/>
    <s v="-"/>
    <s v="-"/>
    <s v="-"/>
    <s v="-"/>
    <s v="-"/>
    <n v="170"/>
    <n v="1967"/>
    <s v="-"/>
    <s v="-"/>
    <n v="2.8"/>
    <n v="2.5"/>
    <n v="162"/>
    <n v="363"/>
    <n v="31"/>
    <n v="102"/>
    <n v="4.5"/>
    <n v="4.9000000000000004"/>
    <n v="19"/>
    <n v="78"/>
    <n v="18"/>
    <n v="43"/>
    <n v="5.8"/>
    <n v="5.8"/>
    <n v="130.32381263076621"/>
    <n v="99.262708221172488"/>
    <n v="36"/>
    <n v="51"/>
    <n v="0.7"/>
    <n v="1.06"/>
    <n v="0.3600000000000001"/>
    <n v="4"/>
    <n v="3.9"/>
    <n v="7"/>
    <n v="7"/>
    <n v="10"/>
    <n v="50"/>
    <n v="8.6"/>
    <n v="9.3000000000000007"/>
    <n v="4.5999999999999996"/>
    <n v="4.3"/>
    <n v="101"/>
    <n v="107"/>
    <n v="134"/>
    <n v="141"/>
    <n v="1.9"/>
    <n v="2"/>
    <n v="102"/>
    <n v="108"/>
    <n v="284.24877777777778"/>
    <n v="299.59411111111115"/>
    <n v="5.38"/>
    <n v="4.8600000000000003"/>
    <n v="14.2"/>
    <n v="13.2"/>
    <n v="45.1"/>
    <n v="40.799999999999997"/>
    <n v="83.8"/>
    <n v="83.9"/>
    <n v="26.5"/>
    <n v="27.3"/>
    <n v="31.6"/>
    <n v="32.5"/>
    <n v="211"/>
    <n v="258"/>
    <n v="12.4"/>
    <n v="12.8"/>
    <s v="-"/>
    <s v="-"/>
    <n v="5.37"/>
    <n v="9.49"/>
    <n v="71.5"/>
    <n v="79.900000000000006"/>
    <n v="17.100000000000001"/>
    <n v="13.9"/>
    <n v="6.44"/>
    <n v="5.6"/>
    <n v="4.04"/>
    <n v="0.5"/>
    <n v="0.97299999999999998"/>
    <n v="0.1"/>
    <x v="1"/>
    <x v="1"/>
    <e v="#VALUE!"/>
    <s v="-"/>
    <s v="-"/>
    <s v="-"/>
    <s v="-"/>
    <s v="-"/>
    <s v="-"/>
  </r>
  <r>
    <x v="4"/>
    <x v="0"/>
    <x v="100"/>
    <n v="28"/>
    <n v="74.5"/>
    <x v="0"/>
    <s v="-"/>
    <s v="-"/>
    <s v="-"/>
    <s v="-"/>
    <s v="-"/>
    <s v="-"/>
    <n v="645"/>
    <n v="5171"/>
    <s v="-"/>
    <s v="-"/>
    <n v="3.3"/>
    <n v="3.3"/>
    <n v="232"/>
    <n v="573"/>
    <n v="45"/>
    <n v="182"/>
    <n v="5.2"/>
    <n v="4.9000000000000004"/>
    <n v="30"/>
    <n v="103"/>
    <n v="18"/>
    <n v="15"/>
    <n v="5.7"/>
    <n v="4.9000000000000004"/>
    <n v="120.79866842153496"/>
    <n v="127.63649903357638"/>
    <n v="32"/>
    <n v="33"/>
    <n v="0.9"/>
    <n v="0.75"/>
    <n v="0"/>
    <n v="3.9"/>
    <n v="4.0999999999999996"/>
    <n v="7.7"/>
    <n v="6.8"/>
    <n v="10"/>
    <n v="48"/>
    <n v="9.1999999999999993"/>
    <n v="8.9"/>
    <n v="4.5999999999999996"/>
    <n v="4.0999999999999996"/>
    <n v="90"/>
    <n v="76"/>
    <n v="137"/>
    <n v="138"/>
    <n v="2"/>
    <n v="2"/>
    <n v="102"/>
    <n v="99"/>
    <n v="288.45933333333329"/>
    <n v="288.66155555555554"/>
    <n v="4.91"/>
    <n v="4.6399999999999997"/>
    <n v="14.3"/>
    <n v="13.7"/>
    <n v="44"/>
    <n v="42.3"/>
    <n v="89.6"/>
    <n v="91.1"/>
    <n v="29.1"/>
    <n v="29.6"/>
    <n v="32.5"/>
    <n v="32.5"/>
    <n v="150"/>
    <n v="210"/>
    <n v="11.8"/>
    <n v="12.4"/>
    <s v="-"/>
    <s v="-"/>
    <n v="5.05"/>
    <n v="9.2100000000000009"/>
    <n v="68.099999999999994"/>
    <n v="82.7"/>
    <n v="22.3"/>
    <n v="10.6"/>
    <n v="8.7799999999999994"/>
    <n v="6.2"/>
    <n v="0.26700000000000002"/>
    <n v="0.3"/>
    <n v="0.53300000000000003"/>
    <n v="0.2"/>
    <x v="0"/>
    <x v="1"/>
    <n v="67.44474000000001"/>
    <n v="75.900000000000006"/>
    <n v="182"/>
    <s v="53,11"/>
    <n v="52"/>
    <n v="42"/>
    <s v="11,14"/>
  </r>
  <r>
    <x v="4"/>
    <x v="0"/>
    <x v="101"/>
    <n v="28"/>
    <n v="89.2"/>
    <x v="0"/>
    <s v="-"/>
    <s v="-"/>
    <s v="-"/>
    <s v="-"/>
    <s v="-"/>
    <s v="-"/>
    <n v="156"/>
    <n v="804"/>
    <s v="-"/>
    <s v="-"/>
    <n v="4.4000000000000004"/>
    <n v="3.1"/>
    <n v="181"/>
    <n v="300"/>
    <n v="28"/>
    <n v="58"/>
    <n v="5.2"/>
    <n v="4.7"/>
    <n v="26"/>
    <n v="54"/>
    <n v="16"/>
    <n v="15"/>
    <n v="5.6"/>
    <n v="5.8"/>
    <n v="106.45183652429932"/>
    <n v="90.015179102146433"/>
    <n v="43"/>
    <n v="42"/>
    <n v="1"/>
    <n v="1.1499999999999999"/>
    <n v="0.14999999999999991"/>
    <n v="3.9"/>
    <n v="4"/>
    <n v="7.6"/>
    <n v="7"/>
    <n v="42"/>
    <n v="51"/>
    <n v="9.4"/>
    <n v="9.3000000000000007"/>
    <n v="5"/>
    <n v="3.9"/>
    <n v="77"/>
    <n v="98"/>
    <n v="142"/>
    <n v="138"/>
    <n v="2"/>
    <n v="2.2000000000000002"/>
    <n v="105"/>
    <n v="101"/>
    <n v="299.50611111111112"/>
    <n v="291.19511111111115"/>
    <n v="5.82"/>
    <n v="5.14"/>
    <n v="16.5"/>
    <n v="14.7"/>
    <n v="49.8"/>
    <n v="44.9"/>
    <n v="85.6"/>
    <n v="87.4"/>
    <n v="28.4"/>
    <n v="28.7"/>
    <n v="33.1"/>
    <n v="32.799999999999997"/>
    <n v="250"/>
    <n v="368"/>
    <n v="12.2"/>
    <n v="13.1"/>
    <s v="-"/>
    <s v="-"/>
    <n v="8.23"/>
    <n v="16.18"/>
    <n v="79.099999999999994"/>
    <n v="88.2"/>
    <n v="14"/>
    <n v="6.7"/>
    <n v="6.07"/>
    <n v="4.7"/>
    <n v="0.221"/>
    <n v="0.2"/>
    <n v="0.55200000000000005"/>
    <n v="0.2"/>
    <x v="0"/>
    <x v="0"/>
    <n v="74.301159999999996"/>
    <n v="91.1"/>
    <n v="181.5"/>
    <s v="48,75"/>
    <n v="70"/>
    <n v="66"/>
    <s v="18,44"/>
  </r>
  <r>
    <x v="4"/>
    <x v="0"/>
    <x v="102"/>
    <n v="27"/>
    <n v="75.900000000000006"/>
    <x v="1"/>
    <s v="-"/>
    <s v="-"/>
    <s v="-"/>
    <s v="-"/>
    <s v="-"/>
    <s v="-"/>
    <n v="811"/>
    <n v="2806"/>
    <s v="-"/>
    <s v="-"/>
    <n v="2.2999999999999998"/>
    <n v="3"/>
    <n v="271"/>
    <n v="505"/>
    <n v="60"/>
    <n v="126"/>
    <n v="5.8"/>
    <n v="4.4000000000000004"/>
    <n v="41"/>
    <n v="176"/>
    <n v="22"/>
    <n v="20"/>
    <n v="5.9"/>
    <n v="5.6"/>
    <n v="130.32381263076621"/>
    <n v="61.954602581591445"/>
    <n v="44"/>
    <n v="40"/>
    <n v="0.7"/>
    <n v="1.57"/>
    <n v="0.87000000000000011"/>
    <n v="5.2"/>
    <n v="4.8"/>
    <n v="9.6"/>
    <n v="6.5"/>
    <n v="38"/>
    <n v="45"/>
    <n v="9.3000000000000007"/>
    <n v="8.6"/>
    <n v="5"/>
    <n v="4.2"/>
    <n v="110"/>
    <n v="109"/>
    <n v="144"/>
    <n v="137"/>
    <n v="2.2000000000000002"/>
    <n v="2.2999999999999998"/>
    <n v="106"/>
    <n v="101"/>
    <n v="305.50111111111107"/>
    <n v="290.26255555555559"/>
    <n v="5.39"/>
    <n v="4.8099999999999996"/>
    <n v="14.2"/>
    <n v="12.9"/>
    <n v="45.3"/>
    <n v="40.799999999999997"/>
    <n v="84"/>
    <n v="84.9"/>
    <n v="26.4"/>
    <n v="26.7"/>
    <n v="31.4"/>
    <n v="31.5"/>
    <n v="223"/>
    <n v="318"/>
    <n v="12"/>
    <n v="12.3"/>
    <s v="-"/>
    <s v="-"/>
    <n v="7.87"/>
    <n v="12.41"/>
    <n v="73.599999999999994"/>
    <n v="81.400000000000006"/>
    <n v="19.100000000000001"/>
    <n v="12.2"/>
    <n v="6.32"/>
    <n v="5.9"/>
    <n v="0.42099999999999999"/>
    <n v="0.4"/>
    <n v="0.55200000000000005"/>
    <n v="0.1"/>
    <x v="1"/>
    <x v="1"/>
    <n v="65.795109999999994"/>
    <n v="75.099999999999994"/>
    <n v="170"/>
    <s v="-"/>
    <n v="48"/>
    <n v="60"/>
    <s v="12,39"/>
  </r>
  <r>
    <x v="4"/>
    <x v="0"/>
    <x v="103"/>
    <n v="28"/>
    <n v="82.5"/>
    <x v="1"/>
    <s v="-"/>
    <s v="-"/>
    <s v="-"/>
    <s v="-"/>
    <s v="-"/>
    <s v="-"/>
    <n v="665"/>
    <n v="5503"/>
    <s v="-"/>
    <s v="-"/>
    <n v="3.1"/>
    <n v="2.7"/>
    <n v="194"/>
    <n v="651"/>
    <n v="39"/>
    <n v="208"/>
    <n v="3.9"/>
    <n v="4.5999999999999996"/>
    <n v="28"/>
    <n v="110"/>
    <n v="20"/>
    <n v="21"/>
    <n v="4.5"/>
    <n v="4.9000000000000004"/>
    <n v="125.17286966375688"/>
    <n v="128.68261599853696"/>
    <n v="37"/>
    <n v="47"/>
    <n v="0.8"/>
    <n v="0.73"/>
    <n v="0"/>
    <n v="3.5"/>
    <n v="4.0999999999999996"/>
    <n v="6.6"/>
    <n v="6.9"/>
    <n v="34"/>
    <n v="10"/>
    <n v="7.2"/>
    <n v="8.8000000000000007"/>
    <n v="4.5"/>
    <n v="4.4000000000000004"/>
    <n v="90"/>
    <n v="117"/>
    <n v="132"/>
    <n v="136"/>
    <n v="1.8"/>
    <n v="2.1"/>
    <n v="101"/>
    <n v="101"/>
    <n v="279.80666666666667"/>
    <n v="290.45233333333334"/>
    <n v="5.22"/>
    <n v="4.58"/>
    <n v="14.7"/>
    <n v="13.3"/>
    <n v="45.9"/>
    <n v="40.5"/>
    <n v="87.8"/>
    <n v="88.5"/>
    <n v="28.1"/>
    <n v="29"/>
    <n v="32"/>
    <n v="32.700000000000003"/>
    <n v="267"/>
    <n v="286"/>
    <n v="12.2"/>
    <n v="12.9"/>
    <s v="-"/>
    <s v="-"/>
    <n v="5.0199999999999996"/>
    <n v="8.18"/>
    <n v="59.2"/>
    <n v="84.1"/>
    <n v="29.2"/>
    <n v="9.6"/>
    <n v="7.36"/>
    <n v="5.5"/>
    <n v="3.47"/>
    <n v="0.5"/>
    <n v="0.88400000000000001"/>
    <n v="0.3"/>
    <x v="0"/>
    <x v="1"/>
    <n v="74.264600000000002"/>
    <n v="82.7"/>
    <n v="179.5"/>
    <s v="50,56"/>
    <n v="58"/>
    <n v="52"/>
    <s v="10,20"/>
  </r>
  <r>
    <x v="4"/>
    <x v="0"/>
    <x v="104"/>
    <n v="29"/>
    <n v="81.900000000000006"/>
    <x v="1"/>
    <s v="-"/>
    <s v="-"/>
    <s v="-"/>
    <s v="-"/>
    <s v="-"/>
    <s v="-"/>
    <n v="140"/>
    <n v="1528"/>
    <s v="-"/>
    <s v="-"/>
    <n v="3.3"/>
    <s v="-"/>
    <n v="180"/>
    <n v="391"/>
    <n v="22"/>
    <n v="83"/>
    <n v="3.6"/>
    <n v="4.5"/>
    <n v="19"/>
    <n v="73"/>
    <n v="12"/>
    <n v="15"/>
    <n v="3.5"/>
    <n v="4.8"/>
    <n v="130.32381263076621"/>
    <n v="116.13780672934482"/>
    <n v="30"/>
    <n v="42"/>
    <n v="0.7"/>
    <n v="0.93"/>
    <n v="0.23000000000000009"/>
    <n v="4.0999999999999996"/>
    <n v="4.2"/>
    <n v="6.3"/>
    <n v="7"/>
    <n v="40"/>
    <n v="10"/>
    <n v="7"/>
    <n v="8.8000000000000007"/>
    <n v="4.5"/>
    <n v="4.2"/>
    <n v="82"/>
    <n v="71"/>
    <n v="132"/>
    <n v="140"/>
    <n v="1.7"/>
    <n v="2.2999999999999998"/>
    <n v="101"/>
    <n v="103"/>
    <n v="278.12888888888892"/>
    <n v="293.74811111111109"/>
    <n v="5.59"/>
    <n v="4.8499999999999996"/>
    <n v="15.9"/>
    <n v="14.3"/>
    <n v="47.8"/>
    <n v="42.7"/>
    <n v="85.4"/>
    <n v="88.1"/>
    <n v="28.4"/>
    <n v="29.5"/>
    <n v="33.200000000000003"/>
    <n v="33.5"/>
    <n v="212"/>
    <n v="249"/>
    <n v="10.8"/>
    <n v="12.2"/>
    <s v="-"/>
    <s v="-"/>
    <n v="7.01"/>
    <n v="10.24"/>
    <n v="63.8"/>
    <n v="71.2"/>
    <n v="25.3"/>
    <n v="21.1"/>
    <n v="8.56"/>
    <n v="6"/>
    <n v="1.38"/>
    <n v="1.7"/>
    <n v="0.90200000000000002"/>
    <n v="0"/>
    <x v="0"/>
    <x v="1"/>
    <n v="70.179900000000004"/>
    <n v="80.5"/>
    <n v="181"/>
    <s v="51,80"/>
    <n v="60"/>
    <n v="50"/>
    <s v="12,82"/>
  </r>
  <r>
    <x v="4"/>
    <x v="0"/>
    <x v="105"/>
    <n v="29"/>
    <n v="83.1"/>
    <x v="1"/>
    <s v="-"/>
    <s v="-"/>
    <s v="-"/>
    <s v="-"/>
    <s v="-"/>
    <s v="-"/>
    <n v="588"/>
    <n v="3543"/>
    <s v="-"/>
    <s v="-"/>
    <n v="2.8"/>
    <n v="3.4"/>
    <n v="269"/>
    <n v="590"/>
    <n v="54"/>
    <n v="184"/>
    <n v="5.3"/>
    <n v="4.4000000000000004"/>
    <n v="48"/>
    <n v="98"/>
    <n v="18"/>
    <n v="13"/>
    <n v="4.2"/>
    <n v="3.9"/>
    <n v="136.5342808821735"/>
    <n v="133.27342265464301"/>
    <n v="43"/>
    <n v="40"/>
    <n v="0.6"/>
    <n v="0.65"/>
    <n v="5.0000000000000044E-2"/>
    <n v="4.4000000000000004"/>
    <n v="3.3"/>
    <n v="8.8000000000000007"/>
    <n v="6.8"/>
    <n v="26"/>
    <n v="10"/>
    <n v="8.9"/>
    <n v="8.6999999999999993"/>
    <n v="4.7"/>
    <n v="4.0999999999999996"/>
    <n v="106"/>
    <n v="82"/>
    <n v="144"/>
    <n v="135"/>
    <n v="2"/>
    <n v="2.1"/>
    <n v="106"/>
    <n v="101"/>
    <n v="304.52088888888892"/>
    <n v="284.63155555555556"/>
    <n v="4.95"/>
    <n v="4.12"/>
    <n v="14.2"/>
    <n v="11.9"/>
    <n v="42.9"/>
    <n v="35.9"/>
    <n v="86.6"/>
    <n v="87"/>
    <n v="28.7"/>
    <n v="29"/>
    <n v="33.1"/>
    <n v="33.299999999999997"/>
    <n v="212"/>
    <n v="343"/>
    <n v="11.6"/>
    <n v="12.7"/>
    <s v="-"/>
    <s v="-"/>
    <n v="6.35"/>
    <n v="11.38"/>
    <n v="66.2"/>
    <n v="72.099999999999994"/>
    <n v="26.1"/>
    <n v="20"/>
    <n v="5.42"/>
    <n v="7"/>
    <n v="1.5"/>
    <n v="0.8"/>
    <n v="0.79400000000000004"/>
    <n v="0"/>
    <x v="0"/>
    <x v="1"/>
    <n v="75.160799999999995"/>
    <n v="85.8"/>
    <n v="178"/>
    <s v="53,41"/>
    <n v="55"/>
    <n v="56"/>
    <s v="12,40"/>
  </r>
  <r>
    <x v="4"/>
    <x v="1"/>
    <x v="81"/>
    <s v="-"/>
    <n v="79.400000000000006"/>
    <x v="3"/>
    <s v="-"/>
    <s v="-"/>
    <s v="-"/>
    <s v="-"/>
    <s v="-"/>
    <s v="-"/>
    <n v="126"/>
    <n v="2881"/>
    <s v="-"/>
    <s v="-"/>
    <n v="45047"/>
    <n v="2.9"/>
    <n v="178"/>
    <n v="277"/>
    <n v="41"/>
    <n v="142"/>
    <n v="4.0999999999999996"/>
    <n v="4.4000000000000004"/>
    <n v="36"/>
    <n v="46"/>
    <n v="29"/>
    <n v="35"/>
    <n v="3.6"/>
    <n v="6.9"/>
    <n v="142.56416511448549"/>
    <n v="111.79636391543288"/>
    <n v="35"/>
    <n v="75"/>
    <n v="0.52"/>
    <n v="0.96"/>
    <n v="0.43999999999999995"/>
    <n v="3.9"/>
    <n v="6.5"/>
    <n v="7.5"/>
    <n v="7.8"/>
    <n v="10"/>
    <n v="10"/>
    <n v="9.3000000000000007"/>
    <n v="9.1999999999999993"/>
    <n v="4.7"/>
    <n v="4.5999999999999996"/>
    <n v="105"/>
    <n v="88"/>
    <n v="139"/>
    <n v="137"/>
    <n v="2.2999999999999998"/>
    <n v="2.2999999999999998"/>
    <n v="106"/>
    <n v="99"/>
    <n v="293.82366666666661"/>
    <n v="295.49822222222218"/>
    <n v="4.5199999999999996"/>
    <n v="4.34"/>
    <n v="13.5"/>
    <n v="12.9"/>
    <n v="41.7"/>
    <n v="40.4"/>
    <n v="92.3"/>
    <n v="93"/>
    <n v="29.8"/>
    <n v="29.7"/>
    <n v="32.299999999999997"/>
    <n v="31.9"/>
    <n v="353"/>
    <n v="471"/>
    <n v="12.7"/>
    <n v="13"/>
    <s v="-"/>
    <s v="-"/>
    <n v="8.0500000000000007"/>
    <n v="12.82"/>
    <n v="71.400000000000006"/>
    <n v="74.900000000000006"/>
    <n v="19.7"/>
    <n v="17.5"/>
    <n v="7.2"/>
    <n v="7.3"/>
    <n v="1.3"/>
    <n v="0.1"/>
    <n v="0.4"/>
    <n v="0.2"/>
    <x v="1"/>
    <x v="1"/>
    <n v="73.156725000000009"/>
    <n v="81.150000000000006"/>
    <n v="178.5"/>
    <s v="51,41"/>
    <n v="56"/>
    <n v="50"/>
    <s v="9,85"/>
  </r>
  <r>
    <x v="4"/>
    <x v="1"/>
    <x v="82"/>
    <n v="25"/>
    <n v="69.8"/>
    <x v="0"/>
    <s v="-"/>
    <s v="-"/>
    <s v="-"/>
    <s v="-"/>
    <s v="-"/>
    <s v="-"/>
    <n v="190"/>
    <n v="3132"/>
    <s v="-"/>
    <s v="-"/>
    <n v="1.8"/>
    <n v="3.5"/>
    <n v="259"/>
    <n v="419"/>
    <n v="49"/>
    <n v="153"/>
    <n v="4.4000000000000004"/>
    <n v="4.5999999999999996"/>
    <n v="41"/>
    <n v="59"/>
    <n v="25"/>
    <n v="27"/>
    <n v="3.1"/>
    <n v="5.6"/>
    <n v="137.22905648360609"/>
    <n v="124.70415076869705"/>
    <n v="52"/>
    <n v="80"/>
    <n v="0.59"/>
    <n v="0.81"/>
    <n v="0.22000000000000008"/>
    <n v="4.8"/>
    <n v="5.4"/>
    <n v="8.1"/>
    <n v="8.3000000000000007"/>
    <n v="39"/>
    <n v="10"/>
    <n v="10"/>
    <n v="9.9"/>
    <n v="5.5"/>
    <n v="4.5999999999999996"/>
    <n v="101"/>
    <n v="111"/>
    <n v="138"/>
    <n v="140"/>
    <n v="2"/>
    <n v="2.2000000000000002"/>
    <n v="103"/>
    <n v="102"/>
    <n v="296.02944444444449"/>
    <n v="303.38099999999997"/>
    <n v="5.07"/>
    <n v="4.7"/>
    <n v="15"/>
    <n v="13.9"/>
    <n v="46.8"/>
    <n v="43.5"/>
    <n v="92.4"/>
    <n v="92.5"/>
    <n v="29.5"/>
    <n v="29.6"/>
    <n v="31.9"/>
    <n v="32"/>
    <n v="301"/>
    <n v="335"/>
    <n v="12.5"/>
    <n v="12.9"/>
    <s v="-"/>
    <s v="-"/>
    <n v="12.68"/>
    <n v="19.68"/>
    <n v="74.7"/>
    <n v="79.2"/>
    <n v="15.7"/>
    <n v="12"/>
    <n v="8.6"/>
    <n v="8.6999999999999993"/>
    <n v="0.6"/>
    <n v="0"/>
    <n v="0.4"/>
    <n v="0.1"/>
    <x v="0"/>
    <x v="1"/>
    <n v="63.201930000000004"/>
    <n v="75.900000000000006"/>
    <n v="179"/>
    <s v="51,73"/>
    <n v="52"/>
    <n v="58"/>
    <s v="16,73"/>
  </r>
  <r>
    <x v="4"/>
    <x v="1"/>
    <x v="106"/>
    <n v="27"/>
    <n v="84.4"/>
    <x v="1"/>
    <s v="-"/>
    <s v="-"/>
    <s v="-"/>
    <s v="-"/>
    <s v="-"/>
    <s v="-"/>
    <n v="313"/>
    <n v="6717"/>
    <s v="-"/>
    <s v="-"/>
    <n v="1.8"/>
    <n v="2.8"/>
    <n v="288"/>
    <n v="388"/>
    <n v="36"/>
    <n v="168"/>
    <n v="4.4000000000000004"/>
    <n v="4.3"/>
    <n v="55"/>
    <n v="69"/>
    <n v="33"/>
    <n v="35"/>
    <n v="3.8"/>
    <n v="5.7"/>
    <n v="135.18891878434147"/>
    <n v="123.34201540009958"/>
    <n v="61"/>
    <n v="67"/>
    <n v="0.62"/>
    <n v="0.84"/>
    <n v="0.21999999999999997"/>
    <n v="4"/>
    <n v="4.5999999999999996"/>
    <n v="7.1"/>
    <n v="7"/>
    <n v="44"/>
    <n v="10"/>
    <n v="9.6999999999999993"/>
    <n v="9.1"/>
    <n v="4.5"/>
    <n v="4"/>
    <n v="103"/>
    <n v="134"/>
    <n v="139"/>
    <n v="137"/>
    <n v="2"/>
    <n v="2.2000000000000002"/>
    <n v="103"/>
    <n v="100"/>
    <n v="297.65722222222229"/>
    <n v="295.98777777777781"/>
    <n v="4.9800000000000004"/>
    <n v="4.82"/>
    <n v="15"/>
    <n v="14.4"/>
    <n v="45.1"/>
    <n v="43.6"/>
    <n v="90.6"/>
    <n v="90.6"/>
    <n v="30.2"/>
    <n v="29.9"/>
    <n v="33.299999999999997"/>
    <n v="33"/>
    <n v="313"/>
    <n v="346"/>
    <n v="12.8"/>
    <n v="12.8"/>
    <s v="-"/>
    <s v="-"/>
    <n v="8.11"/>
    <n v="13.71"/>
    <n v="66.400000000000006"/>
    <n v="73.7"/>
    <n v="24.3"/>
    <n v="17.5"/>
    <n v="7.7"/>
    <n v="8"/>
    <n v="1.5"/>
    <n v="0.4"/>
    <n v="0.1"/>
    <n v="0.4"/>
    <x v="0"/>
    <x v="1"/>
    <n v="76.304699999999997"/>
    <n v="88.5"/>
    <n v="176"/>
    <s v="51,21"/>
    <n v="80"/>
    <n v="88"/>
    <s v="13,78"/>
  </r>
  <r>
    <x v="4"/>
    <x v="1"/>
    <x v="84"/>
    <n v="24"/>
    <n v="74.099999999999994"/>
    <x v="1"/>
    <s v="-"/>
    <s v="-"/>
    <s v="-"/>
    <s v="-"/>
    <s v="-"/>
    <s v="-"/>
    <n v="405"/>
    <n v="38374"/>
    <s v="-"/>
    <s v="-"/>
    <n v="1.4"/>
    <n v="3.2"/>
    <n v="287"/>
    <n v="971"/>
    <n v="60"/>
    <n v="657"/>
    <n v="4.7"/>
    <n v="5.2"/>
    <n v="76"/>
    <n v="131"/>
    <n v="34"/>
    <n v="40"/>
    <n v="3.7"/>
    <n v="10.5"/>
    <n v="105.18831780182714"/>
    <n v="74.925111914950691"/>
    <n v="35"/>
    <n v="94"/>
    <n v="1.01"/>
    <n v="1.34"/>
    <n v="0.33000000000000007"/>
    <n v="4.5"/>
    <n v="7.3"/>
    <n v="7.9"/>
    <n v="8.9"/>
    <n v="10"/>
    <n v="10"/>
    <n v="9.8000000000000007"/>
    <n v="9.4"/>
    <n v="4.8"/>
    <n v="4.9000000000000004"/>
    <n v="102"/>
    <n v="92"/>
    <n v="137"/>
    <n v="137"/>
    <n v="2.2000000000000002"/>
    <n v="2.4"/>
    <n v="103"/>
    <n v="100"/>
    <n v="290.09800000000001"/>
    <n v="299.47844444444451"/>
    <n v="4.55"/>
    <n v="4.74"/>
    <n v="13.9"/>
    <n v="14.5"/>
    <n v="42.6"/>
    <n v="44.6"/>
    <n v="93.6"/>
    <n v="93.9"/>
    <n v="30.5"/>
    <n v="30.5"/>
    <n v="32.5"/>
    <n v="32.4"/>
    <n v="280"/>
    <n v="332"/>
    <n v="12.9"/>
    <n v="13.3"/>
    <s v="-"/>
    <s v="-"/>
    <n v="7.11"/>
    <n v="14.98"/>
    <n v="58.1"/>
    <n v="81.7"/>
    <n v="29.4"/>
    <n v="10"/>
    <n v="8.4"/>
    <n v="8"/>
    <n v="3.4"/>
    <n v="0"/>
    <n v="0.7"/>
    <n v="0.3"/>
    <x v="1"/>
    <x v="1"/>
    <n v="69.677400000000006"/>
    <n v="78"/>
    <n v="178"/>
    <s v="52,07"/>
    <n v="56"/>
    <n v="56"/>
    <s v="10,67"/>
  </r>
  <r>
    <x v="4"/>
    <x v="1"/>
    <x v="107"/>
    <n v="34"/>
    <n v="77.2"/>
    <x v="0"/>
    <s v="-"/>
    <s v="-"/>
    <s v="-"/>
    <s v="-"/>
    <s v="-"/>
    <s v="-"/>
    <n v="223"/>
    <n v="2770"/>
    <s v="-"/>
    <s v="-"/>
    <n v="1.6"/>
    <n v="2.9"/>
    <n v="202"/>
    <n v="306"/>
    <n v="58"/>
    <n v="186"/>
    <n v="3.8"/>
    <n v="4.2"/>
    <n v="56"/>
    <n v="92"/>
    <n v="22"/>
    <n v="26"/>
    <n v="3.9"/>
    <n v="5.4"/>
    <n v="137.93933591581492"/>
    <n v="129.21977216031021"/>
    <n v="56"/>
    <n v="68"/>
    <n v="0.57999999999999996"/>
    <n v="0.72"/>
    <n v="0.14000000000000001"/>
    <n v="3.7"/>
    <n v="4.5999999999999996"/>
    <n v="6.6"/>
    <n v="7.1"/>
    <n v="10"/>
    <n v="10"/>
    <n v="9"/>
    <n v="8.9"/>
    <n v="4.7"/>
    <n v="4.0999999999999996"/>
    <n v="93"/>
    <n v="109"/>
    <n v="139"/>
    <n v="138"/>
    <n v="2"/>
    <n v="2.2999999999999998"/>
    <n v="108"/>
    <n v="103"/>
    <n v="296.55699999999996"/>
    <n v="296.6032222222222"/>
    <n v="4.82"/>
    <n v="5.17"/>
    <n v="11"/>
    <n v="12"/>
    <n v="35.799999999999997"/>
    <n v="38.6"/>
    <n v="74.3"/>
    <n v="74.8"/>
    <n v="22.8"/>
    <n v="23.1"/>
    <n v="30.7"/>
    <n v="30.9"/>
    <n v="312"/>
    <n v="330"/>
    <n v="12.6"/>
    <n v="13.1"/>
    <s v="-"/>
    <s v="-"/>
    <n v="10.16"/>
    <n v="15.42"/>
    <n v="67.099999999999994"/>
    <n v="75.3"/>
    <n v="20.100000000000001"/>
    <n v="14.7"/>
    <n v="8"/>
    <n v="7.4"/>
    <n v="4.5"/>
    <n v="2.4"/>
    <n v="0.3"/>
    <n v="0.2"/>
    <x v="0"/>
    <x v="1"/>
    <n v="65.063019999999995"/>
    <n v="81.400000000000006"/>
    <n v="178.5"/>
    <s v="47,31"/>
    <n v="52"/>
    <n v="52"/>
    <s v="20,07"/>
  </r>
  <r>
    <x v="4"/>
    <x v="1"/>
    <x v="86"/>
    <n v="32"/>
    <n v="73.400000000000006"/>
    <x v="1"/>
    <s v="-"/>
    <s v="-"/>
    <s v="-"/>
    <s v="-"/>
    <s v="-"/>
    <s v="-"/>
    <n v="294"/>
    <n v="1480"/>
    <s v="-"/>
    <s v="-"/>
    <n v="2.1"/>
    <n v="2.1"/>
    <n v="210"/>
    <n v="307"/>
    <n v="48"/>
    <n v="98"/>
    <n v="4.0999999999999996"/>
    <n v="4.0999999999999996"/>
    <n v="36"/>
    <n v="42"/>
    <n v="19"/>
    <n v="19"/>
    <n v="3.7"/>
    <n v="5"/>
    <n v="135.18891878434147"/>
    <n v="127.63649903357638"/>
    <n v="38"/>
    <n v="66"/>
    <n v="0.62"/>
    <n v="0.75"/>
    <n v="0.13"/>
    <n v="3.6"/>
    <n v="4"/>
    <n v="7.3"/>
    <n v="7.3"/>
    <n v="10"/>
    <n v="10"/>
    <n v="9.6"/>
    <n v="9.3000000000000007"/>
    <n v="4.9000000000000004"/>
    <n v="4.3"/>
    <n v="83"/>
    <n v="81"/>
    <n v="140"/>
    <n v="139"/>
    <n v="2.2999999999999998"/>
    <n v="2.4"/>
    <n v="105"/>
    <n v="102"/>
    <n v="295.15011111111113"/>
    <n v="296.71300000000002"/>
    <n v="4.67"/>
    <n v="4.5"/>
    <n v="13.1"/>
    <n v="12.5"/>
    <n v="39.9"/>
    <n v="39.299999999999997"/>
    <n v="85.3"/>
    <n v="87.2"/>
    <n v="28"/>
    <n v="27.7"/>
    <n v="32.799999999999997"/>
    <n v="31.8"/>
    <n v="320"/>
    <n v="330"/>
    <n v="14.2"/>
    <n v="14.6"/>
    <s v="-"/>
    <s v="-"/>
    <n v="7.61"/>
    <n v="11.67"/>
    <n v="76"/>
    <n v="72.7"/>
    <n v="16.399999999999999"/>
    <n v="17.899999999999999"/>
    <n v="6.7"/>
    <n v="9"/>
    <n v="0.6"/>
    <n v="0.2"/>
    <n v="0.3"/>
    <n v="0.2"/>
    <x v="0"/>
    <x v="1"/>
    <n v="67.988160000000008"/>
    <n v="77.400000000000006"/>
    <n v="172"/>
    <s v="50,97"/>
    <n v="52"/>
    <n v="56"/>
    <s v="12,16"/>
  </r>
  <r>
    <x v="4"/>
    <x v="1"/>
    <x v="88"/>
    <n v="34"/>
    <n v="74.3"/>
    <x v="1"/>
    <s v="-"/>
    <s v="-"/>
    <s v="-"/>
    <s v="-"/>
    <s v="-"/>
    <s v="-"/>
    <n v="288"/>
    <n v="45036"/>
    <s v="-"/>
    <s v="-"/>
    <n v="2.4"/>
    <n v="2"/>
    <n v="339"/>
    <n v="1183"/>
    <n v="55"/>
    <n v="1736"/>
    <n v="4.3"/>
    <n v="4.4000000000000004"/>
    <n v="67"/>
    <n v="215"/>
    <n v="90"/>
    <n v="80"/>
    <n v="4.0999999999999996"/>
    <n v="7"/>
    <n v="140.16960601968717"/>
    <n v="86.396630404528494"/>
    <n v="28"/>
    <n v="46"/>
    <n v="0.55000000000000004"/>
    <n v="1.19"/>
    <n v="0.6399999999999999"/>
    <n v="3.6"/>
    <n v="4.8"/>
    <n v="7.3"/>
    <n v="7.2"/>
    <n v="10"/>
    <n v="10"/>
    <n v="9.6"/>
    <n v="9.3000000000000007"/>
    <n v="4.4000000000000004"/>
    <n v="4"/>
    <n v="98"/>
    <n v="98"/>
    <n v="139"/>
    <n v="136"/>
    <n v="2"/>
    <n v="1.9"/>
    <n v="104"/>
    <n v="100"/>
    <n v="291.65177777777785"/>
    <n v="288.32777777777784"/>
    <n v="5.18"/>
    <n v="5.03"/>
    <n v="14.2"/>
    <n v="13.7"/>
    <n v="44.2"/>
    <n v="43.1"/>
    <n v="85.3"/>
    <n v="85.6"/>
    <n v="27.4"/>
    <n v="27.2"/>
    <n v="32.1"/>
    <n v="31.8"/>
    <n v="251"/>
    <n v="267"/>
    <n v="14.2"/>
    <n v="14.8"/>
    <s v="-"/>
    <s v="-"/>
    <n v="10.53"/>
    <n v="11.51"/>
    <n v="70.400000000000006"/>
    <n v="79.2"/>
    <n v="17.3"/>
    <n v="12.9"/>
    <n v="11.3"/>
    <n v="7.4"/>
    <n v="0.9"/>
    <n v="0.4"/>
    <n v="0.1"/>
    <n v="0.4"/>
    <x v="1"/>
    <x v="1"/>
    <n v="64.173225000000002"/>
    <n v="84.25"/>
    <n v="177"/>
    <s v="48,78"/>
    <s v="-"/>
    <s v="-"/>
    <s v="23,83"/>
  </r>
  <r>
    <x v="4"/>
    <x v="1"/>
    <x v="89"/>
    <n v="33"/>
    <n v="66.2"/>
    <x v="1"/>
    <s v="-"/>
    <s v="-"/>
    <s v="-"/>
    <s v="-"/>
    <s v="-"/>
    <s v="-"/>
    <n v="366"/>
    <n v="17059"/>
    <s v="-"/>
    <s v="-"/>
    <n v="2.4"/>
    <n v="3.9"/>
    <n v="234"/>
    <n v="525"/>
    <n v="65"/>
    <n v="523"/>
    <n v="4"/>
    <n v="4.8"/>
    <n v="68"/>
    <n v="106"/>
    <n v="37"/>
    <n v="43"/>
    <n v="4.5999999999999996"/>
    <n v="8.5"/>
    <n v="129.21977216031021"/>
    <n v="117.65428950348965"/>
    <n v="44"/>
    <n v="96"/>
    <n v="0.72"/>
    <n v="0.92"/>
    <n v="0.20000000000000007"/>
    <n v="3.4"/>
    <n v="7.2"/>
    <n v="7.5"/>
    <n v="8.6999999999999993"/>
    <n v="10"/>
    <n v="10"/>
    <n v="9"/>
    <n v="9.5"/>
    <n v="4.7"/>
    <n v="4.8"/>
    <n v="106"/>
    <n v="90"/>
    <n v="139"/>
    <n v="134"/>
    <n v="2.1"/>
    <n v="2.5"/>
    <n v="105"/>
    <n v="95"/>
    <n v="295.38755555555554"/>
    <n v="293.91800000000001"/>
    <n v="4.0199999999999996"/>
    <n v="4.09"/>
    <n v="12.5"/>
    <n v="12.8"/>
    <n v="39.1"/>
    <n v="40"/>
    <n v="97.1"/>
    <n v="97.6"/>
    <n v="31.1"/>
    <n v="31.3"/>
    <n v="32"/>
    <n v="32"/>
    <n v="438"/>
    <n v="500"/>
    <n v="11.7"/>
    <n v="12.5"/>
    <s v="-"/>
    <s v="-"/>
    <n v="5.19"/>
    <n v="15.64"/>
    <n v="70.599999999999994"/>
    <n v="87.2"/>
    <n v="20.9"/>
    <n v="7.6"/>
    <n v="6.8"/>
    <n v="5.0999999999999996"/>
    <n v="1.5"/>
    <n v="0"/>
    <n v="0.2"/>
    <n v="0.1"/>
    <x v="0"/>
    <x v="1"/>
    <n v="62.813019999999995"/>
    <n v="69.8"/>
    <n v="175"/>
    <s v="49,28"/>
    <n v="70"/>
    <n v="61"/>
    <s v="10,01"/>
  </r>
  <r>
    <x v="4"/>
    <x v="1"/>
    <x v="90"/>
    <n v="34"/>
    <n v="77.2"/>
    <x v="1"/>
    <s v="-"/>
    <s v="-"/>
    <s v="-"/>
    <s v="-"/>
    <s v="-"/>
    <s v="-"/>
    <n v="338"/>
    <n v="5716"/>
    <s v="-"/>
    <s v="-"/>
    <n v="1.7"/>
    <n v="2.8"/>
    <n v="257"/>
    <n v="398"/>
    <n v="54"/>
    <n v="157"/>
    <n v="4.2"/>
    <n v="4.4000000000000004"/>
    <n v="61"/>
    <n v="70"/>
    <n v="28"/>
    <n v="31"/>
    <n v="4.3"/>
    <n v="6.5"/>
    <n v="133.27342265464301"/>
    <n v="120.79866842153496"/>
    <n v="39"/>
    <n v="58"/>
    <n v="0.65"/>
    <n v="0.9"/>
    <n v="0.25"/>
    <n v="4"/>
    <n v="5"/>
    <n v="7.2"/>
    <n v="7.4"/>
    <n v="10"/>
    <n v="14"/>
    <n v="9.6999999999999993"/>
    <n v="8.9"/>
    <n v="4.9000000000000004"/>
    <n v="4.5"/>
    <n v="101"/>
    <n v="91"/>
    <n v="140"/>
    <n v="138"/>
    <n v="2.1"/>
    <n v="2.5"/>
    <n v="104"/>
    <n v="104"/>
    <n v="296.46677777777779"/>
    <n v="294.53055555555557"/>
    <n v="4.6900000000000004"/>
    <n v="4.5"/>
    <n v="15"/>
    <n v="14.5"/>
    <n v="45.8"/>
    <n v="43.8"/>
    <n v="97.7"/>
    <n v="97.2"/>
    <n v="32"/>
    <n v="32.700000000000003"/>
    <n v="32.700000000000003"/>
    <n v="33.200000000000003"/>
    <n v="299"/>
    <n v="335"/>
    <n v="12.9"/>
    <n v="13.2"/>
    <s v="-"/>
    <s v="-"/>
    <n v="4.82"/>
    <n v="10.34"/>
    <n v="52.8"/>
    <n v="73.3"/>
    <n v="38.1"/>
    <n v="20.100000000000001"/>
    <n v="8.1"/>
    <n v="5.9"/>
    <n v="0.3"/>
    <n v="0.3"/>
    <n v="0.7"/>
    <n v="0.4"/>
    <x v="0"/>
    <x v="1"/>
    <n v="67.389839999999992"/>
    <n v="75.599999999999994"/>
    <n v="177"/>
    <s v="53,53"/>
    <n v="60"/>
    <n v="59"/>
    <s v="10,86"/>
  </r>
  <r>
    <x v="4"/>
    <x v="1"/>
    <x v="91"/>
    <n v="32"/>
    <n v="77.400000000000006"/>
    <x v="1"/>
    <s v="-"/>
    <s v="-"/>
    <s v="-"/>
    <s v="-"/>
    <s v="-"/>
    <s v="-"/>
    <n v="349"/>
    <n v="12365"/>
    <s v="-"/>
    <s v="-"/>
    <n v="2.2000000000000002"/>
    <n v="1.7"/>
    <n v="287"/>
    <n v="566"/>
    <n v="65"/>
    <n v="609"/>
    <n v="4.0999999999999996"/>
    <n v="4"/>
    <n v="73"/>
    <n v="155"/>
    <n v="29"/>
    <n v="30"/>
    <n v="3.5"/>
    <n v="4.3"/>
    <n v="132.05924026848857"/>
    <n v="107.74346167952015"/>
    <n v="53"/>
    <n v="53"/>
    <n v="0.67"/>
    <n v="0.99"/>
    <n v="0.31999999999999995"/>
    <n v="4"/>
    <n v="4.2"/>
    <n v="7.1"/>
    <n v="6.8"/>
    <n v="26"/>
    <n v="10"/>
    <n v="9.6"/>
    <n v="9"/>
    <n v="5.3"/>
    <n v="4.8"/>
    <n v="99"/>
    <n v="84"/>
    <n v="139"/>
    <n v="135"/>
    <n v="2"/>
    <n v="2.2000000000000002"/>
    <n v="107"/>
    <n v="101"/>
    <n v="297.55633333333333"/>
    <n v="288.22800000000001"/>
    <n v="5.95"/>
    <n v="5.84"/>
    <n v="13.5"/>
    <n v="13.3"/>
    <n v="43.3"/>
    <n v="43"/>
    <n v="72.8"/>
    <n v="73.7"/>
    <n v="22.7"/>
    <n v="22.7"/>
    <n v="31.1"/>
    <n v="30.8"/>
    <n v="351"/>
    <n v="331"/>
    <n v="14.8"/>
    <n v="15"/>
    <s v="-"/>
    <s v="-"/>
    <n v="11.66"/>
    <n v="21.23"/>
    <n v="69.099999999999994"/>
    <n v="82.6"/>
    <n v="19.3"/>
    <n v="10.4"/>
    <n v="10.8"/>
    <n v="6.4"/>
    <n v="0.3"/>
    <n v="0.4"/>
    <n v="0.5"/>
    <n v="0.2"/>
    <x v="1"/>
    <x v="1"/>
    <n v="63.856044999999995"/>
    <n v="79.849999999999994"/>
    <n v="178.5"/>
    <s v="47,85"/>
    <n v="50"/>
    <n v="56"/>
    <s v="20,03"/>
  </r>
  <r>
    <x v="4"/>
    <x v="1"/>
    <x v="108"/>
    <n v="34"/>
    <n v="62.9"/>
    <x v="1"/>
    <s v="-"/>
    <s v="-"/>
    <s v="-"/>
    <s v="-"/>
    <s v="-"/>
    <s v="-"/>
    <n v="297"/>
    <n v="12386"/>
    <s v="-"/>
    <s v="-"/>
    <s v="-"/>
    <n v="3.2"/>
    <n v="470"/>
    <n v="739"/>
    <n v="431"/>
    <n v="545"/>
    <n v="4.4000000000000004"/>
    <n v="4.3"/>
    <n v="486"/>
    <n v="364"/>
    <n v="132"/>
    <n v="136"/>
    <n v="4.3"/>
    <n v="6.6"/>
    <n v="125.17286966375688"/>
    <n v="85.533385678368745"/>
    <n v="33"/>
    <n v="62"/>
    <n v="0.8"/>
    <n v="1.2"/>
    <n v="0.39999999999999991"/>
    <n v="3.9"/>
    <n v="5.0999999999999996"/>
    <n v="8.1"/>
    <n v="8.1999999999999993"/>
    <n v="10"/>
    <n v="10"/>
    <n v="10.1"/>
    <n v="9.5"/>
    <n v="4"/>
    <n v="4.3"/>
    <n v="120"/>
    <n v="85"/>
    <n v="143"/>
    <n v="142"/>
    <n v="2.4"/>
    <n v="2.4"/>
    <n v="107"/>
    <n v="103"/>
    <n v="300.5866666666667"/>
    <n v="301.88188888888891"/>
    <n v="4.1100000000000003"/>
    <n v="4.2300000000000004"/>
    <n v="12.7"/>
    <n v="12.9"/>
    <n v="39.200000000000003"/>
    <n v="40.9"/>
    <n v="95.3"/>
    <n v="96.5"/>
    <n v="30.8"/>
    <n v="30.4"/>
    <n v="32.299999999999997"/>
    <n v="31.5"/>
    <n v="324"/>
    <n v="390"/>
    <n v="12.2"/>
    <n v="12.8"/>
    <s v="-"/>
    <s v="-"/>
    <n v="12.16"/>
    <n v="23.64"/>
    <n v="87.5"/>
    <n v="88.6"/>
    <n v="7.2"/>
    <n v="4.2"/>
    <n v="5.2"/>
    <n v="7.1"/>
    <n v="0"/>
    <n v="0"/>
    <n v="0.1"/>
    <n v="0.1"/>
    <x v="1"/>
    <x v="1"/>
    <n v="53.227999999999994"/>
    <n v="70"/>
    <n v="167"/>
    <s v="50,91"/>
    <n v="48"/>
    <n v="42"/>
    <s v="23,96"/>
  </r>
  <r>
    <x v="4"/>
    <x v="1"/>
    <x v="94"/>
    <n v="33"/>
    <n v="85"/>
    <x v="1"/>
    <s v="-"/>
    <s v="-"/>
    <s v="-"/>
    <s v="-"/>
    <s v="-"/>
    <s v="-"/>
    <n v="186"/>
    <n v="3272"/>
    <s v="-"/>
    <s v="-"/>
    <n v="2.5"/>
    <n v="1.3"/>
    <n v="197"/>
    <n v="240"/>
    <n v="34"/>
    <n v="103"/>
    <n v="4.3"/>
    <n v="4.4000000000000004"/>
    <n v="35"/>
    <n v="37"/>
    <n v="32"/>
    <n v="34"/>
    <n v="3.5"/>
    <n v="6.4"/>
    <n v="142.56416511448549"/>
    <n v="133.27342265464301"/>
    <n v="54"/>
    <n v="98"/>
    <n v="0.52"/>
    <n v="0.65"/>
    <n v="0.13"/>
    <n v="3.3"/>
    <n v="5.0999999999999996"/>
    <n v="7.9"/>
    <n v="8.1999999999999993"/>
    <n v="10"/>
    <n v="10"/>
    <n v="9.8000000000000007"/>
    <n v="9.5"/>
    <n v="4.5"/>
    <n v="4.7"/>
    <n v="99"/>
    <n v="96"/>
    <n v="142"/>
    <n v="139"/>
    <n v="2.2000000000000002"/>
    <n v="2.7"/>
    <n v="109"/>
    <n v="101"/>
    <n v="301.815"/>
    <n v="303.74866666666662"/>
    <n v="4.28"/>
    <n v="4.37"/>
    <n v="13"/>
    <n v="13.2"/>
    <n v="40.200000000000003"/>
    <n v="41.7"/>
    <n v="94.1"/>
    <n v="95.4"/>
    <n v="30.3"/>
    <n v="30.2"/>
    <n v="32.200000000000003"/>
    <n v="31.6"/>
    <n v="338"/>
    <n v="393"/>
    <n v="12.3"/>
    <n v="12.4"/>
    <s v="-"/>
    <s v="-"/>
    <n v="9.3800000000000008"/>
    <n v="11.74"/>
    <n v="74.099999999999994"/>
    <n v="71.2"/>
    <n v="16.3"/>
    <n v="18.100000000000001"/>
    <n v="8.3000000000000007"/>
    <n v="9.9"/>
    <n v="0.8"/>
    <n v="0.5"/>
    <n v="0.5"/>
    <n v="0.3"/>
    <x v="0"/>
    <x v="1"/>
    <n v="79.646280000000004"/>
    <n v="89.45"/>
    <n v="179"/>
    <s v="49,25"/>
    <n v="56"/>
    <n v="54"/>
    <s v="10,96"/>
  </r>
  <r>
    <x v="4"/>
    <x v="1"/>
    <x v="95"/>
    <n v="33"/>
    <n v="70.900000000000006"/>
    <x v="0"/>
    <s v="-"/>
    <s v="-"/>
    <s v="-"/>
    <s v="-"/>
    <s v="-"/>
    <s v="-"/>
    <n v="325"/>
    <s v="-"/>
    <s v="-"/>
    <s v="-"/>
    <n v="1.6"/>
    <s v="-"/>
    <n v="153"/>
    <s v="-"/>
    <n v="45"/>
    <s v="-"/>
    <n v="4.7"/>
    <s v="-"/>
    <n v="24"/>
    <s v="-"/>
    <n v="16"/>
    <s v="-"/>
    <n v="5.3"/>
    <s v="-"/>
    <n v="127.63649903357638"/>
    <s v="Dados Insuficientes"/>
    <n v="35"/>
    <s v="-"/>
    <n v="0.75"/>
    <s v="afastado"/>
    <s v="Dados Insuficientes"/>
    <n v="5"/>
    <s v="-"/>
    <n v="8.5"/>
    <s v="-"/>
    <n v="24"/>
    <s v="-"/>
    <n v="9.8000000000000007"/>
    <s v="-"/>
    <n v="5"/>
    <s v="-"/>
    <n v="93"/>
    <s v="-"/>
    <n v="141"/>
    <s v="-"/>
    <n v="2"/>
    <s v="-"/>
    <n v="105"/>
    <s v="-"/>
    <n v="297.33499999999998"/>
    <s v="Dados Insuficientes"/>
    <n v="5.01"/>
    <s v="-"/>
    <n v="14.4"/>
    <s v="-"/>
    <n v="44.7"/>
    <s v="-"/>
    <n v="89.1"/>
    <s v="-"/>
    <n v="28.7"/>
    <s v="-"/>
    <n v="32.200000000000003"/>
    <s v="-"/>
    <n v="250"/>
    <s v="-"/>
    <n v="12.5"/>
    <s v="-"/>
    <s v="-"/>
    <s v="-"/>
    <n v="8.49"/>
    <s v="-"/>
    <n v="64.3"/>
    <s v="-"/>
    <n v="27.8"/>
    <s v="-"/>
    <n v="6.8"/>
    <s v="-"/>
    <n v="0.8"/>
    <s v="-"/>
    <n v="0.3"/>
    <s v="-"/>
    <x v="2"/>
    <x v="1"/>
    <n v="63.732880000000009"/>
    <n v="76.400000000000006"/>
    <n v="175.5"/>
    <s v="50,68"/>
    <n v="53"/>
    <n v="50"/>
    <s v="16,58"/>
  </r>
  <r>
    <x v="4"/>
    <x v="1"/>
    <x v="97"/>
    <n v="35"/>
    <n v="75.2"/>
    <x v="1"/>
    <s v="-"/>
    <s v="-"/>
    <s v="-"/>
    <s v="-"/>
    <s v="-"/>
    <s v="-"/>
    <n v="606"/>
    <n v="16935"/>
    <s v="-"/>
    <s v="-"/>
    <n v="2.4"/>
    <n v="2.1"/>
    <n v="345"/>
    <n v="728"/>
    <n v="61"/>
    <n v="513"/>
    <n v="4.3"/>
    <n v="4.4000000000000004"/>
    <n v="81"/>
    <n v="141"/>
    <n v="41"/>
    <n v="41"/>
    <n v="4.0999999999999996"/>
    <n v="6.4"/>
    <n v="133.89890724755182"/>
    <n v="54.017932393034584"/>
    <n v="44"/>
    <n v="67"/>
    <n v="0.64"/>
    <n v="1.76"/>
    <n v="1.1200000000000001"/>
    <n v="3.7"/>
    <n v="5.2"/>
    <n v="7.5"/>
    <n v="7.7"/>
    <n v="18"/>
    <n v="10"/>
    <n v="9.6"/>
    <n v="9.6"/>
    <n v="5"/>
    <n v="4.4000000000000004"/>
    <n v="102"/>
    <n v="104"/>
    <n v="140"/>
    <n v="139"/>
    <n v="2.5"/>
    <n v="2.6"/>
    <n v="104"/>
    <n v="99"/>
    <n v="297.54999999999995"/>
    <n v="298.53511111111118"/>
    <n v="4.91"/>
    <n v="4.74"/>
    <n v="14.9"/>
    <n v="14.4"/>
    <n v="46.6"/>
    <n v="45.1"/>
    <n v="94.8"/>
    <n v="95.1"/>
    <n v="30.4"/>
    <n v="30.4"/>
    <n v="32"/>
    <n v="32"/>
    <n v="220"/>
    <n v="239"/>
    <n v="13.3"/>
    <n v="13.9"/>
    <s v="-"/>
    <s v="-"/>
    <n v="6.33"/>
    <n v="15.1"/>
    <n v="64.7"/>
    <n v="76"/>
    <n v="24.8"/>
    <n v="13.7"/>
    <n v="8.4"/>
    <n v="10"/>
    <n v="1.2"/>
    <n v="0.1"/>
    <n v="0.9"/>
    <n v="0.2"/>
    <x v="1"/>
    <x v="1"/>
    <n v="64.97972"/>
    <n v="80.599999999999994"/>
    <n v="173"/>
    <s v="52,06"/>
    <n v="60"/>
    <n v="62"/>
    <s v="19,38"/>
  </r>
  <r>
    <x v="4"/>
    <x v="1"/>
    <x v="99"/>
    <s v="-"/>
    <n v="87.2"/>
    <x v="3"/>
    <s v="-"/>
    <s v="-"/>
    <s v="-"/>
    <s v="-"/>
    <s v="-"/>
    <s v="-"/>
    <n v="170"/>
    <n v="1199"/>
    <s v="-"/>
    <s v="-"/>
    <n v="1.9"/>
    <n v="2.2999999999999998"/>
    <n v="208"/>
    <n v="280"/>
    <n v="40"/>
    <n v="107"/>
    <n v="4.3"/>
    <n v="4.0999999999999996"/>
    <n v="36"/>
    <n v="55"/>
    <n v="34"/>
    <n v="33"/>
    <n v="4.3"/>
    <n v="5.6"/>
    <n v="126.6260868157064"/>
    <n v="99.262708221172488"/>
    <n v="40"/>
    <n v="61"/>
    <n v="0.77"/>
    <n v="1.06"/>
    <n v="0.29000000000000004"/>
    <n v="3.5"/>
    <n v="4.3"/>
    <n v="7.1"/>
    <n v="7"/>
    <n v="10"/>
    <n v="10"/>
    <n v="9.1999999999999993"/>
    <n v="9"/>
    <n v="4.5"/>
    <n v="4.5"/>
    <n v="109"/>
    <n v="87"/>
    <n v="140"/>
    <n v="139"/>
    <n v="2.1"/>
    <n v="2.2999999999999998"/>
    <n v="108"/>
    <n v="103"/>
    <n v="296.40055555555563"/>
    <n v="296.63500000000005"/>
    <n v="5.17"/>
    <n v="4.8899999999999997"/>
    <n v="13.9"/>
    <n v="13.2"/>
    <n v="44.2"/>
    <n v="41.9"/>
    <n v="85.6"/>
    <n v="85.7"/>
    <n v="26.9"/>
    <n v="26.9"/>
    <n v="31.4"/>
    <n v="31.4"/>
    <n v="294"/>
    <n v="313"/>
    <n v="12.9"/>
    <n v="13"/>
    <s v="-"/>
    <s v="-"/>
    <n v="5.04"/>
    <n v="11.28"/>
    <n v="64.900000000000006"/>
    <n v="75"/>
    <n v="26.2"/>
    <n v="16.3"/>
    <n v="6.6"/>
    <n v="7.4"/>
    <n v="1.9"/>
    <n v="1.2"/>
    <n v="0.4"/>
    <n v="0.1"/>
    <x v="0"/>
    <x v="1"/>
    <e v="#VALUE!"/>
    <s v="-"/>
    <s v="-"/>
    <s v="-"/>
    <s v="-"/>
    <s v="-"/>
    <s v="-"/>
  </r>
  <r>
    <x v="4"/>
    <x v="1"/>
    <x v="100"/>
    <n v="28"/>
    <n v="78.5"/>
    <x v="0"/>
    <s v="-"/>
    <s v="-"/>
    <s v="-"/>
    <s v="-"/>
    <s v="-"/>
    <s v="-"/>
    <n v="1350"/>
    <n v="26814"/>
    <s v="-"/>
    <s v="-"/>
    <n v="1.4"/>
    <n v="2.1"/>
    <n v="359"/>
    <n v="896"/>
    <n v="161"/>
    <n v="723"/>
    <n v="4.3"/>
    <n v="4.5"/>
    <n v="149"/>
    <n v="187"/>
    <n v="31"/>
    <n v="29"/>
    <n v="3.7"/>
    <n v="4.5999999999999996"/>
    <n v="133.27342265464301"/>
    <n v="127.63649903357638"/>
    <n v="45"/>
    <n v="55"/>
    <n v="0.65"/>
    <n v="0.75"/>
    <n v="9.9999999999999978E-2"/>
    <n v="3.8"/>
    <n v="5"/>
    <n v="7.1"/>
    <n v="7.3"/>
    <n v="10"/>
    <n v="10"/>
    <n v="9"/>
    <n v="9.3000000000000007"/>
    <n v="4.5999999999999996"/>
    <n v="4.2"/>
    <n v="100"/>
    <n v="102"/>
    <n v="138"/>
    <n v="143"/>
    <n v="44928"/>
    <n v="2.4"/>
    <n v="104"/>
    <n v="106"/>
    <n v="293.1248888888889"/>
    <n v="303.47533333333331"/>
    <n v="4.3600000000000003"/>
    <n v="4.21"/>
    <n v="12.9"/>
    <n v="12.3"/>
    <n v="40.1"/>
    <n v="39"/>
    <n v="92.1"/>
    <n v="92.5"/>
    <n v="29.5"/>
    <n v="29.3"/>
    <n v="32.1"/>
    <n v="31.6"/>
    <n v="228"/>
    <n v="234"/>
    <n v="13.6"/>
    <n v="13.7"/>
    <s v="-"/>
    <s v="-"/>
    <n v="7.35"/>
    <n v="11.18"/>
    <n v="77.8"/>
    <n v="79.400000000000006"/>
    <n v="14.7"/>
    <n v="13.5"/>
    <n v="6.5"/>
    <n v="6.8"/>
    <n v="0.7"/>
    <n v="0.2"/>
    <n v="0.3"/>
    <n v="0.1"/>
    <x v="0"/>
    <x v="1"/>
    <n v="67.44474000000001"/>
    <n v="75.900000000000006"/>
    <n v="182"/>
    <s v="53,11"/>
    <n v="52"/>
    <n v="42"/>
    <s v="11,14"/>
  </r>
  <r>
    <x v="4"/>
    <x v="1"/>
    <x v="101"/>
    <n v="28"/>
    <n v="81.099999999999994"/>
    <x v="0"/>
    <s v="-"/>
    <s v="-"/>
    <s v="-"/>
    <s v="-"/>
    <s v="-"/>
    <s v="-"/>
    <n v="205"/>
    <n v="3982"/>
    <s v="-"/>
    <s v="-"/>
    <n v="2.7"/>
    <n v="2.1"/>
    <n v="223"/>
    <n v="323"/>
    <n v="35"/>
    <n v="121"/>
    <n v="4.5999999999999996"/>
    <n v="4.9000000000000004"/>
    <n v="35"/>
    <n v="58"/>
    <n v="17"/>
    <n v="19"/>
    <n v="4.4000000000000004"/>
    <n v="6.7"/>
    <n v="121.62129346169971"/>
    <n v="90.015179102146433"/>
    <n v="34"/>
    <n v="57"/>
    <n v="0.88"/>
    <n v="1.1499999999999999"/>
    <n v="0.26999999999999991"/>
    <n v="4.0999999999999996"/>
    <n v="4.7"/>
    <n v="7.4"/>
    <n v="7.9"/>
    <n v="10"/>
    <n v="10"/>
    <n v="9.5"/>
    <n v="10"/>
    <n v="5"/>
    <n v="4.4000000000000004"/>
    <n v="101"/>
    <n v="91"/>
    <n v="141"/>
    <n v="144"/>
    <n v="2.4"/>
    <n v="2.6"/>
    <n v="103"/>
    <n v="108"/>
    <n v="297.67944444444447"/>
    <n v="305.33788888888887"/>
    <n v="4.93"/>
    <n v="5.04"/>
    <n v="14.3"/>
    <n v="14.4"/>
    <n v="44.2"/>
    <n v="45.1"/>
    <n v="89.7"/>
    <n v="89.4"/>
    <n v="29.1"/>
    <n v="28.6"/>
    <n v="32.4"/>
    <n v="32"/>
    <n v="333"/>
    <n v="384"/>
    <n v="13.3"/>
    <n v="13.3"/>
    <s v="-"/>
    <s v="-"/>
    <n v="11.94"/>
    <n v="14.55"/>
    <n v="84"/>
    <n v="81.7"/>
    <n v="10.4"/>
    <n v="10.4"/>
    <n v="5"/>
    <n v="7.6"/>
    <n v="0.3"/>
    <n v="0.1"/>
    <n v="0.3"/>
    <n v="0.2"/>
    <x v="0"/>
    <x v="1"/>
    <n v="74.301159999999996"/>
    <n v="91.1"/>
    <n v="181.5"/>
    <s v="48,75"/>
    <n v="70"/>
    <n v="66"/>
    <s v="18,44"/>
  </r>
  <r>
    <x v="4"/>
    <x v="1"/>
    <x v="109"/>
    <n v="29"/>
    <n v="81.099999999999994"/>
    <x v="1"/>
    <s v="-"/>
    <s v="-"/>
    <s v="-"/>
    <s v="-"/>
    <s v="-"/>
    <s v="-"/>
    <n v="223"/>
    <n v="1570"/>
    <s v="-"/>
    <s v="-"/>
    <n v="1.7"/>
    <n v="2.2000000000000002"/>
    <n v="190"/>
    <n v="302"/>
    <n v="35"/>
    <n v="121"/>
    <n v="4.3"/>
    <n v="5.3"/>
    <n v="40"/>
    <n v="84"/>
    <n v="18"/>
    <n v="22"/>
    <n v="4.5999999999999996"/>
    <n v="7.1"/>
    <n v="129.76673077977085"/>
    <n v="125.64927970646859"/>
    <n v="44"/>
    <n v="58"/>
    <n v="0.71"/>
    <n v="0.79"/>
    <n v="8.0000000000000071E-2"/>
    <n v="3.5"/>
    <n v="5.3"/>
    <n v="7.5"/>
    <n v="9.1999999999999993"/>
    <n v="57"/>
    <n v="10"/>
    <n v="9.6999999999999993"/>
    <n v="10.6"/>
    <n v="4.8"/>
    <n v="4.4000000000000004"/>
    <n v="100"/>
    <n v="92"/>
    <n v="140"/>
    <n v="147"/>
    <n v="2.2000000000000002"/>
    <n v="2.5"/>
    <n v="105"/>
    <n v="107"/>
    <n v="297.05022222222226"/>
    <n v="311.14844444444452"/>
    <n v="4.95"/>
    <n v="5.08"/>
    <n v="14.3"/>
    <n v="14.5"/>
    <n v="42.9"/>
    <n v="44.3"/>
    <n v="86.7"/>
    <n v="87.2"/>
    <n v="28.9"/>
    <n v="28.5"/>
    <n v="33.4"/>
    <n v="32.700000000000003"/>
    <n v="339"/>
    <n v="357"/>
    <n v="12.2"/>
    <n v="12.4"/>
    <s v="-"/>
    <s v="-"/>
    <n v="7.3"/>
    <n v="10.6"/>
    <n v="58.7"/>
    <n v="68.8"/>
    <n v="31.6"/>
    <n v="22.1"/>
    <n v="6.6"/>
    <n v="8.1"/>
    <n v="2"/>
    <n v="0.5"/>
    <n v="1.1000000000000001"/>
    <n v="0.5"/>
    <x v="0"/>
    <x v="1"/>
    <n v="76.399559999999994"/>
    <n v="82.8"/>
    <n v="182"/>
    <s v="53,54"/>
    <n v="56"/>
    <n v="59"/>
    <s v="7,73"/>
  </r>
  <r>
    <x v="4"/>
    <x v="1"/>
    <x v="102"/>
    <n v="27"/>
    <n v="72.900000000000006"/>
    <x v="1"/>
    <s v="-"/>
    <s v="-"/>
    <s v="-"/>
    <s v="-"/>
    <s v="-"/>
    <s v="-"/>
    <n v="340"/>
    <n v="11324"/>
    <s v="-"/>
    <s v="-"/>
    <n v="2.1"/>
    <n v="2.2000000000000002"/>
    <n v="250"/>
    <n v="488"/>
    <n v="39"/>
    <n v="320"/>
    <n v="4.8"/>
    <n v="4.9000000000000004"/>
    <n v="42"/>
    <n v="74"/>
    <n v="21"/>
    <n v="20"/>
    <n v="5.2"/>
    <n v="8.6"/>
    <n v="136.5342808821735"/>
    <n v="61.954602581591445"/>
    <n v="43"/>
    <n v="82"/>
    <n v="0.6"/>
    <n v="1.57"/>
    <n v="0.97000000000000008"/>
    <n v="4.7"/>
    <n v="6.1"/>
    <n v="7.8"/>
    <n v="7.8"/>
    <n v="11"/>
    <n v="10"/>
    <n v="9.9"/>
    <n v="9.6999999999999993"/>
    <n v="4.8"/>
    <n v="4.5"/>
    <n v="103"/>
    <n v="105"/>
    <n v="139"/>
    <n v="142"/>
    <n v="2.1"/>
    <n v="2.2000000000000002"/>
    <n v="102"/>
    <n v="105"/>
    <n v="295.21522222222228"/>
    <n v="306.86500000000001"/>
    <n v="5.24"/>
    <n v="4.79"/>
    <n v="14"/>
    <n v="13"/>
    <n v="45.4"/>
    <n v="41.5"/>
    <n v="86.7"/>
    <n v="86.6"/>
    <n v="26.7"/>
    <n v="27.2"/>
    <n v="30.8"/>
    <n v="31.4"/>
    <n v="318"/>
    <n v="356"/>
    <n v="12.8"/>
    <n v="13.3"/>
    <s v="-"/>
    <s v="-"/>
    <n v="8.73"/>
    <n v="13.08"/>
    <n v="74"/>
    <n v="78.2"/>
    <n v="17.399999999999999"/>
    <n v="13.2"/>
    <n v="7.4"/>
    <n v="8.5"/>
    <n v="1"/>
    <n v="0.1"/>
    <n v="0.2"/>
    <n v="0"/>
    <x v="1"/>
    <x v="1"/>
    <n v="65.795109999999994"/>
    <n v="75.099999999999994"/>
    <n v="170"/>
    <s v="-"/>
    <n v="48"/>
    <n v="60"/>
    <s v="12,39"/>
  </r>
  <r>
    <x v="4"/>
    <x v="1"/>
    <x v="103"/>
    <n v="28"/>
    <n v="84.6"/>
    <x v="1"/>
    <s v="-"/>
    <s v="-"/>
    <s v="-"/>
    <s v="-"/>
    <s v="-"/>
    <s v="-"/>
    <n v="312"/>
    <n v="4688"/>
    <s v="-"/>
    <s v="-"/>
    <n v="2.6"/>
    <n v="1.8"/>
    <n v="305"/>
    <n v="456"/>
    <n v="115"/>
    <n v="163"/>
    <n v="4.2"/>
    <n v="4.7"/>
    <n v="111"/>
    <n v="109"/>
    <n v="34"/>
    <n v="35"/>
    <n v="3.9"/>
    <n v="4.7"/>
    <n v="125.64927970646859"/>
    <n v="128.68261599853696"/>
    <n v="42"/>
    <n v="52"/>
    <n v="0.79"/>
    <n v="0.73"/>
    <n v="0"/>
    <n v="3.7"/>
    <n v="6.1"/>
    <n v="7.5"/>
    <n v="8"/>
    <n v="10"/>
    <n v="10"/>
    <n v="9.8000000000000007"/>
    <n v="10"/>
    <n v="4.8"/>
    <n v="5.0999999999999996"/>
    <n v="112"/>
    <n v="100"/>
    <n v="146"/>
    <n v="148"/>
    <n v="2.2000000000000002"/>
    <n v="2.5"/>
    <n v="111"/>
    <n v="112"/>
    <n v="308.64355555555562"/>
    <n v="313.82155555555562"/>
    <n v="4.59"/>
    <n v="4.4000000000000004"/>
    <n v="13.2"/>
    <n v="12.6"/>
    <n v="41.6"/>
    <n v="40.1"/>
    <n v="90.5"/>
    <n v="91.1"/>
    <n v="28.8"/>
    <n v="28.4"/>
    <n v="31.8"/>
    <n v="31.4"/>
    <n v="380"/>
    <n v="390"/>
    <n v="13"/>
    <n v="13"/>
    <s v="-"/>
    <s v="-"/>
    <n v="5.64"/>
    <n v="8.82"/>
    <n v="63.8"/>
    <n v="67.099999999999994"/>
    <n v="21.4"/>
    <n v="20.2"/>
    <n v="10"/>
    <n v="11.2"/>
    <n v="4.0999999999999996"/>
    <n v="1.4"/>
    <n v="0.7"/>
    <n v="0.1"/>
    <x v="0"/>
    <x v="1"/>
    <n v="74.264600000000002"/>
    <n v="82.7"/>
    <n v="179.5"/>
    <s v="50,56"/>
    <n v="58"/>
    <n v="52"/>
    <s v="10,20"/>
  </r>
  <r>
    <x v="4"/>
    <x v="1"/>
    <x v="104"/>
    <n v="29"/>
    <n v="79.400000000000006"/>
    <x v="1"/>
    <s v="-"/>
    <s v="-"/>
    <s v="-"/>
    <s v="-"/>
    <s v="-"/>
    <s v="-"/>
    <n v="109"/>
    <n v="6710"/>
    <s v="-"/>
    <s v="-"/>
    <n v="2.5"/>
    <n v="1.9"/>
    <n v="222"/>
    <n v="310"/>
    <n v="39"/>
    <n v="181"/>
    <n v="4.4000000000000004"/>
    <n v="4.8"/>
    <n v="54"/>
    <n v="49"/>
    <n v="19"/>
    <n v="20"/>
    <n v="4.2"/>
    <n v="6.1"/>
    <n v="99.262708221172488"/>
    <n v="116.13780672934482"/>
    <n v="64"/>
    <n v="70"/>
    <n v="1.06"/>
    <n v="0.93"/>
    <n v="0"/>
    <n v="5.0999999999999996"/>
    <n v="4.7"/>
    <n v="7.5"/>
    <n v="8.1"/>
    <n v="10"/>
    <n v="10"/>
    <n v="9.6999999999999993"/>
    <n v="9.9"/>
    <n v="4.5999999999999996"/>
    <n v="5"/>
    <n v="80"/>
    <n v="105"/>
    <n v="141"/>
    <n v="143"/>
    <n v="2.1"/>
    <n v="2.4"/>
    <n v="104"/>
    <n v="107"/>
    <n v="300.5937777777778"/>
    <n v="307.65500000000003"/>
    <n v="5.03"/>
    <n v="4.95"/>
    <n v="14.8"/>
    <n v="14.3"/>
    <n v="45.1"/>
    <n v="44.3"/>
    <n v="89.6"/>
    <n v="89.6"/>
    <n v="29.4"/>
    <n v="28.9"/>
    <n v="32.799999999999997"/>
    <n v="32.299999999999997"/>
    <n v="279"/>
    <n v="349"/>
    <n v="12.6"/>
    <n v="12.8"/>
    <s v="-"/>
    <s v="-"/>
    <n v="12.27"/>
    <n v="16.11"/>
    <n v="77.099999999999994"/>
    <n v="76.3"/>
    <n v="15.9"/>
    <n v="15.6"/>
    <n v="5.8"/>
    <n v="7.6"/>
    <n v="0.9"/>
    <n v="0.3"/>
    <n v="0.3"/>
    <n v="0.2"/>
    <x v="0"/>
    <x v="1"/>
    <n v="70.179900000000004"/>
    <n v="80.5"/>
    <n v="181"/>
    <s v="51,80"/>
    <n v="60"/>
    <n v="50"/>
    <s v="12,82"/>
  </r>
  <r>
    <x v="4"/>
    <x v="1"/>
    <x v="105"/>
    <n v="29"/>
    <n v="83.3"/>
    <x v="1"/>
    <s v="-"/>
    <s v="-"/>
    <s v="-"/>
    <s v="-"/>
    <s v="-"/>
    <s v="-"/>
    <n v="90"/>
    <n v="4504"/>
    <s v="-"/>
    <s v="-"/>
    <n v="1.5"/>
    <n v="1.8"/>
    <n v="254"/>
    <n v="862"/>
    <n v="82"/>
    <n v="692"/>
    <n v="4.5999999999999996"/>
    <n v="5.6"/>
    <n v="82"/>
    <n v="511"/>
    <n v="23"/>
    <n v="47"/>
    <n v="3.1"/>
    <n v="6.3"/>
    <n v="135.85442063451876"/>
    <n v="133.27342265464301"/>
    <n v="30"/>
    <n v="72"/>
    <n v="0.61"/>
    <n v="0.65"/>
    <n v="4.0000000000000036E-2"/>
    <n v="3.4"/>
    <n v="5.9"/>
    <n v="8.3000000000000007"/>
    <n v="10.5"/>
    <n v="11"/>
    <n v="10"/>
    <n v="9.6999999999999993"/>
    <n v="11.2"/>
    <n v="5.0999999999999996"/>
    <n v="4.7"/>
    <n v="102"/>
    <n v="180"/>
    <n v="138"/>
    <n v="149"/>
    <n v="2.1"/>
    <n v="2.8"/>
    <n v="102"/>
    <n v="107"/>
    <n v="291.68266666666665"/>
    <n v="323.38200000000001"/>
    <n v="4.68"/>
    <n v="4.53"/>
    <n v="13.6"/>
    <n v="13.1"/>
    <n v="42.1"/>
    <n v="41.1"/>
    <n v="89.9"/>
    <n v="90.8"/>
    <n v="29"/>
    <n v="28.9"/>
    <n v="32.200000000000003"/>
    <n v="31.8"/>
    <n v="445"/>
    <n v="449"/>
    <n v="12.9"/>
    <n v="13.2"/>
    <s v="-"/>
    <s v="-"/>
    <n v="6.37"/>
    <n v="12.86"/>
    <n v="66.8"/>
    <n v="80.7"/>
    <n v="23.5"/>
    <n v="12.5"/>
    <n v="8.1999999999999993"/>
    <n v="5.9"/>
    <n v="1.3"/>
    <n v="0.8"/>
    <n v="0.2"/>
    <n v="0.1"/>
    <x v="0"/>
    <x v="1"/>
    <n v="75.160799999999995"/>
    <n v="85.8"/>
    <n v="178"/>
    <s v="53,41"/>
    <n v="55"/>
    <n v="56"/>
    <s v="12,40"/>
  </r>
  <r>
    <x v="4"/>
    <x v="7"/>
    <x v="82"/>
    <n v="25"/>
    <n v="72.099999999999994"/>
    <x v="0"/>
    <s v="-"/>
    <s v="-"/>
    <s v="-"/>
    <s v="-"/>
    <s v="-"/>
    <s v="-"/>
    <n v="120"/>
    <n v="2600"/>
    <s v="-"/>
    <s v="-"/>
    <s v="-"/>
    <s v="-"/>
    <n v="239"/>
    <n v="313"/>
    <n v="28"/>
    <n v="98"/>
    <s v="-"/>
    <s v="-"/>
    <s v="-"/>
    <s v="-"/>
    <s v="-"/>
    <s v="-"/>
    <s v="-"/>
    <s v="-"/>
    <n v="125.17286966375688"/>
    <n v="77.700020894732489"/>
    <n v="39"/>
    <n v="49"/>
    <n v="0.8"/>
    <n v="1.3"/>
    <n v="0.5"/>
    <s v="-"/>
    <s v="-"/>
    <s v="-"/>
    <s v="-"/>
    <s v="-"/>
    <s v="-"/>
    <s v="-"/>
    <s v="-"/>
    <n v="5.2"/>
    <n v="3.9"/>
    <n v="78"/>
    <n v="121"/>
    <n v="140"/>
    <n v="137"/>
    <s v="-"/>
    <s v="-"/>
    <n v="100"/>
    <n v="99"/>
    <n v="295.55533333333335"/>
    <n v="291.97122222222225"/>
    <n v="5.33"/>
    <n v="5.55"/>
    <n v="15.5"/>
    <n v="16.2"/>
    <n v="47.1"/>
    <n v="47.5"/>
    <n v="88.4"/>
    <n v="85.6"/>
    <n v="29.1"/>
    <n v="29.2"/>
    <n v="32.9"/>
    <n v="34.1"/>
    <n v="271"/>
    <n v="374"/>
    <n v="12.1"/>
    <n v="12.5"/>
    <s v="-"/>
    <s v="-"/>
    <n v="10.33"/>
    <n v="15.73"/>
    <n v="66.2"/>
    <n v="60.5"/>
    <n v="23.3"/>
    <n v="25.7"/>
    <n v="8.3000000000000007"/>
    <n v="13.2"/>
    <n v="1.2"/>
    <n v="0.2"/>
    <n v="0.5"/>
    <n v="0.4"/>
    <x v="1"/>
    <x v="1"/>
    <n v="63.201930000000004"/>
    <n v="75.900000000000006"/>
    <n v="179"/>
    <s v="51,73"/>
    <n v="52"/>
    <n v="58"/>
    <s v="16,73"/>
  </r>
  <r>
    <x v="4"/>
    <x v="7"/>
    <x v="110"/>
    <n v="27"/>
    <n v="87.7"/>
    <x v="1"/>
    <s v="-"/>
    <s v="-"/>
    <s v="-"/>
    <s v="-"/>
    <s v="-"/>
    <s v="-"/>
    <n v="179"/>
    <n v="890"/>
    <s v="-"/>
    <s v="-"/>
    <s v="-"/>
    <s v="-"/>
    <n v="229"/>
    <n v="216"/>
    <n v="22"/>
    <n v="38"/>
    <s v="-"/>
    <s v="-"/>
    <s v="-"/>
    <s v="-"/>
    <s v="-"/>
    <s v="-"/>
    <s v="-"/>
    <s v="-"/>
    <n v="125.17286966375688"/>
    <n v="106.45183652429932"/>
    <n v="35"/>
    <n v="35"/>
    <n v="0.8"/>
    <n v="1"/>
    <n v="0.19999999999999996"/>
    <s v="-"/>
    <s v="-"/>
    <s v="-"/>
    <s v="-"/>
    <s v="-"/>
    <s v="-"/>
    <s v="-"/>
    <s v="-"/>
    <n v="4.2"/>
    <n v="3.9"/>
    <n v="107"/>
    <n v="91"/>
    <n v="141"/>
    <n v="135"/>
    <s v="-"/>
    <s v="-"/>
    <n v="101"/>
    <n v="99"/>
    <n v="296.74144444444443"/>
    <n v="284.00122222222222"/>
    <n v="5.07"/>
    <n v="5.33"/>
    <n v="15"/>
    <n v="15.7"/>
    <n v="42.9"/>
    <n v="44"/>
    <n v="84.6"/>
    <n v="82.6"/>
    <n v="29.6"/>
    <n v="29.5"/>
    <n v="35"/>
    <n v="35.700000000000003"/>
    <n v="211"/>
    <n v="282"/>
    <n v="11.9"/>
    <n v="11.9"/>
    <s v="-"/>
    <s v="-"/>
    <n v="6.18"/>
    <n v="9.2200000000000006"/>
    <n v="53.1"/>
    <n v="57"/>
    <n v="36.200000000000003"/>
    <n v="32.799999999999997"/>
    <n v="9.1"/>
    <n v="9.3000000000000007"/>
    <n v="1"/>
    <n v="0.4"/>
    <n v="0.6"/>
    <n v="0.5"/>
    <x v="0"/>
    <x v="0"/>
    <n v="76.304699999999997"/>
    <n v="88.5"/>
    <n v="176"/>
    <s v="51,21"/>
    <n v="80"/>
    <n v="88"/>
    <s v="13,78"/>
  </r>
  <r>
    <x v="4"/>
    <x v="7"/>
    <x v="84"/>
    <n v="24"/>
    <n v="75.900000000000006"/>
    <x v="1"/>
    <s v="-"/>
    <s v="-"/>
    <s v="-"/>
    <s v="-"/>
    <s v="-"/>
    <s v="-"/>
    <n v="295"/>
    <n v="4761"/>
    <s v="-"/>
    <s v="-"/>
    <s v="-"/>
    <s v="-"/>
    <n v="202"/>
    <n v="217"/>
    <n v="30"/>
    <n v="119"/>
    <s v="-"/>
    <s v="-"/>
    <s v="-"/>
    <s v="-"/>
    <s v="-"/>
    <s v="-"/>
    <s v="-"/>
    <s v="-"/>
    <n v="130.32381263076621"/>
    <n v="85.533385678368745"/>
    <n v="34"/>
    <n v="48"/>
    <n v="0.7"/>
    <n v="1.2"/>
    <n v="0.5"/>
    <s v="-"/>
    <s v="-"/>
    <s v="-"/>
    <s v="-"/>
    <s v="-"/>
    <s v="-"/>
    <s v="-"/>
    <s v="-"/>
    <n v="4.7"/>
    <n v="3.9"/>
    <n v="95"/>
    <n v="108"/>
    <n v="141"/>
    <n v="150"/>
    <s v="-"/>
    <s v="-"/>
    <n v="101"/>
    <n v="107"/>
    <n v="296.73811111111115"/>
    <n v="315.154"/>
    <n v="4.99"/>
    <n v="4.8899999999999997"/>
    <n v="15.1"/>
    <n v="14.9"/>
    <n v="44.9"/>
    <n v="43.1"/>
    <n v="90"/>
    <n v="88.1"/>
    <n v="30.3"/>
    <n v="30.5"/>
    <n v="33.6"/>
    <n v="34.6"/>
    <n v="236"/>
    <n v="268"/>
    <n v="12.5"/>
    <n v="12.7"/>
    <s v="-"/>
    <s v="-"/>
    <n v="6.86"/>
    <n v="11.51"/>
    <n v="51.4"/>
    <n v="50.8"/>
    <n v="29.9"/>
    <n v="36.799999999999997"/>
    <n v="12"/>
    <n v="11.6"/>
    <n v="5.7"/>
    <n v="0.3"/>
    <n v="1"/>
    <n v="0.5"/>
    <x v="1"/>
    <x v="1"/>
    <n v="69.677400000000006"/>
    <n v="78"/>
    <n v="178"/>
    <s v="52,07"/>
    <n v="56"/>
    <n v="56"/>
    <s v="10,67"/>
  </r>
  <r>
    <x v="4"/>
    <x v="7"/>
    <x v="85"/>
    <n v="34"/>
    <n v="74"/>
    <x v="0"/>
    <s v="-"/>
    <s v="-"/>
    <s v="-"/>
    <s v="-"/>
    <s v="-"/>
    <s v="-"/>
    <n v="125"/>
    <n v="1313"/>
    <s v="-"/>
    <s v="-"/>
    <s v="-"/>
    <s v="-"/>
    <n v="190"/>
    <n v="138"/>
    <n v="26"/>
    <n v="74"/>
    <s v="-"/>
    <s v="-"/>
    <s v="-"/>
    <s v="-"/>
    <s v="-"/>
    <s v="-"/>
    <s v="-"/>
    <s v="-"/>
    <n v="120.79866842153496"/>
    <n v="85.533385678368745"/>
    <n v="40"/>
    <n v="37"/>
    <n v="0.9"/>
    <n v="1.2"/>
    <n v="0.29999999999999993"/>
    <s v="-"/>
    <s v="-"/>
    <s v="-"/>
    <s v="-"/>
    <s v="-"/>
    <s v="-"/>
    <s v="-"/>
    <s v="-"/>
    <n v="4.0999999999999996"/>
    <n v="4.0999999999999996"/>
    <n v="82"/>
    <n v="86"/>
    <n v="142"/>
    <n v="139"/>
    <s v="-"/>
    <s v="-"/>
    <n v="104"/>
    <n v="102"/>
    <n v="297.65155555555555"/>
    <n v="291.82711111111115"/>
    <n v="5.67"/>
    <n v="6.05"/>
    <n v="12.7"/>
    <n v="13.4"/>
    <n v="40.700000000000003"/>
    <n v="42.5"/>
    <n v="71.8"/>
    <n v="70.2"/>
    <n v="22.4"/>
    <n v="22.1"/>
    <n v="31.2"/>
    <n v="31.5"/>
    <n v="271"/>
    <n v="297"/>
    <n v="13.5"/>
    <n v="13.7"/>
    <s v="-"/>
    <s v="-"/>
    <n v="11.6"/>
    <n v="18.66"/>
    <n v="61.4"/>
    <n v="68.900000000000006"/>
    <n v="25.9"/>
    <n v="21.2"/>
    <n v="8.9"/>
    <n v="8.4"/>
    <n v="3.2"/>
    <n v="0.9"/>
    <n v="0.6"/>
    <n v="0.6"/>
    <x v="1"/>
    <x v="1"/>
    <n v="65.063019999999995"/>
    <n v="81.400000000000006"/>
    <n v="178.5"/>
    <s v="47,31"/>
    <n v="52"/>
    <n v="52"/>
    <s v="20,07"/>
  </r>
  <r>
    <x v="4"/>
    <x v="7"/>
    <x v="86"/>
    <n v="32"/>
    <n v="74.7"/>
    <x v="1"/>
    <s v="-"/>
    <s v="-"/>
    <s v="-"/>
    <s v="-"/>
    <s v="-"/>
    <s v="-"/>
    <n v="108"/>
    <n v="1114"/>
    <s v="-"/>
    <s v="-"/>
    <s v="-"/>
    <s v="-"/>
    <n v="162"/>
    <n v="93"/>
    <n v="26"/>
    <n v="50"/>
    <s v="-"/>
    <s v="-"/>
    <s v="-"/>
    <s v="-"/>
    <s v="-"/>
    <s v="-"/>
    <s v="-"/>
    <s v="-"/>
    <n v="120.79866842153496"/>
    <n v="94.947150652744313"/>
    <n v="44"/>
    <n v="44"/>
    <n v="0.9"/>
    <n v="1.1000000000000001"/>
    <n v="0.20000000000000007"/>
    <s v="-"/>
    <s v="-"/>
    <s v="-"/>
    <s v="-"/>
    <s v="-"/>
    <s v="-"/>
    <s v="-"/>
    <s v="-"/>
    <n v="4.2"/>
    <n v="4.0999999999999996"/>
    <n v="74"/>
    <n v="82"/>
    <n v="141"/>
    <n v="138"/>
    <s v="-"/>
    <s v="-"/>
    <n v="103"/>
    <n v="103"/>
    <n v="296.13311111111108"/>
    <n v="290.87822222222218"/>
    <n v="5.34"/>
    <n v="5.17"/>
    <n v="14.6"/>
    <n v="14.2"/>
    <n v="44.3"/>
    <n v="42.8"/>
    <n v="83"/>
    <n v="82.8"/>
    <n v="27.3"/>
    <n v="27.5"/>
    <n v="33"/>
    <n v="33.200000000000003"/>
    <n v="234"/>
    <n v="214"/>
    <n v="13.9"/>
    <n v="14.3"/>
    <s v="-"/>
    <s v="-"/>
    <n v="5.55"/>
    <n v="11.18"/>
    <n v="54.3"/>
    <n v="63.6"/>
    <n v="29.7"/>
    <n v="25.8"/>
    <n v="14.2"/>
    <n v="10.1"/>
    <n v="1.3"/>
    <n v="0.2"/>
    <n v="0.5"/>
    <n v="0.3"/>
    <x v="0"/>
    <x v="1"/>
    <n v="67.988160000000008"/>
    <n v="77.400000000000006"/>
    <n v="172"/>
    <s v="50,97"/>
    <n v="52"/>
    <n v="56"/>
    <s v="12,16"/>
  </r>
  <r>
    <x v="4"/>
    <x v="7"/>
    <x v="88"/>
    <n v="34"/>
    <n v="76.5"/>
    <x v="1"/>
    <s v="-"/>
    <s v="-"/>
    <s v="-"/>
    <s v="-"/>
    <s v="-"/>
    <s v="-"/>
    <n v="90"/>
    <n v="1386"/>
    <s v="-"/>
    <s v="-"/>
    <s v="-"/>
    <s v="-"/>
    <n v="181"/>
    <n v="133"/>
    <n v="21"/>
    <n v="58"/>
    <s v="-"/>
    <s v="-"/>
    <s v="-"/>
    <s v="-"/>
    <s v="-"/>
    <s v="-"/>
    <s v="-"/>
    <s v="-"/>
    <n v="125.17286966375688"/>
    <n v="77.700020894732489"/>
    <n v="27"/>
    <n v="36"/>
    <n v="0.8"/>
    <n v="1.3"/>
    <n v="0.5"/>
    <s v="-"/>
    <s v="-"/>
    <s v="-"/>
    <s v="-"/>
    <s v="-"/>
    <s v="-"/>
    <s v="-"/>
    <s v="-"/>
    <n v="4.3"/>
    <n v="3.9"/>
    <n v="84"/>
    <n v="108"/>
    <n v="137"/>
    <n v="142"/>
    <s v="-"/>
    <s v="-"/>
    <n v="100"/>
    <n v="104"/>
    <n v="286.68466666666671"/>
    <n v="298.274"/>
    <n v="5.63"/>
    <n v="5.59"/>
    <n v="15"/>
    <n v="14.9"/>
    <n v="46.4"/>
    <n v="45.3"/>
    <n v="82.4"/>
    <n v="81"/>
    <n v="26.6"/>
    <n v="26.7"/>
    <n v="32.299999999999997"/>
    <n v="32.9"/>
    <n v="246"/>
    <n v="245"/>
    <n v="14.4"/>
    <n v="14.8"/>
    <s v="-"/>
    <s v="-"/>
    <n v="10.119999999999999"/>
    <n v="16.920000000000002"/>
    <n v="61.1"/>
    <n v="70.2"/>
    <n v="25.2"/>
    <n v="18.899999999999999"/>
    <n v="12.6"/>
    <n v="10"/>
    <n v="0.6"/>
    <n v="0.8"/>
    <n v="0.5"/>
    <n v="0.1"/>
    <x v="1"/>
    <x v="1"/>
    <n v="64.173225000000002"/>
    <n v="84.25"/>
    <n v="177"/>
    <s v="48,78"/>
    <s v="-"/>
    <s v="-"/>
    <s v="23,83"/>
  </r>
  <r>
    <x v="4"/>
    <x v="7"/>
    <x v="89"/>
    <n v="33"/>
    <n v="68.099999999999994"/>
    <x v="1"/>
    <s v="-"/>
    <s v="-"/>
    <s v="-"/>
    <s v="-"/>
    <s v="-"/>
    <s v="-"/>
    <n v="212"/>
    <n v="2903"/>
    <s v="-"/>
    <s v="-"/>
    <s v="-"/>
    <s v="-"/>
    <n v="164"/>
    <n v="146"/>
    <n v="27"/>
    <n v="86"/>
    <s v="-"/>
    <s v="-"/>
    <s v="-"/>
    <s v="-"/>
    <s v="-"/>
    <s v="-"/>
    <s v="-"/>
    <s v="-"/>
    <n v="120.79866842153496"/>
    <n v="60.56325091328862"/>
    <n v="28"/>
    <n v="54"/>
    <n v="0.9"/>
    <n v="1.6"/>
    <n v="0.70000000000000007"/>
    <s v="-"/>
    <s v="-"/>
    <s v="-"/>
    <s v="-"/>
    <s v="-"/>
    <s v="-"/>
    <s v="-"/>
    <s v="-"/>
    <n v="4.5"/>
    <n v="4.5999999999999996"/>
    <n v="100"/>
    <n v="121"/>
    <n v="141"/>
    <n v="134"/>
    <s v="-"/>
    <s v="-"/>
    <n v="101"/>
    <n v="93"/>
    <n v="295.6855555555556"/>
    <n v="288.52655555555555"/>
    <n v="4.59"/>
    <n v="4.99"/>
    <n v="14.4"/>
    <n v="15.5"/>
    <n v="43.2"/>
    <n v="45.5"/>
    <n v="94.1"/>
    <n v="91.2"/>
    <n v="31.4"/>
    <n v="31.1"/>
    <n v="33.299999999999997"/>
    <n v="34.1"/>
    <n v="159"/>
    <n v="160"/>
    <n v="12.2"/>
    <n v="12.3"/>
    <s v="-"/>
    <s v="-"/>
    <n v="4.37"/>
    <n v="11.38"/>
    <n v="49.9"/>
    <n v="74.099999999999994"/>
    <n v="35.9"/>
    <n v="16.899999999999999"/>
    <n v="9.4"/>
    <n v="8.6"/>
    <n v="3.9"/>
    <n v="0.1"/>
    <n v="0.9"/>
    <n v="0.3"/>
    <x v="1"/>
    <x v="1"/>
    <n v="62.813019999999995"/>
    <n v="69.8"/>
    <n v="175"/>
    <s v="49,28"/>
    <n v="70"/>
    <n v="61"/>
    <s v="10,01"/>
  </r>
  <r>
    <x v="4"/>
    <x v="7"/>
    <x v="90"/>
    <n v="34"/>
    <n v="78.099999999999994"/>
    <x v="1"/>
    <s v="-"/>
    <s v="-"/>
    <s v="-"/>
    <s v="-"/>
    <s v="-"/>
    <s v="-"/>
    <n v="116"/>
    <n v="353"/>
    <s v="-"/>
    <s v="-"/>
    <s v="-"/>
    <s v="-"/>
    <n v="194"/>
    <n v="117"/>
    <n v="23"/>
    <n v="26"/>
    <s v="-"/>
    <s v="-"/>
    <s v="-"/>
    <s v="-"/>
    <s v="-"/>
    <s v="-"/>
    <s v="-"/>
    <s v="-"/>
    <n v="130.32381263076621"/>
    <n v="130.32381263076621"/>
    <n v="27"/>
    <n v="28"/>
    <n v="0.7"/>
    <n v="0.7"/>
    <n v="0"/>
    <s v="-"/>
    <s v="-"/>
    <s v="-"/>
    <s v="-"/>
    <s v="-"/>
    <s v="-"/>
    <s v="-"/>
    <s v="-"/>
    <n v="4.3"/>
    <n v="4"/>
    <n v="78"/>
    <n v="88"/>
    <n v="141"/>
    <n v="132"/>
    <s v="-"/>
    <s v="-"/>
    <n v="102"/>
    <n v="98"/>
    <n v="293.74133333333339"/>
    <n v="277.24888888888893"/>
    <n v="5.0999999999999996"/>
    <n v="4.9000000000000004"/>
    <n v="15.9"/>
    <n v="15.2"/>
    <n v="47.1"/>
    <n v="44.2"/>
    <n v="92.4"/>
    <n v="90.2"/>
    <n v="31.2"/>
    <n v="31"/>
    <n v="33.799999999999997"/>
    <n v="34.4"/>
    <n v="269"/>
    <n v="273"/>
    <n v="12.1"/>
    <n v="12.3"/>
    <s v="-"/>
    <s v="-"/>
    <n v="6.58"/>
    <n v="6.28"/>
    <n v="38.5"/>
    <n v="48.9"/>
    <n v="38.5"/>
    <n v="37.1"/>
    <n v="13.7"/>
    <n v="12.7"/>
    <n v="1.1000000000000001"/>
    <n v="0.5"/>
    <n v="1.1000000000000001"/>
    <n v="0.8"/>
    <x v="0"/>
    <x v="0"/>
    <n v="67.389839999999992"/>
    <n v="75.599999999999994"/>
    <n v="177"/>
    <s v="53,53"/>
    <n v="60"/>
    <n v="59"/>
    <s v="10,86"/>
  </r>
  <r>
    <x v="4"/>
    <x v="7"/>
    <x v="91"/>
    <n v="32"/>
    <n v="75.099999999999994"/>
    <x v="1"/>
    <s v="-"/>
    <s v="-"/>
    <s v="-"/>
    <s v="-"/>
    <s v="-"/>
    <s v="-"/>
    <n v="287"/>
    <n v="3219"/>
    <s v="-"/>
    <s v="-"/>
    <s v="-"/>
    <s v="-"/>
    <n v="210"/>
    <n v="131"/>
    <n v="32"/>
    <n v="85"/>
    <s v="-"/>
    <s v="-"/>
    <s v="-"/>
    <s v="-"/>
    <s v="-"/>
    <s v="-"/>
    <s v="-"/>
    <s v="-"/>
    <n v="120.79866842153496"/>
    <n v="71.088527013625097"/>
    <n v="33"/>
    <n v="51"/>
    <n v="0.9"/>
    <n v="1.4"/>
    <n v="0.49999999999999989"/>
    <s v="-"/>
    <s v="-"/>
    <s v="-"/>
    <s v="-"/>
    <s v="-"/>
    <s v="-"/>
    <s v="-"/>
    <s v="-"/>
    <n v="4.5999999999999996"/>
    <n v="4.0999999999999996"/>
    <n v="84"/>
    <n v="104"/>
    <n v="140"/>
    <n v="136"/>
    <s v="-"/>
    <s v="-"/>
    <n v="106"/>
    <n v="100"/>
    <n v="293.82266666666669"/>
    <n v="289.73044444444446"/>
    <n v="6.26"/>
    <n v="6.63"/>
    <n v="13.9"/>
    <n v="14.7"/>
    <n v="44.2"/>
    <n v="45.5"/>
    <n v="70.599999999999994"/>
    <n v="68.599999999999994"/>
    <n v="22.2"/>
    <n v="22.2"/>
    <n v="31.4"/>
    <n v="32.299999999999997"/>
    <n v="308"/>
    <n v="344"/>
    <n v="14.8"/>
    <n v="15"/>
    <s v="-"/>
    <s v="-"/>
    <n v="7.4"/>
    <n v="13.3"/>
    <n v="58"/>
    <n v="73"/>
    <n v="28.2"/>
    <n v="18.399999999999999"/>
    <n v="10.9"/>
    <n v="7.8"/>
    <n v="1.8"/>
    <n v="0.3"/>
    <n v="1.1000000000000001"/>
    <n v="0.5"/>
    <x v="1"/>
    <x v="1"/>
    <n v="63.856044999999995"/>
    <n v="79.849999999999994"/>
    <n v="178.5"/>
    <s v="47,85"/>
    <n v="50"/>
    <n v="56"/>
    <s v="20,03"/>
  </r>
  <r>
    <x v="4"/>
    <x v="7"/>
    <x v="94"/>
    <n v="33"/>
    <n v="86.2"/>
    <x v="1"/>
    <s v="-"/>
    <s v="-"/>
    <s v="-"/>
    <s v="-"/>
    <s v="-"/>
    <s v="-"/>
    <n v="130"/>
    <n v="1284"/>
    <s v="-"/>
    <s v="-"/>
    <s v="-"/>
    <s v="-"/>
    <n v="171"/>
    <n v="180"/>
    <n v="26"/>
    <n v="63"/>
    <s v="-"/>
    <s v="-"/>
    <s v="-"/>
    <s v="-"/>
    <s v="-"/>
    <s v="-"/>
    <s v="-"/>
    <s v="-"/>
    <n v="130.32381263076621"/>
    <n v="94.947150652744313"/>
    <n v="36"/>
    <n v="55"/>
    <n v="0.7"/>
    <n v="1.1000000000000001"/>
    <n v="0.40000000000000013"/>
    <s v="-"/>
    <s v="-"/>
    <s v="-"/>
    <s v="-"/>
    <s v="-"/>
    <s v="-"/>
    <s v="-"/>
    <s v="-"/>
    <n v="4.3"/>
    <n v="3.9"/>
    <n v="81"/>
    <n v="85"/>
    <n v="138"/>
    <n v="141"/>
    <s v="-"/>
    <s v="-"/>
    <n v="100"/>
    <n v="101"/>
    <n v="289.85300000000007"/>
    <n v="298.11122222222224"/>
    <n v="5.17"/>
    <n v="5.18"/>
    <n v="15.7"/>
    <n v="15.6"/>
    <n v="46.7"/>
    <n v="45.8"/>
    <n v="90.3"/>
    <n v="88.4"/>
    <n v="30.4"/>
    <n v="30.1"/>
    <n v="33.6"/>
    <n v="34.1"/>
    <n v="279"/>
    <n v="332"/>
    <n v="11.5"/>
    <n v="11.7"/>
    <s v="-"/>
    <s v="-"/>
    <n v="7.85"/>
    <n v="12.82"/>
    <n v="65.599999999999994"/>
    <n v="63.8"/>
    <n v="22.2"/>
    <n v="22.6"/>
    <n v="10.8"/>
    <n v="12.8"/>
    <n v="0.4"/>
    <n v="0.1"/>
    <n v="1"/>
    <n v="0.7"/>
    <x v="1"/>
    <x v="1"/>
    <n v="79.646280000000004"/>
    <n v="89.45"/>
    <n v="179"/>
    <s v="49,25"/>
    <n v="56"/>
    <n v="54"/>
    <s v="10,96"/>
  </r>
  <r>
    <x v="4"/>
    <x v="7"/>
    <x v="95"/>
    <n v="33"/>
    <n v="71.400000000000006"/>
    <x v="0"/>
    <s v="-"/>
    <s v="-"/>
    <s v="-"/>
    <s v="-"/>
    <s v="-"/>
    <s v="-"/>
    <n v="89"/>
    <n v="144"/>
    <s v="-"/>
    <s v="-"/>
    <s v="-"/>
    <s v="-"/>
    <n v="140"/>
    <n v="151"/>
    <n v="25"/>
    <n v="31"/>
    <s v="-"/>
    <s v="-"/>
    <s v="-"/>
    <s v="-"/>
    <s v="-"/>
    <s v="-"/>
    <s v="-"/>
    <s v="-"/>
    <n v="125.17286966375688"/>
    <n v="94.947150652744313"/>
    <n v="35"/>
    <n v="32"/>
    <n v="0.8"/>
    <n v="1.1000000000000001"/>
    <n v="0.30000000000000004"/>
    <s v="-"/>
    <s v="-"/>
    <s v="-"/>
    <s v="-"/>
    <s v="-"/>
    <s v="-"/>
    <s v="-"/>
    <s v="-"/>
    <n v="4.8"/>
    <n v="4.5"/>
    <n v="78"/>
    <n v="83"/>
    <n v="138"/>
    <n v="140"/>
    <s v="-"/>
    <s v="-"/>
    <n v="101"/>
    <n v="103"/>
    <n v="290.42466666666672"/>
    <n v="293.4061111111111"/>
    <n v="5.0999999999999996"/>
    <n v="5.4"/>
    <n v="14.8"/>
    <n v="15.5"/>
    <n v="44"/>
    <n v="45.8"/>
    <n v="86.3"/>
    <n v="84.8"/>
    <n v="29"/>
    <n v="28.7"/>
    <n v="33.6"/>
    <n v="33.799999999999997"/>
    <n v="199"/>
    <n v="241"/>
    <n v="11.6"/>
    <n v="11.7"/>
    <s v="-"/>
    <s v="-"/>
    <n v="11.5"/>
    <n v="12.3"/>
    <n v="62.5"/>
    <n v="54.8"/>
    <n v="27.7"/>
    <n v="35.6"/>
    <n v="7.7"/>
    <n v="7.6"/>
    <n v="1.3"/>
    <n v="1.1000000000000001"/>
    <n v="0.8"/>
    <n v="0.9"/>
    <x v="1"/>
    <x v="0"/>
    <n v="63.732880000000009"/>
    <n v="76.400000000000006"/>
    <n v="175.5"/>
    <s v="50,68"/>
    <n v="53"/>
    <n v="50"/>
    <s v="16,58"/>
  </r>
  <r>
    <x v="4"/>
    <x v="7"/>
    <x v="99"/>
    <s v="-"/>
    <n v="88.9"/>
    <x v="3"/>
    <s v="-"/>
    <s v="-"/>
    <s v="-"/>
    <s v="-"/>
    <s v="-"/>
    <s v="-"/>
    <n v="102"/>
    <n v="1216"/>
    <s v="-"/>
    <s v="-"/>
    <s v="-"/>
    <s v="-"/>
    <n v="148"/>
    <n v="152"/>
    <n v="24"/>
    <n v="70"/>
    <s v="-"/>
    <s v="-"/>
    <s v="-"/>
    <s v="-"/>
    <s v="-"/>
    <s v="-"/>
    <s v="-"/>
    <s v="-"/>
    <n v="125.17286966375688"/>
    <n v="77.700020894732489"/>
    <n v="34"/>
    <n v="42"/>
    <n v="0.8"/>
    <n v="1.3"/>
    <n v="0.5"/>
    <s v="-"/>
    <s v="-"/>
    <s v="-"/>
    <s v="-"/>
    <s v="-"/>
    <s v="-"/>
    <s v="-"/>
    <s v="-"/>
    <n v="4"/>
    <n v="3.9"/>
    <n v="85"/>
    <n v="90"/>
    <n v="137"/>
    <n v="139"/>
    <s v="-"/>
    <s v="-"/>
    <n v="100"/>
    <n v="101"/>
    <n v="287.35722222222222"/>
    <n v="292.54400000000004"/>
    <n v="5.46"/>
    <n v="5.97"/>
    <n v="14.7"/>
    <n v="15.8"/>
    <n v="44.3"/>
    <n v="47.1"/>
    <n v="81.099999999999994"/>
    <n v="78.900000000000006"/>
    <n v="26.9"/>
    <n v="26.5"/>
    <n v="33.200000000000003"/>
    <n v="33.5"/>
    <n v="227"/>
    <n v="267"/>
    <n v="12.4"/>
    <n v="13"/>
    <s v="-"/>
    <s v="-"/>
    <n v="4.53"/>
    <n v="10.01"/>
    <n v="61.2"/>
    <n v="63.4"/>
    <n v="28.9"/>
    <n v="27.1"/>
    <n v="7.7"/>
    <n v="8.5"/>
    <n v="1.5"/>
    <n v="0.5"/>
    <n v="0.7"/>
    <n v="0.5"/>
    <x v="1"/>
    <x v="1"/>
    <e v="#VALUE!"/>
    <s v="-"/>
    <s v="-"/>
    <s v="-"/>
    <s v="-"/>
    <s v="-"/>
    <s v="-"/>
  </r>
  <r>
    <x v="4"/>
    <x v="7"/>
    <x v="100"/>
    <n v="28"/>
    <n v="80.5"/>
    <x v="0"/>
    <s v="-"/>
    <s v="-"/>
    <s v="-"/>
    <s v="-"/>
    <s v="-"/>
    <s v="-"/>
    <n v="355"/>
    <n v="726"/>
    <s v="-"/>
    <s v="-"/>
    <s v="-"/>
    <s v="-"/>
    <n v="202"/>
    <n v="171"/>
    <n v="40"/>
    <n v="37"/>
    <s v="-"/>
    <s v="-"/>
    <s v="-"/>
    <s v="-"/>
    <s v="-"/>
    <s v="-"/>
    <s v="-"/>
    <s v="-"/>
    <n v="125.17286966375688"/>
    <n v="106.45183652429932"/>
    <n v="28"/>
    <n v="29"/>
    <n v="0.8"/>
    <n v="1"/>
    <n v="0.19999999999999996"/>
    <s v="-"/>
    <s v="-"/>
    <s v="-"/>
    <s v="-"/>
    <s v="-"/>
    <s v="-"/>
    <s v="-"/>
    <s v="-"/>
    <n v="4.3"/>
    <n v="4"/>
    <n v="83"/>
    <n v="92"/>
    <n v="138"/>
    <n v="136"/>
    <s v="-"/>
    <s v="-"/>
    <n v="99"/>
    <n v="100"/>
    <n v="288.64744444444449"/>
    <n v="285.11111111111114"/>
    <n v="5.0199999999999996"/>
    <n v="4.62"/>
    <n v="14.7"/>
    <n v="13.6"/>
    <n v="43.9"/>
    <n v="40.4"/>
    <n v="87.5"/>
    <n v="87.4"/>
    <n v="29.3"/>
    <n v="29.4"/>
    <n v="33.5"/>
    <n v="33.700000000000003"/>
    <n v="171"/>
    <n v="216"/>
    <n v="12.1"/>
    <n v="12.4"/>
    <s v="-"/>
    <s v="-"/>
    <n v="5.48"/>
    <n v="8.18"/>
    <n v="59.7"/>
    <n v="70.8"/>
    <n v="30.8"/>
    <n v="20.2"/>
    <n v="7.8"/>
    <n v="8.6999999999999993"/>
    <n v="1.3"/>
    <n v="0.2"/>
    <n v="0.4"/>
    <n v="0.1"/>
    <x v="0"/>
    <x v="0"/>
    <n v="67.44474000000001"/>
    <n v="75.900000000000006"/>
    <n v="182"/>
    <s v="53,11"/>
    <n v="52"/>
    <n v="42"/>
    <s v="11,14"/>
  </r>
  <r>
    <x v="4"/>
    <x v="7"/>
    <x v="101"/>
    <n v="28"/>
    <n v="84.1"/>
    <x v="0"/>
    <s v="-"/>
    <s v="-"/>
    <s v="-"/>
    <s v="-"/>
    <s v="-"/>
    <s v="-"/>
    <n v="88"/>
    <n v="849"/>
    <s v="-"/>
    <s v="-"/>
    <s v="-"/>
    <s v="-"/>
    <n v="161"/>
    <n v="143"/>
    <n v="21"/>
    <n v="45"/>
    <s v="-"/>
    <s v="-"/>
    <s v="-"/>
    <s v="-"/>
    <s v="-"/>
    <s v="-"/>
    <s v="-"/>
    <s v="-"/>
    <n v="125.17286966375688"/>
    <n v="106.45183652429932"/>
    <n v="33"/>
    <n v="36"/>
    <n v="0.8"/>
    <n v="1"/>
    <n v="0.19999999999999996"/>
    <s v="-"/>
    <s v="-"/>
    <s v="-"/>
    <s v="-"/>
    <s v="-"/>
    <s v="-"/>
    <s v="-"/>
    <s v="-"/>
    <n v="4.4000000000000004"/>
    <n v="4.0999999999999996"/>
    <n v="69"/>
    <n v="83"/>
    <n v="140"/>
    <n v="138"/>
    <s v="-"/>
    <s v="-"/>
    <n v="101"/>
    <n v="100"/>
    <n v="292.49233333333336"/>
    <n v="289.60877777777773"/>
    <n v="5.48"/>
    <n v="5.69"/>
    <n v="15.5"/>
    <n v="16.2"/>
    <n v="46.5"/>
    <n v="46.3"/>
    <n v="84.9"/>
    <n v="81.400000000000006"/>
    <n v="28.3"/>
    <n v="28.5"/>
    <n v="33.299999999999997"/>
    <n v="35"/>
    <n v="277"/>
    <n v="407"/>
    <n v="12.6"/>
    <n v="12.8"/>
    <s v="-"/>
    <s v="-"/>
    <n v="9.16"/>
    <n v="16.46"/>
    <n v="68.2"/>
    <n v="73.099999999999994"/>
    <n v="20.100000000000001"/>
    <n v="18.5"/>
    <n v="7.8"/>
    <n v="7.9"/>
    <n v="3.1"/>
    <n v="0"/>
    <n v="0.8"/>
    <n v="0.5"/>
    <x v="0"/>
    <x v="0"/>
    <n v="74.301159999999996"/>
    <n v="91.1"/>
    <n v="181.5"/>
    <s v="48,75"/>
    <n v="70"/>
    <n v="66"/>
    <s v="18,44"/>
  </r>
  <r>
    <x v="4"/>
    <x v="7"/>
    <x v="109"/>
    <n v="29"/>
    <n v="83.5"/>
    <x v="1"/>
    <s v="-"/>
    <s v="-"/>
    <s v="-"/>
    <s v="-"/>
    <s v="-"/>
    <s v="-"/>
    <n v="135"/>
    <n v="476"/>
    <s v="-"/>
    <s v="-"/>
    <s v="-"/>
    <s v="-"/>
    <n v="140"/>
    <n v="125"/>
    <n v="23"/>
    <n v="32"/>
    <s v="-"/>
    <s v="-"/>
    <s v="-"/>
    <s v="-"/>
    <s v="-"/>
    <s v="-"/>
    <s v="-"/>
    <s v="-"/>
    <n v="120.79866842153496"/>
    <n v="94.947150652744313"/>
    <n v="26"/>
    <n v="34"/>
    <n v="0.9"/>
    <n v="1.1000000000000001"/>
    <n v="0.20000000000000007"/>
    <s v="-"/>
    <s v="-"/>
    <s v="-"/>
    <s v="-"/>
    <s v="-"/>
    <s v="-"/>
    <s v="-"/>
    <s v="-"/>
    <n v="4.4000000000000004"/>
    <n v="3.8"/>
    <n v="88"/>
    <n v="91"/>
    <n v="137"/>
    <n v="140"/>
    <s v="-"/>
    <s v="-"/>
    <n v="99"/>
    <n v="102"/>
    <n v="286.95955555555554"/>
    <n v="292.94855555555557"/>
    <n v="5.4"/>
    <n v="5.52"/>
    <n v="15.3"/>
    <n v="15.6"/>
    <n v="44.3"/>
    <n v="44.8"/>
    <n v="82"/>
    <n v="81.2"/>
    <n v="28.3"/>
    <n v="28.3"/>
    <n v="34.5"/>
    <n v="34.799999999999997"/>
    <n v="294"/>
    <n v="362"/>
    <n v="11.6"/>
    <n v="11.7"/>
    <s v="-"/>
    <s v="-"/>
    <n v="6.63"/>
    <n v="8.2799999999999994"/>
    <n v="59.1"/>
    <n v="55.6"/>
    <n v="30.3"/>
    <n v="34.1"/>
    <n v="8"/>
    <n v="8.5"/>
    <n v="1.4"/>
    <n v="1"/>
    <n v="1.2"/>
    <n v="0.8"/>
    <x v="0"/>
    <x v="0"/>
    <n v="76.399559999999994"/>
    <n v="82.8"/>
    <n v="182"/>
    <s v="53,54"/>
    <n v="56"/>
    <n v="59"/>
    <s v="7,73"/>
  </r>
  <r>
    <x v="4"/>
    <x v="7"/>
    <x v="102"/>
    <n v="27"/>
    <n v="76.2"/>
    <x v="1"/>
    <s v="-"/>
    <s v="-"/>
    <s v="-"/>
    <s v="-"/>
    <s v="-"/>
    <s v="-"/>
    <n v="260"/>
    <n v="5401"/>
    <s v="-"/>
    <s v="-"/>
    <s v="-"/>
    <s v="-"/>
    <n v="186"/>
    <n v="159"/>
    <n v="26"/>
    <n v="106"/>
    <s v="-"/>
    <s v="-"/>
    <s v="-"/>
    <s v="-"/>
    <s v="-"/>
    <s v="-"/>
    <s v="-"/>
    <s v="-"/>
    <n v="106.45183652429932"/>
    <n v="77.700020894732489"/>
    <n v="43"/>
    <n v="45"/>
    <n v="1"/>
    <n v="1.3"/>
    <n v="0.30000000000000004"/>
    <s v="-"/>
    <s v="-"/>
    <s v="-"/>
    <s v="-"/>
    <s v="-"/>
    <s v="-"/>
    <s v="-"/>
    <s v="-"/>
    <n v="4.2"/>
    <n v="4.2"/>
    <n v="110"/>
    <n v="113"/>
    <n v="142"/>
    <n v="137"/>
    <s v="-"/>
    <s v="-"/>
    <n v="102"/>
    <n v="97"/>
    <n v="300.12644444444447"/>
    <n v="291.35144444444444"/>
    <n v="5.77"/>
    <n v="5.95"/>
    <n v="15"/>
    <n v="15.5"/>
    <n v="47.9"/>
    <n v="48"/>
    <n v="83"/>
    <n v="80.7"/>
    <n v="26"/>
    <n v="26.1"/>
    <n v="31.3"/>
    <n v="32.299999999999997"/>
    <n v="223"/>
    <n v="298"/>
    <n v="12.7"/>
    <n v="13"/>
    <s v="-"/>
    <s v="-"/>
    <n v="8.61"/>
    <n v="8.2799999999999994"/>
    <n v="59.5"/>
    <n v="70.7"/>
    <n v="31.5"/>
    <n v="20.6"/>
    <n v="6.7"/>
    <n v="8.3000000000000007"/>
    <n v="2"/>
    <n v="0.1"/>
    <n v="0.3"/>
    <n v="0.3"/>
    <x v="1"/>
    <x v="1"/>
    <n v="65.795109999999994"/>
    <n v="75.099999999999994"/>
    <n v="170"/>
    <s v="-"/>
    <n v="48"/>
    <n v="60"/>
    <s v="12,39"/>
  </r>
  <r>
    <x v="4"/>
    <x v="7"/>
    <x v="103"/>
    <n v="28"/>
    <n v="84.7"/>
    <x v="1"/>
    <s v="-"/>
    <s v="-"/>
    <s v="-"/>
    <s v="-"/>
    <s v="-"/>
    <s v="-"/>
    <n v="210"/>
    <n v="997"/>
    <s v="-"/>
    <s v="-"/>
    <s v="-"/>
    <s v="-"/>
    <n v="158"/>
    <n v="148"/>
    <n v="28"/>
    <n v="53"/>
    <s v="-"/>
    <s v="-"/>
    <s v="-"/>
    <s v="-"/>
    <s v="-"/>
    <s v="-"/>
    <s v="-"/>
    <s v="-"/>
    <n v="106.45183652429932"/>
    <n v="71.088527013625097"/>
    <n v="33"/>
    <n v="35"/>
    <n v="1"/>
    <n v="1.4"/>
    <n v="0.39999999999999991"/>
    <s v="-"/>
    <s v="-"/>
    <s v="-"/>
    <s v="-"/>
    <s v="-"/>
    <s v="-"/>
    <s v="-"/>
    <s v="-"/>
    <n v="4.2"/>
    <n v="3.8"/>
    <n v="81"/>
    <n v="115"/>
    <n v="138"/>
    <n v="141"/>
    <s v="-"/>
    <s v="-"/>
    <n v="99"/>
    <n v="103"/>
    <n v="289.16700000000003"/>
    <n v="296.50855555555557"/>
    <n v="5.22"/>
    <n v="5.19"/>
    <n v="15"/>
    <n v="14.8"/>
    <n v="44.7"/>
    <n v="43"/>
    <n v="85.6"/>
    <n v="82.9"/>
    <n v="28.7"/>
    <n v="28.5"/>
    <n v="33.6"/>
    <n v="34.4"/>
    <n v="326"/>
    <n v="353"/>
    <n v="12.4"/>
    <n v="12.6"/>
    <s v="-"/>
    <s v="-"/>
    <n v="5.45"/>
    <n v="15.77"/>
    <n v="44.6"/>
    <n v="52.3"/>
    <n v="41.8"/>
    <n v="36.299999999999997"/>
    <n v="9"/>
    <n v="10.4"/>
    <n v="3.9"/>
    <n v="0.6"/>
    <n v="0.7"/>
    <n v="0.4"/>
    <x v="1"/>
    <x v="0"/>
    <n v="74.264600000000002"/>
    <n v="82.7"/>
    <n v="179.5"/>
    <s v="50,56"/>
    <n v="58"/>
    <n v="52"/>
    <s v="10,20"/>
  </r>
  <r>
    <x v="4"/>
    <x v="7"/>
    <x v="104"/>
    <n v="29"/>
    <n v="81.400000000000006"/>
    <x v="1"/>
    <s v="-"/>
    <s v="-"/>
    <s v="-"/>
    <s v="-"/>
    <s v="-"/>
    <s v="-"/>
    <n v="71"/>
    <n v="180"/>
    <s v="-"/>
    <s v="-"/>
    <s v="-"/>
    <s v="-"/>
    <n v="213"/>
    <n v="173"/>
    <n v="21"/>
    <n v="24"/>
    <s v="-"/>
    <s v="-"/>
    <s v="-"/>
    <s v="-"/>
    <s v="-"/>
    <s v="-"/>
    <s v="-"/>
    <s v="-"/>
    <n v="130.32381263076621"/>
    <n v="120.79866842153496"/>
    <n v="25"/>
    <n v="39"/>
    <n v="0.7"/>
    <n v="0.9"/>
    <n v="0.20000000000000007"/>
    <s v="-"/>
    <s v="-"/>
    <s v="-"/>
    <s v="-"/>
    <s v="-"/>
    <s v="-"/>
    <s v="-"/>
    <s v="-"/>
    <n v="4.3"/>
    <n v="3.8"/>
    <n v="83"/>
    <n v="86"/>
    <n v="142"/>
    <n v="141"/>
    <s v="-"/>
    <s v="-"/>
    <n v="104"/>
    <n v="102"/>
    <n v="295.58744444444454"/>
    <n v="295.3224444444445"/>
    <n v="4.51"/>
    <n v="5.7"/>
    <n v="13.1"/>
    <n v="16.600000000000001"/>
    <n v="37.4"/>
    <n v="46.9"/>
    <n v="82.9"/>
    <n v="82.3"/>
    <n v="29"/>
    <n v="29.1"/>
    <n v="35"/>
    <n v="35.4"/>
    <n v="130"/>
    <n v="261"/>
    <n v="11.9"/>
    <n v="12.6"/>
    <s v="-"/>
    <s v="-"/>
    <n v="4.9000000000000004"/>
    <n v="11.69"/>
    <n v="57.4"/>
    <n v="57.5"/>
    <n v="31"/>
    <n v="31.4"/>
    <n v="8.8000000000000007"/>
    <n v="9.9"/>
    <n v="2"/>
    <n v="0.7"/>
    <n v="0.8"/>
    <n v="0.5"/>
    <x v="0"/>
    <x v="0"/>
    <n v="70.179900000000004"/>
    <n v="80.5"/>
    <n v="181"/>
    <s v="51,80"/>
    <n v="60"/>
    <n v="50"/>
    <s v="12,82"/>
  </r>
  <r>
    <x v="4"/>
    <x v="7"/>
    <x v="105"/>
    <n v="29"/>
    <n v="82.7"/>
    <x v="1"/>
    <s v="-"/>
    <s v="-"/>
    <s v="-"/>
    <s v="-"/>
    <s v="-"/>
    <s v="-"/>
    <n v="139"/>
    <n v="2190"/>
    <s v="-"/>
    <s v="-"/>
    <s v="-"/>
    <s v="-"/>
    <n v="260"/>
    <n v="305"/>
    <n v="33"/>
    <n v="106"/>
    <s v="-"/>
    <s v="-"/>
    <s v="-"/>
    <s v="-"/>
    <s v="-"/>
    <s v="-"/>
    <s v="-"/>
    <s v="-"/>
    <n v="136.5342808821735"/>
    <n v="85.533385678368745"/>
    <n v="27"/>
    <n v="51"/>
    <n v="0.6"/>
    <n v="1.2"/>
    <n v="0.6"/>
    <s v="-"/>
    <s v="-"/>
    <s v="-"/>
    <s v="-"/>
    <s v="-"/>
    <s v="-"/>
    <s v="-"/>
    <s v="-"/>
    <n v="3.7"/>
    <n v="4.7"/>
    <n v="83"/>
    <n v="104"/>
    <n v="138"/>
    <n v="137"/>
    <s v="-"/>
    <s v="-"/>
    <n v="100"/>
    <n v="95"/>
    <n v="287.36477777777782"/>
    <n v="292.70644444444446"/>
    <n v="4.71"/>
    <n v="5.44"/>
    <n v="13.2"/>
    <n v="15.1"/>
    <n v="39.299999999999997"/>
    <n v="44.8"/>
    <n v="83.4"/>
    <n v="82.4"/>
    <n v="28"/>
    <n v="27.8"/>
    <n v="33.6"/>
    <n v="33.700000000000003"/>
    <n v="187"/>
    <n v="397"/>
    <n v="12.3"/>
    <n v="11.9"/>
    <s v="-"/>
    <s v="-"/>
    <n v="7.57"/>
    <n v="9.16"/>
    <n v="19.100000000000001"/>
    <n v="42.4"/>
    <n v="69.599999999999994"/>
    <n v="48.8"/>
    <n v="8.6999999999999993"/>
    <n v="7.8"/>
    <n v="1.7"/>
    <n v="0.5"/>
    <n v="0.9"/>
    <n v="0.5"/>
    <x v="1"/>
    <x v="1"/>
    <n v="75.160799999999995"/>
    <n v="85.8"/>
    <n v="178"/>
    <s v="53,41"/>
    <n v="55"/>
    <n v="56"/>
    <s v="12,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E2025A-74BF-45E7-A25F-5108E1789458}" name="Tabela dinâmica1" cacheId="2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5:C83" firstHeaderRow="0" firstDataRow="1" firstDataCol="1"/>
  <pivotFields count="97">
    <pivotField axis="axisRow" showAll="0">
      <items count="6">
        <item x="2"/>
        <item x="0"/>
        <item x="3"/>
        <item x="1"/>
        <item x="4"/>
        <item t="default"/>
      </items>
    </pivotField>
    <pivotField axis="axisRow" showAll="0">
      <items count="11">
        <item x="5"/>
        <item x="7"/>
        <item x="0"/>
        <item x="2"/>
        <item x="4"/>
        <item x="3"/>
        <item x="1"/>
        <item x="6"/>
        <item m="1" x="9"/>
        <item x="8"/>
        <item t="default"/>
      </items>
    </pivotField>
    <pivotField showAll="0">
      <items count="146"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81"/>
        <item x="82"/>
        <item m="1" x="111"/>
        <item x="110"/>
        <item m="1" x="112"/>
        <item m="1" x="113"/>
        <item x="83"/>
        <item x="84"/>
        <item m="1" x="114"/>
        <item m="1" x="115"/>
        <item m="1" x="116"/>
        <item x="85"/>
        <item m="1" x="117"/>
        <item x="86"/>
        <item x="87"/>
        <item m="1" x="118"/>
        <item m="1" x="119"/>
        <item m="1" x="120"/>
        <item x="88"/>
        <item x="89"/>
        <item m="1" x="121"/>
        <item m="1" x="122"/>
        <item x="90"/>
        <item x="91"/>
        <item x="92"/>
        <item m="1" x="123"/>
        <item m="1" x="124"/>
        <item x="108"/>
        <item x="93"/>
        <item m="1" x="125"/>
        <item m="1" x="126"/>
        <item m="1" x="127"/>
        <item x="94"/>
        <item x="95"/>
        <item m="1" x="128"/>
        <item x="96"/>
        <item m="1" x="129"/>
        <item x="97"/>
        <item m="1" x="130"/>
        <item m="1" x="131"/>
        <item x="98"/>
        <item m="1" x="132"/>
        <item m="1" x="133"/>
        <item m="1" x="134"/>
        <item m="1" x="135"/>
        <item m="1" x="136"/>
        <item x="99"/>
        <item m="1" x="137"/>
        <item x="100"/>
        <item x="101"/>
        <item m="1" x="138"/>
        <item m="1" x="139"/>
        <item m="1" x="140"/>
        <item x="109"/>
        <item m="1" x="141"/>
        <item m="1" x="142"/>
        <item x="102"/>
        <item m="1" x="143"/>
        <item m="1" x="144"/>
        <item x="103"/>
        <item x="104"/>
        <item x="105"/>
        <item x="106"/>
        <item x="107"/>
        <item t="default"/>
      </items>
    </pivotField>
    <pivotField dataField="1" showAll="0"/>
    <pivotField numFmtId="164" showAll="0"/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numFmtId="16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 insertPageBreak="1">
      <items count="6">
        <item x="2"/>
        <item m="1" x="3"/>
        <item m="1" x="4"/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numFmtId="164" showAll="0"/>
    <pivotField numFmtId="164" showAll="0"/>
    <pivotField numFmtId="1" showAll="0"/>
    <pivotField showAll="0"/>
    <pivotField numFmtId="1" showAll="0"/>
    <pivotField numFmtId="1" showAll="0"/>
    <pivotField showAll="0"/>
    <pivotField dragToRow="0" dragToCol="0" dragToPage="0" showAll="0" defaultSubtotal="0"/>
  </pivotFields>
  <rowFields count="3">
    <field x="0"/>
    <field x="1"/>
    <field x="87"/>
  </rowFields>
  <rowItems count="78">
    <i>
      <x/>
    </i>
    <i r="1">
      <x v="1"/>
    </i>
    <i r="2">
      <x v="3"/>
    </i>
    <i r="2">
      <x v="4"/>
    </i>
    <i r="1">
      <x v="2"/>
    </i>
    <i r="2">
      <x v="3"/>
    </i>
    <i r="1">
      <x v="3"/>
    </i>
    <i r="2">
      <x v="3"/>
    </i>
    <i r="1">
      <x v="5"/>
    </i>
    <i r="2">
      <x v="3"/>
    </i>
    <i r="2">
      <x v="4"/>
    </i>
    <i r="1">
      <x v="6"/>
    </i>
    <i r="2">
      <x v="3"/>
    </i>
    <i r="2">
      <x v="4"/>
    </i>
    <i>
      <x v="1"/>
    </i>
    <i r="1">
      <x/>
    </i>
    <i r="2">
      <x/>
    </i>
    <i r="2">
      <x v="3"/>
    </i>
    <i r="1">
      <x v="1"/>
    </i>
    <i r="2">
      <x v="3"/>
    </i>
    <i r="1">
      <x v="2"/>
    </i>
    <i r="2">
      <x v="3"/>
    </i>
    <i r="1">
      <x v="3"/>
    </i>
    <i r="2">
      <x v="3"/>
    </i>
    <i r="1">
      <x v="4"/>
    </i>
    <i r="2">
      <x/>
    </i>
    <i r="2">
      <x v="3"/>
    </i>
    <i r="2">
      <x v="4"/>
    </i>
    <i r="1">
      <x v="5"/>
    </i>
    <i r="2">
      <x v="3"/>
    </i>
    <i r="1">
      <x v="6"/>
    </i>
    <i r="2">
      <x v="3"/>
    </i>
    <i r="2">
      <x v="4"/>
    </i>
    <i r="1">
      <x v="7"/>
    </i>
    <i r="2">
      <x v="3"/>
    </i>
    <i>
      <x v="2"/>
    </i>
    <i r="1">
      <x v="1"/>
    </i>
    <i r="2">
      <x v="3"/>
    </i>
    <i r="2">
      <x v="4"/>
    </i>
    <i r="1">
      <x v="2"/>
    </i>
    <i r="2">
      <x v="3"/>
    </i>
    <i r="1">
      <x v="3"/>
    </i>
    <i r="2">
      <x v="3"/>
    </i>
    <i r="1">
      <x v="5"/>
    </i>
    <i r="2">
      <x v="3"/>
    </i>
    <i r="2">
      <x v="4"/>
    </i>
    <i r="1">
      <x v="6"/>
    </i>
    <i r="2">
      <x/>
    </i>
    <i r="2">
      <x v="3"/>
    </i>
    <i r="1">
      <x v="7"/>
    </i>
    <i r="2">
      <x/>
    </i>
    <i r="2">
      <x v="3"/>
    </i>
    <i>
      <x v="3"/>
    </i>
    <i r="1">
      <x v="1"/>
    </i>
    <i r="2">
      <x v="3"/>
    </i>
    <i r="2">
      <x v="4"/>
    </i>
    <i r="1">
      <x v="4"/>
    </i>
    <i r="2">
      <x/>
    </i>
    <i r="2">
      <x v="3"/>
    </i>
    <i r="2">
      <x v="4"/>
    </i>
    <i r="1">
      <x v="6"/>
    </i>
    <i r="2">
      <x v="3"/>
    </i>
    <i r="2">
      <x v="4"/>
    </i>
    <i r="1">
      <x v="9"/>
    </i>
    <i r="2">
      <x v="3"/>
    </i>
    <i>
      <x v="4"/>
    </i>
    <i r="1">
      <x v="1"/>
    </i>
    <i r="2">
      <x v="3"/>
    </i>
    <i r="2">
      <x v="4"/>
    </i>
    <i r="1">
      <x v="2"/>
    </i>
    <i r="2">
      <x/>
    </i>
    <i r="2">
      <x v="3"/>
    </i>
    <i r="2">
      <x v="4"/>
    </i>
    <i r="1">
      <x v="6"/>
    </i>
    <i r="2">
      <x/>
    </i>
    <i r="2">
      <x v="3"/>
    </i>
    <i r="2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Lesão Renal Aguda" fld="87" subtotal="count" baseField="0" baseItem="0"/>
    <dataField name="Média de Idade" fld="3" subtotal="average" baseField="87" baseItem="3" numFmtId="2"/>
  </dataFields>
  <formats count="4">
    <format dxfId="4">
      <pivotArea dataOnly="0" labelOnly="1" outline="0" axis="axisValues" fieldPosition="0"/>
    </format>
    <format dxfId="3">
      <pivotArea outline="0" fieldPosition="0">
        <references count="1">
          <reference field="4294967294" count="1">
            <x v="1"/>
          </reference>
        </references>
      </pivotArea>
    </format>
    <format dxfId="2">
      <pivotArea field="0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15D3E687-BF5A-461A-8957-57E100A2A1BB}" sourceName="Ano">
  <pivotTables>
    <pivotTable tabId="10" name="Tabela dinâmica1"/>
  </pivotTables>
  <data>
    <tabular pivotCacheId="1832763626">
      <items count="5">
        <i x="2" s="1"/>
        <i x="0" s="1"/>
        <i x="3" s="1"/>
        <i x="1" s="1"/>
        <i x="4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issão" xr10:uid="{0ED430FD-48F5-4566-B671-EF95AB49825D}" sourceName="Missão">
  <pivotTables>
    <pivotTable tabId="10" name="Tabela dinâmica1"/>
  </pivotTables>
  <data>
    <tabular pivotCacheId="1832763626">
      <items count="10">
        <i x="5" s="1"/>
        <i x="7" s="1"/>
        <i x="0" s="1"/>
        <i x="2" s="1"/>
        <i x="4" s="1"/>
        <i x="3" s="1"/>
        <i x="1" s="1"/>
        <i x="6" s="1"/>
        <i x="8" s="1"/>
        <i x="9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luno" xr10:uid="{3B3E1430-ACB6-485F-A38F-99566D1AB394}" sourceName="Aluno">
  <pivotTables>
    <pivotTable tabId="10" name="Tabela dinâmica1"/>
  </pivotTables>
  <data>
    <tabular pivotCacheId="1832763626">
      <items count="145">
        <i x="56" s="1"/>
        <i x="57" s="1"/>
        <i x="58" s="1"/>
        <i x="59" s="1"/>
        <i x="60" s="1"/>
        <i x="61" s="1"/>
        <i x="62" s="1"/>
        <i x="63" s="1"/>
        <i x="64" s="1"/>
        <i x="65" s="1"/>
        <i x="66" s="1"/>
        <i x="67" s="1"/>
        <i x="44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68" s="1"/>
        <i x="69" s="1"/>
        <i x="70" s="1"/>
        <i x="71" s="1"/>
        <i x="72" s="1"/>
        <i x="73" s="1"/>
        <i x="74" s="1"/>
        <i x="75" s="1"/>
        <i x="76" s="1"/>
        <i x="77" s="1"/>
        <i x="78" s="1"/>
        <i x="79" s="1"/>
        <i x="8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81" s="1"/>
        <i x="82" s="1"/>
        <i x="110" s="1"/>
        <i x="83" s="1"/>
        <i x="84" s="1"/>
        <i x="85" s="1"/>
        <i x="86" s="1"/>
        <i x="87" s="1"/>
        <i x="88" s="1"/>
        <i x="89" s="1"/>
        <i x="90" s="1"/>
        <i x="91" s="1"/>
        <i x="92" s="1"/>
        <i x="108" s="1"/>
        <i x="93" s="1"/>
        <i x="94" s="1"/>
        <i x="95" s="1"/>
        <i x="96" s="1"/>
        <i x="97" s="1"/>
        <i x="98" s="1"/>
        <i x="99" s="1"/>
        <i x="100" s="1"/>
        <i x="101" s="1"/>
        <i x="109" s="1"/>
        <i x="102" s="1"/>
        <i x="103" s="1"/>
        <i x="104" s="1"/>
        <i x="105" s="1"/>
        <i x="106" s="1"/>
        <i x="107" s="1"/>
        <i x="111" s="1" nd="1"/>
        <i x="112" s="1" nd="1"/>
        <i x="113" s="1" nd="1"/>
        <i x="114" s="1" nd="1"/>
        <i x="115" s="1" nd="1"/>
        <i x="116" s="1" nd="1"/>
        <i x="117" s="1" nd="1"/>
        <i x="118" s="1" nd="1"/>
        <i x="119" s="1" nd="1"/>
        <i x="120" s="1" nd="1"/>
        <i x="121" s="1" nd="1"/>
        <i x="122" s="1" nd="1"/>
        <i x="123" s="1" nd="1"/>
        <i x="124" s="1" nd="1"/>
        <i x="125" s="1" nd="1"/>
        <i x="126" s="1" nd="1"/>
        <i x="127" s="1" nd="1"/>
        <i x="128" s="1" nd="1"/>
        <i x="129" s="1" nd="1"/>
        <i x="130" s="1" nd="1"/>
        <i x="131" s="1" nd="1"/>
        <i x="132" s="1" nd="1"/>
        <i x="133" s="1" nd="1"/>
        <i x="134" s="1" nd="1"/>
        <i x="135" s="1" nd="1"/>
        <i x="136" s="1" nd="1"/>
        <i x="137" s="1" nd="1"/>
        <i x="138" s="1" nd="1"/>
        <i x="139" s="1" nd="1"/>
        <i x="140" s="1" nd="1"/>
        <i x="141" s="1" nd="1"/>
        <i x="142" s="1" nd="1"/>
        <i x="143" s="1" nd="1"/>
        <i x="144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r_da_pele" xr10:uid="{30F4F1EF-12B5-4C26-BB85-F43747BFD2C0}" sourceName="Cor da pele">
  <pivotTables>
    <pivotTable tabId="10" name="Tabela dinâmica1"/>
  </pivotTables>
  <data>
    <tabular pivotCacheId="1832763626">
      <items count="4">
        <i x="2" s="1"/>
        <i x="0" s="1"/>
        <i x="1" s="1"/>
        <i x="3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esão_Renal_Aguda" xr10:uid="{3B0C9EA7-5AD0-410E-BC7E-4064DDD42DA8}" sourceName="Lesão Renal Aguda">
  <pivotTables>
    <pivotTable tabId="10" name="Tabela dinâmica1"/>
  </pivotTables>
  <data>
    <tabular pivotCacheId="1832763626">
      <items count="5">
        <i x="2" s="1"/>
        <i x="0" s="1"/>
        <i x="1" s="1"/>
        <i x="3" s="1" nd="1"/>
        <i x="4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abdomiólise" xr10:uid="{D0CCC8EF-4AC8-4702-BE20-E65AD5446A37}" sourceName="Rabdomiólise">
  <pivotTables>
    <pivotTable tabId="10" name="Tabela dinâmica1"/>
  </pivotTables>
  <data>
    <tabular pivotCacheId="1832763626">
      <items count="2">
        <i x="0" s="1"/>
        <i x="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" xr10:uid="{AE91407A-20D8-4A66-8F1D-CE8F866802B8}" cache="SegmentaçãodeDados_Ano" caption="Ano" rowHeight="241300"/>
  <slicer name="Missão" xr10:uid="{B32595F2-0FD2-4CE4-B3C5-0BD769B136C1}" cache="SegmentaçãodeDados_Missão" caption="Missão" rowHeight="241300"/>
  <slicer name="Aluno" xr10:uid="{DAD0CB8C-E27D-457F-80A7-4047FA922487}" cache="SegmentaçãodeDados_Aluno" caption="Aluno" rowHeight="241300"/>
  <slicer name="Cor da pele" xr10:uid="{99F3B4BB-ED7C-474A-96EF-D94E9E9D8496}" cache="SegmentaçãodeDados_Cor_da_pele" caption="Cor da pele" rowHeight="241300"/>
  <slicer name="Lesão Renal Aguda" xr10:uid="{E36AB490-A252-409D-A8ED-E027DBD76EA1}" cache="SegmentaçãodeDados_Lesão_Renal_Aguda" caption="Lesão Renal Aguda" rowHeight="241300"/>
  <slicer name="Rabdomiólise" xr10:uid="{A55563E1-CC86-40B6-B32B-2D8E984D7D8C}" cache="SegmentaçãodeDados_Rabdomiólise" caption="Rabdomiólise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77A18-175F-4C62-BE1E-F5C88D0DE2B0}" name="Tabela1" displayName="Tabela1" ref="A1:CR411" totalsRowShown="0" headerRowDxfId="298" dataDxfId="297">
  <autoFilter ref="A1:CR411" xr:uid="{00000000-0001-0000-0000-000000000000}"/>
  <sortState xmlns:xlrd2="http://schemas.microsoft.com/office/spreadsheetml/2017/richdata2" ref="A2:CR411">
    <sortCondition ref="A1:A411"/>
  </sortState>
  <tableColumns count="96">
    <tableColumn id="1" xr3:uid="{06E4BDDE-8F2B-4C5C-A5B4-6A70ED76282B}" name="Ano" dataDxfId="296" totalsRowDxfId="295"/>
    <tableColumn id="2" xr3:uid="{3211F880-877D-4C2E-A098-EB874DBF966F}" name="Missão" dataDxfId="294" totalsRowDxfId="293"/>
    <tableColumn id="3" xr3:uid="{19A8BF78-0E38-4CF6-A93E-0A898D3F371F}" name="Aluno" dataDxfId="292" totalsRowDxfId="291"/>
    <tableColumn id="4" xr3:uid="{ABCE90A8-4F7A-4A34-AD5A-790EDBF16723}" name="Idade" dataDxfId="290" totalsRowDxfId="289"/>
    <tableColumn id="5" xr3:uid="{3A54C099-B702-44FF-AA13-5328E9058803}" name="Peso Kg" dataDxfId="288" totalsRowDxfId="287"/>
    <tableColumn id="6" xr3:uid="{CD9F446E-24B7-431D-9228-A9EA6B87DA90}" name="Cor da pele" dataDxfId="286" totalsRowDxfId="285"/>
    <tableColumn id="7" xr3:uid="{38676851-A05E-4AEB-BF0A-41DBA6D53C83}" name="ACTN3" dataDxfId="284" totalsRowDxfId="283"/>
    <tableColumn id="8" xr3:uid="{776BD9F6-19FD-4E6A-96D9-1B473AA63B2D}" name="AGT" dataDxfId="282" totalsRowDxfId="281"/>
    <tableColumn id="9" xr3:uid="{5A3A1A3F-96FF-41D3-AF94-0CF5FE2E7BA5}" name="ECA" dataDxfId="280" totalsRowDxfId="279"/>
    <tableColumn id="10" xr3:uid="{6F4D7BAB-413A-4AF4-894D-28BE8DFE5DB3}" name="BDKRB2" dataDxfId="278" totalsRowDxfId="277"/>
    <tableColumn id="11" xr3:uid="{32AE7DB9-3F69-4977-B9E2-A402CA855035}" name="Score Força%" dataDxfId="276" totalsRowDxfId="275"/>
    <tableColumn id="12" xr3:uid="{85384BD5-AE67-4D09-8D5E-65ED98690733}" name="Score Resistência %" dataDxfId="274" totalsRowDxfId="273"/>
    <tableColumn id="13" xr3:uid="{600E9FA5-2346-4951-BA59-F05D4C3CEB4A}" name="Pré CK (U/L)" dataDxfId="272" totalsRowDxfId="271"/>
    <tableColumn id="14" xr3:uid="{281710B5-46C4-4FC3-920D-E10D0C67F801}" name="Pós CK (U/L)" dataDxfId="270" totalsRowDxfId="269"/>
    <tableColumn id="15" xr3:uid="{0FAFB8AF-D03A-4B79-A1E9-B6B958026A42}" name="Pré CK MB U/L" dataDxfId="268" totalsRowDxfId="267"/>
    <tableColumn id="16" xr3:uid="{37DE98E5-F684-4713-956E-D7F6DC8D75F6}" name="Pós CK MB U/L" dataDxfId="266" totalsRowDxfId="265"/>
    <tableColumn id="17" xr3:uid="{B259CEBF-7FF5-4796-95CB-7CDDB88DEA9E}" name="Pré Lactato (mmol/L)" dataDxfId="264" totalsRowDxfId="263"/>
    <tableColumn id="18" xr3:uid="{6CAC0D1D-B015-439C-A176-BBB2950443A9}" name="Pós Lactato (mmol/L)" dataDxfId="262" totalsRowDxfId="261"/>
    <tableColumn id="19" xr3:uid="{1EBFFAE9-A536-4DE1-B974-28D734A6210B}" name="Pré LDH (U/L)" dataDxfId="260" totalsRowDxfId="259"/>
    <tableColumn id="20" xr3:uid="{A57A005D-15E2-4E90-8464-AD52F60199C7}" name="Pós LDH (U/L)" dataDxfId="258" totalsRowDxfId="257"/>
    <tableColumn id="21" xr3:uid="{5B26C013-4CB3-4470-9C1B-1C8E9B6CC52B}" name="Pré AST (U/L)" dataDxfId="256" totalsRowDxfId="255"/>
    <tableColumn id="22" xr3:uid="{D9162283-0857-4495-8E56-780C9C5C1355}" name="Pós AST (U/L)" dataDxfId="254" totalsRowDxfId="253"/>
    <tableColumn id="23" xr3:uid="{D85D30C7-25CD-4D4F-8FDA-2338F85482C4}" name="Pré Albumina (g/dL)" dataDxfId="252" totalsRowDxfId="251"/>
    <tableColumn id="24" xr3:uid="{C323A14A-329B-4D77-A6FF-CE33B0E7BC37}" name="Pós Albumina (g/dL)" dataDxfId="250" totalsRowDxfId="249"/>
    <tableColumn id="25" xr3:uid="{74892FA2-1FF1-4302-AD29-F810E5301FD4}" name="Pré TGP (g/dL)" dataDxfId="248" totalsRowDxfId="247"/>
    <tableColumn id="26" xr3:uid="{D87A4342-218A-474A-9B99-25F29BE38A06}" name="Pós TGP (g/dL)" dataDxfId="246" totalsRowDxfId="245"/>
    <tableColumn id="27" xr3:uid="{4C85A762-B09B-4969-BA68-F3C0CF45A6BE}" name="Pré GGT U/L" dataDxfId="244" totalsRowDxfId="243"/>
    <tableColumn id="28" xr3:uid="{CEDDF413-BE06-4912-8670-F801F8D641A4}" name="Pós GGT U/L" dataDxfId="242" totalsRowDxfId="241"/>
    <tableColumn id="29" xr3:uid="{9696B04F-E63A-466E-AB2E-2CCBED2C5BE2}" name="Pré Ac. Úrico (mg/dL)" dataDxfId="240" totalsRowDxfId="239"/>
    <tableColumn id="30" xr3:uid="{43AE4421-9B3B-4B83-B080-5CDB8C1CB94B}" name="Pós Ac. Úrico (mg/dL)2" dataDxfId="238" totalsRowDxfId="237"/>
    <tableColumn id="31" xr3:uid="{3FB2A5C2-B137-45E8-8E8B-F59E7C6C0D80}" name="Pré TFG   (ml/min/1.73 m2)" dataDxfId="236" totalsRowDxfId="235"/>
    <tableColumn id="32" xr3:uid="{F9D0EFFB-133E-4B56-BF8E-A4AAA01283C3}" name="Pós TFG   (ml/min/1.73 m2)" dataDxfId="234" totalsRowDxfId="233"/>
    <tableColumn id="33" xr3:uid="{98CE75FF-F67E-4FF0-BC4F-8ACD408E8D7A}" name="Pré Ureia mg/dL" dataDxfId="232" totalsRowDxfId="231"/>
    <tableColumn id="34" xr3:uid="{61845BD5-9966-48C6-B728-7A1B40B77CF3}" name="Pós Ureia mg/dL" dataDxfId="230" totalsRowDxfId="229"/>
    <tableColumn id="35" xr3:uid="{C53EE8F4-24F4-4EF0-9339-E9EAC3D4F3B3}" name="Pré creatinina mg/dL" dataDxfId="228" totalsRowDxfId="227"/>
    <tableColumn id="36" xr3:uid="{E65FC53F-B460-4078-9FBA-2C5FE595215C}" name="Pós creatinina mg/dL" dataDxfId="226" totalsRowDxfId="225"/>
    <tableColumn id="37" xr3:uid="{2ABBBCBE-25F2-43DC-B924-D6E300C99D5A}" name="Delta CREATININA mg/dL" dataDxfId="224" totalsRowDxfId="223">
      <calculatedColumnFormula>IFERROR(IF((AJ2-AI2)&lt;0,0,(AJ2-AI2)),"Dados Insuficientes")</calculatedColumnFormula>
    </tableColumn>
    <tableColumn id="38" xr3:uid="{D672FA38-1FE0-4DAC-9629-705AA7C899DB}" name="Pré Fósforo mg/dL" dataDxfId="222" totalsRowDxfId="221"/>
    <tableColumn id="39" xr3:uid="{3C44D9D9-CE45-439B-87C6-B236B1003E67}" name="Pós Fósforo mg/dL" dataDxfId="220" totalsRowDxfId="219"/>
    <tableColumn id="40" xr3:uid="{9367DC6C-8232-4018-8995-53F313B974AA}" name="Pré Proteína Total (g/dL)" dataDxfId="218" totalsRowDxfId="217"/>
    <tableColumn id="41" xr3:uid="{197D3794-95B0-44AA-9D02-D5DCCF5A173D}" name="Pós Proteína Total (g/dL)" dataDxfId="216" totalsRowDxfId="215"/>
    <tableColumn id="42" xr3:uid="{C8504915-4B93-4D12-9F33-8ED32B2D0057}" name="Pré FE (ug/dL)" dataDxfId="214" totalsRowDxfId="213"/>
    <tableColumn id="43" xr3:uid="{6D280735-3987-43AE-BFE9-EB2CD1BBC5BA}" name="Pós FE (ug/dL)" dataDxfId="212" totalsRowDxfId="211"/>
    <tableColumn id="44" xr3:uid="{54C254D2-2F6B-44A4-82DD-89C933BD7D11}" name="Pré calcio mg/dL" dataDxfId="210" totalsRowDxfId="209"/>
    <tableColumn id="45" xr3:uid="{E9082466-A79D-41B0-9A7E-F3C742410717}" name="Pós calcio mg/dL" dataDxfId="208" totalsRowDxfId="207"/>
    <tableColumn id="46" xr3:uid="{376929AF-0EC3-474E-AEC2-EDDB6521F614}" name="Pré Potássio mmol/L" dataDxfId="206" totalsRowDxfId="205"/>
    <tableColumn id="47" xr3:uid="{074D5534-C6D1-437E-9273-D5465E3519D4}" name="Pós Potássio mmol/L" dataDxfId="204" totalsRowDxfId="203"/>
    <tableColumn id="48" xr3:uid="{CE5880F9-B554-489C-A629-28670DDC68EF}" name="Glicose pré" dataDxfId="202" totalsRowDxfId="201"/>
    <tableColumn id="49" xr3:uid="{5ADA3CDE-17E6-4386-B397-4A539E179C4E}" name="Glicose pós" dataDxfId="200" totalsRowDxfId="199"/>
    <tableColumn id="50" xr3:uid="{6FB276C1-B070-4D45-90AE-7E6FF5DA5C39}" name="Pré Sódio mmol/L" dataDxfId="198" totalsRowDxfId="197"/>
    <tableColumn id="51" xr3:uid="{8A35A103-66B2-4F73-9E77-A686EC2D57E5}" name="Pós Sódio mmol/L" dataDxfId="196" totalsRowDxfId="195"/>
    <tableColumn id="52" xr3:uid="{C6C281C0-E7EF-4349-AD7D-5586A400C598}" name="Pré Magnésio mg/dL" dataDxfId="194" totalsRowDxfId="193"/>
    <tableColumn id="53" xr3:uid="{AF33EA7C-DB93-4CFA-B42C-172B8A431945}" name="Pós Magnésio mg/dL" dataDxfId="192" totalsRowDxfId="191"/>
    <tableColumn id="54" xr3:uid="{14CCED47-A2C5-4881-BC2E-A8A74B1F4F95}" name="Pré Cloro mmol/L" dataDxfId="190" totalsRowDxfId="189"/>
    <tableColumn id="55" xr3:uid="{E66C78C2-818E-4924-9555-338D14D8B78A}" name="Pós Cloro mmol/L" dataDxfId="188" totalsRowDxfId="187"/>
    <tableColumn id="56" xr3:uid="{47BD9E2E-7E5F-4135-AA96-85C81CD01A2C}" name="Osmolalidade sérica PRÉ BD4(mOsm/kg): 1,86(Na + K) + 1,15(Gli /18) + (Ureia/6) + 14_x0009__x0009__x0009_" dataDxfId="186" totalsRowDxfId="185"/>
    <tableColumn id="57" xr3:uid="{B7430631-DDA2-4602-A005-B0C34E02FA50}" name="Osmolalidade sérica PÓS BD4(mOsm/kg): 1,86(Na + K) + 1,15(Gli /18) + (Ureia/6) + 14_x0009__x0009__x0009_" dataDxfId="184" totalsRowDxfId="183"/>
    <tableColumn id="58" xr3:uid="{45AB0AD4-A50E-4E93-B228-6F7D3AE3FBB7}" name="Pré RBC 10^6/mm³" dataDxfId="182" totalsRowDxfId="181"/>
    <tableColumn id="59" xr3:uid="{C70559B3-C51F-41F2-B6BF-46491BEC1EA3}" name="Pós RBC 10^6/mm³" dataDxfId="180" totalsRowDxfId="179"/>
    <tableColumn id="60" xr3:uid="{065F1591-BC9A-445F-B007-A1248BF8AB9B}" name="Pré HGB g/dL" dataDxfId="178" totalsRowDxfId="177"/>
    <tableColumn id="61" xr3:uid="{4F615F7F-6649-4354-AECC-355565D012B1}" name="Pós HGB g/dL" dataDxfId="176" totalsRowDxfId="175"/>
    <tableColumn id="62" xr3:uid="{9A7C6E4E-48A1-4368-B7DB-6DF4A37655EF}" name="Pré HCT %" dataDxfId="174" totalsRowDxfId="173"/>
    <tableColumn id="63" xr3:uid="{89BCF0BF-7E6E-48DB-9BD5-159ED3966177}" name="Pós HCT %" dataDxfId="172" totalsRowDxfId="171"/>
    <tableColumn id="64" xr3:uid="{476C6448-4A38-42DF-AAF6-11BC9DC17060}" name="Pré MCV fL" dataDxfId="170" totalsRowDxfId="169"/>
    <tableColumn id="65" xr3:uid="{B55A97C3-E9DA-4353-86FA-77B15FF7BB61}" name="Pós MCV fL" dataDxfId="168" totalsRowDxfId="167"/>
    <tableColumn id="66" xr3:uid="{0E380E98-5320-49CB-BBEE-C4E14C2011FF}" name="Pré MCH pg" dataDxfId="166" totalsRowDxfId="165"/>
    <tableColumn id="67" xr3:uid="{6D60946D-55BF-4796-801A-15FB2A5C00D7}" name="Pós MCH pg" dataDxfId="164" totalsRowDxfId="163"/>
    <tableColumn id="68" xr3:uid="{9EBA359F-3359-4856-A668-58B1971B7963}" name="Pré MCHC g/dL" dataDxfId="162" totalsRowDxfId="161"/>
    <tableColumn id="69" xr3:uid="{F444BEB3-6123-41AE-A664-A48754D21802}" name="Pós MCHC g/dL" dataDxfId="160" totalsRowDxfId="159"/>
    <tableColumn id="70" xr3:uid="{116E5BCE-51C8-470D-9217-EB7F6DC01C10}" name="Pré PLT 10³/mm³" dataDxfId="158" totalsRowDxfId="157"/>
    <tableColumn id="71" xr3:uid="{449A1D9D-43B8-4FBA-B9DF-D7828E7ED0B3}" name="Pós PLT 10³/mm³" dataDxfId="156" totalsRowDxfId="155"/>
    <tableColumn id="72" xr3:uid="{1607674C-5AE3-452D-8602-03331C439EE7}" name="Pré RDW %" dataDxfId="154" totalsRowDxfId="153"/>
    <tableColumn id="73" xr3:uid="{233493DC-497B-4A91-A9E4-6F94AEF90CD4}" name="Pós RDW %" dataDxfId="152" totalsRowDxfId="151"/>
    <tableColumn id="74" xr3:uid="{8C793CED-00B5-4024-BB90-624E60378A24}" name="Pré RET %" dataDxfId="150" totalsRowDxfId="149"/>
    <tableColumn id="75" xr3:uid="{49A2191C-23F5-41CD-93F0-0C777D33EEC7}" name="Pós RET %" dataDxfId="148" totalsRowDxfId="147"/>
    <tableColumn id="76" xr3:uid="{671E78B3-9A89-4800-9015-230DB1A7BCF3}" name="Pré WBC 10³/mm³" dataDxfId="146" totalsRowDxfId="145"/>
    <tableColumn id="77" xr3:uid="{7309D8E2-211A-4818-82BA-10F141BD15CD}" name="Pós WBC 10³/mm³" dataDxfId="144" totalsRowDxfId="143"/>
    <tableColumn id="78" xr3:uid="{29DA0285-6673-45CC-A13A-1ED02790AE51}" name="Pré NEUT %" dataDxfId="142" totalsRowDxfId="141"/>
    <tableColumn id="79" xr3:uid="{589F7174-FC72-4300-8751-324C88F2654C}" name="Pós NEUT %" dataDxfId="140" totalsRowDxfId="139"/>
    <tableColumn id="80" xr3:uid="{086D5DCC-ECD9-4CDC-99FE-3108A39B0984}" name="Pré LINF %" dataDxfId="138" totalsRowDxfId="137"/>
    <tableColumn id="81" xr3:uid="{203D1EE9-0AB3-45A0-AC47-CF85012FC67A}" name="Pós LINF %" dataDxfId="136" totalsRowDxfId="135"/>
    <tableColumn id="82" xr3:uid="{C281AA61-AADC-40CC-AD63-A651B0BF6D37}" name="Pré MONO %" dataDxfId="134" totalsRowDxfId="133"/>
    <tableColumn id="83" xr3:uid="{2F937897-D4EA-451C-9783-DEC250BBAFDE}" name="Pós MONO %" dataDxfId="132" totalsRowDxfId="131"/>
    <tableColumn id="84" xr3:uid="{3E125F6E-A2DF-44C9-9D85-BD0E85CF476F}" name="Pré EOS %" dataDxfId="130" totalsRowDxfId="129"/>
    <tableColumn id="85" xr3:uid="{836A9C27-6AE6-4ABA-8058-592C78CFE8E7}" name="Pós EOS %" dataDxfId="128" totalsRowDxfId="127"/>
    <tableColumn id="86" xr3:uid="{A227E183-7DD0-49D5-BC23-75ED6F636864}" name="Pré BASO %" dataDxfId="126" totalsRowDxfId="125"/>
    <tableColumn id="87" xr3:uid="{C958F146-D715-4481-B6C9-39C82BAEFE89}" name="Pós BASO %" dataDxfId="124" totalsRowDxfId="123"/>
    <tableColumn id="88" xr3:uid="{0293C67B-6A8D-483B-B9AE-E43FE9E45F65}" name="Lesão Renal Aguda" dataDxfId="122" totalsRowDxfId="121">
      <calculatedColumnFormula>(AJ2-AI2)&gt;=0.3</calculatedColumnFormula>
    </tableColumn>
    <tableColumn id="89" xr3:uid="{EE925918-1D75-4B02-A1D3-D485FCB0B537}" name="Rabdomiólise" dataDxfId="120" totalsRowDxfId="119">
      <calculatedColumnFormula>OR(N2&gt;=1000,M2&gt;=1000)</calculatedColumnFormula>
    </tableColumn>
    <tableColumn id="90" xr3:uid="{F8BD0362-ADBF-4ED6-AE83-F3A4D5D4F2DA}" name="massa magra" dataDxfId="118" totalsRowDxfId="117">
      <calculatedColumnFormula>$CM2-($CM2*(0.01*$CR2))</calculatedColumnFormula>
    </tableColumn>
    <tableColumn id="91" xr3:uid="{0FCBA0D6-F60C-4DB1-960B-4D45F061C917}" name="MCT KG" dataDxfId="116" totalsRowDxfId="115"/>
    <tableColumn id="92" xr3:uid="{939280BB-E2EA-49AC-8DC3-EFF0308E8850}" name="ESTATURA" dataDxfId="114" totalsRowDxfId="113"/>
    <tableColumn id="93" xr3:uid="{4FFEAA98-68B7-4D13-A9AE-AC1003BC2AD8}" name="vo2max estimado" dataDxfId="112" totalsRowDxfId="111"/>
    <tableColumn id="94" xr3:uid="{E2411C36-4A81-4037-9D59-18FD0F710E47}" name="Handgrip     Dominante" dataDxfId="110" totalsRowDxfId="109"/>
    <tableColumn id="95" xr3:uid="{A717209A-14FC-46A1-9143-75AB48906BD4}" name="Handgrip Contrário" dataDxfId="108" totalsRowDxfId="107"/>
    <tableColumn id="96" xr3:uid="{49430205-82CD-4B5D-A4C6-7EA33877D1A2}" name="% gordura" dataDxfId="106" totalsRowDxfId="10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93FCE5-B275-4D3B-9365-EFA9475D273E}" name="Tabela13" displayName="Tabela13" ref="A1:CR411" totalsRowShown="0" headerRowDxfId="104" dataDxfId="102" headerRowBorderDxfId="103" tableBorderDxfId="101">
  <autoFilter ref="A1:CR411" xr:uid="{00000000-0001-0000-0000-000000000000}"/>
  <sortState xmlns:xlrd2="http://schemas.microsoft.com/office/spreadsheetml/2017/richdata2" ref="A2:CR411">
    <sortCondition ref="A1:A411"/>
  </sortState>
  <tableColumns count="96">
    <tableColumn id="1" xr3:uid="{7E96656D-E8F7-466D-80EE-AA34BA0D14FE}" name="Ano" dataDxfId="100"/>
    <tableColumn id="2" xr3:uid="{79D1B954-7227-42A8-A4F1-B09762EFF2C3}" name="Missão" dataDxfId="99"/>
    <tableColumn id="3" xr3:uid="{545843B2-2467-4243-9ED9-CE556A002D63}" name="Aluno" dataDxfId="98">
      <calculatedColumnFormula>Tabela1[[#This Row],[Aluno]]</calculatedColumnFormula>
    </tableColumn>
    <tableColumn id="4" xr3:uid="{4C76A48B-BED5-4840-940F-C1F8747DEE10}" name="Idade" dataDxfId="97"/>
    <tableColumn id="5" xr3:uid="{89EF7742-37D6-469E-9B2A-5747618AB0D4}" name="Peso Kg" dataDxfId="96"/>
    <tableColumn id="6" xr3:uid="{71F47949-FCC6-418F-8B8C-8F9B36567F67}" name="Cor da pele" dataDxfId="95"/>
    <tableColumn id="7" xr3:uid="{C0ED12D7-A491-410B-A5A6-98572937CC85}" name="ACTN3" dataDxfId="94"/>
    <tableColumn id="8" xr3:uid="{4CF04A33-F1C0-4157-9D79-159FA4D134A4}" name="AGT" dataDxfId="93"/>
    <tableColumn id="9" xr3:uid="{B67BB3BE-27E2-41D5-8681-7C9AAD82D9F1}" name="ECA" dataDxfId="92"/>
    <tableColumn id="10" xr3:uid="{19BDA4F5-F790-4DC8-9EA4-D5DEB58AA1B3}" name="BDKRB2" dataDxfId="91"/>
    <tableColumn id="11" xr3:uid="{EBD61043-23CC-42E8-A8F9-A9F859564AC6}" name="Score Força%" dataDxfId="90"/>
    <tableColumn id="12" xr3:uid="{E3A61E2C-817C-46AB-B558-BB87B0AECDEA}" name="Score Resistência %" dataDxfId="89"/>
    <tableColumn id="13" xr3:uid="{35E7E943-8E93-432C-8E24-6D531924D821}" name="Pré CK (U/L)" dataDxfId="88"/>
    <tableColumn id="14" xr3:uid="{010999C4-7542-4B16-B7AF-F6EE93002377}" name="Pós CK (U/L)" dataDxfId="87"/>
    <tableColumn id="15" xr3:uid="{BDE809A6-0939-4025-840C-D06004CE46C7}" name="Pré CK MB U/L" dataDxfId="86"/>
    <tableColumn id="16" xr3:uid="{138A201D-E03E-4E3A-9B71-5B116F0451B3}" name="Pós CK MB U/L" dataDxfId="85"/>
    <tableColumn id="17" xr3:uid="{1DFAD859-CB6B-4B73-A515-AF7EC35C0598}" name="Pré Lactato (mmol/L)" dataDxfId="84"/>
    <tableColumn id="18" xr3:uid="{E90AB94E-EB73-4E2C-8227-A346F19404D5}" name="Pós Lactato (mmol/L)" dataDxfId="83"/>
    <tableColumn id="19" xr3:uid="{D416A915-DEAF-4E13-8D8C-0234D25CBCA1}" name="Pré LDH (U/L)" dataDxfId="82"/>
    <tableColumn id="20" xr3:uid="{AABCF377-CCD7-47E8-9A05-EDE6DF14347D}" name="Pós LDH (U/L)" dataDxfId="81"/>
    <tableColumn id="21" xr3:uid="{7D8B2E27-824C-4F2F-B0C1-E5DA0E4DC012}" name="Pré AST (U/L)" dataDxfId="80"/>
    <tableColumn id="22" xr3:uid="{52D9240F-B6CA-4AA4-A2A2-C20802819B67}" name="Pós AST (U/L)" dataDxfId="79"/>
    <tableColumn id="23" xr3:uid="{5F7CE93F-D2EF-443D-8BD0-C6A21CEC6C10}" name="Pré Albumina (g/dL)" dataDxfId="78"/>
    <tableColumn id="24" xr3:uid="{9BAFC500-65C1-437D-94E7-B6C0CA2F4E6D}" name="Pós Albumina (g/dL)" dataDxfId="77"/>
    <tableColumn id="25" xr3:uid="{EBA47456-25CE-411D-81D4-EBA8C0A21AB8}" name="Pré TGP (g/dL)" dataDxfId="76"/>
    <tableColumn id="26" xr3:uid="{802CF298-0981-4D47-9C37-DE0796FB531F}" name="Pós TGP (g/dL)" dataDxfId="75"/>
    <tableColumn id="27" xr3:uid="{0DD09312-9FFA-42F0-9279-73608ADA9522}" name="Pré GGT U/L" dataDxfId="74"/>
    <tableColumn id="28" xr3:uid="{A778515D-7FD7-450D-8ED2-727CA2249D5A}" name="Pós GGT U/L" dataDxfId="73"/>
    <tableColumn id="29" xr3:uid="{B48D6A1A-265E-4DCE-9B36-483CC90A5CA9}" name="Pré Ac. Úrico (mg/dL)" dataDxfId="72"/>
    <tableColumn id="30" xr3:uid="{62613F52-25A5-4205-B9D7-389C83DFD4D0}" name="Pós Ac. Úrico (mg/dL)2" dataDxfId="71"/>
    <tableColumn id="31" xr3:uid="{5AA65156-23EE-4B8B-972E-1249B003DB03}" name="Pré TFG   (ml/min/1.73 m2)" dataDxfId="70">
      <calculatedColumnFormula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calculatedColumnFormula>
    </tableColumn>
    <tableColumn id="32" xr3:uid="{540782C2-A03F-40B8-923B-A06ECA945AC2}" name="Pós TFG   (ml/min/1.73 m2)" dataDxfId="69">
      <calculatedColumnFormula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calculatedColumnFormula>
    </tableColumn>
    <tableColumn id="33" xr3:uid="{AE68C626-BCB2-40BC-B6B8-0A31D10BB84E}" name="Pré Ureia mg/dL" dataDxfId="68"/>
    <tableColumn id="34" xr3:uid="{25B18CE8-1045-481C-814C-BFC5B355A197}" name="Pós Ureia mg/dL" dataDxfId="67"/>
    <tableColumn id="35" xr3:uid="{14149195-4BEF-45B8-836C-EA20A7A5C857}" name="Pré creatinina mg/dL" dataDxfId="66"/>
    <tableColumn id="36" xr3:uid="{A71EC7D0-5780-4F8D-B61C-C9BEF280B871}" name="Pós creatinina mg/dL" dataDxfId="65"/>
    <tableColumn id="37" xr3:uid="{50EC4320-7162-4BB7-886C-5BAFA9CC4DD4}" name="Delta CREATININA mg/dL" dataDxfId="64">
      <calculatedColumnFormula>IFERROR(IF((AJ2-AI2)&lt;0,0,(AJ2-AI2)),"Dados Insuficientes")</calculatedColumnFormula>
    </tableColumn>
    <tableColumn id="38" xr3:uid="{849CAF20-7B33-42DA-8A4D-BD1063BEE3DF}" name="Pré Fósforo mg/dL" dataDxfId="63">
      <calculatedColumnFormula>Tabela1[[#This Row],[Pré Fósforo mg/dL]]</calculatedColumnFormula>
    </tableColumn>
    <tableColumn id="39" xr3:uid="{3B7BE262-2681-455A-A0B3-D291506C6399}" name="Pós Fósforo mg/dL" dataDxfId="62">
      <calculatedColumnFormula>Tabela1[[#This Row],[Pós Fósforo mg/dL]]</calculatedColumnFormula>
    </tableColumn>
    <tableColumn id="40" xr3:uid="{A5EBBD50-3239-4408-836C-193B4204C844}" name="Pré Proteína Total (g/dL)" dataDxfId="61">
      <calculatedColumnFormula>Tabela1[[#This Row],[Pré Proteína Total (g/dL)]]</calculatedColumnFormula>
    </tableColumn>
    <tableColumn id="41" xr3:uid="{771D6FCA-0313-447B-9777-9C747D001176}" name="Pós Proteína Total (g/dL)" dataDxfId="60">
      <calculatedColumnFormula>Tabela1[[#This Row],[Pós Proteína Total (g/dL)]]</calculatedColumnFormula>
    </tableColumn>
    <tableColumn id="42" xr3:uid="{A89B8D54-8421-4F90-8C68-FA635B5B990D}" name="Pré FE (ug/dL)" dataDxfId="59">
      <calculatedColumnFormula>Tabela1[[#This Row],[Pré FE (ug/dL)]]</calculatedColumnFormula>
    </tableColumn>
    <tableColumn id="43" xr3:uid="{625A83EC-D36D-479E-8D59-D1243C0E41DB}" name="Pós FE (ug/dL)" dataDxfId="58">
      <calculatedColumnFormula>Tabela1[[#This Row],[Pós FE (ug/dL)]]</calculatedColumnFormula>
    </tableColumn>
    <tableColumn id="44" xr3:uid="{BC35BBCA-C26A-4ADE-BFD5-0FF0D5894F19}" name="Pré calcio mg/dL" dataDxfId="57">
      <calculatedColumnFormula>Tabela1[[#This Row],[Pré calcio mg/dL]]</calculatedColumnFormula>
    </tableColumn>
    <tableColumn id="45" xr3:uid="{37B303CD-2B57-420A-92A6-22A774E53B32}" name="Pós calcio mg/dL" dataDxfId="56">
      <calculatedColumnFormula>Tabela1[[#This Row],[Pós calcio mg/dL]]</calculatedColumnFormula>
    </tableColumn>
    <tableColumn id="46" xr3:uid="{E0C0D89D-B3E9-4A6A-9E03-2D1349BD49AA}" name="Pré Potássio mmol/L" dataDxfId="55">
      <calculatedColumnFormula>Tabela1[[#This Row],[Pré Potássio mmol/L]]</calculatedColumnFormula>
    </tableColumn>
    <tableColumn id="47" xr3:uid="{4C19EF39-4691-4989-B271-91D689C54051}" name="Pós Potássio mmol/L" dataDxfId="54">
      <calculatedColumnFormula>Tabela1[[#This Row],[Pós Potássio mmol/L]]</calculatedColumnFormula>
    </tableColumn>
    <tableColumn id="48" xr3:uid="{7C131FEB-6058-4271-B97B-6C0695C7AB5E}" name="Glicose pré" dataDxfId="53">
      <calculatedColumnFormula>Tabela1[[#This Row],[Glicose pré]]</calculatedColumnFormula>
    </tableColumn>
    <tableColumn id="49" xr3:uid="{D3297B42-8287-45B5-A3EA-43085741ECA7}" name="Glicose pós" dataDxfId="52">
      <calculatedColumnFormula>Tabela1[[#This Row],[Glicose pós]]</calculatedColumnFormula>
    </tableColumn>
    <tableColumn id="50" xr3:uid="{1BD2302C-D699-47D5-A1A1-6EFABC0D41F1}" name="Pré Sódio mmol/L" dataDxfId="51">
      <calculatedColumnFormula>Tabela1[[#This Row],[Pré Sódio mmol/L]]</calculatedColumnFormula>
    </tableColumn>
    <tableColumn id="51" xr3:uid="{13C6D425-CCD8-4A2B-B179-BBB80D01E6D3}" name="Pós Sódio mmol/L" dataDxfId="50">
      <calculatedColumnFormula>Tabela1[[#This Row],[Pós Sódio mmol/L]]</calculatedColumnFormula>
    </tableColumn>
    <tableColumn id="52" xr3:uid="{65D4F3A7-95E3-472D-ADB3-2F26EBDF6C72}" name="Pré Magnésio mg/dL" dataDxfId="49">
      <calculatedColumnFormula>Tabela1[[#This Row],[Pré Magnésio mg/dL]]</calculatedColumnFormula>
    </tableColumn>
    <tableColumn id="53" xr3:uid="{F130E620-7F8F-461A-9133-9572B7790027}" name="Pós Magnésio mg/dL" dataDxfId="48">
      <calculatedColumnFormula>Tabela1[[#This Row],[Pós Magnésio mg/dL]]</calculatedColumnFormula>
    </tableColumn>
    <tableColumn id="54" xr3:uid="{46EA9BB2-6E45-4197-B8AC-96A3ABDF732D}" name="Pré Cloro mmol/L" dataDxfId="47">
      <calculatedColumnFormula>Tabela1[[#This Row],[Pré Cloro mmol/L]]</calculatedColumnFormula>
    </tableColumn>
    <tableColumn id="55" xr3:uid="{E6B38CD5-18E5-4B88-B7D7-71DB7839C97F}" name="Pós Cloro mmol/L" dataDxfId="46">
      <calculatedColumnFormula>Tabela1[[#This Row],[Pós Cloro mmol/L]]</calculatedColumnFormula>
    </tableColumn>
    <tableColumn id="56" xr3:uid="{1494E685-EA12-4BA1-8C49-FDAA4F35F5AF}" name="Osmolalidade sérica PRÉ BD4(mOsm/kg): 1,86(Na + K) + 1,15(Gli /18) + (Ureia/6) + 14_x0009__x0009__x0009_" dataDxfId="45">
      <calculatedColumnFormula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calculatedColumnFormula>
    </tableColumn>
    <tableColumn id="57" xr3:uid="{EF2EB8BA-7BD8-4758-9752-0507C385A94E}" name="Osmolalidade sérica PÓS BD4(mOsm/kg): 1,86(Na + K) + 1,15(Gli /18) + (Ureia/6) + 14_x0009__x0009__x0009_" dataDxfId="44">
      <calculatedColumnFormula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calculatedColumnFormula>
    </tableColumn>
    <tableColumn id="58" xr3:uid="{1041CA2B-FA47-4EC6-86D1-5446736603CD}" name="Pré RBC 10^6/mm³" dataDxfId="43"/>
    <tableColumn id="59" xr3:uid="{69DED98A-F793-492D-81D8-4EB3C3F32B5B}" name="Pós RBC 10^6/mm³" dataDxfId="42"/>
    <tableColumn id="60" xr3:uid="{B2DE7068-3FFF-46F6-BD8A-1746C1480317}" name="Pré HGB g/dL" dataDxfId="41"/>
    <tableColumn id="61" xr3:uid="{6234E751-6164-461D-B2AA-637A825BC2DB}" name="Pós HGB g/dL" dataDxfId="40"/>
    <tableColumn id="62" xr3:uid="{1ED618AC-A1FA-4F75-A725-74D5BBF2422C}" name="Pré HCT %" dataDxfId="39"/>
    <tableColumn id="63" xr3:uid="{376489DC-36AE-41DE-9B80-406C28375189}" name="Pós HCT %" dataDxfId="38"/>
    <tableColumn id="64" xr3:uid="{96A925DC-ECC6-4C31-9110-5DE217660ACC}" name="Pré MCV fL" dataDxfId="37"/>
    <tableColumn id="65" xr3:uid="{C0EA5555-7FC3-4226-99D9-0DA5C9752B5E}" name="Pós MCV fL" dataDxfId="36"/>
    <tableColumn id="66" xr3:uid="{E28DF13D-1F73-4777-8464-F25AFD5B740F}" name="Pré MCH pg" dataDxfId="35"/>
    <tableColumn id="67" xr3:uid="{989941D1-9D36-4E50-887F-1CF10BA4C4DD}" name="Pós MCH pg" dataDxfId="34"/>
    <tableColumn id="68" xr3:uid="{7FD6F8F3-BB49-4FE6-83EE-BDF3AA21B0A4}" name="Pré MCHC g/dL" dataDxfId="33"/>
    <tableColumn id="69" xr3:uid="{BDC60735-8689-494A-B6C8-69D219DA0292}" name="Pós MCHC g/dL" dataDxfId="32"/>
    <tableColumn id="70" xr3:uid="{95F3505D-0DAD-4FA5-8B58-D6151A82FD36}" name="Pré PLT 10³/mm³" dataDxfId="31"/>
    <tableColumn id="71" xr3:uid="{6D6EDEE6-7177-4259-BAC3-013A1E2D087A}" name="Pós PLT 10³/mm³" dataDxfId="30"/>
    <tableColumn id="72" xr3:uid="{BFF1A1E6-27B7-468E-A373-BD1B318B8B34}" name="Pré RDW %" dataDxfId="29"/>
    <tableColumn id="73" xr3:uid="{37CAF885-00B4-4666-9774-C2B32AC333F7}" name="Pós RDW %" dataDxfId="28"/>
    <tableColumn id="74" xr3:uid="{3436B62C-7B0A-4F55-9CA7-B3AFA2849DD8}" name="Pré RET %" dataDxfId="27"/>
    <tableColumn id="75" xr3:uid="{855202AE-3575-469A-A349-DFA13EE5920E}" name="Pós RET %" dataDxfId="26"/>
    <tableColumn id="76" xr3:uid="{37F59041-980E-45C4-817B-6F3F4917A90E}" name="Pré WBC 10³/mm³" dataDxfId="25"/>
    <tableColumn id="77" xr3:uid="{DE53CD79-0FCF-42A5-9E8A-33705F266FEA}" name="Pós WBC 10³/mm³" dataDxfId="24"/>
    <tableColumn id="78" xr3:uid="{0BE09486-A89B-41B7-B6C1-4BEFBFF315C3}" name="Pré NEUT %" dataDxfId="23"/>
    <tableColumn id="79" xr3:uid="{EA8FE4D3-5070-4E27-A0D4-F0241A69A00E}" name="Pós NEUT %" dataDxfId="22"/>
    <tableColumn id="80" xr3:uid="{AE8D597D-946A-41CD-B48E-28B3A9D81715}" name="Pré LINF %" dataDxfId="21"/>
    <tableColumn id="81" xr3:uid="{293E1E4D-3432-4D18-ACD4-793FFBBA90F2}" name="Pós LINF %" dataDxfId="20"/>
    <tableColumn id="82" xr3:uid="{D9C24404-825A-4B43-9FAD-048C6203D341}" name="Pré MONO %" dataDxfId="19"/>
    <tableColumn id="83" xr3:uid="{FDC23E1B-4905-4116-B8CC-C083A48B535E}" name="Pós MONO %" dataDxfId="18"/>
    <tableColumn id="84" xr3:uid="{DE885B92-9BD2-4CBB-AEB0-4B11AFFF5597}" name="Pré EOS %" dataDxfId="17"/>
    <tableColumn id="85" xr3:uid="{30103145-EFFE-4F4B-B671-E51A2D632C06}" name="Pós EOS %" dataDxfId="16"/>
    <tableColumn id="86" xr3:uid="{AB62C407-06DF-4AA6-A4B2-B19EC008A796}" name="Pré BASO %" dataDxfId="15"/>
    <tableColumn id="87" xr3:uid="{CCAE64C7-606C-4D61-A283-7413671C8C94}" name="Pós BASO %" dataDxfId="14"/>
    <tableColumn id="88" xr3:uid="{CBE298B0-CACF-4E81-B09B-B663663D0E51}" name="Lesão Renal Aguda" dataDxfId="13">
      <calculatedColumnFormula>IFERROR(IF((AJ2-AI2)&gt;=0.3,"SIM","NÃO"),"Dados insuficientes")</calculatedColumnFormula>
    </tableColumn>
    <tableColumn id="89" xr3:uid="{12DB1CCA-DE9F-440F-84D3-7BD287896FFC}" name="Rabdomiólise" dataDxfId="12">
      <calculatedColumnFormula>IFERROR(IF(OR(N2&gt;=1000,M2&gt;=1000),"SIM","NÃO"),"Dados Insuficientes")</calculatedColumnFormula>
    </tableColumn>
    <tableColumn id="90" xr3:uid="{F3961E2B-8762-44D8-823C-4969EE12D9DD}" name="Massa magra" dataDxfId="11">
      <calculatedColumnFormula>$CM2-($CM2*(0.01*$CR2))</calculatedColumnFormula>
    </tableColumn>
    <tableColumn id="91" xr3:uid="{EEB5CF46-5B7A-4CF7-ACB4-0BAFB7C0909D}" name="MCT KG" dataDxfId="10"/>
    <tableColumn id="92" xr3:uid="{DC670030-9570-438E-8193-BD516CF46DDF}" name="ESTATURA cm" dataDxfId="9"/>
    <tableColumn id="93" xr3:uid="{46B48A71-6D8E-47BD-B912-71CA2D770A9D}" name="VO2max estimado" dataDxfId="8"/>
    <tableColumn id="94" xr3:uid="{8386934E-E0AB-4E75-8FE3-244682E06B6A}" name="Handgrip     Dominante" dataDxfId="7"/>
    <tableColumn id="95" xr3:uid="{2D736DC1-3B06-4ED2-AFF4-190F52716449}" name="Handgrip Contrário" dataDxfId="6"/>
    <tableColumn id="96" xr3:uid="{48FA7808-AA7F-42C6-A143-7C5E4AFD4D37}" name="% gordura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02"/>
  <sheetViews>
    <sheetView zoomScale="70" zoomScaleNormal="70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defaultColWidth="14.42578125" defaultRowHeight="15" customHeight="1"/>
  <cols>
    <col min="1" max="1" width="6" customWidth="1"/>
    <col min="2" max="2" width="9.28515625" customWidth="1"/>
    <col min="3" max="3" width="9" customWidth="1"/>
    <col min="4" max="4" width="6" customWidth="1"/>
    <col min="5" max="5" width="8.5703125" customWidth="1"/>
    <col min="6" max="6" width="7.140625" customWidth="1"/>
    <col min="7" max="7" width="5.42578125" customWidth="1"/>
    <col min="8" max="8" width="3.85546875" customWidth="1"/>
    <col min="9" max="9" width="6.140625" customWidth="1"/>
    <col min="10" max="10" width="5.42578125" customWidth="1"/>
    <col min="11" max="11" width="7" customWidth="1"/>
    <col min="12" max="12" width="13.85546875" customWidth="1"/>
    <col min="13" max="13" width="7.42578125" customWidth="1"/>
    <col min="14" max="15" width="8" customWidth="1"/>
    <col min="16" max="27" width="6.28515625" customWidth="1"/>
    <col min="28" max="28" width="8.140625" customWidth="1"/>
    <col min="29" max="34" width="6.28515625" customWidth="1"/>
    <col min="35" max="35" width="6.5703125" customWidth="1"/>
    <col min="36" max="36" width="6.28515625" customWidth="1"/>
    <col min="37" max="37" width="19.5703125" style="270" bestFit="1" customWidth="1"/>
    <col min="38" max="47" width="6.28515625" customWidth="1"/>
    <col min="48" max="49" width="6.28515625" style="49" customWidth="1"/>
    <col min="50" max="55" width="6.28515625" customWidth="1"/>
    <col min="56" max="57" width="19.7109375" customWidth="1"/>
    <col min="58" max="67" width="8" customWidth="1"/>
    <col min="68" max="74" width="7.7109375" customWidth="1"/>
    <col min="75" max="75" width="10.140625" customWidth="1"/>
    <col min="76" max="87" width="7.7109375" customWidth="1"/>
    <col min="88" max="88" width="21.42578125" customWidth="1"/>
    <col min="89" max="89" width="16.28515625" customWidth="1"/>
    <col min="90" max="90" width="16.42578125" customWidth="1"/>
    <col min="91" max="91" width="14.42578125" customWidth="1"/>
    <col min="92" max="92" width="12.28515625" customWidth="1"/>
    <col min="93" max="93" width="18.85546875" customWidth="1"/>
    <col min="94" max="94" width="12.140625" customWidth="1"/>
    <col min="95" max="95" width="12.5703125" customWidth="1"/>
    <col min="96" max="96" width="12" customWidth="1"/>
    <col min="97" max="97" width="13" customWidth="1"/>
  </cols>
  <sheetData>
    <row r="1" spans="1:97" s="47" customFormat="1" ht="94.5">
      <c r="A1" s="84" t="s">
        <v>173</v>
      </c>
      <c r="B1" s="84" t="s">
        <v>174</v>
      </c>
      <c r="C1" s="84" t="s">
        <v>1</v>
      </c>
      <c r="D1" s="84" t="s">
        <v>8</v>
      </c>
      <c r="E1" s="84" t="s">
        <v>9</v>
      </c>
      <c r="F1" s="84" t="s">
        <v>10</v>
      </c>
      <c r="G1" s="84" t="s">
        <v>2</v>
      </c>
      <c r="H1" s="84" t="s">
        <v>3</v>
      </c>
      <c r="I1" s="84" t="s">
        <v>4</v>
      </c>
      <c r="J1" s="84" t="s">
        <v>5</v>
      </c>
      <c r="K1" s="84" t="s">
        <v>6</v>
      </c>
      <c r="L1" s="84" t="s">
        <v>7</v>
      </c>
      <c r="M1" s="84" t="s">
        <v>11</v>
      </c>
      <c r="N1" s="84" t="s">
        <v>12</v>
      </c>
      <c r="O1" s="84" t="s">
        <v>175</v>
      </c>
      <c r="P1" s="84" t="s">
        <v>176</v>
      </c>
      <c r="Q1" s="84" t="s">
        <v>13</v>
      </c>
      <c r="R1" s="84" t="s">
        <v>14</v>
      </c>
      <c r="S1" s="84" t="s">
        <v>15</v>
      </c>
      <c r="T1" s="84" t="s">
        <v>16</v>
      </c>
      <c r="U1" s="84" t="s">
        <v>17</v>
      </c>
      <c r="V1" s="84" t="s">
        <v>18</v>
      </c>
      <c r="W1" s="84" t="s">
        <v>19</v>
      </c>
      <c r="X1" s="84" t="s">
        <v>20</v>
      </c>
      <c r="Y1" s="84" t="s">
        <v>21</v>
      </c>
      <c r="Z1" s="84" t="s">
        <v>22</v>
      </c>
      <c r="AA1" s="84" t="s">
        <v>23</v>
      </c>
      <c r="AB1" s="84" t="s">
        <v>24</v>
      </c>
      <c r="AC1" s="84" t="s">
        <v>25</v>
      </c>
      <c r="AD1" s="84" t="s">
        <v>195</v>
      </c>
      <c r="AE1" s="84" t="s">
        <v>26</v>
      </c>
      <c r="AF1" s="84" t="s">
        <v>27</v>
      </c>
      <c r="AG1" s="84" t="s">
        <v>28</v>
      </c>
      <c r="AH1" s="84" t="s">
        <v>29</v>
      </c>
      <c r="AI1" s="84" t="s">
        <v>30</v>
      </c>
      <c r="AJ1" s="84" t="s">
        <v>31</v>
      </c>
      <c r="AK1" s="84" t="s">
        <v>32</v>
      </c>
      <c r="AL1" s="84" t="s">
        <v>33</v>
      </c>
      <c r="AM1" s="84" t="s">
        <v>34</v>
      </c>
      <c r="AN1" s="84" t="s">
        <v>35</v>
      </c>
      <c r="AO1" s="84" t="s">
        <v>36</v>
      </c>
      <c r="AP1" s="84" t="s">
        <v>37</v>
      </c>
      <c r="AQ1" s="84" t="s">
        <v>38</v>
      </c>
      <c r="AR1" s="84" t="s">
        <v>39</v>
      </c>
      <c r="AS1" s="84" t="s">
        <v>40</v>
      </c>
      <c r="AT1" s="84" t="s">
        <v>41</v>
      </c>
      <c r="AU1" s="84" t="s">
        <v>42</v>
      </c>
      <c r="AV1" s="84" t="s">
        <v>177</v>
      </c>
      <c r="AW1" s="84" t="s">
        <v>178</v>
      </c>
      <c r="AX1" s="84" t="s">
        <v>43</v>
      </c>
      <c r="AY1" s="84" t="s">
        <v>44</v>
      </c>
      <c r="AZ1" s="84" t="s">
        <v>45</v>
      </c>
      <c r="BA1" s="84" t="s">
        <v>46</v>
      </c>
      <c r="BB1" s="84" t="s">
        <v>47</v>
      </c>
      <c r="BC1" s="84" t="s">
        <v>48</v>
      </c>
      <c r="BD1" s="84" t="s">
        <v>179</v>
      </c>
      <c r="BE1" s="84" t="s">
        <v>180</v>
      </c>
      <c r="BF1" s="84" t="s">
        <v>191</v>
      </c>
      <c r="BG1" s="84" t="s">
        <v>192</v>
      </c>
      <c r="BH1" s="84" t="s">
        <v>49</v>
      </c>
      <c r="BI1" s="84" t="s">
        <v>50</v>
      </c>
      <c r="BJ1" s="84" t="s">
        <v>51</v>
      </c>
      <c r="BK1" s="84" t="s">
        <v>52</v>
      </c>
      <c r="BL1" s="84" t="s">
        <v>53</v>
      </c>
      <c r="BM1" s="84" t="s">
        <v>54</v>
      </c>
      <c r="BN1" s="84" t="s">
        <v>55</v>
      </c>
      <c r="BO1" s="84" t="s">
        <v>56</v>
      </c>
      <c r="BP1" s="84" t="s">
        <v>57</v>
      </c>
      <c r="BQ1" s="84" t="s">
        <v>58</v>
      </c>
      <c r="BR1" s="84" t="s">
        <v>59</v>
      </c>
      <c r="BS1" s="84" t="s">
        <v>60</v>
      </c>
      <c r="BT1" s="84" t="s">
        <v>61</v>
      </c>
      <c r="BU1" s="84" t="s">
        <v>62</v>
      </c>
      <c r="BV1" s="84" t="s">
        <v>63</v>
      </c>
      <c r="BW1" s="84" t="s">
        <v>64</v>
      </c>
      <c r="BX1" s="84" t="s">
        <v>65</v>
      </c>
      <c r="BY1" s="84" t="s">
        <v>66</v>
      </c>
      <c r="BZ1" s="84" t="s">
        <v>67</v>
      </c>
      <c r="CA1" s="84" t="s">
        <v>68</v>
      </c>
      <c r="CB1" s="84" t="s">
        <v>69</v>
      </c>
      <c r="CC1" s="84" t="s">
        <v>70</v>
      </c>
      <c r="CD1" s="84" t="s">
        <v>71</v>
      </c>
      <c r="CE1" s="84" t="s">
        <v>72</v>
      </c>
      <c r="CF1" s="84" t="s">
        <v>73</v>
      </c>
      <c r="CG1" s="84" t="s">
        <v>74</v>
      </c>
      <c r="CH1" s="84" t="s">
        <v>75</v>
      </c>
      <c r="CI1" s="84" t="s">
        <v>76</v>
      </c>
      <c r="CJ1" s="84" t="s">
        <v>188</v>
      </c>
      <c r="CK1" s="84" t="s">
        <v>0</v>
      </c>
      <c r="CL1" s="84" t="s">
        <v>77</v>
      </c>
      <c r="CM1" s="84" t="s">
        <v>78</v>
      </c>
      <c r="CN1" s="84" t="s">
        <v>79</v>
      </c>
      <c r="CO1" s="84" t="s">
        <v>80</v>
      </c>
      <c r="CP1" s="84" t="s">
        <v>189</v>
      </c>
      <c r="CQ1" s="84" t="s">
        <v>190</v>
      </c>
      <c r="CR1" s="84" t="s">
        <v>81</v>
      </c>
    </row>
    <row r="2" spans="1:97" ht="31.5">
      <c r="A2" s="72">
        <v>2017</v>
      </c>
      <c r="B2" s="72" t="s">
        <v>172</v>
      </c>
      <c r="C2" s="164">
        <v>3114</v>
      </c>
      <c r="D2" s="61">
        <v>30</v>
      </c>
      <c r="E2" s="80">
        <v>73</v>
      </c>
      <c r="F2" s="301">
        <v>1</v>
      </c>
      <c r="G2" s="54" t="s">
        <v>89</v>
      </c>
      <c r="H2" s="55" t="s">
        <v>90</v>
      </c>
      <c r="I2" s="56" t="s">
        <v>93</v>
      </c>
      <c r="J2" s="55" t="s">
        <v>99</v>
      </c>
      <c r="K2" s="56">
        <v>50</v>
      </c>
      <c r="L2" s="55">
        <v>50</v>
      </c>
      <c r="M2" s="220">
        <v>995</v>
      </c>
      <c r="N2" s="87">
        <v>6454</v>
      </c>
      <c r="O2" s="88">
        <v>26</v>
      </c>
      <c r="P2" s="88">
        <v>55</v>
      </c>
      <c r="Q2" s="89" t="s">
        <v>94</v>
      </c>
      <c r="R2" s="89" t="s">
        <v>94</v>
      </c>
      <c r="S2" s="88">
        <v>619</v>
      </c>
      <c r="T2" s="88">
        <v>1023</v>
      </c>
      <c r="U2" s="90">
        <v>64</v>
      </c>
      <c r="V2" s="90">
        <v>116</v>
      </c>
      <c r="W2" s="145">
        <v>4.7</v>
      </c>
      <c r="X2" s="145">
        <v>4.5999999999999996</v>
      </c>
      <c r="Y2" s="90">
        <v>80</v>
      </c>
      <c r="Z2" s="90">
        <v>84</v>
      </c>
      <c r="AA2" s="145">
        <v>11</v>
      </c>
      <c r="AB2" s="145">
        <v>12</v>
      </c>
      <c r="AC2" s="89" t="s">
        <v>94</v>
      </c>
      <c r="AD2" s="89" t="s">
        <v>94</v>
      </c>
      <c r="AE2" s="318">
        <v>122.1</v>
      </c>
      <c r="AF2" s="332">
        <v>117.8</v>
      </c>
      <c r="AG2" s="89">
        <v>36</v>
      </c>
      <c r="AH2" s="89">
        <v>67</v>
      </c>
      <c r="AI2" s="88">
        <v>0.8</v>
      </c>
      <c r="AJ2" s="88">
        <v>0.9</v>
      </c>
      <c r="AK2" s="269">
        <f t="shared" ref="AK2:AK65" si="0">IFERROR(IF((AJ2-AI2)&lt;0,0,(AJ2-AI2)),"Dados Insuficientes")</f>
        <v>9.9999999999999978E-2</v>
      </c>
      <c r="AL2" s="89">
        <v>3.4</v>
      </c>
      <c r="AM2" s="89">
        <v>3.6</v>
      </c>
      <c r="AN2" s="88">
        <v>7.4</v>
      </c>
      <c r="AO2" s="88">
        <v>7.6</v>
      </c>
      <c r="AP2" s="88" t="s">
        <v>94</v>
      </c>
      <c r="AQ2" s="88" t="s">
        <v>94</v>
      </c>
      <c r="AR2" s="89">
        <v>10.1</v>
      </c>
      <c r="AS2" s="89">
        <v>9.6999999999999993</v>
      </c>
      <c r="AT2" s="89">
        <v>5.4</v>
      </c>
      <c r="AU2" s="89" t="s">
        <v>94</v>
      </c>
      <c r="AV2" s="88">
        <v>91</v>
      </c>
      <c r="AW2" s="88">
        <v>79</v>
      </c>
      <c r="AX2" s="145">
        <v>141</v>
      </c>
      <c r="AY2" s="145">
        <v>137</v>
      </c>
      <c r="AZ2" s="89" t="s">
        <v>94</v>
      </c>
      <c r="BA2" s="89" t="s">
        <v>94</v>
      </c>
      <c r="BB2" s="88" t="s">
        <v>94</v>
      </c>
      <c r="BC2" s="88" t="s">
        <v>94</v>
      </c>
      <c r="BD2" s="96">
        <f t="shared" ref="BD2:BD65" si="1">1.86*(AX2+AT2)+1.15*(AV2/18)+(AG2/6)+14</f>
        <v>298.1178888888889</v>
      </c>
      <c r="BE2" s="96" t="e">
        <f t="shared" ref="BE2:BE65" si="2">1.86*(AY2+AU2)+1.15*(AW2/18)+(AH2/6)+14</f>
        <v>#VALUE!</v>
      </c>
      <c r="BF2" s="89">
        <v>5.23</v>
      </c>
      <c r="BG2" s="89">
        <v>4.87</v>
      </c>
      <c r="BH2" s="145">
        <v>14.8</v>
      </c>
      <c r="BI2" s="145">
        <v>14.1</v>
      </c>
      <c r="BJ2" s="89">
        <v>48.7</v>
      </c>
      <c r="BK2" s="89">
        <v>45.4</v>
      </c>
      <c r="BL2" s="145">
        <v>93.1</v>
      </c>
      <c r="BM2" s="145">
        <v>93.2</v>
      </c>
      <c r="BN2" s="89">
        <v>28.3</v>
      </c>
      <c r="BO2" s="89">
        <v>29</v>
      </c>
      <c r="BP2" s="145">
        <v>30.4</v>
      </c>
      <c r="BQ2" s="145">
        <v>31.1</v>
      </c>
      <c r="BR2" s="89">
        <v>272</v>
      </c>
      <c r="BS2" s="89">
        <v>329</v>
      </c>
      <c r="BT2" s="145">
        <v>12.4</v>
      </c>
      <c r="BU2" s="145">
        <v>12.6</v>
      </c>
      <c r="BV2" s="108">
        <v>0.78</v>
      </c>
      <c r="BW2" s="108">
        <v>0.99</v>
      </c>
      <c r="BX2" s="145">
        <v>4.8099999999999996</v>
      </c>
      <c r="BY2" s="88">
        <v>9.8800000000000008</v>
      </c>
      <c r="BZ2" s="89">
        <v>58</v>
      </c>
      <c r="CA2" s="89">
        <v>64.2</v>
      </c>
      <c r="CB2" s="145">
        <v>29.1</v>
      </c>
      <c r="CC2" s="145">
        <v>25.4</v>
      </c>
      <c r="CD2" s="89">
        <v>9.6</v>
      </c>
      <c r="CE2" s="89">
        <v>8.6</v>
      </c>
      <c r="CF2" s="145">
        <v>2.5</v>
      </c>
      <c r="CG2" s="145">
        <v>1.4</v>
      </c>
      <c r="CH2" s="89">
        <v>0.8</v>
      </c>
      <c r="CI2" s="89">
        <v>0.4</v>
      </c>
      <c r="CJ2" s="86" t="b">
        <f t="shared" ref="CJ2:CJ65" si="3">(AJ2-AI2)&gt;=0.3</f>
        <v>0</v>
      </c>
      <c r="CK2" s="2" t="b">
        <f t="shared" ref="CK2:CK65" si="4">OR(N2&gt;=1000,M2&gt;=1000)</f>
        <v>1</v>
      </c>
      <c r="CL2" s="98">
        <f>$CM2-($CM2*(0.01*$CR2))</f>
        <v>66.363659999999996</v>
      </c>
      <c r="CM2" s="98">
        <v>72.599999999999994</v>
      </c>
      <c r="CN2" s="98">
        <v>180</v>
      </c>
      <c r="CO2" s="86">
        <v>52.5</v>
      </c>
      <c r="CP2" s="98">
        <v>45</v>
      </c>
      <c r="CQ2" s="98">
        <v>42</v>
      </c>
      <c r="CR2" s="99">
        <v>8.59</v>
      </c>
      <c r="CS2" s="48"/>
    </row>
    <row r="3" spans="1:97" ht="31.5">
      <c r="A3" s="72">
        <v>2017</v>
      </c>
      <c r="B3" s="72" t="s">
        <v>172</v>
      </c>
      <c r="C3" s="164">
        <v>3116</v>
      </c>
      <c r="D3" s="52">
        <v>29</v>
      </c>
      <c r="E3" s="80">
        <v>70</v>
      </c>
      <c r="F3" s="52">
        <v>2</v>
      </c>
      <c r="G3" s="54" t="s">
        <v>89</v>
      </c>
      <c r="H3" s="55" t="s">
        <v>83</v>
      </c>
      <c r="I3" s="56" t="s">
        <v>93</v>
      </c>
      <c r="J3" s="55" t="s">
        <v>99</v>
      </c>
      <c r="K3" s="53">
        <v>62.5</v>
      </c>
      <c r="L3" s="55">
        <v>37.5</v>
      </c>
      <c r="M3" s="87">
        <v>281</v>
      </c>
      <c r="N3" s="87">
        <v>766</v>
      </c>
      <c r="O3" s="88">
        <v>16</v>
      </c>
      <c r="P3" s="88">
        <v>35</v>
      </c>
      <c r="Q3" s="89" t="s">
        <v>94</v>
      </c>
      <c r="R3" s="89" t="s">
        <v>94</v>
      </c>
      <c r="S3" s="88">
        <v>626</v>
      </c>
      <c r="T3" s="88">
        <v>774</v>
      </c>
      <c r="U3" s="90">
        <v>56</v>
      </c>
      <c r="V3" s="90">
        <v>65</v>
      </c>
      <c r="W3" s="145">
        <v>4.5</v>
      </c>
      <c r="X3" s="145">
        <v>4.7</v>
      </c>
      <c r="Y3" s="90">
        <v>60</v>
      </c>
      <c r="Z3" s="90">
        <v>65</v>
      </c>
      <c r="AA3" s="145">
        <v>17</v>
      </c>
      <c r="AB3" s="145">
        <v>12</v>
      </c>
      <c r="AC3" s="89" t="s">
        <v>94</v>
      </c>
      <c r="AD3" s="89" t="s">
        <v>94</v>
      </c>
      <c r="AE3" s="322">
        <v>118.6</v>
      </c>
      <c r="AF3" s="337">
        <v>118.6</v>
      </c>
      <c r="AG3" s="89">
        <v>40</v>
      </c>
      <c r="AH3" s="89">
        <v>54</v>
      </c>
      <c r="AI3" s="88">
        <v>0.9</v>
      </c>
      <c r="AJ3" s="88">
        <v>0.9</v>
      </c>
      <c r="AK3" s="269">
        <f t="shared" si="0"/>
        <v>0</v>
      </c>
      <c r="AL3" s="89">
        <v>3.8</v>
      </c>
      <c r="AM3" s="89">
        <v>4.2</v>
      </c>
      <c r="AN3" s="88">
        <v>6.7</v>
      </c>
      <c r="AO3" s="88">
        <v>7.4</v>
      </c>
      <c r="AP3" s="88" t="s">
        <v>94</v>
      </c>
      <c r="AQ3" s="88" t="s">
        <v>94</v>
      </c>
      <c r="AR3" s="89">
        <v>9.9</v>
      </c>
      <c r="AS3" s="89">
        <v>9.9</v>
      </c>
      <c r="AT3" s="89">
        <v>5.2</v>
      </c>
      <c r="AU3" s="89">
        <v>5.0999999999999996</v>
      </c>
      <c r="AV3" s="88">
        <v>91</v>
      </c>
      <c r="AW3" s="88">
        <v>79</v>
      </c>
      <c r="AX3" s="145">
        <v>141</v>
      </c>
      <c r="AY3" s="145">
        <v>137</v>
      </c>
      <c r="AZ3" s="89" t="s">
        <v>94</v>
      </c>
      <c r="BA3" s="89" t="s">
        <v>94</v>
      </c>
      <c r="BB3" s="88" t="s">
        <v>94</v>
      </c>
      <c r="BC3" s="88" t="s">
        <v>94</v>
      </c>
      <c r="BD3" s="96">
        <f t="shared" si="1"/>
        <v>298.41255555555557</v>
      </c>
      <c r="BE3" s="96">
        <f t="shared" si="2"/>
        <v>292.3532222222222</v>
      </c>
      <c r="BF3" s="89">
        <v>5.14</v>
      </c>
      <c r="BG3" s="89">
        <v>5.09</v>
      </c>
      <c r="BH3" s="145">
        <v>15</v>
      </c>
      <c r="BI3" s="145">
        <v>15</v>
      </c>
      <c r="BJ3" s="89">
        <v>44.7</v>
      </c>
      <c r="BK3" s="89">
        <v>44.3</v>
      </c>
      <c r="BL3" s="145">
        <v>87</v>
      </c>
      <c r="BM3" s="145">
        <v>87</v>
      </c>
      <c r="BN3" s="89">
        <v>29.2</v>
      </c>
      <c r="BO3" s="89">
        <v>29.5</v>
      </c>
      <c r="BP3" s="145">
        <v>33.6</v>
      </c>
      <c r="BQ3" s="145">
        <v>33.9</v>
      </c>
      <c r="BR3" s="89">
        <v>165</v>
      </c>
      <c r="BS3" s="89">
        <v>192</v>
      </c>
      <c r="BT3" s="145">
        <v>12.7</v>
      </c>
      <c r="BU3" s="145">
        <v>12.9</v>
      </c>
      <c r="BV3" s="108">
        <v>1.62</v>
      </c>
      <c r="BW3" s="108">
        <v>1.26</v>
      </c>
      <c r="BX3" s="145">
        <v>6.51</v>
      </c>
      <c r="BY3" s="88">
        <v>6.41</v>
      </c>
      <c r="BZ3" s="89">
        <v>46.6</v>
      </c>
      <c r="CA3" s="89">
        <v>41.8</v>
      </c>
      <c r="CB3" s="145">
        <v>34.700000000000003</v>
      </c>
      <c r="CC3" s="145">
        <v>31.4</v>
      </c>
      <c r="CD3" s="89">
        <v>7.2</v>
      </c>
      <c r="CE3" s="89">
        <v>9.5</v>
      </c>
      <c r="CF3" s="145">
        <v>10.9</v>
      </c>
      <c r="CG3" s="145">
        <v>17</v>
      </c>
      <c r="CH3" s="89">
        <v>0.6</v>
      </c>
      <c r="CI3" s="89">
        <v>0.3</v>
      </c>
      <c r="CJ3" s="86" t="b">
        <f t="shared" si="3"/>
        <v>0</v>
      </c>
      <c r="CK3" s="2" t="b">
        <f t="shared" si="4"/>
        <v>0</v>
      </c>
      <c r="CL3" s="98"/>
      <c r="CM3" s="94">
        <v>0</v>
      </c>
      <c r="CN3" s="94">
        <v>0</v>
      </c>
      <c r="CO3" s="94">
        <v>0</v>
      </c>
      <c r="CP3" s="94">
        <v>0</v>
      </c>
      <c r="CQ3" s="94">
        <v>0</v>
      </c>
      <c r="CR3" s="165">
        <v>0</v>
      </c>
      <c r="CS3" s="48"/>
    </row>
    <row r="4" spans="1:97" ht="31.5">
      <c r="A4" s="72">
        <v>2017</v>
      </c>
      <c r="B4" s="72" t="s">
        <v>172</v>
      </c>
      <c r="C4" s="164">
        <v>3119</v>
      </c>
      <c r="D4" s="52">
        <v>28</v>
      </c>
      <c r="E4" s="80">
        <v>0</v>
      </c>
      <c r="F4" s="301">
        <v>1</v>
      </c>
      <c r="G4" s="54" t="s">
        <v>89</v>
      </c>
      <c r="H4" s="55" t="s">
        <v>92</v>
      </c>
      <c r="I4" s="56" t="s">
        <v>93</v>
      </c>
      <c r="J4" s="55" t="s">
        <v>100</v>
      </c>
      <c r="K4" s="53">
        <v>62.5</v>
      </c>
      <c r="L4" s="55">
        <v>37.5</v>
      </c>
      <c r="M4" s="87">
        <v>903</v>
      </c>
      <c r="N4" s="87">
        <v>1287</v>
      </c>
      <c r="O4" s="88">
        <v>31</v>
      </c>
      <c r="P4" s="88">
        <v>28</v>
      </c>
      <c r="Q4" s="89" t="s">
        <v>94</v>
      </c>
      <c r="R4" s="89" t="s">
        <v>94</v>
      </c>
      <c r="S4" s="88">
        <v>780</v>
      </c>
      <c r="T4" s="88">
        <v>488</v>
      </c>
      <c r="U4" s="90">
        <v>70</v>
      </c>
      <c r="V4" s="90">
        <v>41</v>
      </c>
      <c r="W4" s="145">
        <v>4.4000000000000004</v>
      </c>
      <c r="X4" s="145">
        <v>2.1</v>
      </c>
      <c r="Y4" s="90">
        <v>97</v>
      </c>
      <c r="Z4" s="90">
        <v>63</v>
      </c>
      <c r="AA4" s="145">
        <v>61</v>
      </c>
      <c r="AB4" s="145">
        <v>30</v>
      </c>
      <c r="AC4" s="89" t="s">
        <v>94</v>
      </c>
      <c r="AD4" s="89" t="s">
        <v>94</v>
      </c>
      <c r="AE4" s="322">
        <v>105.1</v>
      </c>
      <c r="AF4" s="337">
        <v>134.80000000000001</v>
      </c>
      <c r="AG4" s="89">
        <v>27</v>
      </c>
      <c r="AH4" s="89">
        <v>20</v>
      </c>
      <c r="AI4" s="88">
        <v>1</v>
      </c>
      <c r="AJ4" s="88">
        <v>0.6</v>
      </c>
      <c r="AK4" s="269">
        <f t="shared" si="0"/>
        <v>0</v>
      </c>
      <c r="AL4" s="89">
        <v>3</v>
      </c>
      <c r="AM4" s="89">
        <v>2.6</v>
      </c>
      <c r="AN4" s="88">
        <v>7.3</v>
      </c>
      <c r="AO4" s="88">
        <v>4.0999999999999996</v>
      </c>
      <c r="AP4" s="88" t="s">
        <v>94</v>
      </c>
      <c r="AQ4" s="88" t="s">
        <v>94</v>
      </c>
      <c r="AR4" s="89">
        <v>9.6999999999999993</v>
      </c>
      <c r="AS4" s="89">
        <v>5.5</v>
      </c>
      <c r="AT4" s="89">
        <v>4.9000000000000004</v>
      </c>
      <c r="AU4" s="89">
        <v>2.6</v>
      </c>
      <c r="AV4" s="88">
        <v>99</v>
      </c>
      <c r="AW4" s="88">
        <v>30</v>
      </c>
      <c r="AX4" s="145">
        <v>140</v>
      </c>
      <c r="AY4" s="145">
        <v>79</v>
      </c>
      <c r="AZ4" s="89" t="s">
        <v>94</v>
      </c>
      <c r="BA4" s="89" t="s">
        <v>94</v>
      </c>
      <c r="BB4" s="88" t="s">
        <v>94</v>
      </c>
      <c r="BC4" s="88" t="s">
        <v>94</v>
      </c>
      <c r="BD4" s="96">
        <f t="shared" si="1"/>
        <v>294.339</v>
      </c>
      <c r="BE4" s="96">
        <f t="shared" si="2"/>
        <v>171.02600000000001</v>
      </c>
      <c r="BF4" s="89">
        <v>5.05</v>
      </c>
      <c r="BG4" s="89">
        <v>4.68</v>
      </c>
      <c r="BH4" s="145">
        <v>14.9</v>
      </c>
      <c r="BI4" s="145">
        <v>13.7</v>
      </c>
      <c r="BJ4" s="89">
        <v>45.2</v>
      </c>
      <c r="BK4" s="89">
        <v>41.9</v>
      </c>
      <c r="BL4" s="145">
        <v>89.5</v>
      </c>
      <c r="BM4" s="145">
        <v>89.5</v>
      </c>
      <c r="BN4" s="89">
        <v>29.5</v>
      </c>
      <c r="BO4" s="89">
        <v>29.3</v>
      </c>
      <c r="BP4" s="145">
        <v>33</v>
      </c>
      <c r="BQ4" s="145">
        <v>32.700000000000003</v>
      </c>
      <c r="BR4" s="89">
        <v>231</v>
      </c>
      <c r="BS4" s="89">
        <v>275</v>
      </c>
      <c r="BT4" s="145">
        <v>12.7</v>
      </c>
      <c r="BU4" s="145">
        <v>13.2</v>
      </c>
      <c r="BV4" s="108">
        <v>1.2</v>
      </c>
      <c r="BW4" s="108">
        <v>1.31</v>
      </c>
      <c r="BX4" s="145">
        <v>3.85</v>
      </c>
      <c r="BY4" s="88">
        <v>7.22</v>
      </c>
      <c r="BZ4" s="89">
        <v>56.3</v>
      </c>
      <c r="CA4" s="89">
        <v>57.2</v>
      </c>
      <c r="CB4" s="145">
        <v>27.3</v>
      </c>
      <c r="CC4" s="145">
        <v>25.9</v>
      </c>
      <c r="CD4" s="89">
        <v>9.1</v>
      </c>
      <c r="CE4" s="89">
        <v>13.7</v>
      </c>
      <c r="CF4" s="145">
        <v>6.5</v>
      </c>
      <c r="CG4" s="145">
        <v>2.1</v>
      </c>
      <c r="CH4" s="89">
        <v>0.8</v>
      </c>
      <c r="CI4" s="89">
        <v>1.1000000000000001</v>
      </c>
      <c r="CJ4" s="86" t="b">
        <f t="shared" si="3"/>
        <v>0</v>
      </c>
      <c r="CK4" s="2" t="b">
        <f t="shared" si="4"/>
        <v>1</v>
      </c>
      <c r="CL4" s="98">
        <f>$CM4-($CM4*(0.01*$CR4))</f>
        <v>69.236999999999995</v>
      </c>
      <c r="CM4" s="98">
        <v>73.5</v>
      </c>
      <c r="CN4" s="98">
        <v>177</v>
      </c>
      <c r="CO4" s="86">
        <v>53.28</v>
      </c>
      <c r="CP4" s="98">
        <v>52.5</v>
      </c>
      <c r="CQ4" s="98">
        <v>50</v>
      </c>
      <c r="CR4" s="99">
        <v>5.8</v>
      </c>
      <c r="CS4" s="48"/>
    </row>
    <row r="5" spans="1:97" ht="15.75">
      <c r="A5" s="72">
        <v>2017</v>
      </c>
      <c r="B5" s="72" t="s">
        <v>172</v>
      </c>
      <c r="C5" s="164">
        <v>3122</v>
      </c>
      <c r="D5" s="61">
        <v>27</v>
      </c>
      <c r="E5" s="80">
        <v>0</v>
      </c>
      <c r="F5" s="52">
        <v>1</v>
      </c>
      <c r="G5" s="308" t="s">
        <v>94</v>
      </c>
      <c r="H5" s="52" t="s">
        <v>94</v>
      </c>
      <c r="I5" s="61" t="s">
        <v>94</v>
      </c>
      <c r="J5" s="52" t="s">
        <v>94</v>
      </c>
      <c r="K5" s="61" t="s">
        <v>94</v>
      </c>
      <c r="L5" s="61" t="s">
        <v>94</v>
      </c>
      <c r="M5" s="87">
        <v>548</v>
      </c>
      <c r="N5" s="87">
        <v>1361</v>
      </c>
      <c r="O5" s="88">
        <v>24</v>
      </c>
      <c r="P5" s="88">
        <v>33</v>
      </c>
      <c r="Q5" s="89" t="s">
        <v>94</v>
      </c>
      <c r="R5" s="89" t="s">
        <v>94</v>
      </c>
      <c r="S5" s="88">
        <v>528</v>
      </c>
      <c r="T5" s="88">
        <v>681</v>
      </c>
      <c r="U5" s="90">
        <v>55</v>
      </c>
      <c r="V5" s="90">
        <v>66</v>
      </c>
      <c r="W5" s="145">
        <v>4.7</v>
      </c>
      <c r="X5" s="145">
        <v>4.4000000000000004</v>
      </c>
      <c r="Y5" s="90">
        <v>46</v>
      </c>
      <c r="Z5" s="90">
        <v>51</v>
      </c>
      <c r="AA5" s="145">
        <v>32</v>
      </c>
      <c r="AB5" s="145">
        <v>35</v>
      </c>
      <c r="AC5" s="89" t="s">
        <v>94</v>
      </c>
      <c r="AD5" s="89" t="s">
        <v>94</v>
      </c>
      <c r="AE5" s="322">
        <v>105.8</v>
      </c>
      <c r="AF5" s="337">
        <v>105.8</v>
      </c>
      <c r="AG5" s="89">
        <v>28</v>
      </c>
      <c r="AH5" s="89">
        <v>39</v>
      </c>
      <c r="AI5" s="88">
        <v>1</v>
      </c>
      <c r="AJ5" s="88">
        <v>1</v>
      </c>
      <c r="AK5" s="269">
        <f t="shared" si="0"/>
        <v>0</v>
      </c>
      <c r="AL5" s="89">
        <v>3.8</v>
      </c>
      <c r="AM5" s="89">
        <v>4.0999999999999996</v>
      </c>
      <c r="AN5" s="88">
        <v>7.2</v>
      </c>
      <c r="AO5" s="88">
        <v>6.9</v>
      </c>
      <c r="AP5" s="88" t="s">
        <v>94</v>
      </c>
      <c r="AQ5" s="88" t="s">
        <v>94</v>
      </c>
      <c r="AR5" s="89">
        <v>10</v>
      </c>
      <c r="AS5" s="89">
        <v>9</v>
      </c>
      <c r="AT5" s="89">
        <v>4.5999999999999996</v>
      </c>
      <c r="AU5" s="89">
        <v>4</v>
      </c>
      <c r="AV5" s="88">
        <v>93</v>
      </c>
      <c r="AW5" s="88">
        <v>76</v>
      </c>
      <c r="AX5" s="145">
        <v>139</v>
      </c>
      <c r="AY5" s="145">
        <v>130</v>
      </c>
      <c r="AZ5" s="89" t="s">
        <v>94</v>
      </c>
      <c r="BA5" s="89" t="s">
        <v>94</v>
      </c>
      <c r="BB5" s="88" t="s">
        <v>94</v>
      </c>
      <c r="BC5" s="88" t="s">
        <v>94</v>
      </c>
      <c r="BD5" s="96">
        <f t="shared" si="1"/>
        <v>291.70433333333335</v>
      </c>
      <c r="BE5" s="96">
        <f t="shared" si="2"/>
        <v>274.59555555555556</v>
      </c>
      <c r="BF5" s="89">
        <v>6.77</v>
      </c>
      <c r="BG5" s="89">
        <v>6.59</v>
      </c>
      <c r="BH5" s="145">
        <v>13.5</v>
      </c>
      <c r="BI5" s="145">
        <v>12.7</v>
      </c>
      <c r="BJ5" s="89">
        <v>40</v>
      </c>
      <c r="BK5" s="89">
        <v>38.799999999999997</v>
      </c>
      <c r="BL5" s="145">
        <v>59.1</v>
      </c>
      <c r="BM5" s="145">
        <v>58.9</v>
      </c>
      <c r="BN5" s="89">
        <v>19.899999999999999</v>
      </c>
      <c r="BO5" s="89">
        <v>19.3</v>
      </c>
      <c r="BP5" s="145">
        <v>33.799999999999997</v>
      </c>
      <c r="BQ5" s="145">
        <v>32.700000000000003</v>
      </c>
      <c r="BR5" s="89">
        <v>193</v>
      </c>
      <c r="BS5" s="89">
        <v>223</v>
      </c>
      <c r="BT5" s="145">
        <v>18.399999999999999</v>
      </c>
      <c r="BU5" s="145">
        <v>18.7</v>
      </c>
      <c r="BV5" s="108">
        <v>1.06</v>
      </c>
      <c r="BW5" s="108">
        <v>1.1399999999999999</v>
      </c>
      <c r="BX5" s="145">
        <v>9.5299999999999994</v>
      </c>
      <c r="BY5" s="88">
        <v>10.199999999999999</v>
      </c>
      <c r="BZ5" s="89">
        <v>51.9</v>
      </c>
      <c r="CA5" s="89">
        <v>58.3</v>
      </c>
      <c r="CB5" s="145">
        <v>21</v>
      </c>
      <c r="CC5" s="145">
        <v>16.3</v>
      </c>
      <c r="CD5" s="89">
        <v>5.2</v>
      </c>
      <c r="CE5" s="89">
        <v>9.6</v>
      </c>
      <c r="CF5" s="145">
        <v>21.4</v>
      </c>
      <c r="CG5" s="145">
        <v>15.3</v>
      </c>
      <c r="CH5" s="89">
        <v>0.5</v>
      </c>
      <c r="CI5" s="89">
        <v>0.5</v>
      </c>
      <c r="CJ5" s="86" t="b">
        <f t="shared" si="3"/>
        <v>0</v>
      </c>
      <c r="CK5" s="2" t="b">
        <f t="shared" si="4"/>
        <v>1</v>
      </c>
      <c r="CL5" s="98"/>
      <c r="CM5" s="94">
        <v>0</v>
      </c>
      <c r="CN5" s="94">
        <v>0</v>
      </c>
      <c r="CO5" s="94">
        <v>0</v>
      </c>
      <c r="CP5" s="94">
        <v>0</v>
      </c>
      <c r="CQ5" s="94">
        <v>0</v>
      </c>
      <c r="CR5" s="165">
        <v>0</v>
      </c>
      <c r="CS5" s="48"/>
    </row>
    <row r="6" spans="1:97" ht="31.5">
      <c r="A6" s="72">
        <v>2017</v>
      </c>
      <c r="B6" s="72" t="s">
        <v>172</v>
      </c>
      <c r="C6" s="164">
        <v>3123</v>
      </c>
      <c r="D6" s="61">
        <v>27</v>
      </c>
      <c r="E6" s="80">
        <v>85</v>
      </c>
      <c r="F6" s="52">
        <v>1</v>
      </c>
      <c r="G6" s="54" t="s">
        <v>89</v>
      </c>
      <c r="H6" s="55" t="s">
        <v>92</v>
      </c>
      <c r="I6" s="56" t="s">
        <v>84</v>
      </c>
      <c r="J6" s="55" t="s">
        <v>97</v>
      </c>
      <c r="K6" s="56">
        <v>75</v>
      </c>
      <c r="L6" s="55">
        <v>25</v>
      </c>
      <c r="M6" s="87">
        <v>2144</v>
      </c>
      <c r="N6" s="87">
        <v>516</v>
      </c>
      <c r="O6" s="88">
        <v>31</v>
      </c>
      <c r="P6" s="88">
        <v>21</v>
      </c>
      <c r="Q6" s="89" t="s">
        <v>94</v>
      </c>
      <c r="R6" s="89" t="s">
        <v>94</v>
      </c>
      <c r="S6" s="88">
        <v>815</v>
      </c>
      <c r="T6" s="88">
        <v>775</v>
      </c>
      <c r="U6" s="90">
        <v>129</v>
      </c>
      <c r="V6" s="90">
        <v>43</v>
      </c>
      <c r="W6" s="145">
        <v>4.2</v>
      </c>
      <c r="X6" s="145">
        <v>4.5</v>
      </c>
      <c r="Y6" s="90">
        <v>73</v>
      </c>
      <c r="Z6" s="90">
        <v>67</v>
      </c>
      <c r="AA6" s="145">
        <v>22</v>
      </c>
      <c r="AB6" s="145">
        <v>21</v>
      </c>
      <c r="AC6" s="89" t="s">
        <v>94</v>
      </c>
      <c r="AD6" s="89" t="s">
        <v>94</v>
      </c>
      <c r="AE6" s="322">
        <v>120</v>
      </c>
      <c r="AF6" s="337">
        <v>120</v>
      </c>
      <c r="AG6" s="89">
        <v>29</v>
      </c>
      <c r="AH6" s="89">
        <v>30</v>
      </c>
      <c r="AI6" s="88">
        <v>0.9</v>
      </c>
      <c r="AJ6" s="88">
        <v>0.9</v>
      </c>
      <c r="AK6" s="269">
        <f t="shared" si="0"/>
        <v>0</v>
      </c>
      <c r="AL6" s="89">
        <v>3.6</v>
      </c>
      <c r="AM6" s="89">
        <v>4.4000000000000004</v>
      </c>
      <c r="AN6" s="88">
        <v>7.5</v>
      </c>
      <c r="AO6" s="88">
        <v>7.9</v>
      </c>
      <c r="AP6" s="88" t="s">
        <v>94</v>
      </c>
      <c r="AQ6" s="88" t="s">
        <v>94</v>
      </c>
      <c r="AR6" s="89">
        <v>9.4</v>
      </c>
      <c r="AS6" s="89">
        <v>9.1</v>
      </c>
      <c r="AT6" s="89">
        <v>4.5</v>
      </c>
      <c r="AU6" s="89">
        <v>4.5</v>
      </c>
      <c r="AV6" s="88">
        <v>93</v>
      </c>
      <c r="AW6" s="88">
        <v>89</v>
      </c>
      <c r="AX6" s="145">
        <v>139</v>
      </c>
      <c r="AY6" s="145">
        <v>133</v>
      </c>
      <c r="AZ6" s="89" t="s">
        <v>94</v>
      </c>
      <c r="BA6" s="89" t="s">
        <v>94</v>
      </c>
      <c r="BB6" s="88" t="s">
        <v>94</v>
      </c>
      <c r="BC6" s="88" t="s">
        <v>94</v>
      </c>
      <c r="BD6" s="96">
        <f t="shared" si="1"/>
        <v>291.685</v>
      </c>
      <c r="BE6" s="96">
        <f t="shared" si="2"/>
        <v>280.43611111111113</v>
      </c>
      <c r="BF6" s="89">
        <v>4.8</v>
      </c>
      <c r="BG6" s="89">
        <v>4.76</v>
      </c>
      <c r="BH6" s="145">
        <v>12.6</v>
      </c>
      <c r="BI6" s="145">
        <v>12.5</v>
      </c>
      <c r="BJ6" s="89">
        <v>39.9</v>
      </c>
      <c r="BK6" s="89">
        <v>39.299999999999997</v>
      </c>
      <c r="BL6" s="145">
        <v>83.1</v>
      </c>
      <c r="BM6" s="145">
        <v>82.6</v>
      </c>
      <c r="BN6" s="89">
        <v>26.3</v>
      </c>
      <c r="BO6" s="89">
        <v>26.3</v>
      </c>
      <c r="BP6" s="145">
        <v>31.6</v>
      </c>
      <c r="BQ6" s="145">
        <v>31.8</v>
      </c>
      <c r="BR6" s="89">
        <v>289</v>
      </c>
      <c r="BS6" s="89">
        <v>326</v>
      </c>
      <c r="BT6" s="145">
        <v>12.8</v>
      </c>
      <c r="BU6" s="145">
        <v>13.5</v>
      </c>
      <c r="BV6" s="108">
        <v>0.96</v>
      </c>
      <c r="BW6" s="108">
        <v>1.18</v>
      </c>
      <c r="BX6" s="145">
        <v>5.39</v>
      </c>
      <c r="BY6" s="88">
        <v>8.77</v>
      </c>
      <c r="BZ6" s="89">
        <v>49.5</v>
      </c>
      <c r="CA6" s="89">
        <v>58.1</v>
      </c>
      <c r="CB6" s="145">
        <v>36.200000000000003</v>
      </c>
      <c r="CC6" s="145">
        <v>28.7</v>
      </c>
      <c r="CD6" s="89">
        <v>8.5</v>
      </c>
      <c r="CE6" s="89">
        <v>9.5</v>
      </c>
      <c r="CF6" s="145">
        <v>5.2</v>
      </c>
      <c r="CG6" s="145">
        <v>3.4</v>
      </c>
      <c r="CH6" s="89">
        <v>0.6</v>
      </c>
      <c r="CI6" s="89">
        <v>0.3</v>
      </c>
      <c r="CJ6" s="86" t="b">
        <f t="shared" si="3"/>
        <v>0</v>
      </c>
      <c r="CK6" s="2" t="b">
        <f t="shared" si="4"/>
        <v>1</v>
      </c>
      <c r="CL6" s="98">
        <f>$CM6-($CM6*(0.01*$CR6))</f>
        <v>74.045439999999999</v>
      </c>
      <c r="CM6" s="98">
        <v>89.6</v>
      </c>
      <c r="CN6" s="98">
        <v>176</v>
      </c>
      <c r="CO6" s="86">
        <v>45.45</v>
      </c>
      <c r="CP6" s="98">
        <v>46.5</v>
      </c>
      <c r="CQ6" s="98">
        <v>42</v>
      </c>
      <c r="CR6" s="99">
        <v>17.36</v>
      </c>
      <c r="CS6" s="48"/>
    </row>
    <row r="7" spans="1:97" ht="31.5">
      <c r="A7" s="72">
        <v>2017</v>
      </c>
      <c r="B7" s="72" t="s">
        <v>172</v>
      </c>
      <c r="C7" s="164">
        <v>3125</v>
      </c>
      <c r="D7" s="52">
        <v>29</v>
      </c>
      <c r="E7" s="80">
        <v>71</v>
      </c>
      <c r="F7" s="52">
        <v>1</v>
      </c>
      <c r="G7" s="54" t="s">
        <v>82</v>
      </c>
      <c r="H7" s="55" t="s">
        <v>83</v>
      </c>
      <c r="I7" s="56" t="s">
        <v>93</v>
      </c>
      <c r="J7" s="55" t="s">
        <v>99</v>
      </c>
      <c r="K7" s="56">
        <v>50</v>
      </c>
      <c r="L7" s="55">
        <v>50</v>
      </c>
      <c r="M7" s="87">
        <v>523</v>
      </c>
      <c r="N7" s="87">
        <v>804</v>
      </c>
      <c r="O7" s="88">
        <v>25</v>
      </c>
      <c r="P7" s="88">
        <v>18</v>
      </c>
      <c r="Q7" s="89" t="s">
        <v>94</v>
      </c>
      <c r="R7" s="89" t="s">
        <v>94</v>
      </c>
      <c r="S7" s="88">
        <v>614</v>
      </c>
      <c r="T7" s="88">
        <v>846</v>
      </c>
      <c r="U7" s="90">
        <v>72</v>
      </c>
      <c r="V7" s="90">
        <v>57</v>
      </c>
      <c r="W7" s="145">
        <v>4.7</v>
      </c>
      <c r="X7" s="145">
        <v>3.4</v>
      </c>
      <c r="Y7" s="90">
        <v>64</v>
      </c>
      <c r="Z7" s="90">
        <v>55</v>
      </c>
      <c r="AA7" s="145">
        <v>21</v>
      </c>
      <c r="AB7" s="145">
        <v>16</v>
      </c>
      <c r="AC7" s="89" t="s">
        <v>94</v>
      </c>
      <c r="AD7" s="89" t="s">
        <v>94</v>
      </c>
      <c r="AE7" s="322">
        <v>118.6</v>
      </c>
      <c r="AF7" s="337">
        <v>134</v>
      </c>
      <c r="AG7" s="89">
        <v>33</v>
      </c>
      <c r="AH7" s="89">
        <v>28</v>
      </c>
      <c r="AI7" s="88">
        <v>0.9</v>
      </c>
      <c r="AJ7" s="88">
        <v>0.6</v>
      </c>
      <c r="AK7" s="269">
        <f t="shared" si="0"/>
        <v>0</v>
      </c>
      <c r="AL7" s="89">
        <v>3.4</v>
      </c>
      <c r="AM7" s="89">
        <v>3.7</v>
      </c>
      <c r="AN7" s="88">
        <v>7.5</v>
      </c>
      <c r="AO7" s="88">
        <v>5.8</v>
      </c>
      <c r="AP7" s="88" t="s">
        <v>94</v>
      </c>
      <c r="AQ7" s="88" t="s">
        <v>94</v>
      </c>
      <c r="AR7" s="89">
        <v>9.6</v>
      </c>
      <c r="AS7" s="89">
        <v>7.4</v>
      </c>
      <c r="AT7" s="89">
        <v>4.5</v>
      </c>
      <c r="AU7" s="89">
        <v>3.4</v>
      </c>
      <c r="AV7" s="88">
        <v>95</v>
      </c>
      <c r="AW7" s="88">
        <v>52</v>
      </c>
      <c r="AX7" s="145">
        <v>140</v>
      </c>
      <c r="AY7" s="145">
        <v>103</v>
      </c>
      <c r="AZ7" s="89" t="s">
        <v>94</v>
      </c>
      <c r="BA7" s="89" t="s">
        <v>94</v>
      </c>
      <c r="BB7" s="88" t="s">
        <v>94</v>
      </c>
      <c r="BC7" s="88" t="s">
        <v>94</v>
      </c>
      <c r="BD7" s="96">
        <f t="shared" si="1"/>
        <v>294.3394444444445</v>
      </c>
      <c r="BE7" s="96">
        <f t="shared" si="2"/>
        <v>219.8928888888889</v>
      </c>
      <c r="BF7" s="89">
        <v>5.39</v>
      </c>
      <c r="BG7" s="89">
        <v>5.23</v>
      </c>
      <c r="BH7" s="145">
        <v>15.3</v>
      </c>
      <c r="BI7" s="145">
        <v>14.9</v>
      </c>
      <c r="BJ7" s="89">
        <v>46.5</v>
      </c>
      <c r="BK7" s="89">
        <v>45.5</v>
      </c>
      <c r="BL7" s="145">
        <v>86.3</v>
      </c>
      <c r="BM7" s="145">
        <v>87</v>
      </c>
      <c r="BN7" s="89">
        <v>28.4</v>
      </c>
      <c r="BO7" s="89">
        <v>28.5</v>
      </c>
      <c r="BP7" s="145">
        <v>32.9</v>
      </c>
      <c r="BQ7" s="145">
        <v>32.700000000000003</v>
      </c>
      <c r="BR7" s="89">
        <v>233</v>
      </c>
      <c r="BS7" s="89">
        <v>276</v>
      </c>
      <c r="BT7" s="145">
        <v>12.3</v>
      </c>
      <c r="BU7" s="145">
        <v>13.3</v>
      </c>
      <c r="BV7" s="108">
        <v>1.23</v>
      </c>
      <c r="BW7" s="108">
        <v>1.51</v>
      </c>
      <c r="BX7" s="145">
        <v>6.34</v>
      </c>
      <c r="BY7" s="88">
        <v>7.08</v>
      </c>
      <c r="BZ7" s="89">
        <v>77.099999999999994</v>
      </c>
      <c r="CA7" s="89">
        <v>68.599999999999994</v>
      </c>
      <c r="CB7" s="145">
        <v>15.8</v>
      </c>
      <c r="CC7" s="145">
        <v>18.600000000000001</v>
      </c>
      <c r="CD7" s="89">
        <v>5.5</v>
      </c>
      <c r="CE7" s="89">
        <v>9.6</v>
      </c>
      <c r="CF7" s="145">
        <v>1.3</v>
      </c>
      <c r="CG7" s="145">
        <v>2.4</v>
      </c>
      <c r="CH7" s="89">
        <v>0.3</v>
      </c>
      <c r="CI7" s="89">
        <v>0.8</v>
      </c>
      <c r="CJ7" s="86" t="b">
        <f t="shared" si="3"/>
        <v>0</v>
      </c>
      <c r="CK7" s="2" t="b">
        <f t="shared" si="4"/>
        <v>0</v>
      </c>
      <c r="CL7" s="98">
        <f>$CM7-($CM7*(0.01*$CR7))</f>
        <v>63.743760000000002</v>
      </c>
      <c r="CM7" s="98">
        <v>72.900000000000006</v>
      </c>
      <c r="CN7" s="98">
        <v>168.6</v>
      </c>
      <c r="CO7" s="86">
        <v>48.54</v>
      </c>
      <c r="CP7" s="98">
        <v>50</v>
      </c>
      <c r="CQ7" s="98">
        <v>47</v>
      </c>
      <c r="CR7" s="99">
        <v>12.56</v>
      </c>
      <c r="CS7" s="48"/>
    </row>
    <row r="8" spans="1:97" ht="15.75">
      <c r="A8" s="72">
        <v>2017</v>
      </c>
      <c r="B8" s="72" t="s">
        <v>172</v>
      </c>
      <c r="C8" s="164">
        <v>3128</v>
      </c>
      <c r="D8" s="61">
        <v>26</v>
      </c>
      <c r="E8" s="80">
        <v>0</v>
      </c>
      <c r="F8" s="52">
        <v>2</v>
      </c>
      <c r="G8" s="76" t="s">
        <v>94</v>
      </c>
      <c r="H8" s="55" t="s">
        <v>94</v>
      </c>
      <c r="I8" s="307" t="s">
        <v>94</v>
      </c>
      <c r="J8" s="55" t="s">
        <v>94</v>
      </c>
      <c r="K8" s="307" t="s">
        <v>94</v>
      </c>
      <c r="L8" s="52" t="s">
        <v>94</v>
      </c>
      <c r="M8" s="87">
        <v>1600</v>
      </c>
      <c r="N8" s="87">
        <v>1397</v>
      </c>
      <c r="O8" s="88">
        <v>58</v>
      </c>
      <c r="P8" s="88">
        <v>43</v>
      </c>
      <c r="Q8" s="89" t="s">
        <v>94</v>
      </c>
      <c r="R8" s="89" t="s">
        <v>94</v>
      </c>
      <c r="S8" s="88">
        <v>1090</v>
      </c>
      <c r="T8" s="88">
        <v>870</v>
      </c>
      <c r="U8" s="90">
        <v>236</v>
      </c>
      <c r="V8" s="90">
        <v>104</v>
      </c>
      <c r="W8" s="145">
        <v>4.5999999999999996</v>
      </c>
      <c r="X8" s="145">
        <v>4.2</v>
      </c>
      <c r="Y8" s="90">
        <v>70</v>
      </c>
      <c r="Z8" s="90">
        <v>58</v>
      </c>
      <c r="AA8" s="145">
        <v>20</v>
      </c>
      <c r="AB8" s="145">
        <v>17</v>
      </c>
      <c r="AC8" s="89" t="s">
        <v>94</v>
      </c>
      <c r="AD8" s="89" t="s">
        <v>94</v>
      </c>
      <c r="AE8" s="322">
        <v>120.8</v>
      </c>
      <c r="AF8" s="337">
        <v>120.8</v>
      </c>
      <c r="AG8" s="89">
        <v>25</v>
      </c>
      <c r="AH8" s="89">
        <v>39</v>
      </c>
      <c r="AI8" s="88">
        <v>0.9</v>
      </c>
      <c r="AJ8" s="88">
        <v>0.9</v>
      </c>
      <c r="AK8" s="269">
        <f t="shared" si="0"/>
        <v>0</v>
      </c>
      <c r="AL8" s="89">
        <v>3.5</v>
      </c>
      <c r="AM8" s="89">
        <v>4.9000000000000004</v>
      </c>
      <c r="AN8" s="88">
        <v>8.1</v>
      </c>
      <c r="AO8" s="88">
        <v>7.6</v>
      </c>
      <c r="AP8" s="88" t="s">
        <v>94</v>
      </c>
      <c r="AQ8" s="88" t="s">
        <v>94</v>
      </c>
      <c r="AR8" s="89">
        <v>10</v>
      </c>
      <c r="AS8" s="89">
        <v>9.6999999999999993</v>
      </c>
      <c r="AT8" s="89">
        <v>4.8</v>
      </c>
      <c r="AU8" s="89">
        <v>4.8</v>
      </c>
      <c r="AV8" s="88">
        <v>95</v>
      </c>
      <c r="AW8" s="88">
        <v>59</v>
      </c>
      <c r="AX8" s="145">
        <v>144</v>
      </c>
      <c r="AY8" s="145">
        <v>138</v>
      </c>
      <c r="AZ8" s="89" t="s">
        <v>94</v>
      </c>
      <c r="BA8" s="89" t="s">
        <v>94</v>
      </c>
      <c r="BB8" s="88" t="s">
        <v>94</v>
      </c>
      <c r="BC8" s="88" t="s">
        <v>94</v>
      </c>
      <c r="BD8" s="96">
        <f t="shared" si="1"/>
        <v>301.00411111111117</v>
      </c>
      <c r="BE8" s="96">
        <f t="shared" si="2"/>
        <v>289.87744444444451</v>
      </c>
      <c r="BF8" s="89">
        <v>4.5199999999999996</v>
      </c>
      <c r="BG8" s="89">
        <v>4.3499999999999996</v>
      </c>
      <c r="BH8" s="145">
        <v>14.4</v>
      </c>
      <c r="BI8" s="145">
        <v>13.7</v>
      </c>
      <c r="BJ8" s="89">
        <v>43.2</v>
      </c>
      <c r="BK8" s="89">
        <v>42</v>
      </c>
      <c r="BL8" s="145">
        <v>95.6</v>
      </c>
      <c r="BM8" s="145">
        <v>96.6</v>
      </c>
      <c r="BN8" s="89">
        <v>31.9</v>
      </c>
      <c r="BO8" s="89">
        <v>31.5</v>
      </c>
      <c r="BP8" s="145">
        <v>33.299999999999997</v>
      </c>
      <c r="BQ8" s="145">
        <v>32.6</v>
      </c>
      <c r="BR8" s="89">
        <v>208</v>
      </c>
      <c r="BS8" s="89">
        <v>280</v>
      </c>
      <c r="BT8" s="145">
        <v>11.9</v>
      </c>
      <c r="BU8" s="145">
        <v>12.4</v>
      </c>
      <c r="BV8" s="108">
        <v>1.0900000000000001</v>
      </c>
      <c r="BW8" s="108">
        <v>1.1299999999999999</v>
      </c>
      <c r="BX8" s="145">
        <v>5.71</v>
      </c>
      <c r="BY8" s="88">
        <v>10.15</v>
      </c>
      <c r="BZ8" s="89">
        <v>45.8</v>
      </c>
      <c r="CA8" s="89">
        <v>68.8</v>
      </c>
      <c r="CB8" s="145">
        <v>37.1</v>
      </c>
      <c r="CC8" s="145">
        <v>19.399999999999999</v>
      </c>
      <c r="CD8" s="89">
        <v>13.1</v>
      </c>
      <c r="CE8" s="89">
        <v>9.3000000000000007</v>
      </c>
      <c r="CF8" s="145">
        <v>3.5</v>
      </c>
      <c r="CG8" s="145">
        <v>2</v>
      </c>
      <c r="CH8" s="89">
        <v>0.5</v>
      </c>
      <c r="CI8" s="89">
        <v>0.5</v>
      </c>
      <c r="CJ8" s="86" t="b">
        <f t="shared" si="3"/>
        <v>0</v>
      </c>
      <c r="CK8" s="2" t="b">
        <f t="shared" si="4"/>
        <v>1</v>
      </c>
      <c r="CL8" s="98"/>
      <c r="CM8" s="94">
        <v>0</v>
      </c>
      <c r="CN8" s="94">
        <v>0</v>
      </c>
      <c r="CO8" s="94">
        <v>0</v>
      </c>
      <c r="CP8" s="94">
        <v>0</v>
      </c>
      <c r="CQ8" s="94">
        <v>0</v>
      </c>
      <c r="CR8" s="165">
        <v>0</v>
      </c>
      <c r="CS8" s="48"/>
    </row>
    <row r="9" spans="1:97" ht="15.75">
      <c r="A9" s="72">
        <v>2017</v>
      </c>
      <c r="B9" s="72" t="s">
        <v>172</v>
      </c>
      <c r="C9" s="164">
        <v>3129</v>
      </c>
      <c r="D9" s="61">
        <v>26</v>
      </c>
      <c r="E9" s="80">
        <v>0</v>
      </c>
      <c r="F9" s="52">
        <v>1</v>
      </c>
      <c r="G9" s="76" t="s">
        <v>94</v>
      </c>
      <c r="H9" s="65" t="s">
        <v>94</v>
      </c>
      <c r="I9" s="307" t="s">
        <v>94</v>
      </c>
      <c r="J9" s="65" t="s">
        <v>94</v>
      </c>
      <c r="K9" s="307" t="s">
        <v>94</v>
      </c>
      <c r="L9" s="77" t="s">
        <v>94</v>
      </c>
      <c r="M9" s="87">
        <v>2843</v>
      </c>
      <c r="N9" s="87">
        <v>1485</v>
      </c>
      <c r="O9" s="88">
        <v>36</v>
      </c>
      <c r="P9" s="88">
        <v>39</v>
      </c>
      <c r="Q9" s="89" t="s">
        <v>94</v>
      </c>
      <c r="R9" s="89" t="s">
        <v>94</v>
      </c>
      <c r="S9" s="88">
        <v>755</v>
      </c>
      <c r="T9" s="88">
        <v>947</v>
      </c>
      <c r="U9" s="90">
        <v>112</v>
      </c>
      <c r="V9" s="90">
        <v>85</v>
      </c>
      <c r="W9" s="145">
        <v>4.5999999999999996</v>
      </c>
      <c r="X9" s="145">
        <v>4</v>
      </c>
      <c r="Y9" s="90">
        <v>84</v>
      </c>
      <c r="Z9" s="90">
        <v>88</v>
      </c>
      <c r="AA9" s="145">
        <v>24</v>
      </c>
      <c r="AB9" s="145">
        <v>25</v>
      </c>
      <c r="AC9" s="89" t="s">
        <v>94</v>
      </c>
      <c r="AD9" s="89" t="s">
        <v>94</v>
      </c>
      <c r="AE9" s="322">
        <v>120.8</v>
      </c>
      <c r="AF9" s="337">
        <v>120.8</v>
      </c>
      <c r="AG9" s="89">
        <v>32</v>
      </c>
      <c r="AH9" s="89">
        <v>27</v>
      </c>
      <c r="AI9" s="88">
        <v>0.9</v>
      </c>
      <c r="AJ9" s="88">
        <v>0.9</v>
      </c>
      <c r="AK9" s="269">
        <f t="shared" si="0"/>
        <v>0</v>
      </c>
      <c r="AL9" s="89">
        <v>3.3</v>
      </c>
      <c r="AM9" s="89">
        <v>4.5</v>
      </c>
      <c r="AN9" s="88">
        <v>7.9</v>
      </c>
      <c r="AO9" s="88">
        <v>7.1</v>
      </c>
      <c r="AP9" s="88" t="s">
        <v>94</v>
      </c>
      <c r="AQ9" s="88" t="s">
        <v>94</v>
      </c>
      <c r="AR9" s="89">
        <v>9.5</v>
      </c>
      <c r="AS9" s="89">
        <v>9.1</v>
      </c>
      <c r="AT9" s="89">
        <v>5</v>
      </c>
      <c r="AU9" s="89">
        <v>4.3</v>
      </c>
      <c r="AV9" s="88">
        <v>88</v>
      </c>
      <c r="AW9" s="88">
        <v>72</v>
      </c>
      <c r="AX9" s="145">
        <v>140</v>
      </c>
      <c r="AY9" s="145">
        <v>134</v>
      </c>
      <c r="AZ9" s="89" t="s">
        <v>94</v>
      </c>
      <c r="BA9" s="89" t="s">
        <v>94</v>
      </c>
      <c r="BB9" s="88" t="s">
        <v>94</v>
      </c>
      <c r="BC9" s="88" t="s">
        <v>94</v>
      </c>
      <c r="BD9" s="96">
        <f t="shared" si="1"/>
        <v>294.65555555555551</v>
      </c>
      <c r="BE9" s="96">
        <f t="shared" si="2"/>
        <v>280.33800000000008</v>
      </c>
      <c r="BF9" s="89">
        <v>4.84</v>
      </c>
      <c r="BG9" s="89">
        <v>4.46</v>
      </c>
      <c r="BH9" s="145">
        <v>14.3</v>
      </c>
      <c r="BI9" s="145">
        <v>13.1</v>
      </c>
      <c r="BJ9" s="89">
        <v>44.1</v>
      </c>
      <c r="BK9" s="89">
        <v>40.5</v>
      </c>
      <c r="BL9" s="145">
        <v>91.1</v>
      </c>
      <c r="BM9" s="145">
        <v>90.8</v>
      </c>
      <c r="BN9" s="89">
        <v>29.5</v>
      </c>
      <c r="BO9" s="89">
        <v>29.4</v>
      </c>
      <c r="BP9" s="145">
        <v>32.4</v>
      </c>
      <c r="BQ9" s="145">
        <v>32.299999999999997</v>
      </c>
      <c r="BR9" s="89">
        <v>300</v>
      </c>
      <c r="BS9" s="89">
        <v>347</v>
      </c>
      <c r="BT9" s="145">
        <v>12.1</v>
      </c>
      <c r="BU9" s="145">
        <v>12.4</v>
      </c>
      <c r="BV9" s="108">
        <v>1.4</v>
      </c>
      <c r="BW9" s="108">
        <v>1.18</v>
      </c>
      <c r="BX9" s="145">
        <v>7.96</v>
      </c>
      <c r="BY9" s="88">
        <v>8.85</v>
      </c>
      <c r="BZ9" s="89">
        <v>59.1</v>
      </c>
      <c r="CA9" s="89">
        <v>59.2</v>
      </c>
      <c r="CB9" s="145">
        <v>22.4</v>
      </c>
      <c r="CC9" s="145">
        <v>19.2</v>
      </c>
      <c r="CD9" s="89">
        <v>7.8</v>
      </c>
      <c r="CE9" s="89">
        <v>15</v>
      </c>
      <c r="CF9" s="145">
        <v>10.199999999999999</v>
      </c>
      <c r="CG9" s="145">
        <v>6.1</v>
      </c>
      <c r="CH9" s="89">
        <v>0.5</v>
      </c>
      <c r="CI9" s="89">
        <v>0.5</v>
      </c>
      <c r="CJ9" s="86" t="b">
        <f t="shared" si="3"/>
        <v>0</v>
      </c>
      <c r="CK9" s="2" t="b">
        <f t="shared" si="4"/>
        <v>1</v>
      </c>
      <c r="CL9" s="98"/>
      <c r="CM9" s="94">
        <v>0</v>
      </c>
      <c r="CN9" s="94">
        <v>0</v>
      </c>
      <c r="CO9" s="94">
        <v>0</v>
      </c>
      <c r="CP9" s="94">
        <v>0</v>
      </c>
      <c r="CQ9" s="94">
        <v>0</v>
      </c>
      <c r="CR9" s="165">
        <v>0</v>
      </c>
      <c r="CS9" s="48"/>
    </row>
    <row r="10" spans="1:97" ht="15.75">
      <c r="A10" s="72">
        <v>2017</v>
      </c>
      <c r="B10" s="72" t="s">
        <v>172</v>
      </c>
      <c r="C10" s="164">
        <v>3134</v>
      </c>
      <c r="D10" s="61">
        <v>26</v>
      </c>
      <c r="E10" s="80">
        <v>0</v>
      </c>
      <c r="F10" s="52">
        <v>1</v>
      </c>
      <c r="G10" s="51" t="s">
        <v>94</v>
      </c>
      <c r="H10" s="52" t="s">
        <v>94</v>
      </c>
      <c r="I10" s="53" t="s">
        <v>94</v>
      </c>
      <c r="J10" s="52" t="s">
        <v>94</v>
      </c>
      <c r="K10" s="53" t="s">
        <v>94</v>
      </c>
      <c r="L10" s="52" t="s">
        <v>94</v>
      </c>
      <c r="M10" s="87">
        <v>597</v>
      </c>
      <c r="N10" s="87">
        <v>807</v>
      </c>
      <c r="O10" s="88">
        <v>25</v>
      </c>
      <c r="P10" s="88">
        <v>32</v>
      </c>
      <c r="Q10" s="89" t="s">
        <v>94</v>
      </c>
      <c r="R10" s="89" t="s">
        <v>94</v>
      </c>
      <c r="S10" s="88">
        <v>803</v>
      </c>
      <c r="T10" s="88">
        <v>744</v>
      </c>
      <c r="U10" s="90">
        <v>68</v>
      </c>
      <c r="V10" s="90">
        <v>67</v>
      </c>
      <c r="W10" s="145">
        <v>4.5999999999999996</v>
      </c>
      <c r="X10" s="145">
        <v>4.3</v>
      </c>
      <c r="Y10" s="90">
        <v>73</v>
      </c>
      <c r="Z10" s="90">
        <v>52</v>
      </c>
      <c r="AA10" s="145">
        <v>18</v>
      </c>
      <c r="AB10" s="145">
        <v>14</v>
      </c>
      <c r="AC10" s="89" t="s">
        <v>94</v>
      </c>
      <c r="AD10" s="89" t="s">
        <v>94</v>
      </c>
      <c r="AE10" s="322">
        <v>120.8</v>
      </c>
      <c r="AF10" s="337">
        <v>125.2</v>
      </c>
      <c r="AG10" s="89">
        <v>29</v>
      </c>
      <c r="AH10" s="89">
        <v>37</v>
      </c>
      <c r="AI10" s="88">
        <v>0.9</v>
      </c>
      <c r="AJ10" s="88">
        <v>0.8</v>
      </c>
      <c r="AK10" s="269">
        <f t="shared" si="0"/>
        <v>0</v>
      </c>
      <c r="AL10" s="89">
        <v>3.5</v>
      </c>
      <c r="AM10" s="89">
        <v>4.5</v>
      </c>
      <c r="AN10" s="88">
        <v>7.8</v>
      </c>
      <c r="AO10" s="88">
        <v>6.9</v>
      </c>
      <c r="AP10" s="88" t="s">
        <v>94</v>
      </c>
      <c r="AQ10" s="88" t="s">
        <v>94</v>
      </c>
      <c r="AR10" s="89">
        <v>10.3</v>
      </c>
      <c r="AS10" s="89">
        <v>8.8000000000000007</v>
      </c>
      <c r="AT10" s="89">
        <v>5.3</v>
      </c>
      <c r="AU10" s="89">
        <v>4.0999999999999996</v>
      </c>
      <c r="AV10" s="88">
        <v>107</v>
      </c>
      <c r="AW10" s="88">
        <v>74</v>
      </c>
      <c r="AX10" s="145">
        <v>142</v>
      </c>
      <c r="AY10" s="145">
        <v>126</v>
      </c>
      <c r="AZ10" s="89" t="s">
        <v>94</v>
      </c>
      <c r="BA10" s="89" t="s">
        <v>94</v>
      </c>
      <c r="BB10" s="88" t="s">
        <v>94</v>
      </c>
      <c r="BC10" s="88" t="s">
        <v>94</v>
      </c>
      <c r="BD10" s="96">
        <f t="shared" si="1"/>
        <v>299.64744444444443</v>
      </c>
      <c r="BE10" s="96">
        <f t="shared" si="2"/>
        <v>266.88044444444444</v>
      </c>
      <c r="BF10" s="89">
        <v>5.04</v>
      </c>
      <c r="BG10" s="89">
        <v>4.3499999999999996</v>
      </c>
      <c r="BH10" s="145">
        <v>14.7</v>
      </c>
      <c r="BI10" s="145">
        <v>12.9</v>
      </c>
      <c r="BJ10" s="89">
        <v>45.4</v>
      </c>
      <c r="BK10" s="89">
        <v>39.799999999999997</v>
      </c>
      <c r="BL10" s="145">
        <v>90.1</v>
      </c>
      <c r="BM10" s="145">
        <v>91.5</v>
      </c>
      <c r="BN10" s="89">
        <v>29.2</v>
      </c>
      <c r="BO10" s="89">
        <v>29.7</v>
      </c>
      <c r="BP10" s="145">
        <v>32.4</v>
      </c>
      <c r="BQ10" s="145">
        <v>32.4</v>
      </c>
      <c r="BR10" s="89">
        <v>316</v>
      </c>
      <c r="BS10" s="89">
        <v>352</v>
      </c>
      <c r="BT10" s="145">
        <v>13.1</v>
      </c>
      <c r="BU10" s="145">
        <v>14.5</v>
      </c>
      <c r="BV10" s="108">
        <v>0.63</v>
      </c>
      <c r="BW10" s="108">
        <v>0.92</v>
      </c>
      <c r="BX10" s="145">
        <v>8.77</v>
      </c>
      <c r="BY10" s="88">
        <v>10.25</v>
      </c>
      <c r="BZ10" s="89">
        <v>83.9</v>
      </c>
      <c r="CA10" s="89">
        <v>72.8</v>
      </c>
      <c r="CB10" s="145">
        <v>9.9</v>
      </c>
      <c r="CC10" s="145">
        <v>15.4</v>
      </c>
      <c r="CD10" s="89">
        <v>5.2</v>
      </c>
      <c r="CE10" s="89">
        <v>10.5</v>
      </c>
      <c r="CF10" s="145">
        <v>0.8</v>
      </c>
      <c r="CG10" s="145">
        <v>1.1000000000000001</v>
      </c>
      <c r="CH10" s="89">
        <v>0.2</v>
      </c>
      <c r="CI10" s="89">
        <v>0.2</v>
      </c>
      <c r="CJ10" s="86" t="b">
        <f t="shared" si="3"/>
        <v>0</v>
      </c>
      <c r="CK10" s="2" t="b">
        <f t="shared" si="4"/>
        <v>0</v>
      </c>
      <c r="CL10" s="98"/>
      <c r="CM10" s="94">
        <v>0</v>
      </c>
      <c r="CN10" s="94">
        <v>0</v>
      </c>
      <c r="CO10" s="94">
        <v>0</v>
      </c>
      <c r="CP10" s="94">
        <v>0</v>
      </c>
      <c r="CQ10" s="94">
        <v>0</v>
      </c>
      <c r="CR10" s="165">
        <v>0</v>
      </c>
      <c r="CS10" s="48"/>
    </row>
    <row r="11" spans="1:97" ht="31.5">
      <c r="A11" s="72">
        <v>2017</v>
      </c>
      <c r="B11" s="72" t="s">
        <v>172</v>
      </c>
      <c r="C11" s="164">
        <v>3136</v>
      </c>
      <c r="D11" s="61">
        <v>28</v>
      </c>
      <c r="E11" s="80">
        <v>81</v>
      </c>
      <c r="F11" s="52">
        <v>1</v>
      </c>
      <c r="G11" s="54" t="s">
        <v>89</v>
      </c>
      <c r="H11" s="55" t="s">
        <v>90</v>
      </c>
      <c r="I11" s="56" t="s">
        <v>93</v>
      </c>
      <c r="J11" s="55" t="s">
        <v>100</v>
      </c>
      <c r="K11" s="56">
        <v>37.5</v>
      </c>
      <c r="L11" s="52">
        <v>62.5</v>
      </c>
      <c r="M11" s="87">
        <v>1177</v>
      </c>
      <c r="N11" s="87">
        <v>654</v>
      </c>
      <c r="O11" s="88">
        <v>26</v>
      </c>
      <c r="P11" s="88">
        <v>26</v>
      </c>
      <c r="Q11" s="89" t="s">
        <v>94</v>
      </c>
      <c r="R11" s="89" t="s">
        <v>94</v>
      </c>
      <c r="S11" s="88">
        <v>690</v>
      </c>
      <c r="T11" s="88">
        <v>957</v>
      </c>
      <c r="U11" s="90">
        <v>97</v>
      </c>
      <c r="V11" s="90">
        <v>58</v>
      </c>
      <c r="W11" s="145">
        <v>4.4000000000000004</v>
      </c>
      <c r="X11" s="145">
        <v>4.3</v>
      </c>
      <c r="Y11" s="90">
        <v>69</v>
      </c>
      <c r="Z11" s="90">
        <v>61</v>
      </c>
      <c r="AA11" s="145">
        <v>20</v>
      </c>
      <c r="AB11" s="145">
        <v>15</v>
      </c>
      <c r="AC11" s="89" t="s">
        <v>94</v>
      </c>
      <c r="AD11" s="89" t="s">
        <v>94</v>
      </c>
      <c r="AE11" s="322">
        <v>123.6</v>
      </c>
      <c r="AF11" s="337">
        <v>119.3</v>
      </c>
      <c r="AG11" s="89">
        <v>30</v>
      </c>
      <c r="AH11" s="89">
        <v>37</v>
      </c>
      <c r="AI11" s="88">
        <v>0.8</v>
      </c>
      <c r="AJ11" s="88">
        <v>0.9</v>
      </c>
      <c r="AK11" s="269">
        <f t="shared" si="0"/>
        <v>9.9999999999999978E-2</v>
      </c>
      <c r="AL11" s="89">
        <v>3.4</v>
      </c>
      <c r="AM11" s="89">
        <v>5.2</v>
      </c>
      <c r="AN11" s="88">
        <v>7.4</v>
      </c>
      <c r="AO11" s="88">
        <v>7.2</v>
      </c>
      <c r="AP11" s="88" t="s">
        <v>94</v>
      </c>
      <c r="AQ11" s="88" t="s">
        <v>94</v>
      </c>
      <c r="AR11" s="89">
        <v>9.6999999999999993</v>
      </c>
      <c r="AS11" s="89">
        <v>9.4</v>
      </c>
      <c r="AT11" s="89">
        <v>5</v>
      </c>
      <c r="AU11" s="89">
        <v>4.7</v>
      </c>
      <c r="AV11" s="88">
        <v>80</v>
      </c>
      <c r="AW11" s="88">
        <v>69</v>
      </c>
      <c r="AX11" s="145">
        <v>140</v>
      </c>
      <c r="AY11" s="145">
        <v>134</v>
      </c>
      <c r="AZ11" s="89" t="s">
        <v>94</v>
      </c>
      <c r="BA11" s="89" t="s">
        <v>94</v>
      </c>
      <c r="BB11" s="88" t="s">
        <v>94</v>
      </c>
      <c r="BC11" s="88" t="s">
        <v>94</v>
      </c>
      <c r="BD11" s="96">
        <f t="shared" si="1"/>
        <v>293.81111111111107</v>
      </c>
      <c r="BE11" s="96">
        <f t="shared" si="2"/>
        <v>282.55700000000002</v>
      </c>
      <c r="BF11" s="89">
        <v>5.35</v>
      </c>
      <c r="BG11" s="89">
        <v>4.82</v>
      </c>
      <c r="BH11" s="145">
        <v>15.1</v>
      </c>
      <c r="BI11" s="145">
        <v>13.7</v>
      </c>
      <c r="BJ11" s="89">
        <v>46.1</v>
      </c>
      <c r="BK11" s="89">
        <v>42.9</v>
      </c>
      <c r="BL11" s="145">
        <v>86.2</v>
      </c>
      <c r="BM11" s="145">
        <v>89</v>
      </c>
      <c r="BN11" s="89">
        <v>28.2</v>
      </c>
      <c r="BO11" s="89">
        <v>28.4</v>
      </c>
      <c r="BP11" s="145">
        <v>32.799999999999997</v>
      </c>
      <c r="BQ11" s="145">
        <v>31.9</v>
      </c>
      <c r="BR11" s="89">
        <v>223</v>
      </c>
      <c r="BS11" s="89">
        <v>291</v>
      </c>
      <c r="BT11" s="145">
        <v>12.6</v>
      </c>
      <c r="BU11" s="145">
        <v>13.3</v>
      </c>
      <c r="BV11" s="108">
        <v>1.79</v>
      </c>
      <c r="BW11" s="108">
        <v>2.3199999999999998</v>
      </c>
      <c r="BX11" s="145">
        <v>4.6100000000000003</v>
      </c>
      <c r="BY11" s="88">
        <v>8.58</v>
      </c>
      <c r="BZ11" s="89">
        <v>44.1</v>
      </c>
      <c r="CA11" s="89">
        <v>61.4</v>
      </c>
      <c r="CB11" s="145">
        <v>39.9</v>
      </c>
      <c r="CC11" s="145">
        <v>25.3</v>
      </c>
      <c r="CD11" s="89">
        <v>9.1</v>
      </c>
      <c r="CE11" s="89">
        <v>8.9</v>
      </c>
      <c r="CF11" s="145">
        <v>5.4</v>
      </c>
      <c r="CG11" s="145">
        <v>3.6</v>
      </c>
      <c r="CH11" s="89">
        <v>1.5</v>
      </c>
      <c r="CI11" s="89">
        <v>0.8</v>
      </c>
      <c r="CJ11" s="86" t="b">
        <f t="shared" si="3"/>
        <v>0</v>
      </c>
      <c r="CK11" s="2" t="b">
        <f t="shared" si="4"/>
        <v>1</v>
      </c>
      <c r="CL11" s="98">
        <f>$CM11-($CM11*(0.01*$CR11))</f>
        <v>70.596360000000004</v>
      </c>
      <c r="CM11" s="98">
        <v>80.7</v>
      </c>
      <c r="CN11" s="98">
        <v>182.1</v>
      </c>
      <c r="CO11" s="86">
        <v>50.93</v>
      </c>
      <c r="CP11" s="98">
        <v>56</v>
      </c>
      <c r="CQ11" s="98">
        <v>58</v>
      </c>
      <c r="CR11" s="99">
        <v>12.52</v>
      </c>
      <c r="CS11" s="48"/>
    </row>
    <row r="12" spans="1:97" ht="15.75">
      <c r="A12" s="72">
        <v>2017</v>
      </c>
      <c r="B12" s="72" t="s">
        <v>172</v>
      </c>
      <c r="C12" s="164">
        <v>3138</v>
      </c>
      <c r="D12" s="61">
        <v>27</v>
      </c>
      <c r="E12" s="80">
        <v>0</v>
      </c>
      <c r="F12" s="52">
        <v>1</v>
      </c>
      <c r="G12" s="78" t="s">
        <v>94</v>
      </c>
      <c r="H12" s="65" t="s">
        <v>94</v>
      </c>
      <c r="I12" s="64" t="s">
        <v>94</v>
      </c>
      <c r="J12" s="65" t="s">
        <v>94</v>
      </c>
      <c r="K12" s="64" t="s">
        <v>94</v>
      </c>
      <c r="L12" s="65" t="s">
        <v>94</v>
      </c>
      <c r="M12" s="87">
        <v>1066</v>
      </c>
      <c r="N12" s="87">
        <v>4531</v>
      </c>
      <c r="O12" s="88">
        <v>27</v>
      </c>
      <c r="P12" s="88">
        <v>66</v>
      </c>
      <c r="Q12" s="89" t="s">
        <v>94</v>
      </c>
      <c r="R12" s="89" t="s">
        <v>94</v>
      </c>
      <c r="S12" s="88">
        <v>732</v>
      </c>
      <c r="T12" s="88">
        <v>1124</v>
      </c>
      <c r="U12" s="90">
        <v>92</v>
      </c>
      <c r="V12" s="90">
        <v>173</v>
      </c>
      <c r="W12" s="145">
        <v>4.5</v>
      </c>
      <c r="X12" s="145">
        <v>4.7</v>
      </c>
      <c r="Y12" s="90">
        <v>80</v>
      </c>
      <c r="Z12" s="90">
        <v>109</v>
      </c>
      <c r="AA12" s="145">
        <v>36</v>
      </c>
      <c r="AB12" s="145">
        <v>31</v>
      </c>
      <c r="AC12" s="89" t="s">
        <v>94</v>
      </c>
      <c r="AD12" s="89" t="s">
        <v>94</v>
      </c>
      <c r="AE12" s="322">
        <v>120</v>
      </c>
      <c r="AF12" s="337">
        <v>120</v>
      </c>
      <c r="AG12" s="89">
        <v>31</v>
      </c>
      <c r="AH12" s="89">
        <v>46</v>
      </c>
      <c r="AI12" s="88">
        <v>0.9</v>
      </c>
      <c r="AJ12" s="88">
        <v>0.9</v>
      </c>
      <c r="AK12" s="269">
        <f t="shared" si="0"/>
        <v>0</v>
      </c>
      <c r="AL12" s="89">
        <v>3.4</v>
      </c>
      <c r="AM12" s="89">
        <v>4.9000000000000004</v>
      </c>
      <c r="AN12" s="88">
        <v>7.4</v>
      </c>
      <c r="AO12" s="88">
        <v>7.7</v>
      </c>
      <c r="AP12" s="88" t="s">
        <v>94</v>
      </c>
      <c r="AQ12" s="88" t="s">
        <v>94</v>
      </c>
      <c r="AR12" s="89">
        <v>9.5</v>
      </c>
      <c r="AS12" s="89">
        <v>9.6999999999999993</v>
      </c>
      <c r="AT12" s="89">
        <v>5.3</v>
      </c>
      <c r="AU12" s="89">
        <v>4.7</v>
      </c>
      <c r="AV12" s="88">
        <v>94</v>
      </c>
      <c r="AW12" s="88">
        <v>74</v>
      </c>
      <c r="AX12" s="145">
        <v>143</v>
      </c>
      <c r="AY12" s="145">
        <v>138</v>
      </c>
      <c r="AZ12" s="89" t="s">
        <v>94</v>
      </c>
      <c r="BA12" s="89" t="s">
        <v>94</v>
      </c>
      <c r="BB12" s="88" t="s">
        <v>94</v>
      </c>
      <c r="BC12" s="88" t="s">
        <v>94</v>
      </c>
      <c r="BD12" s="96">
        <f t="shared" si="1"/>
        <v>301.01022222222224</v>
      </c>
      <c r="BE12" s="96">
        <f t="shared" si="2"/>
        <v>291.81644444444441</v>
      </c>
      <c r="BF12" s="89">
        <v>5.83</v>
      </c>
      <c r="BG12" s="89">
        <v>5.75</v>
      </c>
      <c r="BH12" s="145">
        <v>12.9</v>
      </c>
      <c r="BI12" s="145">
        <v>13</v>
      </c>
      <c r="BJ12" s="89">
        <v>42.1</v>
      </c>
      <c r="BK12" s="89">
        <v>41</v>
      </c>
      <c r="BL12" s="145">
        <v>72.2</v>
      </c>
      <c r="BM12" s="145">
        <v>71.3</v>
      </c>
      <c r="BN12" s="89">
        <v>22.1</v>
      </c>
      <c r="BO12" s="89">
        <v>22.6</v>
      </c>
      <c r="BP12" s="145">
        <v>30.6</v>
      </c>
      <c r="BQ12" s="145">
        <v>31.7</v>
      </c>
      <c r="BR12" s="89">
        <v>292</v>
      </c>
      <c r="BS12" s="89">
        <v>321</v>
      </c>
      <c r="BT12" s="145">
        <v>15.5</v>
      </c>
      <c r="BU12" s="145">
        <v>15.7</v>
      </c>
      <c r="BV12" s="108">
        <v>0.45</v>
      </c>
      <c r="BW12" s="108">
        <v>0.53</v>
      </c>
      <c r="BX12" s="145">
        <v>5.58</v>
      </c>
      <c r="BY12" s="88">
        <v>11.44</v>
      </c>
      <c r="BZ12" s="89">
        <v>57.1</v>
      </c>
      <c r="CA12" s="89">
        <v>72.5</v>
      </c>
      <c r="CB12" s="145">
        <v>26.9</v>
      </c>
      <c r="CC12" s="145">
        <v>15.6</v>
      </c>
      <c r="CD12" s="89">
        <v>11.3</v>
      </c>
      <c r="CE12" s="89">
        <v>10.199999999999999</v>
      </c>
      <c r="CF12" s="145">
        <v>2.9</v>
      </c>
      <c r="CG12" s="145">
        <v>1.3</v>
      </c>
      <c r="CH12" s="89">
        <v>1.8</v>
      </c>
      <c r="CI12" s="89">
        <v>0.4</v>
      </c>
      <c r="CJ12" s="86" t="b">
        <f t="shared" si="3"/>
        <v>0</v>
      </c>
      <c r="CK12" s="2" t="b">
        <f t="shared" si="4"/>
        <v>1</v>
      </c>
      <c r="CL12" s="98"/>
      <c r="CM12" s="94">
        <v>0</v>
      </c>
      <c r="CN12" s="94">
        <v>0</v>
      </c>
      <c r="CO12" s="94">
        <v>0</v>
      </c>
      <c r="CP12" s="94">
        <v>0</v>
      </c>
      <c r="CQ12" s="94">
        <v>0</v>
      </c>
      <c r="CR12" s="165">
        <v>0</v>
      </c>
      <c r="CS12" s="48"/>
    </row>
    <row r="13" spans="1:97" ht="31.5">
      <c r="A13" s="72">
        <v>2017</v>
      </c>
      <c r="B13" s="72" t="s">
        <v>172</v>
      </c>
      <c r="C13" s="164">
        <v>3143</v>
      </c>
      <c r="D13" s="61">
        <v>28</v>
      </c>
      <c r="E13" s="80">
        <v>78</v>
      </c>
      <c r="F13" s="52">
        <v>1</v>
      </c>
      <c r="G13" s="51" t="s">
        <v>86</v>
      </c>
      <c r="H13" s="52" t="s">
        <v>92</v>
      </c>
      <c r="I13" s="53" t="s">
        <v>93</v>
      </c>
      <c r="J13" s="55" t="s">
        <v>99</v>
      </c>
      <c r="K13" s="53">
        <v>87.5</v>
      </c>
      <c r="L13" s="52">
        <v>12.5</v>
      </c>
      <c r="M13" s="87">
        <v>1076</v>
      </c>
      <c r="N13" s="87">
        <v>331</v>
      </c>
      <c r="O13" s="88">
        <v>23</v>
      </c>
      <c r="P13" s="88">
        <v>19</v>
      </c>
      <c r="Q13" s="89" t="s">
        <v>94</v>
      </c>
      <c r="R13" s="89" t="s">
        <v>94</v>
      </c>
      <c r="S13" s="88">
        <v>917</v>
      </c>
      <c r="T13" s="88">
        <v>822</v>
      </c>
      <c r="U13" s="90">
        <v>140</v>
      </c>
      <c r="V13" s="90">
        <v>45</v>
      </c>
      <c r="W13" s="145">
        <v>4.7</v>
      </c>
      <c r="X13" s="145">
        <v>4.7</v>
      </c>
      <c r="Y13" s="90">
        <v>140</v>
      </c>
      <c r="Z13" s="90">
        <v>75</v>
      </c>
      <c r="AA13" s="145">
        <v>61</v>
      </c>
      <c r="AB13" s="145">
        <v>48</v>
      </c>
      <c r="AC13" s="89" t="s">
        <v>94</v>
      </c>
      <c r="AD13" s="89" t="s">
        <v>94</v>
      </c>
      <c r="AE13" s="102">
        <v>123.6</v>
      </c>
      <c r="AF13" s="103">
        <v>123.6</v>
      </c>
      <c r="AG13" s="89">
        <v>25</v>
      </c>
      <c r="AH13" s="89">
        <v>30</v>
      </c>
      <c r="AI13" s="88">
        <v>0.8</v>
      </c>
      <c r="AJ13" s="88">
        <v>0.8</v>
      </c>
      <c r="AK13" s="269">
        <f t="shared" si="0"/>
        <v>0</v>
      </c>
      <c r="AL13" s="89">
        <v>2.9</v>
      </c>
      <c r="AM13" s="89">
        <v>4.7</v>
      </c>
      <c r="AN13" s="88">
        <v>7.6</v>
      </c>
      <c r="AO13" s="88">
        <v>7.7</v>
      </c>
      <c r="AP13" s="88" t="s">
        <v>94</v>
      </c>
      <c r="AQ13" s="88" t="s">
        <v>94</v>
      </c>
      <c r="AR13" s="89">
        <v>9.6999999999999993</v>
      </c>
      <c r="AS13" s="89">
        <v>9.6</v>
      </c>
      <c r="AT13" s="89">
        <v>4.7</v>
      </c>
      <c r="AU13" s="89">
        <v>4.5999999999999996</v>
      </c>
      <c r="AV13" s="88">
        <v>101</v>
      </c>
      <c r="AW13" s="88">
        <v>88</v>
      </c>
      <c r="AX13" s="145">
        <v>141</v>
      </c>
      <c r="AY13" s="145">
        <v>140</v>
      </c>
      <c r="AZ13" s="89" t="s">
        <v>94</v>
      </c>
      <c r="BA13" s="89" t="s">
        <v>94</v>
      </c>
      <c r="BB13" s="88" t="s">
        <v>94</v>
      </c>
      <c r="BC13" s="88" t="s">
        <v>94</v>
      </c>
      <c r="BD13" s="96">
        <f t="shared" si="1"/>
        <v>295.62144444444448</v>
      </c>
      <c r="BE13" s="96">
        <f t="shared" si="2"/>
        <v>293.57822222222222</v>
      </c>
      <c r="BF13" s="89">
        <v>4.76</v>
      </c>
      <c r="BG13" s="89">
        <v>4.7</v>
      </c>
      <c r="BH13" s="145">
        <v>13.9</v>
      </c>
      <c r="BI13" s="145">
        <v>13.5</v>
      </c>
      <c r="BJ13" s="89">
        <v>43.9</v>
      </c>
      <c r="BK13" s="89">
        <v>43.2</v>
      </c>
      <c r="BL13" s="145">
        <v>92.2</v>
      </c>
      <c r="BM13" s="145">
        <v>91.9</v>
      </c>
      <c r="BN13" s="89">
        <v>29.2</v>
      </c>
      <c r="BO13" s="89">
        <v>28.7</v>
      </c>
      <c r="BP13" s="145">
        <v>31.7</v>
      </c>
      <c r="BQ13" s="145">
        <v>31.3</v>
      </c>
      <c r="BR13" s="89">
        <v>197</v>
      </c>
      <c r="BS13" s="89">
        <v>304</v>
      </c>
      <c r="BT13" s="145">
        <v>12.7</v>
      </c>
      <c r="BU13" s="145">
        <v>13.3</v>
      </c>
      <c r="BV13" s="108">
        <v>0.84</v>
      </c>
      <c r="BW13" s="108">
        <v>1.2</v>
      </c>
      <c r="BX13" s="145">
        <v>6.1</v>
      </c>
      <c r="BY13" s="88">
        <v>8.51</v>
      </c>
      <c r="BZ13" s="89">
        <v>63.9</v>
      </c>
      <c r="CA13" s="89">
        <v>61.1</v>
      </c>
      <c r="CB13" s="145">
        <v>24.4</v>
      </c>
      <c r="CC13" s="145">
        <v>24.8</v>
      </c>
      <c r="CD13" s="89">
        <v>10.7</v>
      </c>
      <c r="CE13" s="89">
        <v>11.8</v>
      </c>
      <c r="CF13" s="145">
        <v>0.8</v>
      </c>
      <c r="CG13" s="145">
        <v>1.9</v>
      </c>
      <c r="CH13" s="89">
        <v>0.2</v>
      </c>
      <c r="CI13" s="89">
        <v>0.4</v>
      </c>
      <c r="CJ13" s="86" t="b">
        <f t="shared" si="3"/>
        <v>0</v>
      </c>
      <c r="CK13" s="2" t="b">
        <f t="shared" si="4"/>
        <v>1</v>
      </c>
      <c r="CL13" s="98">
        <f t="shared" ref="CL13:CL44" si="5">$CM13-($CM13*(0.01*$CR13))</f>
        <v>70.250040000000013</v>
      </c>
      <c r="CM13" s="98">
        <v>85.4</v>
      </c>
      <c r="CN13" s="98">
        <v>179.3</v>
      </c>
      <c r="CO13" s="86">
        <v>49.65</v>
      </c>
      <c r="CP13" s="98">
        <v>44</v>
      </c>
      <c r="CQ13" s="98">
        <v>35</v>
      </c>
      <c r="CR13" s="99">
        <v>17.739999999999998</v>
      </c>
      <c r="CS13" s="48"/>
    </row>
    <row r="14" spans="1:97" ht="31.5">
      <c r="A14" s="72">
        <v>2017</v>
      </c>
      <c r="B14" s="160" t="s">
        <v>184</v>
      </c>
      <c r="C14" s="164">
        <v>3089</v>
      </c>
      <c r="D14" s="61">
        <v>28</v>
      </c>
      <c r="E14" s="80">
        <v>0</v>
      </c>
      <c r="F14" s="52">
        <v>1</v>
      </c>
      <c r="G14" s="54" t="s">
        <v>101</v>
      </c>
      <c r="H14" s="55" t="s">
        <v>83</v>
      </c>
      <c r="I14" s="56" t="s">
        <v>87</v>
      </c>
      <c r="J14" s="55" t="s">
        <v>99</v>
      </c>
      <c r="K14" s="56">
        <v>37.5</v>
      </c>
      <c r="L14" s="55">
        <v>62.5</v>
      </c>
      <c r="M14" s="87">
        <v>1521</v>
      </c>
      <c r="N14" s="87">
        <v>48308</v>
      </c>
      <c r="O14" s="88">
        <v>52</v>
      </c>
      <c r="P14" s="88">
        <v>821</v>
      </c>
      <c r="Q14" s="89" t="s">
        <v>94</v>
      </c>
      <c r="R14" s="89" t="s">
        <v>94</v>
      </c>
      <c r="S14" s="88">
        <v>1861</v>
      </c>
      <c r="T14" s="88">
        <v>6127</v>
      </c>
      <c r="U14" s="90">
        <v>135</v>
      </c>
      <c r="V14" s="90">
        <v>1103</v>
      </c>
      <c r="W14" s="145">
        <v>4.2</v>
      </c>
      <c r="X14" s="145">
        <v>3.8</v>
      </c>
      <c r="Y14" s="90">
        <v>138</v>
      </c>
      <c r="Z14" s="90">
        <v>261</v>
      </c>
      <c r="AA14" s="145">
        <v>20</v>
      </c>
      <c r="AB14" s="145">
        <v>19</v>
      </c>
      <c r="AC14" s="89" t="s">
        <v>94</v>
      </c>
      <c r="AD14" s="89" t="s">
        <v>94</v>
      </c>
      <c r="AE14" s="319">
        <v>119.3</v>
      </c>
      <c r="AF14" s="334">
        <v>70.2</v>
      </c>
      <c r="AG14" s="89">
        <v>59</v>
      </c>
      <c r="AH14" s="89">
        <v>90</v>
      </c>
      <c r="AI14" s="88">
        <v>0.9</v>
      </c>
      <c r="AJ14" s="88">
        <v>1.4</v>
      </c>
      <c r="AK14" s="269">
        <f t="shared" si="0"/>
        <v>0.49999999999999989</v>
      </c>
      <c r="AL14" s="89">
        <v>4</v>
      </c>
      <c r="AM14" s="89">
        <v>4.4000000000000004</v>
      </c>
      <c r="AN14" s="88">
        <v>7.3</v>
      </c>
      <c r="AO14" s="88">
        <v>6.5</v>
      </c>
      <c r="AP14" s="88" t="s">
        <v>94</v>
      </c>
      <c r="AQ14" s="88" t="s">
        <v>94</v>
      </c>
      <c r="AR14" s="89">
        <v>10</v>
      </c>
      <c r="AS14" s="89">
        <v>9.3000000000000007</v>
      </c>
      <c r="AT14" s="89">
        <v>4.9000000000000004</v>
      </c>
      <c r="AU14" s="89">
        <v>5.4</v>
      </c>
      <c r="AV14" s="88">
        <v>91</v>
      </c>
      <c r="AW14" s="260">
        <v>95</v>
      </c>
      <c r="AX14" s="145">
        <v>131</v>
      </c>
      <c r="AY14" s="145">
        <v>132</v>
      </c>
      <c r="AZ14" s="89" t="s">
        <v>94</v>
      </c>
      <c r="BA14" s="89" t="s">
        <v>94</v>
      </c>
      <c r="BB14" s="88" t="s">
        <v>94</v>
      </c>
      <c r="BC14" s="88" t="s">
        <v>94</v>
      </c>
      <c r="BD14" s="96">
        <f t="shared" si="1"/>
        <v>282.42122222222224</v>
      </c>
      <c r="BE14" s="96">
        <f t="shared" si="2"/>
        <v>290.63344444444448</v>
      </c>
      <c r="BF14" s="89">
        <v>4.6100000000000003</v>
      </c>
      <c r="BG14" s="89">
        <v>3.38</v>
      </c>
      <c r="BH14" s="145">
        <v>13.7</v>
      </c>
      <c r="BI14" s="145">
        <v>10.199999999999999</v>
      </c>
      <c r="BJ14" s="89">
        <v>41.8</v>
      </c>
      <c r="BK14" s="89">
        <v>30.7</v>
      </c>
      <c r="BL14" s="145">
        <v>90.7</v>
      </c>
      <c r="BM14" s="145">
        <v>90.8</v>
      </c>
      <c r="BN14" s="89">
        <v>29.7</v>
      </c>
      <c r="BO14" s="89">
        <v>30.2</v>
      </c>
      <c r="BP14" s="145">
        <v>32.799999999999997</v>
      </c>
      <c r="BQ14" s="145">
        <v>33.200000000000003</v>
      </c>
      <c r="BR14" s="89">
        <v>332</v>
      </c>
      <c r="BS14" s="89">
        <v>262</v>
      </c>
      <c r="BT14" s="145">
        <v>14</v>
      </c>
      <c r="BU14" s="145">
        <v>13.7</v>
      </c>
      <c r="BV14" s="108">
        <v>2.14</v>
      </c>
      <c r="BW14" s="108">
        <v>2.14</v>
      </c>
      <c r="BX14" s="63">
        <v>8.7899999999999991</v>
      </c>
      <c r="BY14" s="63">
        <v>10.67</v>
      </c>
      <c r="BZ14" s="89">
        <v>71.900000000000006</v>
      </c>
      <c r="CA14" s="89">
        <v>68.7</v>
      </c>
      <c r="CB14" s="145">
        <v>15.6</v>
      </c>
      <c r="CC14" s="145">
        <v>13.9</v>
      </c>
      <c r="CD14" s="89">
        <v>10.7</v>
      </c>
      <c r="CE14" s="89">
        <v>16.600000000000001</v>
      </c>
      <c r="CF14" s="145">
        <v>1.3</v>
      </c>
      <c r="CG14" s="145">
        <v>0.6</v>
      </c>
      <c r="CH14" s="89">
        <v>0.5</v>
      </c>
      <c r="CI14" s="89">
        <v>0.2</v>
      </c>
      <c r="CJ14" s="86" t="b">
        <f t="shared" si="3"/>
        <v>1</v>
      </c>
      <c r="CK14" s="2" t="b">
        <f t="shared" si="4"/>
        <v>1</v>
      </c>
      <c r="CL14" s="98">
        <f t="shared" si="5"/>
        <v>66.794890000000009</v>
      </c>
      <c r="CM14" s="98">
        <v>70.900000000000006</v>
      </c>
      <c r="CN14" s="98">
        <v>166</v>
      </c>
      <c r="CO14" s="86">
        <v>52.92</v>
      </c>
      <c r="CP14" s="98">
        <v>54.5</v>
      </c>
      <c r="CQ14" s="98">
        <v>52.5</v>
      </c>
      <c r="CR14" s="99">
        <v>5.79</v>
      </c>
      <c r="CS14" s="48"/>
    </row>
    <row r="15" spans="1:97" ht="31.5">
      <c r="A15" s="72">
        <v>2017</v>
      </c>
      <c r="B15" s="160" t="s">
        <v>184</v>
      </c>
      <c r="C15" s="164">
        <v>3090</v>
      </c>
      <c r="D15" s="61">
        <v>29</v>
      </c>
      <c r="E15" s="80">
        <v>74</v>
      </c>
      <c r="F15" s="52">
        <v>2</v>
      </c>
      <c r="G15" s="54" t="s">
        <v>101</v>
      </c>
      <c r="H15" s="55" t="s">
        <v>83</v>
      </c>
      <c r="I15" s="56" t="s">
        <v>87</v>
      </c>
      <c r="J15" s="55" t="s">
        <v>99</v>
      </c>
      <c r="K15" s="56">
        <v>37.5</v>
      </c>
      <c r="L15" s="52">
        <v>62.5</v>
      </c>
      <c r="M15" s="87">
        <v>17776</v>
      </c>
      <c r="N15" s="87">
        <v>27170</v>
      </c>
      <c r="O15" s="88">
        <v>80</v>
      </c>
      <c r="P15" s="88">
        <v>248</v>
      </c>
      <c r="Q15" s="89" t="s">
        <v>94</v>
      </c>
      <c r="R15" s="89" t="s">
        <v>94</v>
      </c>
      <c r="S15" s="88">
        <v>1439</v>
      </c>
      <c r="T15" s="88">
        <v>2498</v>
      </c>
      <c r="U15" s="90">
        <v>275</v>
      </c>
      <c r="V15" s="90">
        <v>508</v>
      </c>
      <c r="W15" s="145">
        <v>4.4000000000000004</v>
      </c>
      <c r="X15" s="145">
        <v>4.3</v>
      </c>
      <c r="Y15" s="90">
        <v>121</v>
      </c>
      <c r="Z15" s="90">
        <v>159</v>
      </c>
      <c r="AA15" s="145">
        <v>23</v>
      </c>
      <c r="AB15" s="145">
        <v>21</v>
      </c>
      <c r="AC15" s="89" t="s">
        <v>94</v>
      </c>
      <c r="AD15" s="89" t="s">
        <v>94</v>
      </c>
      <c r="AE15" s="319">
        <v>122.9</v>
      </c>
      <c r="AF15" s="334">
        <v>118.6</v>
      </c>
      <c r="AG15" s="89">
        <v>42</v>
      </c>
      <c r="AH15" s="89">
        <v>47</v>
      </c>
      <c r="AI15" s="88">
        <v>0.8</v>
      </c>
      <c r="AJ15" s="88">
        <v>0.9</v>
      </c>
      <c r="AK15" s="269">
        <f t="shared" si="0"/>
        <v>9.9999999999999978E-2</v>
      </c>
      <c r="AL15" s="89">
        <v>3.5</v>
      </c>
      <c r="AM15" s="89">
        <v>4.5</v>
      </c>
      <c r="AN15" s="88">
        <v>7.3</v>
      </c>
      <c r="AO15" s="88">
        <v>7.1</v>
      </c>
      <c r="AP15" s="88" t="s">
        <v>94</v>
      </c>
      <c r="AQ15" s="88" t="s">
        <v>94</v>
      </c>
      <c r="AR15" s="89">
        <v>9.6999999999999993</v>
      </c>
      <c r="AS15" s="89">
        <v>9.1999999999999993</v>
      </c>
      <c r="AT15" s="89">
        <v>4.2</v>
      </c>
      <c r="AU15" s="89">
        <v>4.3</v>
      </c>
      <c r="AV15" s="88">
        <v>80</v>
      </c>
      <c r="AW15" s="260">
        <v>75</v>
      </c>
      <c r="AX15" s="145">
        <v>134</v>
      </c>
      <c r="AY15" s="145">
        <v>132</v>
      </c>
      <c r="AZ15" s="89" t="s">
        <v>94</v>
      </c>
      <c r="BA15" s="89" t="s">
        <v>94</v>
      </c>
      <c r="BB15" s="88" t="s">
        <v>94</v>
      </c>
      <c r="BC15" s="88" t="s">
        <v>94</v>
      </c>
      <c r="BD15" s="96">
        <f t="shared" si="1"/>
        <v>283.16311111111105</v>
      </c>
      <c r="BE15" s="96">
        <f t="shared" si="2"/>
        <v>280.14300000000003</v>
      </c>
      <c r="BF15" s="89">
        <v>5.16</v>
      </c>
      <c r="BG15" s="89">
        <v>4.75</v>
      </c>
      <c r="BH15" s="145">
        <v>14.9</v>
      </c>
      <c r="BI15" s="145">
        <v>13.9</v>
      </c>
      <c r="BJ15" s="89">
        <v>44.6</v>
      </c>
      <c r="BK15" s="89">
        <v>41.4</v>
      </c>
      <c r="BL15" s="145">
        <v>86.4</v>
      </c>
      <c r="BM15" s="145">
        <v>87.2</v>
      </c>
      <c r="BN15" s="89">
        <v>28.9</v>
      </c>
      <c r="BO15" s="89">
        <v>29.3</v>
      </c>
      <c r="BP15" s="145">
        <v>33.4</v>
      </c>
      <c r="BQ15" s="145">
        <v>33.6</v>
      </c>
      <c r="BR15" s="89">
        <v>348</v>
      </c>
      <c r="BS15" s="89">
        <v>283</v>
      </c>
      <c r="BT15" s="145">
        <v>12.8</v>
      </c>
      <c r="BU15" s="145">
        <v>12.8</v>
      </c>
      <c r="BV15" s="108">
        <v>0.97</v>
      </c>
      <c r="BW15" s="108">
        <v>0.79</v>
      </c>
      <c r="BX15" s="63">
        <v>11.89</v>
      </c>
      <c r="BY15" s="63">
        <v>2.94</v>
      </c>
      <c r="BZ15" s="89">
        <v>60.6</v>
      </c>
      <c r="CA15" s="89">
        <v>35.1</v>
      </c>
      <c r="CB15" s="145">
        <v>26.3</v>
      </c>
      <c r="CC15" s="145">
        <v>36.700000000000003</v>
      </c>
      <c r="CD15" s="89">
        <v>6.8</v>
      </c>
      <c r="CE15" s="89">
        <v>18.7</v>
      </c>
      <c r="CF15" s="145">
        <v>5.4</v>
      </c>
      <c r="CG15" s="145">
        <v>7.5</v>
      </c>
      <c r="CH15" s="89">
        <v>0.9</v>
      </c>
      <c r="CI15" s="89">
        <v>2</v>
      </c>
      <c r="CJ15" s="86" t="b">
        <f t="shared" si="3"/>
        <v>0</v>
      </c>
      <c r="CK15" s="2" t="b">
        <f t="shared" si="4"/>
        <v>1</v>
      </c>
      <c r="CL15" s="98">
        <f t="shared" si="5"/>
        <v>64.758570000000006</v>
      </c>
      <c r="CM15" s="98">
        <v>73.900000000000006</v>
      </c>
      <c r="CN15" s="98">
        <v>172.6</v>
      </c>
      <c r="CO15" s="86">
        <v>52.06</v>
      </c>
      <c r="CP15" s="98">
        <v>42</v>
      </c>
      <c r="CQ15" s="98">
        <v>36.5</v>
      </c>
      <c r="CR15" s="99">
        <v>12.37</v>
      </c>
      <c r="CS15" s="48"/>
    </row>
    <row r="16" spans="1:97" ht="31.5">
      <c r="A16" s="72">
        <v>2017</v>
      </c>
      <c r="B16" s="160" t="s">
        <v>184</v>
      </c>
      <c r="C16" s="164">
        <v>3091</v>
      </c>
      <c r="D16" s="61">
        <v>28</v>
      </c>
      <c r="E16" s="80">
        <v>78</v>
      </c>
      <c r="F16" s="52">
        <v>0</v>
      </c>
      <c r="G16" s="74" t="s">
        <v>82</v>
      </c>
      <c r="H16" s="52" t="s">
        <v>83</v>
      </c>
      <c r="I16" s="56" t="s">
        <v>87</v>
      </c>
      <c r="J16" s="55" t="s">
        <v>97</v>
      </c>
      <c r="K16" s="53">
        <v>37.5</v>
      </c>
      <c r="L16" s="52">
        <v>62.5</v>
      </c>
      <c r="M16" s="87">
        <v>255</v>
      </c>
      <c r="N16" s="87">
        <v>13616</v>
      </c>
      <c r="O16" s="88">
        <v>15</v>
      </c>
      <c r="P16" s="88">
        <v>99</v>
      </c>
      <c r="Q16" s="89" t="s">
        <v>94</v>
      </c>
      <c r="R16" s="89" t="s">
        <v>94</v>
      </c>
      <c r="S16" s="88">
        <v>614</v>
      </c>
      <c r="T16" s="88">
        <v>2725</v>
      </c>
      <c r="U16" s="90">
        <v>48</v>
      </c>
      <c r="V16" s="90">
        <v>341</v>
      </c>
      <c r="W16" s="145">
        <v>3.9</v>
      </c>
      <c r="X16" s="145">
        <v>4.0999999999999996</v>
      </c>
      <c r="Y16" s="90">
        <v>50</v>
      </c>
      <c r="Z16" s="90">
        <v>121</v>
      </c>
      <c r="AA16" s="145">
        <v>11</v>
      </c>
      <c r="AB16" s="145">
        <v>17</v>
      </c>
      <c r="AC16" s="89" t="s">
        <v>94</v>
      </c>
      <c r="AD16" s="89" t="s">
        <v>94</v>
      </c>
      <c r="AE16" s="319">
        <v>119.3</v>
      </c>
      <c r="AF16" s="334">
        <v>93.8</v>
      </c>
      <c r="AG16" s="89">
        <v>58</v>
      </c>
      <c r="AH16" s="89">
        <v>95</v>
      </c>
      <c r="AI16" s="88">
        <v>0.9</v>
      </c>
      <c r="AJ16" s="88">
        <v>1.1000000000000001</v>
      </c>
      <c r="AK16" s="269">
        <f t="shared" si="0"/>
        <v>0.20000000000000007</v>
      </c>
      <c r="AL16" s="89">
        <v>3.3</v>
      </c>
      <c r="AM16" s="89">
        <v>5.2</v>
      </c>
      <c r="AN16" s="88">
        <v>6.7</v>
      </c>
      <c r="AO16" s="88">
        <v>7</v>
      </c>
      <c r="AP16" s="88" t="s">
        <v>94</v>
      </c>
      <c r="AQ16" s="88" t="s">
        <v>94</v>
      </c>
      <c r="AR16" s="89">
        <v>9.5</v>
      </c>
      <c r="AS16" s="89">
        <v>9.1999999999999993</v>
      </c>
      <c r="AT16" s="89">
        <v>4.4000000000000004</v>
      </c>
      <c r="AU16" s="89">
        <v>4.5999999999999996</v>
      </c>
      <c r="AV16" s="88">
        <v>91</v>
      </c>
      <c r="AW16" s="88">
        <v>98</v>
      </c>
      <c r="AX16" s="145">
        <v>136</v>
      </c>
      <c r="AY16" s="145">
        <v>131</v>
      </c>
      <c r="AZ16" s="89" t="s">
        <v>94</v>
      </c>
      <c r="BA16" s="89" t="s">
        <v>94</v>
      </c>
      <c r="BB16" s="88" t="s">
        <v>94</v>
      </c>
      <c r="BC16" s="88" t="s">
        <v>94</v>
      </c>
      <c r="BD16" s="96">
        <f t="shared" si="1"/>
        <v>290.62455555555556</v>
      </c>
      <c r="BE16" s="96">
        <f t="shared" si="2"/>
        <v>288.31044444444444</v>
      </c>
      <c r="BF16" s="89">
        <v>4.16</v>
      </c>
      <c r="BG16" s="89">
        <v>3.81</v>
      </c>
      <c r="BH16" s="145">
        <v>12.7</v>
      </c>
      <c r="BI16" s="145">
        <v>11.6</v>
      </c>
      <c r="BJ16" s="89">
        <v>38.299999999999997</v>
      </c>
      <c r="BK16" s="89">
        <v>34.9</v>
      </c>
      <c r="BL16" s="145">
        <v>92.1</v>
      </c>
      <c r="BM16" s="145">
        <v>91.6</v>
      </c>
      <c r="BN16" s="89">
        <v>30.5</v>
      </c>
      <c r="BO16" s="89">
        <v>30.4</v>
      </c>
      <c r="BP16" s="145">
        <v>33.200000000000003</v>
      </c>
      <c r="BQ16" s="145">
        <v>33.200000000000003</v>
      </c>
      <c r="BR16" s="89">
        <v>337</v>
      </c>
      <c r="BS16" s="89">
        <v>284</v>
      </c>
      <c r="BT16" s="145">
        <v>12.8</v>
      </c>
      <c r="BU16" s="145">
        <v>12.7</v>
      </c>
      <c r="BV16" s="108">
        <v>1.33</v>
      </c>
      <c r="BW16" s="108">
        <v>1.1599999999999999</v>
      </c>
      <c r="BX16" s="63">
        <v>6.87</v>
      </c>
      <c r="BY16" s="63">
        <v>7.22</v>
      </c>
      <c r="BZ16" s="89">
        <v>68.599999999999994</v>
      </c>
      <c r="CA16" s="89">
        <v>61.6</v>
      </c>
      <c r="CB16" s="145">
        <v>18.3</v>
      </c>
      <c r="CC16" s="145">
        <v>16.3</v>
      </c>
      <c r="CD16" s="89">
        <v>8.1999999999999993</v>
      </c>
      <c r="CE16" s="89">
        <v>19.7</v>
      </c>
      <c r="CF16" s="145">
        <v>4.2</v>
      </c>
      <c r="CG16" s="145">
        <v>1.7</v>
      </c>
      <c r="CH16" s="89">
        <v>0.7</v>
      </c>
      <c r="CI16" s="89">
        <v>0.7</v>
      </c>
      <c r="CJ16" s="86" t="b">
        <f t="shared" si="3"/>
        <v>0</v>
      </c>
      <c r="CK16" s="2" t="b">
        <f t="shared" si="4"/>
        <v>1</v>
      </c>
      <c r="CL16" s="98">
        <f t="shared" si="5"/>
        <v>64.734659999999991</v>
      </c>
      <c r="CM16" s="98">
        <v>76.599999999999994</v>
      </c>
      <c r="CN16" s="98">
        <v>177</v>
      </c>
      <c r="CO16" s="86">
        <v>52.21</v>
      </c>
      <c r="CP16" s="98">
        <v>52</v>
      </c>
      <c r="CQ16" s="98">
        <v>49</v>
      </c>
      <c r="CR16" s="99">
        <v>15.49</v>
      </c>
      <c r="CS16" s="48"/>
    </row>
    <row r="17" spans="1:97" ht="31.5">
      <c r="A17" s="72">
        <v>2017</v>
      </c>
      <c r="B17" s="160" t="s">
        <v>184</v>
      </c>
      <c r="C17" s="164">
        <v>3092</v>
      </c>
      <c r="D17" s="61">
        <v>28</v>
      </c>
      <c r="E17" s="80">
        <v>91</v>
      </c>
      <c r="F17" s="52">
        <v>1</v>
      </c>
      <c r="G17" s="54" t="s">
        <v>86</v>
      </c>
      <c r="H17" s="55" t="s">
        <v>83</v>
      </c>
      <c r="I17" s="56" t="s">
        <v>93</v>
      </c>
      <c r="J17" s="55" t="s">
        <v>100</v>
      </c>
      <c r="K17" s="53">
        <v>62.5</v>
      </c>
      <c r="L17" s="55">
        <v>37.5</v>
      </c>
      <c r="M17" s="87">
        <v>440</v>
      </c>
      <c r="N17" s="87">
        <v>16928</v>
      </c>
      <c r="O17" s="88">
        <v>25</v>
      </c>
      <c r="P17" s="88">
        <v>237</v>
      </c>
      <c r="Q17" s="89" t="s">
        <v>94</v>
      </c>
      <c r="R17" s="89" t="s">
        <v>94</v>
      </c>
      <c r="S17" s="88">
        <v>694</v>
      </c>
      <c r="T17" s="88">
        <v>2052</v>
      </c>
      <c r="U17" s="90">
        <v>60</v>
      </c>
      <c r="V17" s="90">
        <v>492</v>
      </c>
      <c r="W17" s="145">
        <v>4.3</v>
      </c>
      <c r="X17" s="145">
        <v>4.0999999999999996</v>
      </c>
      <c r="Y17" s="90">
        <v>63</v>
      </c>
      <c r="Z17" s="90">
        <v>118</v>
      </c>
      <c r="AA17" s="145">
        <v>32</v>
      </c>
      <c r="AB17" s="145">
        <v>31</v>
      </c>
      <c r="AC17" s="89" t="s">
        <v>94</v>
      </c>
      <c r="AD17" s="89" t="s">
        <v>94</v>
      </c>
      <c r="AE17" s="319">
        <v>119.3</v>
      </c>
      <c r="AF17" s="334">
        <v>123.6</v>
      </c>
      <c r="AG17" s="89">
        <v>32</v>
      </c>
      <c r="AH17" s="89">
        <v>53</v>
      </c>
      <c r="AI17" s="88">
        <v>0.9</v>
      </c>
      <c r="AJ17" s="88">
        <v>0.8</v>
      </c>
      <c r="AK17" s="269">
        <f t="shared" si="0"/>
        <v>0</v>
      </c>
      <c r="AL17" s="89">
        <v>4.0999999999999996</v>
      </c>
      <c r="AM17" s="89">
        <v>4.5</v>
      </c>
      <c r="AN17" s="88">
        <v>7.4</v>
      </c>
      <c r="AO17" s="88">
        <v>7.2</v>
      </c>
      <c r="AP17" s="88" t="s">
        <v>94</v>
      </c>
      <c r="AQ17" s="88" t="s">
        <v>94</v>
      </c>
      <c r="AR17" s="89">
        <v>10</v>
      </c>
      <c r="AS17" s="89">
        <v>9.3000000000000007</v>
      </c>
      <c r="AT17" s="89">
        <v>4.4000000000000004</v>
      </c>
      <c r="AU17" s="89">
        <v>5</v>
      </c>
      <c r="AV17" s="88">
        <v>96</v>
      </c>
      <c r="AW17" s="260">
        <v>100</v>
      </c>
      <c r="AX17" s="145">
        <v>134</v>
      </c>
      <c r="AY17" s="145">
        <v>136</v>
      </c>
      <c r="AZ17" s="89" t="s">
        <v>94</v>
      </c>
      <c r="BA17" s="89" t="s">
        <v>94</v>
      </c>
      <c r="BB17" s="88" t="s">
        <v>94</v>
      </c>
      <c r="BC17" s="88" t="s">
        <v>94</v>
      </c>
      <c r="BD17" s="96">
        <f t="shared" si="1"/>
        <v>282.89066666666668</v>
      </c>
      <c r="BE17" s="96">
        <f t="shared" si="2"/>
        <v>291.48222222222222</v>
      </c>
      <c r="BF17" s="89">
        <v>4.43</v>
      </c>
      <c r="BG17" s="89">
        <v>3.96</v>
      </c>
      <c r="BH17" s="145">
        <v>13.3</v>
      </c>
      <c r="BI17" s="145">
        <v>11.8</v>
      </c>
      <c r="BJ17" s="89">
        <v>41.4</v>
      </c>
      <c r="BK17" s="89">
        <v>37.299999999999997</v>
      </c>
      <c r="BL17" s="145">
        <v>93.5</v>
      </c>
      <c r="BM17" s="145">
        <v>94.2</v>
      </c>
      <c r="BN17" s="89">
        <v>30</v>
      </c>
      <c r="BO17" s="89">
        <v>29.8</v>
      </c>
      <c r="BP17" s="145">
        <v>32.1</v>
      </c>
      <c r="BQ17" s="145">
        <v>31.6</v>
      </c>
      <c r="BR17" s="89">
        <v>322</v>
      </c>
      <c r="BS17" s="89">
        <v>329</v>
      </c>
      <c r="BT17" s="145">
        <v>14</v>
      </c>
      <c r="BU17" s="145">
        <v>13.4</v>
      </c>
      <c r="BV17" s="108">
        <v>0.84</v>
      </c>
      <c r="BW17" s="108">
        <v>1.2</v>
      </c>
      <c r="BX17" s="63">
        <v>9.7200000000000006</v>
      </c>
      <c r="BY17" s="63">
        <v>2.92</v>
      </c>
      <c r="BZ17" s="89">
        <v>57.5</v>
      </c>
      <c r="CA17" s="89">
        <v>32.6</v>
      </c>
      <c r="CB17" s="145">
        <v>26.3</v>
      </c>
      <c r="CC17" s="145">
        <v>49</v>
      </c>
      <c r="CD17" s="89">
        <v>10.8</v>
      </c>
      <c r="CE17" s="89">
        <v>17.100000000000001</v>
      </c>
      <c r="CF17" s="145">
        <v>4.2</v>
      </c>
      <c r="CG17" s="145">
        <v>0.3</v>
      </c>
      <c r="CH17" s="89">
        <v>1.2</v>
      </c>
      <c r="CI17" s="89">
        <v>1</v>
      </c>
      <c r="CJ17" s="86" t="b">
        <f t="shared" si="3"/>
        <v>0</v>
      </c>
      <c r="CK17" s="2" t="b">
        <f t="shared" si="4"/>
        <v>1</v>
      </c>
      <c r="CL17" s="98">
        <f t="shared" si="5"/>
        <v>82.193119999999993</v>
      </c>
      <c r="CM17" s="98">
        <v>85.6</v>
      </c>
      <c r="CN17" s="98">
        <v>192.5</v>
      </c>
      <c r="CO17" s="86">
        <v>0</v>
      </c>
      <c r="CP17" s="98">
        <v>74</v>
      </c>
      <c r="CQ17" s="98">
        <v>70</v>
      </c>
      <c r="CR17" s="99">
        <v>3.98</v>
      </c>
      <c r="CS17" s="48"/>
    </row>
    <row r="18" spans="1:97" ht="31.5">
      <c r="A18" s="72">
        <v>2017</v>
      </c>
      <c r="B18" s="160" t="s">
        <v>184</v>
      </c>
      <c r="C18" s="164">
        <v>3093</v>
      </c>
      <c r="D18" s="61">
        <v>28</v>
      </c>
      <c r="E18" s="80">
        <v>85</v>
      </c>
      <c r="F18" s="52">
        <v>2</v>
      </c>
      <c r="G18" s="54" t="s">
        <v>101</v>
      </c>
      <c r="H18" s="55" t="s">
        <v>92</v>
      </c>
      <c r="I18" s="56" t="s">
        <v>84</v>
      </c>
      <c r="J18" s="55" t="s">
        <v>99</v>
      </c>
      <c r="K18" s="53">
        <v>62.5</v>
      </c>
      <c r="L18" s="55">
        <v>37.5</v>
      </c>
      <c r="M18" s="87">
        <v>8495</v>
      </c>
      <c r="N18" s="87">
        <v>24554</v>
      </c>
      <c r="O18" s="88">
        <v>47</v>
      </c>
      <c r="P18" s="88">
        <v>196</v>
      </c>
      <c r="Q18" s="89" t="s">
        <v>94</v>
      </c>
      <c r="R18" s="89" t="s">
        <v>94</v>
      </c>
      <c r="S18" s="88">
        <v>1142</v>
      </c>
      <c r="T18" s="88">
        <v>2996</v>
      </c>
      <c r="U18" s="90">
        <v>135</v>
      </c>
      <c r="V18" s="90">
        <v>413</v>
      </c>
      <c r="W18" s="145">
        <v>4.5</v>
      </c>
      <c r="X18" s="145">
        <v>4.3</v>
      </c>
      <c r="Y18" s="90">
        <v>65</v>
      </c>
      <c r="Z18" s="90">
        <v>97</v>
      </c>
      <c r="AA18" s="145">
        <v>21</v>
      </c>
      <c r="AB18" s="145">
        <v>20</v>
      </c>
      <c r="AC18" s="89" t="s">
        <v>94</v>
      </c>
      <c r="AD18" s="89" t="s">
        <v>94</v>
      </c>
      <c r="AE18" s="319">
        <v>93.8</v>
      </c>
      <c r="AF18" s="334">
        <v>105.1</v>
      </c>
      <c r="AG18" s="89">
        <v>35</v>
      </c>
      <c r="AH18" s="89">
        <v>56</v>
      </c>
      <c r="AI18" s="88">
        <v>1.1000000000000001</v>
      </c>
      <c r="AJ18" s="88">
        <v>1</v>
      </c>
      <c r="AK18" s="269">
        <f t="shared" si="0"/>
        <v>0</v>
      </c>
      <c r="AL18" s="89">
        <v>3.5</v>
      </c>
      <c r="AM18" s="89">
        <v>4.7</v>
      </c>
      <c r="AN18" s="88">
        <v>7.5</v>
      </c>
      <c r="AO18" s="88">
        <v>7.1</v>
      </c>
      <c r="AP18" s="88" t="s">
        <v>94</v>
      </c>
      <c r="AQ18" s="88" t="s">
        <v>94</v>
      </c>
      <c r="AR18" s="89">
        <v>9.6999999999999993</v>
      </c>
      <c r="AS18" s="89">
        <v>9.4</v>
      </c>
      <c r="AT18" s="89">
        <v>4.5</v>
      </c>
      <c r="AU18" s="89">
        <v>4.8</v>
      </c>
      <c r="AV18" s="88">
        <v>110</v>
      </c>
      <c r="AW18" s="260">
        <v>93</v>
      </c>
      <c r="AX18" s="145">
        <v>135</v>
      </c>
      <c r="AY18" s="145">
        <v>123</v>
      </c>
      <c r="AZ18" s="89" t="s">
        <v>94</v>
      </c>
      <c r="BA18" s="89" t="s">
        <v>94</v>
      </c>
      <c r="BB18" s="88" t="s">
        <v>94</v>
      </c>
      <c r="BC18" s="88" t="s">
        <v>94</v>
      </c>
      <c r="BD18" s="96">
        <f t="shared" si="1"/>
        <v>286.33111111111111</v>
      </c>
      <c r="BE18" s="96">
        <f t="shared" si="2"/>
        <v>266.983</v>
      </c>
      <c r="BF18" s="89">
        <v>4.45</v>
      </c>
      <c r="BG18" s="89">
        <v>4.04</v>
      </c>
      <c r="BH18" s="145">
        <v>14.4</v>
      </c>
      <c r="BI18" s="145">
        <v>13.1</v>
      </c>
      <c r="BJ18" s="89">
        <v>45</v>
      </c>
      <c r="BK18" s="89">
        <v>40.9</v>
      </c>
      <c r="BL18" s="145">
        <v>101.1</v>
      </c>
      <c r="BM18" s="145">
        <v>101.2</v>
      </c>
      <c r="BN18" s="89">
        <v>32.4</v>
      </c>
      <c r="BO18" s="89">
        <v>32.4</v>
      </c>
      <c r="BP18" s="145">
        <v>32</v>
      </c>
      <c r="BQ18" s="145">
        <v>32</v>
      </c>
      <c r="BR18" s="89">
        <v>427</v>
      </c>
      <c r="BS18" s="89">
        <v>365</v>
      </c>
      <c r="BT18" s="145">
        <v>12.5</v>
      </c>
      <c r="BU18" s="145">
        <v>12.6</v>
      </c>
      <c r="BV18" s="108">
        <v>1.81</v>
      </c>
      <c r="BW18" s="108">
        <v>1.52</v>
      </c>
      <c r="BX18" s="63">
        <v>5.67</v>
      </c>
      <c r="BY18" s="63">
        <v>8.9700000000000006</v>
      </c>
      <c r="BZ18" s="89">
        <v>55</v>
      </c>
      <c r="CA18" s="89">
        <v>71.7</v>
      </c>
      <c r="CB18" s="145">
        <v>30</v>
      </c>
      <c r="CC18" s="145">
        <v>10.3</v>
      </c>
      <c r="CD18" s="89">
        <v>11.8</v>
      </c>
      <c r="CE18" s="89">
        <v>17.8</v>
      </c>
      <c r="CF18" s="145">
        <v>1.4</v>
      </c>
      <c r="CG18" s="145">
        <v>0</v>
      </c>
      <c r="CH18" s="89">
        <v>1.8</v>
      </c>
      <c r="CI18" s="89">
        <v>0.2</v>
      </c>
      <c r="CJ18" s="86" t="b">
        <f t="shared" si="3"/>
        <v>0</v>
      </c>
      <c r="CK18" s="2" t="b">
        <f t="shared" si="4"/>
        <v>1</v>
      </c>
      <c r="CL18" s="98">
        <f t="shared" si="5"/>
        <v>78.848640000000003</v>
      </c>
      <c r="CM18" s="98">
        <v>86.4</v>
      </c>
      <c r="CN18" s="98">
        <v>184</v>
      </c>
      <c r="CO18" s="86">
        <v>50.17</v>
      </c>
      <c r="CP18" s="98">
        <v>48</v>
      </c>
      <c r="CQ18" s="98">
        <v>42.5</v>
      </c>
      <c r="CR18" s="99">
        <v>8.74</v>
      </c>
      <c r="CS18" s="48"/>
    </row>
    <row r="19" spans="1:97" ht="15.75" customHeight="1">
      <c r="A19" s="72">
        <v>2017</v>
      </c>
      <c r="B19" s="160" t="s">
        <v>184</v>
      </c>
      <c r="C19" s="164">
        <v>3094</v>
      </c>
      <c r="D19" s="61">
        <v>34</v>
      </c>
      <c r="E19" s="80">
        <v>81</v>
      </c>
      <c r="F19" s="52">
        <v>2</v>
      </c>
      <c r="G19" s="303" t="s">
        <v>82</v>
      </c>
      <c r="H19" s="55" t="s">
        <v>83</v>
      </c>
      <c r="I19" s="56" t="s">
        <v>84</v>
      </c>
      <c r="J19" s="55" t="s">
        <v>99</v>
      </c>
      <c r="K19" s="56">
        <v>37.5</v>
      </c>
      <c r="L19" s="52">
        <v>62.5</v>
      </c>
      <c r="M19" s="87">
        <v>519</v>
      </c>
      <c r="N19" s="87">
        <v>15423</v>
      </c>
      <c r="O19" s="88">
        <v>26</v>
      </c>
      <c r="P19" s="88">
        <v>144</v>
      </c>
      <c r="Q19" s="89" t="s">
        <v>94</v>
      </c>
      <c r="R19" s="89" t="s">
        <v>94</v>
      </c>
      <c r="S19" s="88">
        <v>842</v>
      </c>
      <c r="T19" s="88">
        <v>2386</v>
      </c>
      <c r="U19" s="90">
        <v>107</v>
      </c>
      <c r="V19" s="90">
        <v>455</v>
      </c>
      <c r="W19" s="145">
        <v>4.2</v>
      </c>
      <c r="X19" s="145">
        <v>3.4</v>
      </c>
      <c r="Y19" s="90">
        <v>134</v>
      </c>
      <c r="Z19" s="90">
        <v>191</v>
      </c>
      <c r="AA19" s="145">
        <v>27</v>
      </c>
      <c r="AB19" s="145">
        <v>24</v>
      </c>
      <c r="AC19" s="89" t="s">
        <v>94</v>
      </c>
      <c r="AD19" s="89" t="s">
        <v>94</v>
      </c>
      <c r="AE19" s="319">
        <v>114.9</v>
      </c>
      <c r="AF19" s="334">
        <v>90.3</v>
      </c>
      <c r="AG19" s="89">
        <v>31</v>
      </c>
      <c r="AH19" s="89">
        <v>74</v>
      </c>
      <c r="AI19" s="88">
        <v>0.9</v>
      </c>
      <c r="AJ19" s="88">
        <v>1.1000000000000001</v>
      </c>
      <c r="AK19" s="269">
        <f t="shared" si="0"/>
        <v>0.20000000000000007</v>
      </c>
      <c r="AL19" s="89">
        <v>3.3</v>
      </c>
      <c r="AM19" s="89">
        <v>3.8</v>
      </c>
      <c r="AN19" s="88">
        <v>7.5</v>
      </c>
      <c r="AO19" s="88">
        <v>6.3</v>
      </c>
      <c r="AP19" s="88" t="s">
        <v>94</v>
      </c>
      <c r="AQ19" s="88" t="s">
        <v>94</v>
      </c>
      <c r="AR19" s="89">
        <v>9.4</v>
      </c>
      <c r="AS19" s="89">
        <v>8.3000000000000007</v>
      </c>
      <c r="AT19" s="89">
        <v>4.2</v>
      </c>
      <c r="AU19" s="89">
        <v>7.8</v>
      </c>
      <c r="AV19" s="88">
        <v>110</v>
      </c>
      <c r="AW19" s="260">
        <v>101</v>
      </c>
      <c r="AX19" s="145">
        <v>132</v>
      </c>
      <c r="AY19" s="145">
        <v>116</v>
      </c>
      <c r="AZ19" s="89" t="s">
        <v>94</v>
      </c>
      <c r="BA19" s="89" t="s">
        <v>94</v>
      </c>
      <c r="BB19" s="88" t="s">
        <v>94</v>
      </c>
      <c r="BC19" s="88" t="s">
        <v>94</v>
      </c>
      <c r="BD19" s="96">
        <f t="shared" si="1"/>
        <v>279.52644444444445</v>
      </c>
      <c r="BE19" s="96">
        <f t="shared" si="2"/>
        <v>263.05411111111113</v>
      </c>
      <c r="BF19" s="89">
        <v>5.05</v>
      </c>
      <c r="BG19" s="89">
        <v>4.1100000000000003</v>
      </c>
      <c r="BH19" s="145">
        <v>15.2</v>
      </c>
      <c r="BI19" s="145">
        <v>12.5</v>
      </c>
      <c r="BJ19" s="89">
        <v>46.1</v>
      </c>
      <c r="BK19" s="89">
        <v>37.4</v>
      </c>
      <c r="BL19" s="145">
        <v>91.3</v>
      </c>
      <c r="BM19" s="145">
        <v>91</v>
      </c>
      <c r="BN19" s="89">
        <v>30.1</v>
      </c>
      <c r="BO19" s="89">
        <v>30.4</v>
      </c>
      <c r="BP19" s="145">
        <v>33</v>
      </c>
      <c r="BQ19" s="145">
        <v>33.4</v>
      </c>
      <c r="BR19" s="89">
        <v>352</v>
      </c>
      <c r="BS19" s="89">
        <v>332</v>
      </c>
      <c r="BT19" s="145">
        <v>13.7</v>
      </c>
      <c r="BU19" s="145">
        <v>13.7</v>
      </c>
      <c r="BV19" s="108">
        <v>0.93</v>
      </c>
      <c r="BW19" s="108">
        <v>0.89</v>
      </c>
      <c r="BX19" s="63">
        <v>11.37</v>
      </c>
      <c r="BY19" s="63">
        <v>11.16</v>
      </c>
      <c r="BZ19" s="89">
        <v>78.8</v>
      </c>
      <c r="CA19" s="89">
        <v>82</v>
      </c>
      <c r="CB19" s="145">
        <v>13.3</v>
      </c>
      <c r="CC19" s="145">
        <v>6.4</v>
      </c>
      <c r="CD19" s="89">
        <v>6.3</v>
      </c>
      <c r="CE19" s="89">
        <v>11.3</v>
      </c>
      <c r="CF19" s="145">
        <v>1.1000000000000001</v>
      </c>
      <c r="CG19" s="145">
        <v>0</v>
      </c>
      <c r="CH19" s="89">
        <v>0.5</v>
      </c>
      <c r="CI19" s="89">
        <v>0.3</v>
      </c>
      <c r="CJ19" s="86" t="b">
        <f t="shared" si="3"/>
        <v>0</v>
      </c>
      <c r="CK19" s="2" t="b">
        <f t="shared" si="4"/>
        <v>1</v>
      </c>
      <c r="CL19" s="98">
        <f t="shared" si="5"/>
        <v>73.472700000000003</v>
      </c>
      <c r="CM19" s="98">
        <v>88.5</v>
      </c>
      <c r="CN19" s="98">
        <v>187</v>
      </c>
      <c r="CO19" s="86">
        <v>49.59</v>
      </c>
      <c r="CP19" s="98">
        <v>59.5</v>
      </c>
      <c r="CQ19" s="98">
        <v>0</v>
      </c>
      <c r="CR19" s="99">
        <v>16.98</v>
      </c>
      <c r="CS19" s="48"/>
    </row>
    <row r="20" spans="1:97" ht="15.75" customHeight="1">
      <c r="A20" s="72">
        <v>2017</v>
      </c>
      <c r="B20" s="160" t="s">
        <v>184</v>
      </c>
      <c r="C20" s="164">
        <v>3095</v>
      </c>
      <c r="D20" s="61">
        <v>34</v>
      </c>
      <c r="E20" s="80">
        <v>82</v>
      </c>
      <c r="F20" s="52">
        <v>2</v>
      </c>
      <c r="G20" s="303" t="s">
        <v>101</v>
      </c>
      <c r="H20" s="55" t="s">
        <v>83</v>
      </c>
      <c r="I20" s="56" t="s">
        <v>87</v>
      </c>
      <c r="J20" s="55" t="s">
        <v>99</v>
      </c>
      <c r="K20" s="56">
        <v>37.5</v>
      </c>
      <c r="L20" s="52">
        <v>62.5</v>
      </c>
      <c r="M20" s="87">
        <v>989</v>
      </c>
      <c r="N20" s="87">
        <v>7326</v>
      </c>
      <c r="O20" s="88">
        <v>31</v>
      </c>
      <c r="P20" s="88">
        <v>125</v>
      </c>
      <c r="Q20" s="89" t="s">
        <v>94</v>
      </c>
      <c r="R20" s="89" t="s">
        <v>94</v>
      </c>
      <c r="S20" s="88">
        <v>649</v>
      </c>
      <c r="T20" s="88">
        <v>1243</v>
      </c>
      <c r="U20" s="90">
        <v>79</v>
      </c>
      <c r="V20" s="90">
        <v>273</v>
      </c>
      <c r="W20" s="145">
        <v>4</v>
      </c>
      <c r="X20" s="145">
        <v>4.2</v>
      </c>
      <c r="Y20" s="90">
        <v>68</v>
      </c>
      <c r="Z20" s="90">
        <v>100</v>
      </c>
      <c r="AA20" s="145">
        <v>27</v>
      </c>
      <c r="AB20" s="145">
        <v>28</v>
      </c>
      <c r="AC20" s="89" t="s">
        <v>94</v>
      </c>
      <c r="AD20" s="89" t="s">
        <v>94</v>
      </c>
      <c r="AE20" s="319">
        <v>101.3</v>
      </c>
      <c r="AF20" s="334">
        <v>114.9</v>
      </c>
      <c r="AG20" s="89">
        <v>42</v>
      </c>
      <c r="AH20" s="89">
        <v>59</v>
      </c>
      <c r="AI20" s="88">
        <v>1</v>
      </c>
      <c r="AJ20" s="88">
        <v>0.9</v>
      </c>
      <c r="AK20" s="269">
        <f t="shared" si="0"/>
        <v>0</v>
      </c>
      <c r="AL20" s="89">
        <v>3.2</v>
      </c>
      <c r="AM20" s="89">
        <v>3.8</v>
      </c>
      <c r="AN20" s="88">
        <v>7.3</v>
      </c>
      <c r="AO20" s="88">
        <v>7.6</v>
      </c>
      <c r="AP20" s="88" t="s">
        <v>94</v>
      </c>
      <c r="AQ20" s="88" t="s">
        <v>94</v>
      </c>
      <c r="AR20" s="89">
        <v>9.4</v>
      </c>
      <c r="AS20" s="89">
        <v>9.4</v>
      </c>
      <c r="AT20" s="89">
        <v>4.3</v>
      </c>
      <c r="AU20" s="89">
        <v>6.2</v>
      </c>
      <c r="AV20" s="88">
        <v>96</v>
      </c>
      <c r="AW20" s="260">
        <v>65</v>
      </c>
      <c r="AX20" s="145">
        <v>134</v>
      </c>
      <c r="AY20" s="145">
        <v>133</v>
      </c>
      <c r="AZ20" s="89" t="s">
        <v>94</v>
      </c>
      <c r="BA20" s="89" t="s">
        <v>94</v>
      </c>
      <c r="BB20" s="88" t="s">
        <v>94</v>
      </c>
      <c r="BC20" s="88" t="s">
        <v>94</v>
      </c>
      <c r="BD20" s="96">
        <f t="shared" si="1"/>
        <v>284.37133333333338</v>
      </c>
      <c r="BE20" s="96">
        <f t="shared" si="2"/>
        <v>286.89811111111106</v>
      </c>
      <c r="BF20" s="89">
        <v>5.07</v>
      </c>
      <c r="BG20" s="89">
        <v>4.78</v>
      </c>
      <c r="BH20" s="145">
        <v>13.8</v>
      </c>
      <c r="BI20" s="145">
        <v>13.1</v>
      </c>
      <c r="BJ20" s="89">
        <v>43.1</v>
      </c>
      <c r="BK20" s="89">
        <v>41.5</v>
      </c>
      <c r="BL20" s="145">
        <v>85</v>
      </c>
      <c r="BM20" s="145">
        <v>86.8</v>
      </c>
      <c r="BN20" s="89">
        <v>27.2</v>
      </c>
      <c r="BO20" s="89">
        <v>27.4</v>
      </c>
      <c r="BP20" s="145">
        <v>32</v>
      </c>
      <c r="BQ20" s="145">
        <v>31.6</v>
      </c>
      <c r="BR20" s="89">
        <v>239</v>
      </c>
      <c r="BS20" s="89">
        <v>220</v>
      </c>
      <c r="BT20" s="145">
        <v>13.2</v>
      </c>
      <c r="BU20" s="145">
        <v>13.6</v>
      </c>
      <c r="BV20" s="108">
        <v>0.93</v>
      </c>
      <c r="BW20" s="108">
        <v>0.8</v>
      </c>
      <c r="BX20" s="63">
        <v>6.42</v>
      </c>
      <c r="BY20" s="63">
        <v>6.18</v>
      </c>
      <c r="BZ20" s="89">
        <v>57.3</v>
      </c>
      <c r="CA20" s="89">
        <v>60.5</v>
      </c>
      <c r="CB20" s="145">
        <v>32.1</v>
      </c>
      <c r="CC20" s="145">
        <v>27.3</v>
      </c>
      <c r="CD20" s="89">
        <v>9.1999999999999993</v>
      </c>
      <c r="CE20" s="89">
        <v>11.8</v>
      </c>
      <c r="CF20" s="145">
        <v>1.1000000000000001</v>
      </c>
      <c r="CG20" s="145">
        <v>0.2</v>
      </c>
      <c r="CH20" s="89">
        <v>0.3</v>
      </c>
      <c r="CI20" s="89">
        <v>0.2</v>
      </c>
      <c r="CJ20" s="86" t="b">
        <f t="shared" si="3"/>
        <v>0</v>
      </c>
      <c r="CK20" s="2" t="b">
        <f t="shared" si="4"/>
        <v>1</v>
      </c>
      <c r="CL20" s="98">
        <f t="shared" si="5"/>
        <v>71.675339999999991</v>
      </c>
      <c r="CM20" s="98">
        <v>78.599999999999994</v>
      </c>
      <c r="CN20" s="98">
        <v>172</v>
      </c>
      <c r="CO20" s="86">
        <v>51.33</v>
      </c>
      <c r="CP20" s="98">
        <v>48</v>
      </c>
      <c r="CQ20" s="98">
        <v>49</v>
      </c>
      <c r="CR20" s="96">
        <v>8.81</v>
      </c>
      <c r="CS20" s="48"/>
    </row>
    <row r="21" spans="1:97" ht="15.75" customHeight="1">
      <c r="A21" s="72">
        <v>2017</v>
      </c>
      <c r="B21" s="160" t="s">
        <v>184</v>
      </c>
      <c r="C21" s="164">
        <v>3102</v>
      </c>
      <c r="D21" s="61">
        <v>34</v>
      </c>
      <c r="E21" s="80">
        <v>85</v>
      </c>
      <c r="F21" s="52">
        <v>2</v>
      </c>
      <c r="G21" s="303" t="s">
        <v>82</v>
      </c>
      <c r="H21" s="55" t="s">
        <v>90</v>
      </c>
      <c r="I21" s="56" t="s">
        <v>84</v>
      </c>
      <c r="J21" s="55" t="s">
        <v>97</v>
      </c>
      <c r="K21" s="56">
        <v>37.5</v>
      </c>
      <c r="L21" s="52">
        <v>62.5</v>
      </c>
      <c r="M21" s="87">
        <v>1545</v>
      </c>
      <c r="N21" s="87">
        <v>21065</v>
      </c>
      <c r="O21" s="88">
        <v>35</v>
      </c>
      <c r="P21" s="88">
        <v>196</v>
      </c>
      <c r="Q21" s="89" t="s">
        <v>94</v>
      </c>
      <c r="R21" s="89" t="s">
        <v>94</v>
      </c>
      <c r="S21" s="88">
        <v>836</v>
      </c>
      <c r="T21" s="88">
        <v>2652</v>
      </c>
      <c r="U21" s="90">
        <v>108</v>
      </c>
      <c r="V21" s="90">
        <v>424</v>
      </c>
      <c r="W21" s="145">
        <v>4.3</v>
      </c>
      <c r="X21" s="145">
        <v>4.2</v>
      </c>
      <c r="Y21" s="90">
        <v>109</v>
      </c>
      <c r="Z21" s="90">
        <v>151</v>
      </c>
      <c r="AA21" s="145">
        <v>36</v>
      </c>
      <c r="AB21" s="145">
        <v>34</v>
      </c>
      <c r="AC21" s="89" t="s">
        <v>94</v>
      </c>
      <c r="AD21" s="89" t="s">
        <v>94</v>
      </c>
      <c r="AE21" s="319">
        <v>124</v>
      </c>
      <c r="AF21" s="334">
        <v>124</v>
      </c>
      <c r="AG21" s="89">
        <v>28</v>
      </c>
      <c r="AH21" s="89">
        <v>44</v>
      </c>
      <c r="AI21" s="88">
        <v>0.7</v>
      </c>
      <c r="AJ21" s="88">
        <v>0.7</v>
      </c>
      <c r="AK21" s="269">
        <f t="shared" si="0"/>
        <v>0</v>
      </c>
      <c r="AL21" s="89">
        <v>3.8</v>
      </c>
      <c r="AM21" s="89">
        <v>4</v>
      </c>
      <c r="AN21" s="88">
        <v>7.2</v>
      </c>
      <c r="AO21" s="88">
        <v>6.8</v>
      </c>
      <c r="AP21" s="88" t="s">
        <v>94</v>
      </c>
      <c r="AQ21" s="88" t="s">
        <v>94</v>
      </c>
      <c r="AR21" s="89">
        <v>9.3000000000000007</v>
      </c>
      <c r="AS21" s="89">
        <v>9.1</v>
      </c>
      <c r="AT21" s="89">
        <v>4.5</v>
      </c>
      <c r="AU21" s="89">
        <v>6.8</v>
      </c>
      <c r="AV21" s="88">
        <v>95</v>
      </c>
      <c r="AW21" s="260">
        <v>95</v>
      </c>
      <c r="AX21" s="145">
        <v>137</v>
      </c>
      <c r="AY21" s="145">
        <v>135</v>
      </c>
      <c r="AZ21" s="89" t="s">
        <v>94</v>
      </c>
      <c r="BA21" s="89" t="s">
        <v>94</v>
      </c>
      <c r="BB21" s="88" t="s">
        <v>94</v>
      </c>
      <c r="BC21" s="88" t="s">
        <v>94</v>
      </c>
      <c r="BD21" s="96">
        <f t="shared" si="1"/>
        <v>287.92611111111114</v>
      </c>
      <c r="BE21" s="96">
        <f t="shared" si="2"/>
        <v>291.15077777777782</v>
      </c>
      <c r="BF21" s="89">
        <v>4.68</v>
      </c>
      <c r="BG21" s="89">
        <v>4.17</v>
      </c>
      <c r="BH21" s="145">
        <v>12.7</v>
      </c>
      <c r="BI21" s="145">
        <v>11.3</v>
      </c>
      <c r="BJ21" s="89">
        <v>39.4</v>
      </c>
      <c r="BK21" s="89">
        <v>35.299999999999997</v>
      </c>
      <c r="BL21" s="145">
        <v>84.2</v>
      </c>
      <c r="BM21" s="145">
        <v>84.7</v>
      </c>
      <c r="BN21" s="89">
        <v>27.1</v>
      </c>
      <c r="BO21" s="89">
        <v>27.1</v>
      </c>
      <c r="BP21" s="145">
        <v>32.200000000000003</v>
      </c>
      <c r="BQ21" s="145">
        <v>32</v>
      </c>
      <c r="BR21" s="89">
        <v>276</v>
      </c>
      <c r="BS21" s="89">
        <v>190</v>
      </c>
      <c r="BT21" s="145">
        <v>14</v>
      </c>
      <c r="BU21" s="145">
        <v>14</v>
      </c>
      <c r="BV21" s="108">
        <v>1.39</v>
      </c>
      <c r="BW21" s="108">
        <v>1.38</v>
      </c>
      <c r="BX21" s="63">
        <v>5.67</v>
      </c>
      <c r="BY21" s="63">
        <v>5.21</v>
      </c>
      <c r="BZ21" s="89">
        <v>60.6</v>
      </c>
      <c r="CA21" s="89">
        <v>50.9</v>
      </c>
      <c r="CB21" s="145">
        <v>29.5</v>
      </c>
      <c r="CC21" s="145">
        <v>32.4</v>
      </c>
      <c r="CD21" s="89">
        <v>7.9</v>
      </c>
      <c r="CE21" s="89">
        <v>14.8</v>
      </c>
      <c r="CF21" s="145">
        <v>1.1000000000000001</v>
      </c>
      <c r="CG21" s="145">
        <v>1.5</v>
      </c>
      <c r="CH21" s="89">
        <v>0.9</v>
      </c>
      <c r="CI21" s="89">
        <v>0.4</v>
      </c>
      <c r="CJ21" s="86" t="b">
        <f t="shared" si="3"/>
        <v>0</v>
      </c>
      <c r="CK21" s="2" t="b">
        <f t="shared" si="4"/>
        <v>1</v>
      </c>
      <c r="CL21" s="98">
        <f t="shared" si="5"/>
        <v>75.626200000000011</v>
      </c>
      <c r="CM21" s="98">
        <v>88.4</v>
      </c>
      <c r="CN21" s="98">
        <v>179</v>
      </c>
      <c r="CO21" s="86">
        <v>47.54</v>
      </c>
      <c r="CP21" s="98">
        <v>51.5</v>
      </c>
      <c r="CQ21" s="98">
        <v>50.5</v>
      </c>
      <c r="CR21" s="96">
        <v>14.45</v>
      </c>
      <c r="CS21" s="48"/>
    </row>
    <row r="22" spans="1:97" ht="17.25" customHeight="1">
      <c r="A22" s="72">
        <v>2017</v>
      </c>
      <c r="B22" s="160" t="s">
        <v>184</v>
      </c>
      <c r="C22" s="164">
        <v>3103</v>
      </c>
      <c r="D22" s="61">
        <v>30</v>
      </c>
      <c r="E22" s="80">
        <v>0</v>
      </c>
      <c r="F22" s="52">
        <v>2</v>
      </c>
      <c r="G22" s="303" t="s">
        <v>89</v>
      </c>
      <c r="H22" s="55" t="s">
        <v>90</v>
      </c>
      <c r="I22" s="56" t="s">
        <v>93</v>
      </c>
      <c r="J22" s="55" t="s">
        <v>97</v>
      </c>
      <c r="K22" s="53">
        <v>62.5</v>
      </c>
      <c r="L22" s="55">
        <v>37.5</v>
      </c>
      <c r="M22" s="87">
        <v>1345</v>
      </c>
      <c r="N22" s="87">
        <v>13125</v>
      </c>
      <c r="O22" s="88">
        <v>23</v>
      </c>
      <c r="P22" s="88">
        <v>85</v>
      </c>
      <c r="Q22" s="89" t="s">
        <v>94</v>
      </c>
      <c r="R22" s="89" t="s">
        <v>94</v>
      </c>
      <c r="S22" s="88">
        <v>771</v>
      </c>
      <c r="T22" s="88">
        <v>2033</v>
      </c>
      <c r="U22" s="90">
        <v>171</v>
      </c>
      <c r="V22" s="90">
        <v>269</v>
      </c>
      <c r="W22" s="145">
        <v>4.5</v>
      </c>
      <c r="X22" s="145">
        <v>4.0999999999999996</v>
      </c>
      <c r="Y22" s="90">
        <v>269</v>
      </c>
      <c r="Z22" s="90">
        <v>182</v>
      </c>
      <c r="AA22" s="145">
        <v>132</v>
      </c>
      <c r="AB22" s="145">
        <v>106</v>
      </c>
      <c r="AC22" s="89" t="s">
        <v>94</v>
      </c>
      <c r="AD22" s="89" t="s">
        <v>94</v>
      </c>
      <c r="AE22" s="325">
        <v>127.1</v>
      </c>
      <c r="AF22" s="343">
        <v>127.1</v>
      </c>
      <c r="AG22" s="89">
        <v>25</v>
      </c>
      <c r="AH22" s="89">
        <v>47</v>
      </c>
      <c r="AI22" s="88">
        <v>0.7</v>
      </c>
      <c r="AJ22" s="88">
        <v>0.7</v>
      </c>
      <c r="AK22" s="269">
        <f t="shared" si="0"/>
        <v>0</v>
      </c>
      <c r="AL22" s="89">
        <v>3.9</v>
      </c>
      <c r="AM22" s="89">
        <v>3.8</v>
      </c>
      <c r="AN22" s="88">
        <v>7.2</v>
      </c>
      <c r="AO22" s="88">
        <v>6.6</v>
      </c>
      <c r="AP22" s="88" t="s">
        <v>94</v>
      </c>
      <c r="AQ22" s="88" t="s">
        <v>94</v>
      </c>
      <c r="AR22" s="89">
        <v>9.6999999999999993</v>
      </c>
      <c r="AS22" s="89">
        <v>8.9</v>
      </c>
      <c r="AT22" s="89">
        <v>4.3</v>
      </c>
      <c r="AU22" s="89">
        <v>6.3</v>
      </c>
      <c r="AV22" s="88">
        <v>99</v>
      </c>
      <c r="AW22" s="260">
        <v>105</v>
      </c>
      <c r="AX22" s="145">
        <v>135</v>
      </c>
      <c r="AY22" s="145">
        <v>131</v>
      </c>
      <c r="AZ22" s="89" t="s">
        <v>94</v>
      </c>
      <c r="BA22" s="89" t="s">
        <v>94</v>
      </c>
      <c r="BB22" s="88" t="s">
        <v>94</v>
      </c>
      <c r="BC22" s="88" t="s">
        <v>94</v>
      </c>
      <c r="BD22" s="96">
        <f t="shared" si="1"/>
        <v>283.58966666666669</v>
      </c>
      <c r="BE22" s="96">
        <f t="shared" si="2"/>
        <v>283.91966666666667</v>
      </c>
      <c r="BF22" s="89">
        <v>4.37</v>
      </c>
      <c r="BG22" s="89">
        <v>3.75</v>
      </c>
      <c r="BH22" s="145">
        <v>13.7</v>
      </c>
      <c r="BI22" s="145">
        <v>11.9</v>
      </c>
      <c r="BJ22" s="89">
        <v>41.4</v>
      </c>
      <c r="BK22" s="89">
        <v>36.6</v>
      </c>
      <c r="BL22" s="145">
        <v>94.7</v>
      </c>
      <c r="BM22" s="145">
        <v>97.6</v>
      </c>
      <c r="BN22" s="89">
        <v>31.4</v>
      </c>
      <c r="BO22" s="89">
        <v>31.7</v>
      </c>
      <c r="BP22" s="145">
        <v>33.1</v>
      </c>
      <c r="BQ22" s="145">
        <v>32.5</v>
      </c>
      <c r="BR22" s="89">
        <v>293</v>
      </c>
      <c r="BS22" s="89">
        <v>267</v>
      </c>
      <c r="BT22" s="145">
        <v>11.9</v>
      </c>
      <c r="BU22" s="145">
        <v>12</v>
      </c>
      <c r="BV22" s="108">
        <v>1.41</v>
      </c>
      <c r="BW22" s="108">
        <v>1.61</v>
      </c>
      <c r="BX22" s="63">
        <v>5.32</v>
      </c>
      <c r="BY22" s="63">
        <v>5.42</v>
      </c>
      <c r="BZ22" s="89">
        <v>61</v>
      </c>
      <c r="CA22" s="89">
        <v>66</v>
      </c>
      <c r="CB22" s="145">
        <v>27.8</v>
      </c>
      <c r="CC22" s="145">
        <v>22.7</v>
      </c>
      <c r="CD22" s="89">
        <v>9.6</v>
      </c>
      <c r="CE22" s="89">
        <v>9.6</v>
      </c>
      <c r="CF22" s="145">
        <v>0.8</v>
      </c>
      <c r="CG22" s="145">
        <v>1.3</v>
      </c>
      <c r="CH22" s="89">
        <v>0.8</v>
      </c>
      <c r="CI22" s="89">
        <v>0.4</v>
      </c>
      <c r="CJ22" s="86" t="b">
        <f t="shared" si="3"/>
        <v>0</v>
      </c>
      <c r="CK22" s="2" t="b">
        <f t="shared" si="4"/>
        <v>1</v>
      </c>
      <c r="CL22" s="98">
        <f t="shared" si="5"/>
        <v>60.885999999999996</v>
      </c>
      <c r="CM22" s="98">
        <v>70</v>
      </c>
      <c r="CN22" s="98">
        <v>167</v>
      </c>
      <c r="CO22" s="86">
        <v>53.35</v>
      </c>
      <c r="CP22" s="98">
        <v>42.5</v>
      </c>
      <c r="CQ22" s="98">
        <v>38</v>
      </c>
      <c r="CR22" s="96">
        <v>13.02</v>
      </c>
      <c r="CS22" s="48"/>
    </row>
    <row r="23" spans="1:97" ht="15.75" customHeight="1">
      <c r="A23" s="72">
        <v>2017</v>
      </c>
      <c r="B23" s="160" t="s">
        <v>184</v>
      </c>
      <c r="C23" s="164">
        <v>3105</v>
      </c>
      <c r="D23" s="61">
        <v>32</v>
      </c>
      <c r="E23" s="80">
        <v>82</v>
      </c>
      <c r="F23" s="52">
        <v>2</v>
      </c>
      <c r="G23" s="76" t="s">
        <v>86</v>
      </c>
      <c r="H23" s="55" t="s">
        <v>90</v>
      </c>
      <c r="I23" s="56" t="s">
        <v>84</v>
      </c>
      <c r="J23" s="55" t="s">
        <v>99</v>
      </c>
      <c r="K23" s="56">
        <v>50</v>
      </c>
      <c r="L23" s="55">
        <v>50</v>
      </c>
      <c r="M23" s="87">
        <v>1460</v>
      </c>
      <c r="N23" s="87">
        <v>27137</v>
      </c>
      <c r="O23" s="88">
        <v>40</v>
      </c>
      <c r="P23" s="88">
        <v>244</v>
      </c>
      <c r="Q23" s="89" t="s">
        <v>94</v>
      </c>
      <c r="R23" s="89" t="s">
        <v>94</v>
      </c>
      <c r="S23" s="88">
        <v>1034</v>
      </c>
      <c r="T23" s="88">
        <v>2528</v>
      </c>
      <c r="U23" s="90">
        <v>153</v>
      </c>
      <c r="V23" s="90">
        <v>594</v>
      </c>
      <c r="W23" s="145">
        <v>4.4000000000000004</v>
      </c>
      <c r="X23" s="145">
        <v>3.9</v>
      </c>
      <c r="Y23" s="90">
        <v>144</v>
      </c>
      <c r="Z23" s="90">
        <v>204</v>
      </c>
      <c r="AA23" s="145">
        <v>16</v>
      </c>
      <c r="AB23" s="145">
        <v>15</v>
      </c>
      <c r="AC23" s="89" t="s">
        <v>94</v>
      </c>
      <c r="AD23" s="89" t="s">
        <v>94</v>
      </c>
      <c r="AE23" s="112">
        <v>120.6</v>
      </c>
      <c r="AF23" s="112">
        <v>116.4</v>
      </c>
      <c r="AG23" s="89">
        <v>39</v>
      </c>
      <c r="AH23" s="89">
        <v>48</v>
      </c>
      <c r="AI23" s="88">
        <v>0.8</v>
      </c>
      <c r="AJ23" s="88">
        <v>0.9</v>
      </c>
      <c r="AK23" s="269">
        <f t="shared" si="0"/>
        <v>9.9999999999999978E-2</v>
      </c>
      <c r="AL23" s="89">
        <v>3.6</v>
      </c>
      <c r="AM23" s="89">
        <v>4.5</v>
      </c>
      <c r="AN23" s="88">
        <v>7.7</v>
      </c>
      <c r="AO23" s="88">
        <v>6.8</v>
      </c>
      <c r="AP23" s="88" t="s">
        <v>94</v>
      </c>
      <c r="AQ23" s="88" t="s">
        <v>94</v>
      </c>
      <c r="AR23" s="89">
        <v>9.6</v>
      </c>
      <c r="AS23" s="89">
        <v>8.9</v>
      </c>
      <c r="AT23" s="89">
        <v>4.4000000000000004</v>
      </c>
      <c r="AU23" s="89">
        <v>5.9</v>
      </c>
      <c r="AV23" s="88">
        <v>93</v>
      </c>
      <c r="AW23" s="88">
        <v>84</v>
      </c>
      <c r="AX23" s="145">
        <v>136</v>
      </c>
      <c r="AY23" s="145">
        <v>134</v>
      </c>
      <c r="AZ23" s="89" t="s">
        <v>94</v>
      </c>
      <c r="BA23" s="89" t="s">
        <v>94</v>
      </c>
      <c r="BB23" s="88" t="s">
        <v>94</v>
      </c>
      <c r="BC23" s="88" t="s">
        <v>94</v>
      </c>
      <c r="BD23" s="96">
        <f t="shared" si="1"/>
        <v>287.58566666666667</v>
      </c>
      <c r="BE23" s="96">
        <f t="shared" si="2"/>
        <v>287.58066666666667</v>
      </c>
      <c r="BF23" s="89">
        <v>4.5599999999999996</v>
      </c>
      <c r="BG23" s="89">
        <v>3.97</v>
      </c>
      <c r="BH23" s="145">
        <v>13.5</v>
      </c>
      <c r="BI23" s="145">
        <v>11.8</v>
      </c>
      <c r="BJ23" s="89">
        <v>42.1</v>
      </c>
      <c r="BK23" s="89">
        <v>37.5</v>
      </c>
      <c r="BL23" s="145">
        <v>92.3</v>
      </c>
      <c r="BM23" s="145">
        <v>94.5</v>
      </c>
      <c r="BN23" s="89">
        <v>29.6</v>
      </c>
      <c r="BO23" s="89">
        <v>29.7</v>
      </c>
      <c r="BP23" s="145">
        <v>32.1</v>
      </c>
      <c r="BQ23" s="145">
        <v>31.5</v>
      </c>
      <c r="BR23" s="89">
        <v>373</v>
      </c>
      <c r="BS23" s="89">
        <v>345</v>
      </c>
      <c r="BT23" s="145">
        <v>13.2</v>
      </c>
      <c r="BU23" s="145">
        <v>13.1</v>
      </c>
      <c r="BV23" s="108">
        <v>1.1000000000000001</v>
      </c>
      <c r="BW23" s="108">
        <v>0.89</v>
      </c>
      <c r="BX23" s="63">
        <v>8.4</v>
      </c>
      <c r="BY23" s="63">
        <v>4.59</v>
      </c>
      <c r="BZ23" s="89">
        <v>75.5</v>
      </c>
      <c r="CA23" s="89">
        <v>56.6</v>
      </c>
      <c r="CB23" s="145">
        <v>17.100000000000001</v>
      </c>
      <c r="CC23" s="145">
        <v>27.5</v>
      </c>
      <c r="CD23" s="89">
        <v>6</v>
      </c>
      <c r="CE23" s="89">
        <v>13.9</v>
      </c>
      <c r="CF23" s="145">
        <v>1.2</v>
      </c>
      <c r="CG23" s="145">
        <v>2</v>
      </c>
      <c r="CH23" s="89">
        <v>0.2</v>
      </c>
      <c r="CI23" s="89">
        <v>0</v>
      </c>
      <c r="CJ23" s="86" t="b">
        <f t="shared" si="3"/>
        <v>0</v>
      </c>
      <c r="CK23" s="2" t="b">
        <f t="shared" si="4"/>
        <v>1</v>
      </c>
      <c r="CL23" s="98">
        <f t="shared" si="5"/>
        <v>71.683920000000001</v>
      </c>
      <c r="CM23" s="98">
        <v>79.2</v>
      </c>
      <c r="CN23" s="98">
        <v>172.6</v>
      </c>
      <c r="CO23" s="86">
        <v>51.6</v>
      </c>
      <c r="CP23" s="98">
        <v>60</v>
      </c>
      <c r="CQ23" s="98">
        <v>54</v>
      </c>
      <c r="CR23" s="96">
        <v>9.49</v>
      </c>
    </row>
    <row r="24" spans="1:97" ht="15.75" customHeight="1">
      <c r="A24" s="72">
        <v>2017</v>
      </c>
      <c r="B24" s="160" t="s">
        <v>184</v>
      </c>
      <c r="C24" s="164">
        <v>3106</v>
      </c>
      <c r="D24" s="61">
        <v>31</v>
      </c>
      <c r="E24" s="80">
        <v>85</v>
      </c>
      <c r="F24" s="52">
        <v>2</v>
      </c>
      <c r="G24" s="76" t="s">
        <v>82</v>
      </c>
      <c r="H24" s="55" t="s">
        <v>83</v>
      </c>
      <c r="I24" s="56" t="s">
        <v>93</v>
      </c>
      <c r="J24" s="55" t="s">
        <v>99</v>
      </c>
      <c r="K24" s="56">
        <v>50</v>
      </c>
      <c r="L24" s="55">
        <v>50</v>
      </c>
      <c r="M24" s="87">
        <v>239</v>
      </c>
      <c r="N24" s="87">
        <v>8377</v>
      </c>
      <c r="O24" s="88">
        <v>19</v>
      </c>
      <c r="P24" s="88">
        <v>68</v>
      </c>
      <c r="Q24" s="89" t="s">
        <v>94</v>
      </c>
      <c r="R24" s="89" t="s">
        <v>94</v>
      </c>
      <c r="S24" s="88">
        <v>506</v>
      </c>
      <c r="T24" s="88">
        <v>1372</v>
      </c>
      <c r="U24" s="90">
        <v>43</v>
      </c>
      <c r="V24" s="90">
        <v>244</v>
      </c>
      <c r="W24" s="145">
        <v>4.4000000000000004</v>
      </c>
      <c r="X24" s="145">
        <v>4.5</v>
      </c>
      <c r="Y24" s="90">
        <v>41</v>
      </c>
      <c r="Z24" s="90">
        <v>85</v>
      </c>
      <c r="AA24" s="145">
        <v>12</v>
      </c>
      <c r="AB24" s="145">
        <v>15</v>
      </c>
      <c r="AC24" s="89" t="s">
        <v>94</v>
      </c>
      <c r="AD24" s="89" t="s">
        <v>94</v>
      </c>
      <c r="AE24" s="112">
        <v>103.2</v>
      </c>
      <c r="AF24" s="112">
        <v>103.2</v>
      </c>
      <c r="AG24" s="89">
        <v>40</v>
      </c>
      <c r="AH24" s="89">
        <v>62</v>
      </c>
      <c r="AI24" s="88">
        <v>1</v>
      </c>
      <c r="AJ24" s="88">
        <v>1</v>
      </c>
      <c r="AK24" s="269">
        <f t="shared" si="0"/>
        <v>0</v>
      </c>
      <c r="AL24" s="89">
        <v>3.1</v>
      </c>
      <c r="AM24" s="89">
        <v>4.4000000000000004</v>
      </c>
      <c r="AN24" s="88">
        <v>7.4</v>
      </c>
      <c r="AO24" s="88">
        <v>7.6</v>
      </c>
      <c r="AP24" s="88" t="s">
        <v>94</v>
      </c>
      <c r="AQ24" s="88" t="s">
        <v>94</v>
      </c>
      <c r="AR24" s="89">
        <v>9.5</v>
      </c>
      <c r="AS24" s="89">
        <v>9.3000000000000007</v>
      </c>
      <c r="AT24" s="89">
        <v>5</v>
      </c>
      <c r="AU24" s="89">
        <v>4.5</v>
      </c>
      <c r="AV24" s="88">
        <v>102</v>
      </c>
      <c r="AW24" s="88">
        <v>68</v>
      </c>
      <c r="AX24" s="145">
        <v>137</v>
      </c>
      <c r="AY24" s="145">
        <v>134</v>
      </c>
      <c r="AZ24" s="89" t="s">
        <v>94</v>
      </c>
      <c r="BA24" s="89" t="s">
        <v>94</v>
      </c>
      <c r="BB24" s="88" t="s">
        <v>94</v>
      </c>
      <c r="BC24" s="88" t="s">
        <v>94</v>
      </c>
      <c r="BD24" s="96">
        <f t="shared" si="1"/>
        <v>291.30333333333334</v>
      </c>
      <c r="BE24" s="96">
        <f t="shared" si="2"/>
        <v>286.28777777777776</v>
      </c>
      <c r="BF24" s="89">
        <v>4.99</v>
      </c>
      <c r="BG24" s="89">
        <v>4.78</v>
      </c>
      <c r="BH24" s="145">
        <v>13.7</v>
      </c>
      <c r="BI24" s="145">
        <v>13.3</v>
      </c>
      <c r="BJ24" s="89">
        <v>40.5</v>
      </c>
      <c r="BK24" s="89">
        <v>38.700000000000003</v>
      </c>
      <c r="BL24" s="145">
        <v>81.2</v>
      </c>
      <c r="BM24" s="145">
        <v>81</v>
      </c>
      <c r="BN24" s="89">
        <v>27.5</v>
      </c>
      <c r="BO24" s="89">
        <v>27.8</v>
      </c>
      <c r="BP24" s="145">
        <v>33.799999999999997</v>
      </c>
      <c r="BQ24" s="145">
        <v>34.4</v>
      </c>
      <c r="BR24" s="89">
        <v>324</v>
      </c>
      <c r="BS24" s="89">
        <v>274</v>
      </c>
      <c r="BT24" s="145">
        <v>12.9</v>
      </c>
      <c r="BU24" s="145">
        <v>13</v>
      </c>
      <c r="BV24" s="108">
        <v>1.1200000000000001</v>
      </c>
      <c r="BW24" s="108">
        <v>0.99</v>
      </c>
      <c r="BX24" s="63">
        <v>8.0399999999999991</v>
      </c>
      <c r="BY24" s="63">
        <v>5.5</v>
      </c>
      <c r="BZ24" s="89">
        <v>67.900000000000006</v>
      </c>
      <c r="CA24" s="89">
        <v>44.9</v>
      </c>
      <c r="CB24" s="145">
        <v>21.5</v>
      </c>
      <c r="CC24" s="145">
        <v>31.8</v>
      </c>
      <c r="CD24" s="89">
        <v>8.8000000000000007</v>
      </c>
      <c r="CE24" s="89">
        <v>21.1</v>
      </c>
      <c r="CF24" s="145">
        <v>1.1000000000000001</v>
      </c>
      <c r="CG24" s="145">
        <v>1.3</v>
      </c>
      <c r="CH24" s="89">
        <v>0.7</v>
      </c>
      <c r="CI24" s="89">
        <v>0.9</v>
      </c>
      <c r="CJ24" s="86" t="b">
        <f t="shared" si="3"/>
        <v>0</v>
      </c>
      <c r="CK24" s="2" t="b">
        <f t="shared" si="4"/>
        <v>1</v>
      </c>
      <c r="CL24" s="98">
        <f t="shared" si="5"/>
        <v>76.33</v>
      </c>
      <c r="CM24" s="98">
        <v>85</v>
      </c>
      <c r="CN24" s="98">
        <v>181</v>
      </c>
      <c r="CO24" s="86">
        <v>50.68</v>
      </c>
      <c r="CP24" s="98">
        <v>52</v>
      </c>
      <c r="CQ24" s="98">
        <v>55</v>
      </c>
      <c r="CR24" s="96">
        <v>10.199999999999999</v>
      </c>
    </row>
    <row r="25" spans="1:97" ht="15.75" customHeight="1">
      <c r="A25" s="72">
        <v>2017</v>
      </c>
      <c r="B25" s="160" t="s">
        <v>184</v>
      </c>
      <c r="C25" s="164">
        <v>3108</v>
      </c>
      <c r="D25" s="61">
        <v>31</v>
      </c>
      <c r="E25" s="80">
        <v>80</v>
      </c>
      <c r="F25" s="52">
        <v>2</v>
      </c>
      <c r="G25" s="54" t="s">
        <v>86</v>
      </c>
      <c r="H25" s="55" t="s">
        <v>83</v>
      </c>
      <c r="I25" s="56" t="s">
        <v>93</v>
      </c>
      <c r="J25" s="55" t="s">
        <v>100</v>
      </c>
      <c r="K25" s="53">
        <v>62.5</v>
      </c>
      <c r="L25" s="55">
        <v>37.5</v>
      </c>
      <c r="M25" s="87">
        <v>593</v>
      </c>
      <c r="N25" s="87">
        <v>8433</v>
      </c>
      <c r="O25" s="88">
        <v>29</v>
      </c>
      <c r="P25" s="88">
        <v>79</v>
      </c>
      <c r="Q25" s="89" t="s">
        <v>94</v>
      </c>
      <c r="R25" s="89" t="s">
        <v>94</v>
      </c>
      <c r="S25" s="88">
        <v>686</v>
      </c>
      <c r="T25" s="88">
        <v>1226</v>
      </c>
      <c r="U25" s="90">
        <v>72</v>
      </c>
      <c r="V25" s="90">
        <v>275</v>
      </c>
      <c r="W25" s="145">
        <v>4.7</v>
      </c>
      <c r="X25" s="145">
        <v>4.3</v>
      </c>
      <c r="Y25" s="90">
        <v>65</v>
      </c>
      <c r="Z25" s="90">
        <v>117</v>
      </c>
      <c r="AA25" s="145">
        <v>17</v>
      </c>
      <c r="AB25" s="145">
        <v>21</v>
      </c>
      <c r="AC25" s="89" t="s">
        <v>94</v>
      </c>
      <c r="AD25" s="89" t="s">
        <v>94</v>
      </c>
      <c r="AE25" s="112">
        <v>121.3</v>
      </c>
      <c r="AF25" s="112">
        <v>121.3</v>
      </c>
      <c r="AG25" s="89">
        <v>37</v>
      </c>
      <c r="AH25" s="89">
        <v>46</v>
      </c>
      <c r="AI25" s="88">
        <v>0.8</v>
      </c>
      <c r="AJ25" s="88">
        <v>0.8</v>
      </c>
      <c r="AK25" s="269">
        <f t="shared" si="0"/>
        <v>0</v>
      </c>
      <c r="AL25" s="89">
        <v>3.6</v>
      </c>
      <c r="AM25" s="89">
        <v>4</v>
      </c>
      <c r="AN25" s="88">
        <v>8</v>
      </c>
      <c r="AO25" s="88">
        <v>7.4</v>
      </c>
      <c r="AP25" s="88" t="s">
        <v>94</v>
      </c>
      <c r="AQ25" s="88" t="s">
        <v>94</v>
      </c>
      <c r="AR25" s="89">
        <v>9.6999999999999993</v>
      </c>
      <c r="AS25" s="89">
        <v>9</v>
      </c>
      <c r="AT25" s="89">
        <v>4.4000000000000004</v>
      </c>
      <c r="AU25" s="89">
        <v>4.0999999999999996</v>
      </c>
      <c r="AV25" s="88">
        <v>116</v>
      </c>
      <c r="AW25" s="88">
        <v>88</v>
      </c>
      <c r="AX25" s="145">
        <v>137</v>
      </c>
      <c r="AY25" s="145">
        <v>129</v>
      </c>
      <c r="AZ25" s="89" t="s">
        <v>94</v>
      </c>
      <c r="BA25" s="89" t="s">
        <v>94</v>
      </c>
      <c r="BB25" s="88" t="s">
        <v>94</v>
      </c>
      <c r="BC25" s="88" t="s">
        <v>94</v>
      </c>
      <c r="BD25" s="96">
        <f t="shared" si="1"/>
        <v>290.5817777777778</v>
      </c>
      <c r="BE25" s="96">
        <f t="shared" si="2"/>
        <v>274.85488888888892</v>
      </c>
      <c r="BF25" s="89">
        <v>4.6500000000000004</v>
      </c>
      <c r="BG25" s="89">
        <v>4.32</v>
      </c>
      <c r="BH25" s="145">
        <v>14.3</v>
      </c>
      <c r="BI25" s="145">
        <v>13.1</v>
      </c>
      <c r="BJ25" s="89">
        <v>43.6</v>
      </c>
      <c r="BK25" s="89">
        <v>40.4</v>
      </c>
      <c r="BL25" s="145">
        <v>93.8</v>
      </c>
      <c r="BM25" s="145">
        <v>93.5</v>
      </c>
      <c r="BN25" s="89">
        <v>30.8</v>
      </c>
      <c r="BO25" s="89">
        <v>30.3</v>
      </c>
      <c r="BP25" s="145">
        <v>32.799999999999997</v>
      </c>
      <c r="BQ25" s="145">
        <v>32.4</v>
      </c>
      <c r="BR25" s="89">
        <v>262</v>
      </c>
      <c r="BS25" s="89">
        <v>202</v>
      </c>
      <c r="BT25" s="145">
        <v>12.8</v>
      </c>
      <c r="BU25" s="145">
        <v>12.4</v>
      </c>
      <c r="BV25" s="108">
        <v>1.51</v>
      </c>
      <c r="BW25" s="108">
        <v>1.18</v>
      </c>
      <c r="BX25" s="63">
        <v>11</v>
      </c>
      <c r="BY25" s="63">
        <v>3.5</v>
      </c>
      <c r="BZ25" s="89">
        <v>71.400000000000006</v>
      </c>
      <c r="CA25" s="89">
        <v>55.9</v>
      </c>
      <c r="CB25" s="145">
        <v>20.399999999999999</v>
      </c>
      <c r="CC25" s="145">
        <v>32</v>
      </c>
      <c r="CD25" s="89">
        <v>7.4</v>
      </c>
      <c r="CE25" s="89">
        <v>10.9</v>
      </c>
      <c r="CF25" s="145">
        <v>0.4</v>
      </c>
      <c r="CG25" s="145">
        <v>0.6</v>
      </c>
      <c r="CH25" s="89">
        <v>0.4</v>
      </c>
      <c r="CI25" s="89">
        <v>0.6</v>
      </c>
      <c r="CJ25" s="86" t="b">
        <f t="shared" si="3"/>
        <v>0</v>
      </c>
      <c r="CK25" s="2" t="b">
        <f t="shared" si="4"/>
        <v>1</v>
      </c>
      <c r="CL25" s="98">
        <f t="shared" si="5"/>
        <v>71.280989999999989</v>
      </c>
      <c r="CM25" s="98">
        <v>80.099999999999994</v>
      </c>
      <c r="CN25" s="98">
        <v>184</v>
      </c>
      <c r="CO25" s="86">
        <v>51.35</v>
      </c>
      <c r="CP25" s="98">
        <v>57</v>
      </c>
      <c r="CQ25" s="98">
        <v>55</v>
      </c>
      <c r="CR25" s="96">
        <v>11.01</v>
      </c>
    </row>
    <row r="26" spans="1:97" ht="15.75" customHeight="1">
      <c r="A26" s="72">
        <v>2017</v>
      </c>
      <c r="B26" s="160" t="s">
        <v>184</v>
      </c>
      <c r="C26" s="164">
        <v>3114</v>
      </c>
      <c r="D26" s="61">
        <v>30</v>
      </c>
      <c r="E26" s="80">
        <v>73</v>
      </c>
      <c r="F26" s="52">
        <v>1</v>
      </c>
      <c r="G26" s="54" t="s">
        <v>89</v>
      </c>
      <c r="H26" s="55" t="s">
        <v>90</v>
      </c>
      <c r="I26" s="56" t="s">
        <v>93</v>
      </c>
      <c r="J26" s="55" t="s">
        <v>99</v>
      </c>
      <c r="K26" s="56">
        <v>50</v>
      </c>
      <c r="L26" s="55">
        <v>50</v>
      </c>
      <c r="M26" s="87">
        <v>629</v>
      </c>
      <c r="N26" s="87">
        <v>9545</v>
      </c>
      <c r="O26" s="88">
        <v>32</v>
      </c>
      <c r="P26" s="88">
        <v>110</v>
      </c>
      <c r="Q26" s="89" t="s">
        <v>94</v>
      </c>
      <c r="R26" s="89" t="s">
        <v>94</v>
      </c>
      <c r="S26" s="88">
        <v>707</v>
      </c>
      <c r="T26" s="88">
        <v>1681</v>
      </c>
      <c r="U26" s="90">
        <v>69</v>
      </c>
      <c r="V26" s="90">
        <v>224</v>
      </c>
      <c r="W26" s="145">
        <v>4.5</v>
      </c>
      <c r="X26" s="145">
        <v>4.0999999999999996</v>
      </c>
      <c r="Y26" s="90">
        <v>69</v>
      </c>
      <c r="Z26" s="90">
        <v>110</v>
      </c>
      <c r="AA26" s="145">
        <v>10</v>
      </c>
      <c r="AB26" s="145">
        <v>11</v>
      </c>
      <c r="AC26" s="89" t="s">
        <v>94</v>
      </c>
      <c r="AD26" s="89" t="s">
        <v>94</v>
      </c>
      <c r="AE26" s="112">
        <v>117.8</v>
      </c>
      <c r="AF26" s="112">
        <v>127.1</v>
      </c>
      <c r="AG26" s="89">
        <v>42</v>
      </c>
      <c r="AH26" s="89">
        <v>60</v>
      </c>
      <c r="AI26" s="88">
        <v>0.9</v>
      </c>
      <c r="AJ26" s="88">
        <v>0.7</v>
      </c>
      <c r="AK26" s="269">
        <f t="shared" si="0"/>
        <v>0</v>
      </c>
      <c r="AL26" s="89">
        <v>2.8</v>
      </c>
      <c r="AM26" s="89">
        <v>3.7</v>
      </c>
      <c r="AN26" s="88">
        <v>7.5</v>
      </c>
      <c r="AO26" s="88">
        <v>7.1</v>
      </c>
      <c r="AP26" s="88" t="s">
        <v>94</v>
      </c>
      <c r="AQ26" s="88" t="s">
        <v>94</v>
      </c>
      <c r="AR26" s="89">
        <v>10</v>
      </c>
      <c r="AS26" s="89">
        <v>9.3000000000000007</v>
      </c>
      <c r="AT26" s="89">
        <v>4.5999999999999996</v>
      </c>
      <c r="AU26" s="89">
        <v>4.9000000000000004</v>
      </c>
      <c r="AV26" s="88">
        <v>89</v>
      </c>
      <c r="AW26" s="88">
        <v>95</v>
      </c>
      <c r="AX26" s="145">
        <v>135</v>
      </c>
      <c r="AY26" s="145">
        <v>136</v>
      </c>
      <c r="AZ26" s="89" t="s">
        <v>94</v>
      </c>
      <c r="BA26" s="89" t="s">
        <v>94</v>
      </c>
      <c r="BB26" s="88" t="s">
        <v>94</v>
      </c>
      <c r="BC26" s="88" t="s">
        <v>94</v>
      </c>
      <c r="BD26" s="96">
        <f t="shared" si="1"/>
        <v>286.34211111111114</v>
      </c>
      <c r="BE26" s="96">
        <f t="shared" si="2"/>
        <v>292.14344444444447</v>
      </c>
      <c r="BF26" s="89">
        <v>5.09</v>
      </c>
      <c r="BG26" s="89">
        <v>4.4400000000000004</v>
      </c>
      <c r="BH26" s="145">
        <v>14.6</v>
      </c>
      <c r="BI26" s="145">
        <v>12.8</v>
      </c>
      <c r="BJ26" s="89">
        <v>46.5</v>
      </c>
      <c r="BK26" s="89">
        <v>42.3</v>
      </c>
      <c r="BL26" s="145">
        <v>91.4</v>
      </c>
      <c r="BM26" s="145">
        <v>95.3</v>
      </c>
      <c r="BN26" s="89">
        <v>28.7</v>
      </c>
      <c r="BO26" s="89">
        <v>28.8</v>
      </c>
      <c r="BP26" s="145">
        <v>31.4</v>
      </c>
      <c r="BQ26" s="145">
        <v>30.3</v>
      </c>
      <c r="BR26" s="89">
        <v>327</v>
      </c>
      <c r="BS26" s="89">
        <v>349</v>
      </c>
      <c r="BT26" s="145">
        <v>12.7</v>
      </c>
      <c r="BU26" s="145">
        <v>12.7</v>
      </c>
      <c r="BV26" s="108">
        <v>0.63</v>
      </c>
      <c r="BW26" s="108">
        <v>1.0900000000000001</v>
      </c>
      <c r="BX26" s="63">
        <v>7.14</v>
      </c>
      <c r="BY26" s="63">
        <v>3.96</v>
      </c>
      <c r="BZ26" s="89">
        <v>65</v>
      </c>
      <c r="CA26" s="89">
        <v>57.6</v>
      </c>
      <c r="CB26" s="145">
        <v>22.4</v>
      </c>
      <c r="CC26" s="145">
        <v>25.5</v>
      </c>
      <c r="CD26" s="89">
        <v>11.1</v>
      </c>
      <c r="CE26" s="89">
        <v>16.399999999999999</v>
      </c>
      <c r="CF26" s="145">
        <v>0.8</v>
      </c>
      <c r="CG26" s="145">
        <v>0</v>
      </c>
      <c r="CH26" s="89">
        <v>0.7</v>
      </c>
      <c r="CI26" s="89">
        <v>0.5</v>
      </c>
      <c r="CJ26" s="86" t="b">
        <f t="shared" si="3"/>
        <v>0</v>
      </c>
      <c r="CK26" s="2" t="b">
        <f t="shared" si="4"/>
        <v>1</v>
      </c>
      <c r="CL26" s="98">
        <f t="shared" si="5"/>
        <v>66.363659999999996</v>
      </c>
      <c r="CM26" s="98">
        <v>72.599999999999994</v>
      </c>
      <c r="CN26" s="98">
        <v>180</v>
      </c>
      <c r="CO26" s="86">
        <v>52.5</v>
      </c>
      <c r="CP26" s="98">
        <v>45</v>
      </c>
      <c r="CQ26" s="98">
        <v>42</v>
      </c>
      <c r="CR26" s="96">
        <v>8.59</v>
      </c>
    </row>
    <row r="27" spans="1:97" ht="15.75" customHeight="1">
      <c r="A27" s="72">
        <v>2017</v>
      </c>
      <c r="B27" s="160" t="s">
        <v>184</v>
      </c>
      <c r="C27" s="164">
        <v>3119</v>
      </c>
      <c r="D27" s="52">
        <v>28</v>
      </c>
      <c r="E27" s="80">
        <v>75</v>
      </c>
      <c r="F27" s="52">
        <v>1</v>
      </c>
      <c r="G27" s="54" t="s">
        <v>89</v>
      </c>
      <c r="H27" s="55" t="s">
        <v>92</v>
      </c>
      <c r="I27" s="56" t="s">
        <v>93</v>
      </c>
      <c r="J27" s="55" t="s">
        <v>100</v>
      </c>
      <c r="K27" s="53">
        <v>62.5</v>
      </c>
      <c r="L27" s="55">
        <v>37.5</v>
      </c>
      <c r="M27" s="87">
        <v>538</v>
      </c>
      <c r="N27" s="87">
        <v>35847</v>
      </c>
      <c r="O27" s="88">
        <v>32</v>
      </c>
      <c r="P27" s="88">
        <v>446</v>
      </c>
      <c r="Q27" s="89" t="s">
        <v>94</v>
      </c>
      <c r="R27" s="89" t="s">
        <v>94</v>
      </c>
      <c r="S27" s="88">
        <v>825</v>
      </c>
      <c r="T27" s="88">
        <v>2776</v>
      </c>
      <c r="U27" s="90">
        <v>67</v>
      </c>
      <c r="V27" s="90">
        <v>773</v>
      </c>
      <c r="W27" s="145">
        <v>4.4000000000000004</v>
      </c>
      <c r="X27" s="145">
        <v>3.9</v>
      </c>
      <c r="Y27" s="90">
        <v>107</v>
      </c>
      <c r="Z27" s="90">
        <v>172</v>
      </c>
      <c r="AA27" s="145">
        <v>56</v>
      </c>
      <c r="AB27" s="145">
        <v>47</v>
      </c>
      <c r="AC27" s="89" t="s">
        <v>94</v>
      </c>
      <c r="AD27" s="89" t="s">
        <v>94</v>
      </c>
      <c r="AE27" s="112">
        <v>105.1</v>
      </c>
      <c r="AF27" s="112">
        <v>119.3</v>
      </c>
      <c r="AG27" s="89">
        <v>26</v>
      </c>
      <c r="AH27" s="89">
        <v>55</v>
      </c>
      <c r="AI27" s="88">
        <v>1</v>
      </c>
      <c r="AJ27" s="88">
        <v>0.9</v>
      </c>
      <c r="AK27" s="269">
        <f t="shared" si="0"/>
        <v>0</v>
      </c>
      <c r="AL27" s="89">
        <v>3.3</v>
      </c>
      <c r="AM27" s="89">
        <v>4</v>
      </c>
      <c r="AN27" s="88">
        <v>7.2</v>
      </c>
      <c r="AO27" s="88">
        <v>6.6</v>
      </c>
      <c r="AP27" s="88" t="s">
        <v>94</v>
      </c>
      <c r="AQ27" s="88" t="s">
        <v>94</v>
      </c>
      <c r="AR27" s="89">
        <v>9.9</v>
      </c>
      <c r="AS27" s="89">
        <v>9</v>
      </c>
      <c r="AT27" s="89">
        <v>4.5999999999999996</v>
      </c>
      <c r="AU27" s="89">
        <v>4.0999999999999996</v>
      </c>
      <c r="AV27" s="88">
        <v>94</v>
      </c>
      <c r="AW27" s="88">
        <v>89</v>
      </c>
      <c r="AX27" s="145">
        <v>135</v>
      </c>
      <c r="AY27" s="145">
        <v>136</v>
      </c>
      <c r="AZ27" s="89" t="s">
        <v>94</v>
      </c>
      <c r="BA27" s="89" t="s">
        <v>94</v>
      </c>
      <c r="BB27" s="88" t="s">
        <v>94</v>
      </c>
      <c r="BC27" s="88" t="s">
        <v>94</v>
      </c>
      <c r="BD27" s="96">
        <f t="shared" si="1"/>
        <v>283.99488888888885</v>
      </c>
      <c r="BE27" s="96">
        <f t="shared" si="2"/>
        <v>289.43877777777783</v>
      </c>
      <c r="BF27" s="89">
        <v>4.5999999999999996</v>
      </c>
      <c r="BG27" s="89">
        <v>4.1100000000000003</v>
      </c>
      <c r="BH27" s="145">
        <v>13.5</v>
      </c>
      <c r="BI27" s="145">
        <v>12.2</v>
      </c>
      <c r="BJ27" s="89">
        <v>41.6</v>
      </c>
      <c r="BK27" s="89">
        <v>37.5</v>
      </c>
      <c r="BL27" s="145">
        <v>90.4</v>
      </c>
      <c r="BM27" s="145">
        <v>91.2</v>
      </c>
      <c r="BN27" s="89">
        <v>29.3</v>
      </c>
      <c r="BO27" s="89">
        <v>29.7</v>
      </c>
      <c r="BP27" s="145">
        <v>32.5</v>
      </c>
      <c r="BQ27" s="145">
        <v>32.5</v>
      </c>
      <c r="BR27" s="89">
        <v>298</v>
      </c>
      <c r="BS27" s="89">
        <v>193</v>
      </c>
      <c r="BT27" s="145">
        <v>13.6</v>
      </c>
      <c r="BU27" s="145">
        <v>13.6</v>
      </c>
      <c r="BV27" s="108">
        <v>1.1299999999999999</v>
      </c>
      <c r="BW27" s="108">
        <v>1.47</v>
      </c>
      <c r="BX27" s="63">
        <v>5.86</v>
      </c>
      <c r="BY27" s="63">
        <v>3.44</v>
      </c>
      <c r="BZ27" s="89">
        <v>67</v>
      </c>
      <c r="CA27" s="89">
        <v>59.3</v>
      </c>
      <c r="CB27" s="145">
        <v>20.5</v>
      </c>
      <c r="CC27" s="145">
        <v>18.3</v>
      </c>
      <c r="CD27" s="89">
        <v>9.6</v>
      </c>
      <c r="CE27" s="89">
        <v>18.3</v>
      </c>
      <c r="CF27" s="145">
        <v>1.9</v>
      </c>
      <c r="CG27" s="145">
        <v>3.2</v>
      </c>
      <c r="CH27" s="89">
        <v>1</v>
      </c>
      <c r="CI27" s="89">
        <v>0.9</v>
      </c>
      <c r="CJ27" s="86" t="b">
        <f t="shared" si="3"/>
        <v>0</v>
      </c>
      <c r="CK27" s="2" t="b">
        <f t="shared" si="4"/>
        <v>1</v>
      </c>
      <c r="CL27" s="98">
        <f t="shared" si="5"/>
        <v>69.236999999999995</v>
      </c>
      <c r="CM27" s="98">
        <v>73.5</v>
      </c>
      <c r="CN27" s="98">
        <v>177</v>
      </c>
      <c r="CO27" s="86">
        <v>53.28</v>
      </c>
      <c r="CP27" s="98">
        <v>52.5</v>
      </c>
      <c r="CQ27" s="98">
        <v>50</v>
      </c>
      <c r="CR27" s="96">
        <v>5.8</v>
      </c>
    </row>
    <row r="28" spans="1:97" ht="15.75" customHeight="1">
      <c r="A28" s="72">
        <v>2017</v>
      </c>
      <c r="B28" s="160" t="s">
        <v>184</v>
      </c>
      <c r="C28" s="164">
        <v>3123</v>
      </c>
      <c r="D28" s="61">
        <v>27</v>
      </c>
      <c r="E28" s="80">
        <v>89</v>
      </c>
      <c r="F28" s="52">
        <v>1</v>
      </c>
      <c r="G28" s="54" t="s">
        <v>89</v>
      </c>
      <c r="H28" s="55" t="s">
        <v>92</v>
      </c>
      <c r="I28" s="56" t="s">
        <v>84</v>
      </c>
      <c r="J28" s="55" t="s">
        <v>97</v>
      </c>
      <c r="K28" s="56">
        <v>75</v>
      </c>
      <c r="L28" s="55">
        <v>25</v>
      </c>
      <c r="M28" s="87">
        <v>646</v>
      </c>
      <c r="N28" s="87">
        <v>4616</v>
      </c>
      <c r="O28" s="88">
        <v>19</v>
      </c>
      <c r="P28" s="88">
        <v>36</v>
      </c>
      <c r="Q28" s="89" t="s">
        <v>94</v>
      </c>
      <c r="R28" s="89" t="s">
        <v>94</v>
      </c>
      <c r="S28" s="88">
        <v>685</v>
      </c>
      <c r="T28" s="88">
        <v>1579</v>
      </c>
      <c r="U28" s="90">
        <v>54</v>
      </c>
      <c r="V28" s="90">
        <v>170</v>
      </c>
      <c r="W28" s="145">
        <v>4.3</v>
      </c>
      <c r="X28" s="145">
        <v>4.5999999999999996</v>
      </c>
      <c r="Y28" s="90">
        <v>53</v>
      </c>
      <c r="Z28" s="90">
        <v>65</v>
      </c>
      <c r="AA28" s="145">
        <v>19</v>
      </c>
      <c r="AB28" s="145">
        <v>17</v>
      </c>
      <c r="AC28" s="89" t="s">
        <v>94</v>
      </c>
      <c r="AD28" s="89" t="s">
        <v>94</v>
      </c>
      <c r="AE28" s="325">
        <v>124.4</v>
      </c>
      <c r="AF28" s="112">
        <v>120</v>
      </c>
      <c r="AG28" s="89">
        <v>28</v>
      </c>
      <c r="AH28" s="89">
        <v>55</v>
      </c>
      <c r="AI28" s="88">
        <v>0.8</v>
      </c>
      <c r="AJ28" s="88">
        <v>0.9</v>
      </c>
      <c r="AK28" s="269">
        <f t="shared" si="0"/>
        <v>9.9999999999999978E-2</v>
      </c>
      <c r="AL28" s="89">
        <v>3.5</v>
      </c>
      <c r="AM28" s="89">
        <v>4.5999999999999996</v>
      </c>
      <c r="AN28" s="88">
        <v>7.9</v>
      </c>
      <c r="AO28" s="88">
        <v>8.1999999999999993</v>
      </c>
      <c r="AP28" s="88" t="s">
        <v>94</v>
      </c>
      <c r="AQ28" s="88" t="s">
        <v>94</v>
      </c>
      <c r="AR28" s="89">
        <v>9.6</v>
      </c>
      <c r="AS28" s="89">
        <v>9.6</v>
      </c>
      <c r="AT28" s="89">
        <v>4.4000000000000004</v>
      </c>
      <c r="AU28" s="89">
        <v>5</v>
      </c>
      <c r="AV28" s="88">
        <v>84</v>
      </c>
      <c r="AW28" s="88">
        <v>115</v>
      </c>
      <c r="AX28" s="145">
        <v>136</v>
      </c>
      <c r="AY28" s="145">
        <v>133</v>
      </c>
      <c r="AZ28" s="89" t="s">
        <v>94</v>
      </c>
      <c r="BA28" s="89" t="s">
        <v>94</v>
      </c>
      <c r="BB28" s="88" t="s">
        <v>94</v>
      </c>
      <c r="BC28" s="88" t="s">
        <v>94</v>
      </c>
      <c r="BD28" s="96">
        <f t="shared" si="1"/>
        <v>285.17733333333337</v>
      </c>
      <c r="BE28" s="96">
        <f t="shared" si="2"/>
        <v>287.19388888888892</v>
      </c>
      <c r="BF28" s="89">
        <v>4.67</v>
      </c>
      <c r="BG28" s="89">
        <v>4.3899999999999997</v>
      </c>
      <c r="BH28" s="145">
        <v>12.4</v>
      </c>
      <c r="BI28" s="145">
        <v>11.7</v>
      </c>
      <c r="BJ28" s="89">
        <v>38.6</v>
      </c>
      <c r="BK28" s="89">
        <v>36.799999999999997</v>
      </c>
      <c r="BL28" s="145">
        <v>82.7</v>
      </c>
      <c r="BM28" s="145">
        <v>83.8</v>
      </c>
      <c r="BN28" s="89">
        <v>26.6</v>
      </c>
      <c r="BO28" s="89">
        <v>26.7</v>
      </c>
      <c r="BP28" s="145">
        <v>32.1</v>
      </c>
      <c r="BQ28" s="145">
        <v>31.8</v>
      </c>
      <c r="BR28" s="89">
        <v>321</v>
      </c>
      <c r="BS28" s="89">
        <v>310</v>
      </c>
      <c r="BT28" s="146">
        <v>13.9</v>
      </c>
      <c r="BU28" s="145">
        <v>13.2</v>
      </c>
      <c r="BV28" s="108">
        <v>0.91</v>
      </c>
      <c r="BW28" s="108">
        <v>1.02</v>
      </c>
      <c r="BX28" s="63">
        <v>6.66</v>
      </c>
      <c r="BY28" s="63">
        <v>7.82</v>
      </c>
      <c r="BZ28" s="89">
        <v>49.9</v>
      </c>
      <c r="CA28" s="89">
        <v>67.2</v>
      </c>
      <c r="CB28" s="145">
        <v>34.4</v>
      </c>
      <c r="CC28" s="145">
        <v>20.8</v>
      </c>
      <c r="CD28" s="89">
        <v>10.7</v>
      </c>
      <c r="CE28" s="89">
        <v>11.9</v>
      </c>
      <c r="CF28" s="145">
        <v>4.5</v>
      </c>
      <c r="CG28" s="145">
        <v>0</v>
      </c>
      <c r="CH28" s="89">
        <v>0.5</v>
      </c>
      <c r="CI28" s="89">
        <v>0.1</v>
      </c>
      <c r="CJ28" s="86" t="b">
        <f t="shared" si="3"/>
        <v>0</v>
      </c>
      <c r="CK28" s="2" t="b">
        <f t="shared" si="4"/>
        <v>1</v>
      </c>
      <c r="CL28" s="98">
        <f t="shared" si="5"/>
        <v>74.045439999999999</v>
      </c>
      <c r="CM28" s="98">
        <v>89.6</v>
      </c>
      <c r="CN28" s="98">
        <v>176</v>
      </c>
      <c r="CO28" s="86">
        <v>45.45</v>
      </c>
      <c r="CP28" s="98">
        <v>46.5</v>
      </c>
      <c r="CQ28" s="98">
        <v>42</v>
      </c>
      <c r="CR28" s="96">
        <v>17.36</v>
      </c>
    </row>
    <row r="29" spans="1:97" ht="15.75" customHeight="1">
      <c r="A29" s="72">
        <v>2017</v>
      </c>
      <c r="B29" s="160" t="s">
        <v>184</v>
      </c>
      <c r="C29" s="164">
        <v>3125</v>
      </c>
      <c r="D29" s="52">
        <v>29</v>
      </c>
      <c r="E29" s="80">
        <v>70</v>
      </c>
      <c r="F29" s="52">
        <v>1</v>
      </c>
      <c r="G29" s="54" t="s">
        <v>82</v>
      </c>
      <c r="H29" s="55" t="s">
        <v>83</v>
      </c>
      <c r="I29" s="56" t="s">
        <v>93</v>
      </c>
      <c r="J29" s="55" t="s">
        <v>99</v>
      </c>
      <c r="K29" s="56">
        <v>50</v>
      </c>
      <c r="L29" s="55">
        <v>50</v>
      </c>
      <c r="M29" s="87">
        <v>143</v>
      </c>
      <c r="N29" s="87">
        <v>4555</v>
      </c>
      <c r="O29" s="88">
        <v>16</v>
      </c>
      <c r="P29" s="88">
        <v>29</v>
      </c>
      <c r="Q29" s="89" t="s">
        <v>94</v>
      </c>
      <c r="R29" s="89" t="s">
        <v>94</v>
      </c>
      <c r="S29" s="88">
        <v>495</v>
      </c>
      <c r="T29" s="88">
        <v>1216</v>
      </c>
      <c r="U29" s="90">
        <v>52</v>
      </c>
      <c r="V29" s="90">
        <v>212</v>
      </c>
      <c r="W29" s="145">
        <v>4.0999999999999996</v>
      </c>
      <c r="X29" s="145">
        <v>4.5999999999999996</v>
      </c>
      <c r="Y29" s="90">
        <v>45</v>
      </c>
      <c r="Z29" s="90">
        <v>79</v>
      </c>
      <c r="AA29" s="145">
        <v>19</v>
      </c>
      <c r="AB29" s="145">
        <v>20</v>
      </c>
      <c r="AC29" s="89" t="s">
        <v>94</v>
      </c>
      <c r="AD29" s="89" t="s">
        <v>94</v>
      </c>
      <c r="AE29" s="112">
        <v>122.9</v>
      </c>
      <c r="AF29" s="112">
        <v>118.6</v>
      </c>
      <c r="AG29" s="89">
        <v>31</v>
      </c>
      <c r="AH29" s="89">
        <v>49</v>
      </c>
      <c r="AI29" s="88">
        <v>0.8</v>
      </c>
      <c r="AJ29" s="88">
        <v>0.9</v>
      </c>
      <c r="AK29" s="269">
        <f t="shared" si="0"/>
        <v>9.9999999999999978E-2</v>
      </c>
      <c r="AL29" s="89">
        <v>3.2</v>
      </c>
      <c r="AM29" s="89">
        <v>4.5</v>
      </c>
      <c r="AN29" s="88">
        <v>7.1</v>
      </c>
      <c r="AO29" s="88">
        <v>7.5</v>
      </c>
      <c r="AP29" s="88" t="s">
        <v>94</v>
      </c>
      <c r="AQ29" s="88" t="s">
        <v>94</v>
      </c>
      <c r="AR29" s="89">
        <v>8.9</v>
      </c>
      <c r="AS29" s="89">
        <v>9.3000000000000007</v>
      </c>
      <c r="AT29" s="89">
        <v>4.5999999999999996</v>
      </c>
      <c r="AU29" s="89">
        <v>4.4000000000000004</v>
      </c>
      <c r="AV29" s="88">
        <v>93</v>
      </c>
      <c r="AW29" s="88">
        <v>94</v>
      </c>
      <c r="AX29" s="145">
        <v>136</v>
      </c>
      <c r="AY29" s="145">
        <v>132</v>
      </c>
      <c r="AZ29" s="89" t="s">
        <v>94</v>
      </c>
      <c r="BA29" s="89" t="s">
        <v>94</v>
      </c>
      <c r="BB29" s="88" t="s">
        <v>94</v>
      </c>
      <c r="BC29" s="88" t="s">
        <v>94</v>
      </c>
      <c r="BD29" s="96">
        <f t="shared" si="1"/>
        <v>286.62433333333337</v>
      </c>
      <c r="BE29" s="96">
        <f t="shared" si="2"/>
        <v>281.87622222222228</v>
      </c>
      <c r="BF29" s="89">
        <v>4.7</v>
      </c>
      <c r="BG29" s="89">
        <v>4.5999999999999996</v>
      </c>
      <c r="BH29" s="145">
        <v>13.4</v>
      </c>
      <c r="BI29" s="145">
        <v>13.1</v>
      </c>
      <c r="BJ29" s="89">
        <v>41.6</v>
      </c>
      <c r="BK29" s="89">
        <v>40.9</v>
      </c>
      <c r="BL29" s="145">
        <v>88.5</v>
      </c>
      <c r="BM29" s="145">
        <v>88.9</v>
      </c>
      <c r="BN29" s="89">
        <v>28.5</v>
      </c>
      <c r="BO29" s="89">
        <v>28.5</v>
      </c>
      <c r="BP29" s="145">
        <v>32.200000000000003</v>
      </c>
      <c r="BQ29" s="145">
        <v>32</v>
      </c>
      <c r="BR29" s="89">
        <v>274</v>
      </c>
      <c r="BS29" s="89">
        <v>260</v>
      </c>
      <c r="BT29" s="145">
        <v>13.1</v>
      </c>
      <c r="BU29" s="145">
        <v>13.2</v>
      </c>
      <c r="BV29" s="108">
        <v>1.0900000000000001</v>
      </c>
      <c r="BW29" s="108">
        <v>1.1399999999999999</v>
      </c>
      <c r="BX29" s="63">
        <v>5.58</v>
      </c>
      <c r="BY29" s="63">
        <v>2.98</v>
      </c>
      <c r="BZ29" s="89">
        <v>67.400000000000006</v>
      </c>
      <c r="CA29" s="89">
        <v>56</v>
      </c>
      <c r="CB29" s="145">
        <v>21.7</v>
      </c>
      <c r="CC29" s="145">
        <v>26.2</v>
      </c>
      <c r="CD29" s="89">
        <v>9.1</v>
      </c>
      <c r="CE29" s="89">
        <v>15.1</v>
      </c>
      <c r="CF29" s="145">
        <v>1.1000000000000001</v>
      </c>
      <c r="CG29" s="145">
        <v>2</v>
      </c>
      <c r="CH29" s="89">
        <v>0.7</v>
      </c>
      <c r="CI29" s="89">
        <v>0.7</v>
      </c>
      <c r="CJ29" s="86" t="b">
        <f t="shared" si="3"/>
        <v>0</v>
      </c>
      <c r="CK29" s="2" t="b">
        <f t="shared" si="4"/>
        <v>1</v>
      </c>
      <c r="CL29" s="98">
        <f t="shared" si="5"/>
        <v>63.743760000000002</v>
      </c>
      <c r="CM29" s="98">
        <v>72.900000000000006</v>
      </c>
      <c r="CN29" s="98">
        <v>168.6</v>
      </c>
      <c r="CO29" s="86">
        <v>48.54</v>
      </c>
      <c r="CP29" s="98">
        <v>50</v>
      </c>
      <c r="CQ29" s="98">
        <v>47</v>
      </c>
      <c r="CR29" s="96">
        <v>12.56</v>
      </c>
    </row>
    <row r="30" spans="1:97" ht="15.75" customHeight="1">
      <c r="A30" s="72">
        <v>2017</v>
      </c>
      <c r="B30" s="160" t="s">
        <v>184</v>
      </c>
      <c r="C30" s="164">
        <v>3136</v>
      </c>
      <c r="D30" s="61">
        <v>28</v>
      </c>
      <c r="E30" s="80">
        <v>82</v>
      </c>
      <c r="F30" s="52">
        <v>1</v>
      </c>
      <c r="G30" s="76" t="s">
        <v>89</v>
      </c>
      <c r="H30" s="55" t="s">
        <v>90</v>
      </c>
      <c r="I30" s="56" t="s">
        <v>93</v>
      </c>
      <c r="J30" s="55" t="s">
        <v>100</v>
      </c>
      <c r="K30" s="56">
        <v>37.5</v>
      </c>
      <c r="L30" s="52">
        <v>62.5</v>
      </c>
      <c r="M30" s="87">
        <v>219</v>
      </c>
      <c r="N30" s="87">
        <v>1205</v>
      </c>
      <c r="O30" s="88">
        <v>20</v>
      </c>
      <c r="P30" s="88">
        <v>44</v>
      </c>
      <c r="Q30" s="89" t="s">
        <v>94</v>
      </c>
      <c r="R30" s="89" t="s">
        <v>94</v>
      </c>
      <c r="S30" s="88">
        <v>602</v>
      </c>
      <c r="T30" s="88">
        <v>955</v>
      </c>
      <c r="U30" s="90">
        <v>56</v>
      </c>
      <c r="V30" s="90">
        <v>147</v>
      </c>
      <c r="W30" s="145">
        <v>4.5</v>
      </c>
      <c r="X30" s="145">
        <v>4.5999999999999996</v>
      </c>
      <c r="Y30" s="90">
        <v>52</v>
      </c>
      <c r="Z30" s="90">
        <v>68</v>
      </c>
      <c r="AA30" s="145">
        <v>13</v>
      </c>
      <c r="AB30" s="145">
        <v>14</v>
      </c>
      <c r="AC30" s="89" t="s">
        <v>94</v>
      </c>
      <c r="AD30" s="89" t="s">
        <v>94</v>
      </c>
      <c r="AE30" s="112">
        <v>123.6</v>
      </c>
      <c r="AF30" s="112">
        <v>119.3</v>
      </c>
      <c r="AG30" s="89">
        <v>34</v>
      </c>
      <c r="AH30" s="89">
        <v>55</v>
      </c>
      <c r="AI30" s="88">
        <v>0.8</v>
      </c>
      <c r="AJ30" s="88">
        <v>0.9</v>
      </c>
      <c r="AK30" s="269">
        <f t="shared" si="0"/>
        <v>9.9999999999999978E-2</v>
      </c>
      <c r="AL30" s="89">
        <v>3.6</v>
      </c>
      <c r="AM30" s="89">
        <v>4.8</v>
      </c>
      <c r="AN30" s="88">
        <v>7.5</v>
      </c>
      <c r="AO30" s="88">
        <v>7.5</v>
      </c>
      <c r="AP30" s="88" t="s">
        <v>94</v>
      </c>
      <c r="AQ30" s="88" t="s">
        <v>94</v>
      </c>
      <c r="AR30" s="89">
        <v>9.9</v>
      </c>
      <c r="AS30" s="89">
        <v>9.4</v>
      </c>
      <c r="AT30" s="89">
        <v>4.5999999999999996</v>
      </c>
      <c r="AU30" s="89">
        <v>4.7</v>
      </c>
      <c r="AV30" s="88">
        <v>79</v>
      </c>
      <c r="AW30" s="88">
        <v>86</v>
      </c>
      <c r="AX30" s="145">
        <v>137</v>
      </c>
      <c r="AY30" s="145">
        <v>134</v>
      </c>
      <c r="AZ30" s="89" t="s">
        <v>94</v>
      </c>
      <c r="BA30" s="89" t="s">
        <v>94</v>
      </c>
      <c r="BB30" s="88" t="s">
        <v>94</v>
      </c>
      <c r="BC30" s="88" t="s">
        <v>94</v>
      </c>
      <c r="BD30" s="96">
        <f t="shared" si="1"/>
        <v>288.08988888888888</v>
      </c>
      <c r="BE30" s="96">
        <f t="shared" si="2"/>
        <v>286.64311111111112</v>
      </c>
      <c r="BF30" s="89">
        <v>4.6500000000000004</v>
      </c>
      <c r="BG30" s="89">
        <v>4.62</v>
      </c>
      <c r="BH30" s="145">
        <v>13.2</v>
      </c>
      <c r="BI30" s="145">
        <v>13.1</v>
      </c>
      <c r="BJ30" s="89">
        <v>41.5</v>
      </c>
      <c r="BK30" s="89">
        <v>41</v>
      </c>
      <c r="BL30" s="145">
        <v>89.2</v>
      </c>
      <c r="BM30" s="145">
        <v>88.7</v>
      </c>
      <c r="BN30" s="89">
        <v>28.4</v>
      </c>
      <c r="BO30" s="89">
        <v>28.4</v>
      </c>
      <c r="BP30" s="145">
        <v>31.8</v>
      </c>
      <c r="BQ30" s="145">
        <v>32</v>
      </c>
      <c r="BR30" s="89">
        <v>336</v>
      </c>
      <c r="BS30" s="89">
        <v>249</v>
      </c>
      <c r="BT30" s="145">
        <v>12.9</v>
      </c>
      <c r="BU30" s="145">
        <v>12.9</v>
      </c>
      <c r="BV30" s="108">
        <v>1.36</v>
      </c>
      <c r="BW30" s="108">
        <v>1.1299999999999999</v>
      </c>
      <c r="BX30" s="63">
        <v>6.28</v>
      </c>
      <c r="BY30" s="63">
        <v>4.71</v>
      </c>
      <c r="BZ30" s="89">
        <v>66.3</v>
      </c>
      <c r="CA30" s="89">
        <v>48.6</v>
      </c>
      <c r="CB30" s="145">
        <v>22.9</v>
      </c>
      <c r="CC30" s="145">
        <v>34</v>
      </c>
      <c r="CD30" s="89">
        <v>7.5</v>
      </c>
      <c r="CE30" s="89">
        <v>11.9</v>
      </c>
      <c r="CF30" s="145">
        <v>2.5</v>
      </c>
      <c r="CG30" s="145">
        <v>4.7</v>
      </c>
      <c r="CH30" s="89">
        <v>0.8</v>
      </c>
      <c r="CI30" s="89">
        <v>0.8</v>
      </c>
      <c r="CJ30" s="86" t="b">
        <f t="shared" si="3"/>
        <v>0</v>
      </c>
      <c r="CK30" s="2" t="b">
        <f t="shared" si="4"/>
        <v>1</v>
      </c>
      <c r="CL30" s="98">
        <f t="shared" si="5"/>
        <v>70.596360000000004</v>
      </c>
      <c r="CM30" s="98">
        <v>80.7</v>
      </c>
      <c r="CN30" s="98">
        <v>182.1</v>
      </c>
      <c r="CO30" s="86">
        <v>50.93</v>
      </c>
      <c r="CP30" s="98">
        <v>56</v>
      </c>
      <c r="CQ30" s="98">
        <v>58</v>
      </c>
      <c r="CR30" s="96">
        <v>12.52</v>
      </c>
    </row>
    <row r="31" spans="1:97" ht="15.75" customHeight="1">
      <c r="A31" s="72">
        <v>2017</v>
      </c>
      <c r="B31" s="160" t="s">
        <v>184</v>
      </c>
      <c r="C31" s="164">
        <v>3143</v>
      </c>
      <c r="D31" s="61">
        <v>28</v>
      </c>
      <c r="E31" s="80">
        <v>78</v>
      </c>
      <c r="F31" s="52">
        <v>1</v>
      </c>
      <c r="G31" s="51" t="s">
        <v>86</v>
      </c>
      <c r="H31" s="52" t="s">
        <v>92</v>
      </c>
      <c r="I31" s="53" t="s">
        <v>93</v>
      </c>
      <c r="J31" s="55" t="s">
        <v>99</v>
      </c>
      <c r="K31" s="53">
        <v>87.5</v>
      </c>
      <c r="L31" s="52">
        <v>12.5</v>
      </c>
      <c r="M31" s="87">
        <v>685</v>
      </c>
      <c r="N31" s="87">
        <v>721</v>
      </c>
      <c r="O31" s="88">
        <v>19</v>
      </c>
      <c r="P31" s="88">
        <v>33</v>
      </c>
      <c r="Q31" s="89" t="s">
        <v>94</v>
      </c>
      <c r="R31" s="89" t="s">
        <v>94</v>
      </c>
      <c r="S31" s="88">
        <v>626</v>
      </c>
      <c r="T31" s="88">
        <v>964</v>
      </c>
      <c r="U31" s="90">
        <v>59</v>
      </c>
      <c r="V31" s="90">
        <v>95</v>
      </c>
      <c r="W31" s="145">
        <v>4.4000000000000004</v>
      </c>
      <c r="X31" s="145">
        <v>4.4000000000000004</v>
      </c>
      <c r="Y31" s="90">
        <v>57</v>
      </c>
      <c r="Z31" s="90">
        <v>76</v>
      </c>
      <c r="AA31" s="145">
        <v>37</v>
      </c>
      <c r="AB31" s="145">
        <v>38</v>
      </c>
      <c r="AC31" s="89" t="s">
        <v>94</v>
      </c>
      <c r="AD31" s="89" t="s">
        <v>94</v>
      </c>
      <c r="AE31" s="112">
        <v>123.6</v>
      </c>
      <c r="AF31" s="112">
        <v>128.69999999999999</v>
      </c>
      <c r="AG31" s="89">
        <v>33</v>
      </c>
      <c r="AH31" s="89">
        <v>39</v>
      </c>
      <c r="AI31" s="88">
        <v>0.8</v>
      </c>
      <c r="AJ31" s="88">
        <v>0.7</v>
      </c>
      <c r="AK31" s="269">
        <f t="shared" si="0"/>
        <v>0</v>
      </c>
      <c r="AL31" s="89">
        <v>3.4</v>
      </c>
      <c r="AM31" s="89">
        <v>3.9</v>
      </c>
      <c r="AN31" s="88">
        <v>7.4</v>
      </c>
      <c r="AO31" s="88">
        <v>7.5</v>
      </c>
      <c r="AP31" s="88" t="s">
        <v>94</v>
      </c>
      <c r="AQ31" s="88" t="s">
        <v>94</v>
      </c>
      <c r="AR31" s="89">
        <v>9.4</v>
      </c>
      <c r="AS31" s="89">
        <v>9.3000000000000007</v>
      </c>
      <c r="AT31" s="89">
        <v>4.5</v>
      </c>
      <c r="AU31" s="89">
        <v>4.7</v>
      </c>
      <c r="AV31" s="88">
        <v>93</v>
      </c>
      <c r="AW31" s="88">
        <v>96</v>
      </c>
      <c r="AX31" s="145">
        <v>136</v>
      </c>
      <c r="AY31" s="145">
        <v>134</v>
      </c>
      <c r="AZ31" s="89" t="s">
        <v>94</v>
      </c>
      <c r="BA31" s="89" t="s">
        <v>94</v>
      </c>
      <c r="BB31" s="88" t="s">
        <v>94</v>
      </c>
      <c r="BC31" s="88" t="s">
        <v>94</v>
      </c>
      <c r="BD31" s="96">
        <f t="shared" si="1"/>
        <v>286.7716666666667</v>
      </c>
      <c r="BE31" s="96">
        <f t="shared" si="2"/>
        <v>284.6153333333333</v>
      </c>
      <c r="BF31" s="89">
        <v>4.54</v>
      </c>
      <c r="BG31" s="89">
        <v>4.38</v>
      </c>
      <c r="BH31" s="145">
        <v>13.1</v>
      </c>
      <c r="BI31" s="145">
        <v>12.7</v>
      </c>
      <c r="BJ31" s="89">
        <v>41.3</v>
      </c>
      <c r="BK31" s="89">
        <v>40.299999999999997</v>
      </c>
      <c r="BL31" s="145">
        <v>91</v>
      </c>
      <c r="BM31" s="145">
        <v>92</v>
      </c>
      <c r="BN31" s="89">
        <v>28.9</v>
      </c>
      <c r="BO31" s="89">
        <v>29</v>
      </c>
      <c r="BP31" s="145">
        <v>31.7</v>
      </c>
      <c r="BQ31" s="145">
        <v>31.5</v>
      </c>
      <c r="BR31" s="89">
        <v>245</v>
      </c>
      <c r="BS31" s="89">
        <v>292</v>
      </c>
      <c r="BT31" s="145">
        <v>13</v>
      </c>
      <c r="BU31" s="145">
        <v>12.7</v>
      </c>
      <c r="BV31" s="108">
        <v>0.8</v>
      </c>
      <c r="BW31" s="108">
        <v>1.04</v>
      </c>
      <c r="BX31" s="63">
        <v>6.59</v>
      </c>
      <c r="BY31" s="63">
        <v>10.53</v>
      </c>
      <c r="BZ31" s="89">
        <v>57.5</v>
      </c>
      <c r="CA31" s="89">
        <v>42.2</v>
      </c>
      <c r="CB31" s="145">
        <v>27</v>
      </c>
      <c r="CC31" s="145">
        <v>22</v>
      </c>
      <c r="CD31" s="89">
        <v>9.4</v>
      </c>
      <c r="CE31" s="89">
        <v>10.1</v>
      </c>
      <c r="CF31" s="145">
        <v>5.9</v>
      </c>
      <c r="CG31" s="145">
        <v>25.1</v>
      </c>
      <c r="CH31" s="89">
        <v>0.2</v>
      </c>
      <c r="CI31" s="89">
        <v>0.6</v>
      </c>
      <c r="CJ31" s="86" t="b">
        <f t="shared" si="3"/>
        <v>0</v>
      </c>
      <c r="CK31" s="2" t="b">
        <f t="shared" si="4"/>
        <v>0</v>
      </c>
      <c r="CL31" s="98">
        <f t="shared" si="5"/>
        <v>70.250040000000013</v>
      </c>
      <c r="CM31" s="98">
        <v>85.4</v>
      </c>
      <c r="CN31" s="98">
        <v>179.3</v>
      </c>
      <c r="CO31" s="86">
        <v>49.65</v>
      </c>
      <c r="CP31" s="98">
        <v>44</v>
      </c>
      <c r="CQ31" s="98">
        <v>35</v>
      </c>
      <c r="CR31" s="96">
        <v>17.739999999999998</v>
      </c>
    </row>
    <row r="32" spans="1:97" ht="15.75" customHeight="1">
      <c r="A32" s="72">
        <v>2017</v>
      </c>
      <c r="B32" s="79" t="s">
        <v>185</v>
      </c>
      <c r="C32" s="164">
        <v>3089</v>
      </c>
      <c r="D32" s="61">
        <v>28</v>
      </c>
      <c r="E32" s="80">
        <v>0</v>
      </c>
      <c r="F32" s="52">
        <v>1</v>
      </c>
      <c r="G32" s="54" t="s">
        <v>101</v>
      </c>
      <c r="H32" s="55" t="s">
        <v>83</v>
      </c>
      <c r="I32" s="56" t="s">
        <v>87</v>
      </c>
      <c r="J32" s="55" t="s">
        <v>99</v>
      </c>
      <c r="K32" s="56">
        <v>37.5</v>
      </c>
      <c r="L32" s="55">
        <v>62.5</v>
      </c>
      <c r="M32" s="87">
        <v>252</v>
      </c>
      <c r="N32" s="87">
        <v>2475</v>
      </c>
      <c r="O32" s="88">
        <v>15</v>
      </c>
      <c r="P32" s="88">
        <v>82</v>
      </c>
      <c r="Q32" s="89" t="s">
        <v>94</v>
      </c>
      <c r="R32" s="89" t="s">
        <v>94</v>
      </c>
      <c r="S32" s="88">
        <v>630</v>
      </c>
      <c r="T32" s="88">
        <v>1236</v>
      </c>
      <c r="U32" s="90">
        <v>40</v>
      </c>
      <c r="V32" s="90">
        <v>125</v>
      </c>
      <c r="W32" s="63">
        <v>4.4000000000000004</v>
      </c>
      <c r="X32" s="145">
        <v>4.2</v>
      </c>
      <c r="Y32" s="90">
        <v>43</v>
      </c>
      <c r="Z32" s="90">
        <v>70</v>
      </c>
      <c r="AA32" s="63">
        <v>21</v>
      </c>
      <c r="AB32" s="145">
        <v>22</v>
      </c>
      <c r="AC32" s="89" t="s">
        <v>94</v>
      </c>
      <c r="AD32" s="89" t="s">
        <v>94</v>
      </c>
      <c r="AE32" s="166">
        <v>84.5</v>
      </c>
      <c r="AF32" s="167" t="s">
        <v>102</v>
      </c>
      <c r="AG32" s="89">
        <v>45</v>
      </c>
      <c r="AH32" s="89">
        <v>49</v>
      </c>
      <c r="AI32" s="88">
        <v>1.2</v>
      </c>
      <c r="AJ32" s="88">
        <v>1</v>
      </c>
      <c r="AK32" s="269">
        <f t="shared" si="0"/>
        <v>0</v>
      </c>
      <c r="AL32" s="89">
        <v>4.5</v>
      </c>
      <c r="AM32" s="89">
        <v>4</v>
      </c>
      <c r="AN32" s="88">
        <v>7.6</v>
      </c>
      <c r="AO32" s="88">
        <v>7.3</v>
      </c>
      <c r="AP32" s="80" t="s">
        <v>94</v>
      </c>
      <c r="AQ32" s="80" t="s">
        <v>94</v>
      </c>
      <c r="AR32" s="89">
        <v>9.8000000000000007</v>
      </c>
      <c r="AS32" s="89">
        <v>9</v>
      </c>
      <c r="AT32" s="89">
        <v>4.9000000000000004</v>
      </c>
      <c r="AU32" s="89">
        <v>4.4000000000000004</v>
      </c>
      <c r="AV32" s="88">
        <v>100</v>
      </c>
      <c r="AW32" s="88">
        <v>82</v>
      </c>
      <c r="AX32" s="63">
        <v>136</v>
      </c>
      <c r="AY32" s="145">
        <v>131</v>
      </c>
      <c r="AZ32" s="89" t="s">
        <v>94</v>
      </c>
      <c r="BA32" s="89" t="s">
        <v>94</v>
      </c>
      <c r="BB32" s="88" t="s">
        <v>94</v>
      </c>
      <c r="BC32" s="88" t="s">
        <v>94</v>
      </c>
      <c r="BD32" s="96">
        <f t="shared" si="1"/>
        <v>289.96288888888893</v>
      </c>
      <c r="BE32" s="96">
        <f t="shared" si="2"/>
        <v>279.24955555555562</v>
      </c>
      <c r="BF32" s="89">
        <v>4.59</v>
      </c>
      <c r="BG32" s="89">
        <v>4.5</v>
      </c>
      <c r="BH32" s="145">
        <v>13.6</v>
      </c>
      <c r="BI32" s="145">
        <v>13.4</v>
      </c>
      <c r="BJ32" s="89">
        <v>43</v>
      </c>
      <c r="BK32" s="89">
        <v>40.299999999999997</v>
      </c>
      <c r="BL32" s="145">
        <v>93.7</v>
      </c>
      <c r="BM32" s="145">
        <v>89.6</v>
      </c>
      <c r="BN32" s="89">
        <v>29.6</v>
      </c>
      <c r="BO32" s="89">
        <v>29.8</v>
      </c>
      <c r="BP32" s="145">
        <v>31.6</v>
      </c>
      <c r="BQ32" s="145">
        <v>33.299999999999997</v>
      </c>
      <c r="BR32" s="89">
        <v>204</v>
      </c>
      <c r="BS32" s="89">
        <v>262</v>
      </c>
      <c r="BT32" s="145">
        <v>13.5</v>
      </c>
      <c r="BU32" s="145">
        <v>13.7</v>
      </c>
      <c r="BV32" s="108">
        <v>2.2400000000000002</v>
      </c>
      <c r="BW32" s="108">
        <v>1.7</v>
      </c>
      <c r="BX32" s="145">
        <v>8.81</v>
      </c>
      <c r="BY32" s="145">
        <v>9.2799999999999994</v>
      </c>
      <c r="BZ32" s="89">
        <v>54.3</v>
      </c>
      <c r="CA32" s="89">
        <v>55.7</v>
      </c>
      <c r="CB32" s="145">
        <v>26.3</v>
      </c>
      <c r="CC32" s="145">
        <v>27.9</v>
      </c>
      <c r="CD32" s="89">
        <v>14</v>
      </c>
      <c r="CE32" s="89">
        <v>11</v>
      </c>
      <c r="CF32" s="145">
        <v>4.4000000000000004</v>
      </c>
      <c r="CG32" s="145">
        <v>4.5</v>
      </c>
      <c r="CH32" s="89">
        <v>1</v>
      </c>
      <c r="CI32" s="89">
        <v>0.9</v>
      </c>
      <c r="CJ32" s="86" t="b">
        <f t="shared" si="3"/>
        <v>0</v>
      </c>
      <c r="CK32" s="2" t="b">
        <f t="shared" si="4"/>
        <v>1</v>
      </c>
      <c r="CL32" s="98">
        <f t="shared" si="5"/>
        <v>66.794890000000009</v>
      </c>
      <c r="CM32" s="98">
        <v>70.900000000000006</v>
      </c>
      <c r="CN32" s="98">
        <v>166</v>
      </c>
      <c r="CO32" s="86">
        <v>52.92</v>
      </c>
      <c r="CP32" s="98">
        <v>54.5</v>
      </c>
      <c r="CQ32" s="98">
        <v>52.5</v>
      </c>
      <c r="CR32" s="96">
        <v>5.79</v>
      </c>
    </row>
    <row r="33" spans="1:96" ht="15.75" customHeight="1">
      <c r="A33" s="72">
        <v>2017</v>
      </c>
      <c r="B33" s="79" t="s">
        <v>185</v>
      </c>
      <c r="C33" s="164">
        <v>3090</v>
      </c>
      <c r="D33" s="61">
        <v>29</v>
      </c>
      <c r="E33" s="80">
        <v>74</v>
      </c>
      <c r="F33" s="52">
        <v>2</v>
      </c>
      <c r="G33" s="54" t="s">
        <v>101</v>
      </c>
      <c r="H33" s="55" t="s">
        <v>83</v>
      </c>
      <c r="I33" s="56" t="s">
        <v>87</v>
      </c>
      <c r="J33" s="55" t="s">
        <v>99</v>
      </c>
      <c r="K33" s="56">
        <v>37.5</v>
      </c>
      <c r="L33" s="52">
        <v>62.5</v>
      </c>
      <c r="M33" s="87">
        <v>992</v>
      </c>
      <c r="N33" s="87">
        <v>2845</v>
      </c>
      <c r="O33" s="88">
        <v>13</v>
      </c>
      <c r="P33" s="88">
        <v>34</v>
      </c>
      <c r="Q33" s="89" t="s">
        <v>94</v>
      </c>
      <c r="R33" s="89" t="s">
        <v>94</v>
      </c>
      <c r="S33" s="88">
        <v>580</v>
      </c>
      <c r="T33" s="88">
        <v>981</v>
      </c>
      <c r="U33" s="90">
        <v>52</v>
      </c>
      <c r="V33" s="90">
        <v>108</v>
      </c>
      <c r="W33" s="63">
        <v>4.4000000000000004</v>
      </c>
      <c r="X33" s="145">
        <v>4.0999999999999996</v>
      </c>
      <c r="Y33" s="90">
        <v>58</v>
      </c>
      <c r="Z33" s="90">
        <v>81</v>
      </c>
      <c r="AA33" s="63">
        <v>23</v>
      </c>
      <c r="AB33" s="145">
        <v>25</v>
      </c>
      <c r="AC33" s="89" t="s">
        <v>94</v>
      </c>
      <c r="AD33" s="89" t="s">
        <v>94</v>
      </c>
      <c r="AE33" s="166">
        <v>104.5</v>
      </c>
      <c r="AF33" s="167" t="s">
        <v>103</v>
      </c>
      <c r="AG33" s="89">
        <v>40</v>
      </c>
      <c r="AH33" s="89">
        <v>36</v>
      </c>
      <c r="AI33" s="88">
        <v>1</v>
      </c>
      <c r="AJ33" s="88">
        <v>0.9</v>
      </c>
      <c r="AK33" s="269">
        <f t="shared" si="0"/>
        <v>0</v>
      </c>
      <c r="AL33" s="89">
        <v>4.0999999999999996</v>
      </c>
      <c r="AM33" s="89">
        <v>4.7</v>
      </c>
      <c r="AN33" s="88">
        <v>7.2</v>
      </c>
      <c r="AO33" s="88">
        <v>7</v>
      </c>
      <c r="AP33" s="80" t="s">
        <v>94</v>
      </c>
      <c r="AQ33" s="80" t="s">
        <v>94</v>
      </c>
      <c r="AR33" s="89">
        <v>9.5</v>
      </c>
      <c r="AS33" s="89">
        <v>9.4</v>
      </c>
      <c r="AT33" s="89">
        <v>5.2</v>
      </c>
      <c r="AU33" s="89">
        <v>4.4000000000000004</v>
      </c>
      <c r="AV33" s="88">
        <v>85</v>
      </c>
      <c r="AW33" s="88">
        <v>84</v>
      </c>
      <c r="AX33" s="63">
        <v>135</v>
      </c>
      <c r="AY33" s="145">
        <v>133</v>
      </c>
      <c r="AZ33" s="89" t="s">
        <v>94</v>
      </c>
      <c r="BA33" s="89" t="s">
        <v>94</v>
      </c>
      <c r="BB33" s="88" t="s">
        <v>94</v>
      </c>
      <c r="BC33" s="88" t="s">
        <v>94</v>
      </c>
      <c r="BD33" s="96">
        <f t="shared" si="1"/>
        <v>286.86922222222222</v>
      </c>
      <c r="BE33" s="96">
        <f t="shared" si="2"/>
        <v>280.9306666666667</v>
      </c>
      <c r="BF33" s="89">
        <v>5.16</v>
      </c>
      <c r="BG33" s="89">
        <v>5.13</v>
      </c>
      <c r="BH33" s="145">
        <v>15.1</v>
      </c>
      <c r="BI33" s="145">
        <v>15.1</v>
      </c>
      <c r="BJ33" s="89">
        <v>45.7</v>
      </c>
      <c r="BK33" s="89">
        <v>44</v>
      </c>
      <c r="BL33" s="145">
        <v>88.6</v>
      </c>
      <c r="BM33" s="145">
        <v>85.8</v>
      </c>
      <c r="BN33" s="89">
        <v>29.3</v>
      </c>
      <c r="BO33" s="89">
        <v>29.4</v>
      </c>
      <c r="BP33" s="145">
        <v>33</v>
      </c>
      <c r="BQ33" s="145">
        <v>34.299999999999997</v>
      </c>
      <c r="BR33" s="89">
        <v>283</v>
      </c>
      <c r="BS33" s="89">
        <v>313</v>
      </c>
      <c r="BT33" s="145">
        <v>12.1</v>
      </c>
      <c r="BU33" s="145">
        <v>12.2</v>
      </c>
      <c r="BV33" s="108">
        <v>0.8</v>
      </c>
      <c r="BW33" s="108">
        <v>0.59</v>
      </c>
      <c r="BX33" s="145">
        <v>4.8</v>
      </c>
      <c r="BY33" s="145">
        <v>8.9499999999999993</v>
      </c>
      <c r="BZ33" s="89">
        <v>38.4</v>
      </c>
      <c r="CA33" s="89">
        <v>51.5</v>
      </c>
      <c r="CB33" s="145">
        <v>32.5</v>
      </c>
      <c r="CC33" s="145">
        <v>27.2</v>
      </c>
      <c r="CD33" s="89">
        <v>11.5</v>
      </c>
      <c r="CE33" s="89">
        <v>10.7</v>
      </c>
      <c r="CF33" s="145">
        <v>13.8</v>
      </c>
      <c r="CG33" s="145">
        <v>9.5</v>
      </c>
      <c r="CH33" s="89">
        <v>3.8</v>
      </c>
      <c r="CI33" s="89">
        <v>1.1000000000000001</v>
      </c>
      <c r="CJ33" s="86" t="b">
        <f t="shared" si="3"/>
        <v>0</v>
      </c>
      <c r="CK33" s="2" t="b">
        <f t="shared" si="4"/>
        <v>1</v>
      </c>
      <c r="CL33" s="98">
        <f t="shared" si="5"/>
        <v>64.758570000000006</v>
      </c>
      <c r="CM33" s="98">
        <v>73.900000000000006</v>
      </c>
      <c r="CN33" s="98">
        <v>172.6</v>
      </c>
      <c r="CO33" s="86">
        <v>52.06</v>
      </c>
      <c r="CP33" s="98">
        <v>42</v>
      </c>
      <c r="CQ33" s="98">
        <v>36.5</v>
      </c>
      <c r="CR33" s="96">
        <v>12.37</v>
      </c>
    </row>
    <row r="34" spans="1:96" ht="15.75" customHeight="1">
      <c r="A34" s="72">
        <v>2017</v>
      </c>
      <c r="B34" s="79" t="s">
        <v>185</v>
      </c>
      <c r="C34" s="164">
        <v>3091</v>
      </c>
      <c r="D34" s="61">
        <v>28</v>
      </c>
      <c r="E34" s="80">
        <v>78</v>
      </c>
      <c r="F34" s="52">
        <v>0</v>
      </c>
      <c r="G34" s="54" t="s">
        <v>82</v>
      </c>
      <c r="H34" s="52" t="s">
        <v>83</v>
      </c>
      <c r="I34" s="56" t="s">
        <v>87</v>
      </c>
      <c r="J34" s="55" t="s">
        <v>97</v>
      </c>
      <c r="K34" s="53">
        <v>37.5</v>
      </c>
      <c r="L34" s="52">
        <v>62.5</v>
      </c>
      <c r="M34" s="87">
        <v>298</v>
      </c>
      <c r="N34" s="87">
        <v>879</v>
      </c>
      <c r="O34" s="88">
        <v>3</v>
      </c>
      <c r="P34" s="88">
        <v>9</v>
      </c>
      <c r="Q34" s="89" t="s">
        <v>94</v>
      </c>
      <c r="R34" s="89" t="s">
        <v>94</v>
      </c>
      <c r="S34" s="88">
        <v>455</v>
      </c>
      <c r="T34" s="88">
        <v>642</v>
      </c>
      <c r="U34" s="90">
        <v>44</v>
      </c>
      <c r="V34" s="90">
        <v>63</v>
      </c>
      <c r="W34" s="63">
        <v>4</v>
      </c>
      <c r="X34" s="145">
        <v>4</v>
      </c>
      <c r="Y34" s="90">
        <v>47</v>
      </c>
      <c r="Z34" s="90">
        <v>48</v>
      </c>
      <c r="AA34" s="63">
        <v>22</v>
      </c>
      <c r="AB34" s="145">
        <v>20</v>
      </c>
      <c r="AC34" s="89" t="s">
        <v>94</v>
      </c>
      <c r="AD34" s="89" t="s">
        <v>94</v>
      </c>
      <c r="AE34" s="166">
        <v>93.8</v>
      </c>
      <c r="AF34" s="167" t="s">
        <v>102</v>
      </c>
      <c r="AG34" s="89">
        <v>46</v>
      </c>
      <c r="AH34" s="89">
        <v>47</v>
      </c>
      <c r="AI34" s="88">
        <v>1.1000000000000001</v>
      </c>
      <c r="AJ34" s="88">
        <v>1</v>
      </c>
      <c r="AK34" s="269">
        <f t="shared" si="0"/>
        <v>0</v>
      </c>
      <c r="AL34" s="89">
        <v>4.4000000000000004</v>
      </c>
      <c r="AM34" s="89">
        <v>4.4000000000000004</v>
      </c>
      <c r="AN34" s="88">
        <v>6.7</v>
      </c>
      <c r="AO34" s="88">
        <v>6.8</v>
      </c>
      <c r="AP34" s="80" t="s">
        <v>94</v>
      </c>
      <c r="AQ34" s="80" t="s">
        <v>94</v>
      </c>
      <c r="AR34" s="89">
        <v>9.3000000000000007</v>
      </c>
      <c r="AS34" s="89">
        <v>9.3000000000000007</v>
      </c>
      <c r="AT34" s="89">
        <v>4.3</v>
      </c>
      <c r="AU34" s="89">
        <v>4.2</v>
      </c>
      <c r="AV34" s="88">
        <v>91</v>
      </c>
      <c r="AW34" s="88">
        <v>91</v>
      </c>
      <c r="AX34" s="63">
        <v>134</v>
      </c>
      <c r="AY34" s="145">
        <v>132</v>
      </c>
      <c r="AZ34" s="89" t="s">
        <v>94</v>
      </c>
      <c r="BA34" s="89" t="s">
        <v>94</v>
      </c>
      <c r="BB34" s="88" t="s">
        <v>94</v>
      </c>
      <c r="BC34" s="88" t="s">
        <v>94</v>
      </c>
      <c r="BD34" s="96">
        <f t="shared" si="1"/>
        <v>284.71855555555561</v>
      </c>
      <c r="BE34" s="96">
        <f t="shared" si="2"/>
        <v>280.97922222222218</v>
      </c>
      <c r="BF34" s="89">
        <v>4.25</v>
      </c>
      <c r="BG34" s="89">
        <v>4.22</v>
      </c>
      <c r="BH34" s="145">
        <v>12.9</v>
      </c>
      <c r="BI34" s="145">
        <v>12.8</v>
      </c>
      <c r="BJ34" s="89">
        <v>39.700000000000003</v>
      </c>
      <c r="BK34" s="89">
        <v>38.299999999999997</v>
      </c>
      <c r="BL34" s="145">
        <v>93.4</v>
      </c>
      <c r="BM34" s="145">
        <v>90.8</v>
      </c>
      <c r="BN34" s="89">
        <v>30.4</v>
      </c>
      <c r="BO34" s="89">
        <v>30.3</v>
      </c>
      <c r="BP34" s="145">
        <v>32.5</v>
      </c>
      <c r="BQ34" s="145">
        <v>33.4</v>
      </c>
      <c r="BR34" s="89">
        <v>252</v>
      </c>
      <c r="BS34" s="89">
        <v>308</v>
      </c>
      <c r="BT34" s="145">
        <v>12.1</v>
      </c>
      <c r="BU34" s="145">
        <v>12.6</v>
      </c>
      <c r="BV34" s="108">
        <v>1.21</v>
      </c>
      <c r="BW34" s="108">
        <v>1.45</v>
      </c>
      <c r="BX34" s="145">
        <v>6.44</v>
      </c>
      <c r="BY34" s="145">
        <v>7.92</v>
      </c>
      <c r="BZ34" s="89">
        <v>58.4</v>
      </c>
      <c r="CA34" s="89">
        <v>55.7</v>
      </c>
      <c r="CB34" s="145">
        <v>21</v>
      </c>
      <c r="CC34" s="145">
        <v>20.5</v>
      </c>
      <c r="CD34" s="89">
        <v>13.2</v>
      </c>
      <c r="CE34" s="89">
        <v>18.600000000000001</v>
      </c>
      <c r="CF34" s="145">
        <v>6.8</v>
      </c>
      <c r="CG34" s="145">
        <v>4.4000000000000004</v>
      </c>
      <c r="CH34" s="89">
        <v>0.6</v>
      </c>
      <c r="CI34" s="89">
        <v>0.8</v>
      </c>
      <c r="CJ34" s="86" t="b">
        <f t="shared" si="3"/>
        <v>0</v>
      </c>
      <c r="CK34" s="2" t="b">
        <f t="shared" si="4"/>
        <v>0</v>
      </c>
      <c r="CL34" s="98">
        <f t="shared" si="5"/>
        <v>64.734659999999991</v>
      </c>
      <c r="CM34" s="98">
        <v>76.599999999999994</v>
      </c>
      <c r="CN34" s="98">
        <v>177</v>
      </c>
      <c r="CO34" s="86">
        <v>52.21</v>
      </c>
      <c r="CP34" s="98">
        <v>52</v>
      </c>
      <c r="CQ34" s="98">
        <v>49</v>
      </c>
      <c r="CR34" s="96">
        <v>15.49</v>
      </c>
    </row>
    <row r="35" spans="1:96" ht="15.75" customHeight="1">
      <c r="A35" s="72">
        <v>2017</v>
      </c>
      <c r="B35" s="79" t="s">
        <v>185</v>
      </c>
      <c r="C35" s="164">
        <v>3092</v>
      </c>
      <c r="D35" s="61">
        <v>28</v>
      </c>
      <c r="E35" s="80">
        <v>93</v>
      </c>
      <c r="F35" s="52">
        <v>1</v>
      </c>
      <c r="G35" s="74" t="s">
        <v>86</v>
      </c>
      <c r="H35" s="55" t="s">
        <v>83</v>
      </c>
      <c r="I35" s="56" t="s">
        <v>93</v>
      </c>
      <c r="J35" s="55" t="s">
        <v>100</v>
      </c>
      <c r="K35" s="53">
        <v>62.5</v>
      </c>
      <c r="L35" s="55">
        <v>37.5</v>
      </c>
      <c r="M35" s="87">
        <v>273</v>
      </c>
      <c r="N35" s="87">
        <v>958</v>
      </c>
      <c r="O35" s="88">
        <v>7</v>
      </c>
      <c r="P35" s="88">
        <v>24</v>
      </c>
      <c r="Q35" s="89" t="s">
        <v>94</v>
      </c>
      <c r="R35" s="89" t="s">
        <v>94</v>
      </c>
      <c r="S35" s="88">
        <v>538</v>
      </c>
      <c r="T35" s="88">
        <v>677</v>
      </c>
      <c r="U35" s="90">
        <v>36</v>
      </c>
      <c r="V35" s="90">
        <v>62</v>
      </c>
      <c r="W35" s="63">
        <v>4.4000000000000004</v>
      </c>
      <c r="X35" s="63">
        <v>4.2</v>
      </c>
      <c r="Y35" s="90">
        <v>40</v>
      </c>
      <c r="Z35" s="90">
        <v>43</v>
      </c>
      <c r="AA35" s="63">
        <v>53</v>
      </c>
      <c r="AB35" s="145">
        <v>48</v>
      </c>
      <c r="AC35" s="89" t="s">
        <v>94</v>
      </c>
      <c r="AD35" s="89" t="s">
        <v>94</v>
      </c>
      <c r="AE35" s="166">
        <v>105.1</v>
      </c>
      <c r="AF35" s="167" t="s">
        <v>102</v>
      </c>
      <c r="AG35" s="89">
        <v>42</v>
      </c>
      <c r="AH35" s="89">
        <v>49</v>
      </c>
      <c r="AI35" s="88">
        <v>1</v>
      </c>
      <c r="AJ35" s="88">
        <v>1</v>
      </c>
      <c r="AK35" s="269">
        <f t="shared" si="0"/>
        <v>0</v>
      </c>
      <c r="AL35" s="89">
        <v>4.5</v>
      </c>
      <c r="AM35" s="89">
        <v>4.8</v>
      </c>
      <c r="AN35" s="88">
        <v>7.5</v>
      </c>
      <c r="AO35" s="88">
        <v>7.3</v>
      </c>
      <c r="AP35" s="80" t="s">
        <v>94</v>
      </c>
      <c r="AQ35" s="80" t="s">
        <v>94</v>
      </c>
      <c r="AR35" s="89">
        <v>9.4</v>
      </c>
      <c r="AS35" s="89">
        <v>9.5</v>
      </c>
      <c r="AT35" s="89">
        <v>5.4</v>
      </c>
      <c r="AU35" s="89">
        <v>4.2</v>
      </c>
      <c r="AV35" s="88">
        <v>96</v>
      </c>
      <c r="AW35" s="88">
        <v>81</v>
      </c>
      <c r="AX35" s="63">
        <v>135</v>
      </c>
      <c r="AY35" s="145">
        <v>132</v>
      </c>
      <c r="AZ35" s="89" t="s">
        <v>94</v>
      </c>
      <c r="BA35" s="89" t="s">
        <v>94</v>
      </c>
      <c r="BB35" s="88" t="s">
        <v>94</v>
      </c>
      <c r="BC35" s="88" t="s">
        <v>94</v>
      </c>
      <c r="BD35" s="96">
        <f t="shared" si="1"/>
        <v>288.27733333333333</v>
      </c>
      <c r="BE35" s="96">
        <f t="shared" si="2"/>
        <v>280.67366666666669</v>
      </c>
      <c r="BF35" s="89">
        <v>4.45</v>
      </c>
      <c r="BG35" s="89">
        <v>4.59</v>
      </c>
      <c r="BH35" s="145">
        <v>13.2</v>
      </c>
      <c r="BI35" s="145">
        <v>13.8</v>
      </c>
      <c r="BJ35" s="89">
        <v>42.3</v>
      </c>
      <c r="BK35" s="89">
        <v>42</v>
      </c>
      <c r="BL35" s="145">
        <v>95.1</v>
      </c>
      <c r="BM35" s="145">
        <v>91.5</v>
      </c>
      <c r="BN35" s="89">
        <v>30.3</v>
      </c>
      <c r="BO35" s="89">
        <v>30.1</v>
      </c>
      <c r="BP35" s="145">
        <v>31.9</v>
      </c>
      <c r="BQ35" s="145">
        <v>32.9</v>
      </c>
      <c r="BR35" s="89">
        <v>257</v>
      </c>
      <c r="BS35" s="89">
        <v>295</v>
      </c>
      <c r="BT35" s="145">
        <v>13.3</v>
      </c>
      <c r="BU35" s="145">
        <v>13.9</v>
      </c>
      <c r="BV35" s="108">
        <v>1.1000000000000001</v>
      </c>
      <c r="BW35" s="108">
        <v>0.99</v>
      </c>
      <c r="BX35" s="145">
        <v>4.7</v>
      </c>
      <c r="BY35" s="145">
        <v>6.69</v>
      </c>
      <c r="BZ35" s="89">
        <v>38.299999999999997</v>
      </c>
      <c r="CA35" s="89">
        <v>35.799999999999997</v>
      </c>
      <c r="CB35" s="145">
        <v>43.8</v>
      </c>
      <c r="CC35" s="145">
        <v>47.1</v>
      </c>
      <c r="CD35" s="89">
        <v>11.9</v>
      </c>
      <c r="CE35" s="89">
        <v>12.6</v>
      </c>
      <c r="CF35" s="145">
        <v>4.3</v>
      </c>
      <c r="CG35" s="145">
        <v>3</v>
      </c>
      <c r="CH35" s="89">
        <v>1.7</v>
      </c>
      <c r="CI35" s="89">
        <v>1.5</v>
      </c>
      <c r="CJ35" s="86" t="b">
        <f t="shared" si="3"/>
        <v>0</v>
      </c>
      <c r="CK35" s="2" t="b">
        <f t="shared" si="4"/>
        <v>0</v>
      </c>
      <c r="CL35" s="98">
        <f t="shared" si="5"/>
        <v>82.193119999999993</v>
      </c>
      <c r="CM35" s="98">
        <v>85.6</v>
      </c>
      <c r="CN35" s="98">
        <v>192.5</v>
      </c>
      <c r="CO35" s="86">
        <v>0</v>
      </c>
      <c r="CP35" s="98">
        <v>74</v>
      </c>
      <c r="CQ35" s="98">
        <v>70</v>
      </c>
      <c r="CR35" s="96">
        <v>3.98</v>
      </c>
    </row>
    <row r="36" spans="1:96" ht="15.75" customHeight="1">
      <c r="A36" s="72">
        <v>2017</v>
      </c>
      <c r="B36" s="79" t="s">
        <v>185</v>
      </c>
      <c r="C36" s="164">
        <v>3093</v>
      </c>
      <c r="D36" s="61">
        <v>28</v>
      </c>
      <c r="E36" s="80">
        <v>85</v>
      </c>
      <c r="F36" s="52">
        <v>2</v>
      </c>
      <c r="G36" s="54" t="s">
        <v>101</v>
      </c>
      <c r="H36" s="55" t="s">
        <v>92</v>
      </c>
      <c r="I36" s="56" t="s">
        <v>84</v>
      </c>
      <c r="J36" s="55" t="s">
        <v>99</v>
      </c>
      <c r="K36" s="53">
        <v>62.5</v>
      </c>
      <c r="L36" s="55">
        <v>37.5</v>
      </c>
      <c r="M36" s="87">
        <v>270</v>
      </c>
      <c r="N36" s="87">
        <v>890</v>
      </c>
      <c r="O36" s="88">
        <v>3</v>
      </c>
      <c r="P36" s="88">
        <v>10</v>
      </c>
      <c r="Q36" s="89" t="s">
        <v>94</v>
      </c>
      <c r="R36" s="89" t="s">
        <v>94</v>
      </c>
      <c r="S36" s="88">
        <v>457</v>
      </c>
      <c r="T36" s="88">
        <v>726</v>
      </c>
      <c r="U36" s="90">
        <v>22</v>
      </c>
      <c r="V36" s="90">
        <v>44</v>
      </c>
      <c r="W36" s="63">
        <v>4.0999999999999996</v>
      </c>
      <c r="X36" s="145">
        <v>4.5</v>
      </c>
      <c r="Y36" s="90">
        <v>33</v>
      </c>
      <c r="Z36" s="90">
        <v>45</v>
      </c>
      <c r="AA36" s="63">
        <v>25</v>
      </c>
      <c r="AB36" s="145">
        <v>25</v>
      </c>
      <c r="AC36" s="89" t="s">
        <v>94</v>
      </c>
      <c r="AD36" s="89" t="s">
        <v>94</v>
      </c>
      <c r="AE36" s="166">
        <v>84.5</v>
      </c>
      <c r="AF36" s="167" t="s">
        <v>104</v>
      </c>
      <c r="AG36" s="89">
        <v>39</v>
      </c>
      <c r="AH36" s="89">
        <v>44</v>
      </c>
      <c r="AI36" s="88">
        <v>1.2</v>
      </c>
      <c r="AJ36" s="88">
        <v>1.3</v>
      </c>
      <c r="AK36" s="269">
        <f t="shared" si="0"/>
        <v>0.10000000000000009</v>
      </c>
      <c r="AL36" s="89">
        <v>4.5</v>
      </c>
      <c r="AM36" s="89">
        <v>5</v>
      </c>
      <c r="AN36" s="88">
        <v>7</v>
      </c>
      <c r="AO36" s="88">
        <v>7.6</v>
      </c>
      <c r="AP36" s="80" t="s">
        <v>94</v>
      </c>
      <c r="AQ36" s="80" t="s">
        <v>94</v>
      </c>
      <c r="AR36" s="89">
        <v>9.6</v>
      </c>
      <c r="AS36" s="89">
        <v>9.6</v>
      </c>
      <c r="AT36" s="89">
        <v>5.3</v>
      </c>
      <c r="AU36" s="89">
        <v>4.3</v>
      </c>
      <c r="AV36" s="88">
        <v>101</v>
      </c>
      <c r="AW36" s="88">
        <v>79</v>
      </c>
      <c r="AX36" s="63">
        <v>135</v>
      </c>
      <c r="AY36" s="145">
        <v>132</v>
      </c>
      <c r="AZ36" s="89" t="s">
        <v>94</v>
      </c>
      <c r="BA36" s="89" t="s">
        <v>94</v>
      </c>
      <c r="BB36" s="88" t="s">
        <v>94</v>
      </c>
      <c r="BC36" s="88" t="s">
        <v>94</v>
      </c>
      <c r="BD36" s="96">
        <f t="shared" si="1"/>
        <v>287.91077777777781</v>
      </c>
      <c r="BE36" s="96">
        <f t="shared" si="2"/>
        <v>279.89855555555556</v>
      </c>
      <c r="BF36" s="89">
        <v>4.2699999999999996</v>
      </c>
      <c r="BG36" s="89">
        <v>4.4000000000000004</v>
      </c>
      <c r="BH36" s="145">
        <v>14.5</v>
      </c>
      <c r="BI36" s="145">
        <v>14.4</v>
      </c>
      <c r="BJ36" s="89">
        <v>42.8</v>
      </c>
      <c r="BK36" s="89">
        <v>44</v>
      </c>
      <c r="BL36" s="145">
        <v>100.2</v>
      </c>
      <c r="BM36" s="145">
        <v>100</v>
      </c>
      <c r="BN36" s="89">
        <v>34</v>
      </c>
      <c r="BO36" s="89">
        <v>32.700000000000003</v>
      </c>
      <c r="BP36" s="145">
        <v>33.9</v>
      </c>
      <c r="BQ36" s="145">
        <v>32.700000000000003</v>
      </c>
      <c r="BR36" s="89">
        <v>358</v>
      </c>
      <c r="BS36" s="89">
        <v>352</v>
      </c>
      <c r="BT36" s="145">
        <v>12.3</v>
      </c>
      <c r="BU36" s="145">
        <v>12.7</v>
      </c>
      <c r="BV36" s="108">
        <v>1.79</v>
      </c>
      <c r="BW36" s="108">
        <v>1.34</v>
      </c>
      <c r="BX36" s="259">
        <v>5.75</v>
      </c>
      <c r="BY36" s="259">
        <v>7.7</v>
      </c>
      <c r="BZ36" s="89">
        <v>53.1</v>
      </c>
      <c r="CA36" s="89">
        <v>51.4</v>
      </c>
      <c r="CB36" s="145">
        <v>27.7</v>
      </c>
      <c r="CC36" s="145">
        <v>23.1</v>
      </c>
      <c r="CD36" s="89">
        <v>15.1</v>
      </c>
      <c r="CE36" s="89">
        <v>23</v>
      </c>
      <c r="CF36" s="145">
        <v>2.4</v>
      </c>
      <c r="CG36" s="145">
        <v>1.6</v>
      </c>
      <c r="CH36" s="89">
        <v>1.7</v>
      </c>
      <c r="CI36" s="89">
        <v>0.9</v>
      </c>
      <c r="CJ36" s="86" t="b">
        <f t="shared" si="3"/>
        <v>0</v>
      </c>
      <c r="CK36" s="2" t="b">
        <f t="shared" si="4"/>
        <v>0</v>
      </c>
      <c r="CL36" s="98">
        <f t="shared" si="5"/>
        <v>78.848640000000003</v>
      </c>
      <c r="CM36" s="98">
        <v>86.4</v>
      </c>
      <c r="CN36" s="98">
        <v>184</v>
      </c>
      <c r="CO36" s="86">
        <v>50.17</v>
      </c>
      <c r="CP36" s="98">
        <v>48</v>
      </c>
      <c r="CQ36" s="98">
        <v>42.5</v>
      </c>
      <c r="CR36" s="96">
        <v>8.74</v>
      </c>
    </row>
    <row r="37" spans="1:96" ht="15.75" customHeight="1">
      <c r="A37" s="72">
        <v>2017</v>
      </c>
      <c r="B37" s="79" t="s">
        <v>185</v>
      </c>
      <c r="C37" s="164">
        <v>3094</v>
      </c>
      <c r="D37" s="61">
        <v>34</v>
      </c>
      <c r="E37" s="80">
        <v>82</v>
      </c>
      <c r="F37" s="52">
        <v>2</v>
      </c>
      <c r="G37" s="303" t="s">
        <v>82</v>
      </c>
      <c r="H37" s="55" t="s">
        <v>83</v>
      </c>
      <c r="I37" s="56" t="s">
        <v>84</v>
      </c>
      <c r="J37" s="55" t="s">
        <v>99</v>
      </c>
      <c r="K37" s="56">
        <v>37.5</v>
      </c>
      <c r="L37" s="52">
        <v>62.5</v>
      </c>
      <c r="M37" s="87">
        <v>390</v>
      </c>
      <c r="N37" s="87">
        <v>2605</v>
      </c>
      <c r="O37" s="88">
        <v>3</v>
      </c>
      <c r="P37" s="88">
        <v>37</v>
      </c>
      <c r="Q37" s="89" t="s">
        <v>94</v>
      </c>
      <c r="R37" s="89" t="s">
        <v>94</v>
      </c>
      <c r="S37" s="88">
        <v>391</v>
      </c>
      <c r="T37" s="88">
        <v>918</v>
      </c>
      <c r="U37" s="90">
        <v>37</v>
      </c>
      <c r="V37" s="90">
        <v>132</v>
      </c>
      <c r="W37" s="63">
        <v>3.8</v>
      </c>
      <c r="X37" s="145">
        <v>3.9</v>
      </c>
      <c r="Y37" s="90">
        <v>51</v>
      </c>
      <c r="Z37" s="90">
        <v>96</v>
      </c>
      <c r="AA37" s="63">
        <v>85</v>
      </c>
      <c r="AB37" s="145">
        <v>61</v>
      </c>
      <c r="AC37" s="89" t="s">
        <v>94</v>
      </c>
      <c r="AD37" s="89" t="s">
        <v>94</v>
      </c>
      <c r="AE37" s="166">
        <v>101.3</v>
      </c>
      <c r="AF37" s="167" t="s">
        <v>105</v>
      </c>
      <c r="AG37" s="89">
        <v>41</v>
      </c>
      <c r="AH37" s="89">
        <v>46</v>
      </c>
      <c r="AI37" s="88">
        <v>1</v>
      </c>
      <c r="AJ37" s="88">
        <v>1.1000000000000001</v>
      </c>
      <c r="AK37" s="269">
        <f t="shared" si="0"/>
        <v>0.10000000000000009</v>
      </c>
      <c r="AL37" s="89">
        <v>3.9</v>
      </c>
      <c r="AM37" s="89">
        <v>4.2</v>
      </c>
      <c r="AN37" s="88">
        <v>7.1</v>
      </c>
      <c r="AO37" s="88">
        <v>7.2</v>
      </c>
      <c r="AP37" s="80" t="s">
        <v>94</v>
      </c>
      <c r="AQ37" s="80" t="s">
        <v>94</v>
      </c>
      <c r="AR37" s="89">
        <v>9.1</v>
      </c>
      <c r="AS37" s="89">
        <v>9.3000000000000007</v>
      </c>
      <c r="AT37" s="89">
        <v>4.5</v>
      </c>
      <c r="AU37" s="89">
        <v>4.0999999999999996</v>
      </c>
      <c r="AV37" s="88">
        <v>95</v>
      </c>
      <c r="AW37" s="88">
        <v>90</v>
      </c>
      <c r="AX37" s="63">
        <v>133</v>
      </c>
      <c r="AY37" s="145">
        <v>131</v>
      </c>
      <c r="AZ37" s="89" t="s">
        <v>94</v>
      </c>
      <c r="BA37" s="89" t="s">
        <v>94</v>
      </c>
      <c r="BB37" s="88" t="s">
        <v>94</v>
      </c>
      <c r="BC37" s="88" t="s">
        <v>94</v>
      </c>
      <c r="BD37" s="96">
        <f t="shared" si="1"/>
        <v>282.65277777777777</v>
      </c>
      <c r="BE37" s="96">
        <f t="shared" si="2"/>
        <v>278.70266666666669</v>
      </c>
      <c r="BF37" s="89">
        <v>4.83</v>
      </c>
      <c r="BG37" s="89">
        <v>4.8600000000000003</v>
      </c>
      <c r="BH37" s="145">
        <v>14.8</v>
      </c>
      <c r="BI37" s="145">
        <v>15</v>
      </c>
      <c r="BJ37" s="89">
        <v>46</v>
      </c>
      <c r="BK37" s="89">
        <v>44.5</v>
      </c>
      <c r="BL37" s="145">
        <v>95.2</v>
      </c>
      <c r="BM37" s="145">
        <v>91.6</v>
      </c>
      <c r="BN37" s="89">
        <v>30.6</v>
      </c>
      <c r="BO37" s="89">
        <v>30.9</v>
      </c>
      <c r="BP37" s="145">
        <v>32.200000000000003</v>
      </c>
      <c r="BQ37" s="145">
        <v>33.700000000000003</v>
      </c>
      <c r="BR37" s="89">
        <v>283</v>
      </c>
      <c r="BS37" s="89">
        <v>295</v>
      </c>
      <c r="BT37" s="145">
        <v>14.7</v>
      </c>
      <c r="BU37" s="145">
        <v>14.1</v>
      </c>
      <c r="BV37" s="108">
        <v>1.38</v>
      </c>
      <c r="BW37" s="108">
        <v>0.62</v>
      </c>
      <c r="BX37" s="259">
        <v>9.5299999999999994</v>
      </c>
      <c r="BY37" s="259">
        <v>10.17</v>
      </c>
      <c r="BZ37" s="89">
        <v>65.7</v>
      </c>
      <c r="CA37" s="89">
        <v>65.8</v>
      </c>
      <c r="CB37" s="145">
        <v>23</v>
      </c>
      <c r="CC37" s="145">
        <v>21.9</v>
      </c>
      <c r="CD37" s="89">
        <v>9.3000000000000007</v>
      </c>
      <c r="CE37" s="89">
        <v>9.9</v>
      </c>
      <c r="CF37" s="145">
        <v>1.3</v>
      </c>
      <c r="CG37" s="145">
        <v>1.9</v>
      </c>
      <c r="CH37" s="89">
        <v>0.7</v>
      </c>
      <c r="CI37" s="89">
        <v>0.5</v>
      </c>
      <c r="CJ37" s="86" t="b">
        <f t="shared" si="3"/>
        <v>0</v>
      </c>
      <c r="CK37" s="2" t="b">
        <f t="shared" si="4"/>
        <v>1</v>
      </c>
      <c r="CL37" s="98">
        <f t="shared" si="5"/>
        <v>73.472700000000003</v>
      </c>
      <c r="CM37" s="98">
        <v>88.5</v>
      </c>
      <c r="CN37" s="98">
        <v>187</v>
      </c>
      <c r="CO37" s="86">
        <v>49.59</v>
      </c>
      <c r="CP37" s="98">
        <v>59.5</v>
      </c>
      <c r="CQ37" s="98">
        <v>0</v>
      </c>
      <c r="CR37" s="96">
        <v>16.98</v>
      </c>
    </row>
    <row r="38" spans="1:96" ht="15.75" customHeight="1">
      <c r="A38" s="72">
        <v>2017</v>
      </c>
      <c r="B38" s="79" t="s">
        <v>185</v>
      </c>
      <c r="C38" s="164">
        <v>3095</v>
      </c>
      <c r="D38" s="61">
        <v>34</v>
      </c>
      <c r="E38" s="80">
        <v>82</v>
      </c>
      <c r="F38" s="52">
        <v>2</v>
      </c>
      <c r="G38" s="303" t="s">
        <v>101</v>
      </c>
      <c r="H38" s="55" t="s">
        <v>83</v>
      </c>
      <c r="I38" s="56" t="s">
        <v>87</v>
      </c>
      <c r="J38" s="55" t="s">
        <v>99</v>
      </c>
      <c r="K38" s="56">
        <v>37.5</v>
      </c>
      <c r="L38" s="52">
        <v>62.5</v>
      </c>
      <c r="M38" s="87">
        <v>145</v>
      </c>
      <c r="N38" s="87">
        <v>457</v>
      </c>
      <c r="O38" s="88">
        <v>8</v>
      </c>
      <c r="P38" s="88">
        <v>14</v>
      </c>
      <c r="Q38" s="89" t="s">
        <v>94</v>
      </c>
      <c r="R38" s="89" t="s">
        <v>94</v>
      </c>
      <c r="S38" s="88">
        <v>431</v>
      </c>
      <c r="T38" s="88">
        <v>572</v>
      </c>
      <c r="U38" s="90">
        <v>34</v>
      </c>
      <c r="V38" s="90">
        <v>60</v>
      </c>
      <c r="W38" s="63">
        <v>4.2</v>
      </c>
      <c r="X38" s="145">
        <v>4.0999999999999996</v>
      </c>
      <c r="Y38" s="90">
        <v>48</v>
      </c>
      <c r="Z38" s="90">
        <v>60</v>
      </c>
      <c r="AA38" s="63">
        <v>31</v>
      </c>
      <c r="AB38" s="145">
        <v>32</v>
      </c>
      <c r="AC38" s="89" t="s">
        <v>94</v>
      </c>
      <c r="AD38" s="89" t="s">
        <v>94</v>
      </c>
      <c r="AE38" s="166">
        <v>73.900000000000006</v>
      </c>
      <c r="AF38" s="167" t="s">
        <v>106</v>
      </c>
      <c r="AG38" s="89">
        <v>36</v>
      </c>
      <c r="AH38" s="89">
        <v>44</v>
      </c>
      <c r="AI38" s="88">
        <v>1.3</v>
      </c>
      <c r="AJ38" s="88">
        <v>1.2</v>
      </c>
      <c r="AK38" s="269">
        <f t="shared" si="0"/>
        <v>0</v>
      </c>
      <c r="AL38" s="89">
        <v>4.4000000000000004</v>
      </c>
      <c r="AM38" s="89">
        <v>4.8</v>
      </c>
      <c r="AN38" s="88">
        <v>7.6</v>
      </c>
      <c r="AO38" s="88">
        <v>7.4</v>
      </c>
      <c r="AP38" s="80" t="s">
        <v>94</v>
      </c>
      <c r="AQ38" s="80" t="s">
        <v>94</v>
      </c>
      <c r="AR38" s="89">
        <v>9.4</v>
      </c>
      <c r="AS38" s="89">
        <v>9.3000000000000007</v>
      </c>
      <c r="AT38" s="89">
        <v>4.8</v>
      </c>
      <c r="AU38" s="89">
        <v>4.3</v>
      </c>
      <c r="AV38" s="88">
        <v>95</v>
      </c>
      <c r="AW38" s="88">
        <v>81</v>
      </c>
      <c r="AX38" s="63">
        <v>137</v>
      </c>
      <c r="AY38" s="145">
        <v>133</v>
      </c>
      <c r="AZ38" s="89" t="s">
        <v>94</v>
      </c>
      <c r="BA38" s="89" t="s">
        <v>94</v>
      </c>
      <c r="BB38" s="88" t="s">
        <v>94</v>
      </c>
      <c r="BC38" s="88" t="s">
        <v>94</v>
      </c>
      <c r="BD38" s="96">
        <f t="shared" si="1"/>
        <v>289.8174444444445</v>
      </c>
      <c r="BE38" s="96">
        <f t="shared" si="2"/>
        <v>281.88633333333337</v>
      </c>
      <c r="BF38" s="89">
        <v>5.14</v>
      </c>
      <c r="BG38" s="89">
        <v>4.91</v>
      </c>
      <c r="BH38" s="145">
        <v>14.1</v>
      </c>
      <c r="BI38" s="145">
        <v>13.6</v>
      </c>
      <c r="BJ38" s="89">
        <v>44.8</v>
      </c>
      <c r="BK38" s="89">
        <v>41.6</v>
      </c>
      <c r="BL38" s="145">
        <v>87.2</v>
      </c>
      <c r="BM38" s="145">
        <v>84.7</v>
      </c>
      <c r="BN38" s="89">
        <v>27.4</v>
      </c>
      <c r="BO38" s="89">
        <v>27.7</v>
      </c>
      <c r="BP38" s="145">
        <v>31.5</v>
      </c>
      <c r="BQ38" s="145">
        <v>32.700000000000003</v>
      </c>
      <c r="BR38" s="89">
        <v>158</v>
      </c>
      <c r="BS38" s="89">
        <v>177</v>
      </c>
      <c r="BT38" s="145">
        <v>13.2</v>
      </c>
      <c r="BU38" s="145">
        <v>13.7</v>
      </c>
      <c r="BV38" s="108">
        <v>1.26</v>
      </c>
      <c r="BW38" s="108">
        <v>1.4</v>
      </c>
      <c r="BX38" s="259">
        <v>4.83</v>
      </c>
      <c r="BY38" s="259">
        <v>7.76</v>
      </c>
      <c r="BZ38" s="89">
        <v>37.5</v>
      </c>
      <c r="CA38" s="89">
        <v>54.9</v>
      </c>
      <c r="CB38" s="145">
        <v>49.5</v>
      </c>
      <c r="CC38" s="145">
        <v>33</v>
      </c>
      <c r="CD38" s="89">
        <v>12</v>
      </c>
      <c r="CE38" s="89">
        <v>11.5</v>
      </c>
      <c r="CF38" s="145">
        <v>0.4</v>
      </c>
      <c r="CG38" s="145">
        <v>0.3</v>
      </c>
      <c r="CH38" s="89">
        <v>0.6</v>
      </c>
      <c r="CI38" s="89">
        <v>0.3</v>
      </c>
      <c r="CJ38" s="86" t="b">
        <f t="shared" si="3"/>
        <v>0</v>
      </c>
      <c r="CK38" s="2" t="b">
        <f t="shared" si="4"/>
        <v>0</v>
      </c>
      <c r="CL38" s="98">
        <f t="shared" si="5"/>
        <v>71.675339999999991</v>
      </c>
      <c r="CM38" s="98">
        <v>78.599999999999994</v>
      </c>
      <c r="CN38" s="98">
        <v>172</v>
      </c>
      <c r="CO38" s="86">
        <v>51.33</v>
      </c>
      <c r="CP38" s="98">
        <v>48</v>
      </c>
      <c r="CQ38" s="98">
        <v>49</v>
      </c>
      <c r="CR38" s="96">
        <v>8.81</v>
      </c>
    </row>
    <row r="39" spans="1:96" ht="15.75" customHeight="1">
      <c r="A39" s="72">
        <v>2017</v>
      </c>
      <c r="B39" s="79" t="s">
        <v>185</v>
      </c>
      <c r="C39" s="164">
        <v>3102</v>
      </c>
      <c r="D39" s="61">
        <v>34</v>
      </c>
      <c r="E39" s="80">
        <v>87</v>
      </c>
      <c r="F39" s="52">
        <v>2</v>
      </c>
      <c r="G39" s="303" t="s">
        <v>82</v>
      </c>
      <c r="H39" s="55" t="s">
        <v>90</v>
      </c>
      <c r="I39" s="56" t="s">
        <v>84</v>
      </c>
      <c r="J39" s="55" t="s">
        <v>97</v>
      </c>
      <c r="K39" s="56">
        <v>37.5</v>
      </c>
      <c r="L39" s="52">
        <v>62.5</v>
      </c>
      <c r="M39" s="87">
        <v>287</v>
      </c>
      <c r="N39" s="87">
        <v>899</v>
      </c>
      <c r="O39" s="88">
        <v>3</v>
      </c>
      <c r="P39" s="88">
        <v>19</v>
      </c>
      <c r="Q39" s="89" t="s">
        <v>94</v>
      </c>
      <c r="R39" s="89" t="s">
        <v>94</v>
      </c>
      <c r="S39" s="88">
        <v>451</v>
      </c>
      <c r="T39" s="88">
        <v>632</v>
      </c>
      <c r="U39" s="90">
        <v>32</v>
      </c>
      <c r="V39" s="90">
        <v>57</v>
      </c>
      <c r="W39" s="63">
        <v>4.0999999999999996</v>
      </c>
      <c r="X39" s="145">
        <v>4.2</v>
      </c>
      <c r="Y39" s="90">
        <v>42</v>
      </c>
      <c r="Z39" s="90">
        <v>52</v>
      </c>
      <c r="AA39" s="63">
        <v>28</v>
      </c>
      <c r="AB39" s="145">
        <v>28</v>
      </c>
      <c r="AC39" s="89" t="s">
        <v>94</v>
      </c>
      <c r="AD39" s="89" t="s">
        <v>94</v>
      </c>
      <c r="AE39" s="166">
        <v>114.9</v>
      </c>
      <c r="AF39" s="167" t="s">
        <v>107</v>
      </c>
      <c r="AG39" s="89">
        <v>31</v>
      </c>
      <c r="AH39" s="89">
        <v>29</v>
      </c>
      <c r="AI39" s="88">
        <v>0.9</v>
      </c>
      <c r="AJ39" s="88">
        <v>0.9</v>
      </c>
      <c r="AK39" s="269">
        <f t="shared" si="0"/>
        <v>0</v>
      </c>
      <c r="AL39" s="89">
        <v>4.5999999999999996</v>
      </c>
      <c r="AM39" s="89">
        <v>5.2</v>
      </c>
      <c r="AN39" s="88">
        <v>6.9</v>
      </c>
      <c r="AO39" s="88">
        <v>6.9</v>
      </c>
      <c r="AP39" s="80" t="s">
        <v>94</v>
      </c>
      <c r="AQ39" s="80" t="s">
        <v>94</v>
      </c>
      <c r="AR39" s="89">
        <v>9.4</v>
      </c>
      <c r="AS39" s="89">
        <v>9.1999999999999993</v>
      </c>
      <c r="AT39" s="89">
        <v>5.3</v>
      </c>
      <c r="AU39" s="89">
        <v>4.4000000000000004</v>
      </c>
      <c r="AV39" s="88">
        <v>102</v>
      </c>
      <c r="AW39" s="88">
        <v>89</v>
      </c>
      <c r="AX39" s="63">
        <v>137</v>
      </c>
      <c r="AY39" s="145">
        <v>134</v>
      </c>
      <c r="AZ39" s="89" t="s">
        <v>94</v>
      </c>
      <c r="BA39" s="89" t="s">
        <v>94</v>
      </c>
      <c r="BB39" s="88" t="s">
        <v>94</v>
      </c>
      <c r="BC39" s="88" t="s">
        <v>94</v>
      </c>
      <c r="BD39" s="96">
        <f t="shared" si="1"/>
        <v>290.36133333333339</v>
      </c>
      <c r="BE39" s="96">
        <f t="shared" si="2"/>
        <v>281.94344444444448</v>
      </c>
      <c r="BF39" s="89">
        <v>4.8099999999999996</v>
      </c>
      <c r="BG39" s="89">
        <v>4.8099999999999996</v>
      </c>
      <c r="BH39" s="145">
        <v>13.1</v>
      </c>
      <c r="BI39" s="145">
        <v>13.1</v>
      </c>
      <c r="BJ39" s="89">
        <v>41.9</v>
      </c>
      <c r="BK39" s="89">
        <v>40.6</v>
      </c>
      <c r="BL39" s="145">
        <v>87.1</v>
      </c>
      <c r="BM39" s="145">
        <v>84.4</v>
      </c>
      <c r="BN39" s="89">
        <v>27.2</v>
      </c>
      <c r="BO39" s="89">
        <v>27.2</v>
      </c>
      <c r="BP39" s="145">
        <v>31.3</v>
      </c>
      <c r="BQ39" s="145">
        <v>32.299999999999997</v>
      </c>
      <c r="BR39" s="89">
        <v>260</v>
      </c>
      <c r="BS39" s="89">
        <v>259</v>
      </c>
      <c r="BT39" s="145">
        <v>13.1</v>
      </c>
      <c r="BU39" s="145">
        <v>13.7</v>
      </c>
      <c r="BV39" s="108">
        <v>1.34</v>
      </c>
      <c r="BW39" s="108">
        <v>1.25</v>
      </c>
      <c r="BX39" s="259">
        <v>4.53</v>
      </c>
      <c r="BY39" s="259">
        <v>8.92</v>
      </c>
      <c r="BZ39" s="89">
        <v>51.9</v>
      </c>
      <c r="CA39" s="89">
        <v>55.1</v>
      </c>
      <c r="CB39" s="145">
        <v>34.200000000000003</v>
      </c>
      <c r="CC39" s="145">
        <v>33.299999999999997</v>
      </c>
      <c r="CD39" s="89">
        <v>9.5</v>
      </c>
      <c r="CE39" s="89">
        <v>9.3000000000000007</v>
      </c>
      <c r="CF39" s="145">
        <v>3.3</v>
      </c>
      <c r="CG39" s="145">
        <v>2</v>
      </c>
      <c r="CH39" s="89">
        <v>1.1000000000000001</v>
      </c>
      <c r="CI39" s="89">
        <v>0.3</v>
      </c>
      <c r="CJ39" s="86" t="b">
        <f t="shared" si="3"/>
        <v>0</v>
      </c>
      <c r="CK39" s="2" t="b">
        <f t="shared" si="4"/>
        <v>0</v>
      </c>
      <c r="CL39" s="98">
        <f t="shared" si="5"/>
        <v>75.626200000000011</v>
      </c>
      <c r="CM39" s="98">
        <v>88.4</v>
      </c>
      <c r="CN39" s="98">
        <v>179</v>
      </c>
      <c r="CO39" s="86">
        <v>47.54</v>
      </c>
      <c r="CP39" s="98">
        <v>51.5</v>
      </c>
      <c r="CQ39" s="98">
        <v>50.5</v>
      </c>
      <c r="CR39" s="96">
        <v>14.45</v>
      </c>
    </row>
    <row r="40" spans="1:96" ht="15.75" customHeight="1">
      <c r="A40" s="72">
        <v>2017</v>
      </c>
      <c r="B40" s="79" t="s">
        <v>185</v>
      </c>
      <c r="C40" s="164">
        <v>3103</v>
      </c>
      <c r="D40" s="61">
        <v>30</v>
      </c>
      <c r="E40" s="80">
        <v>0</v>
      </c>
      <c r="F40" s="52">
        <v>2</v>
      </c>
      <c r="G40" s="303" t="s">
        <v>89</v>
      </c>
      <c r="H40" s="55" t="s">
        <v>90</v>
      </c>
      <c r="I40" s="56" t="s">
        <v>93</v>
      </c>
      <c r="J40" s="55" t="s">
        <v>97</v>
      </c>
      <c r="K40" s="53">
        <v>62.5</v>
      </c>
      <c r="L40" s="55">
        <v>37.5</v>
      </c>
      <c r="M40" s="87">
        <v>302</v>
      </c>
      <c r="N40" s="87">
        <v>1261</v>
      </c>
      <c r="O40" s="88">
        <v>6</v>
      </c>
      <c r="P40" s="88">
        <v>21</v>
      </c>
      <c r="Q40" s="89" t="s">
        <v>94</v>
      </c>
      <c r="R40" s="89" t="s">
        <v>94</v>
      </c>
      <c r="S40" s="88">
        <v>403</v>
      </c>
      <c r="T40" s="88">
        <v>636</v>
      </c>
      <c r="U40" s="90">
        <v>41</v>
      </c>
      <c r="V40" s="90">
        <v>75</v>
      </c>
      <c r="W40" s="63">
        <v>4.4000000000000004</v>
      </c>
      <c r="X40" s="145">
        <v>4.7</v>
      </c>
      <c r="Y40" s="90">
        <v>54</v>
      </c>
      <c r="Z40" s="90">
        <v>65</v>
      </c>
      <c r="AA40" s="63">
        <v>106</v>
      </c>
      <c r="AB40" s="145">
        <v>93</v>
      </c>
      <c r="AC40" s="89" t="s">
        <v>94</v>
      </c>
      <c r="AD40" s="89" t="s">
        <v>94</v>
      </c>
      <c r="AE40" s="166">
        <v>117.8</v>
      </c>
      <c r="AF40" s="167" t="s">
        <v>108</v>
      </c>
      <c r="AG40" s="89">
        <v>32</v>
      </c>
      <c r="AH40" s="89">
        <v>35</v>
      </c>
      <c r="AI40" s="88">
        <v>0.9</v>
      </c>
      <c r="AJ40" s="88">
        <v>0.7</v>
      </c>
      <c r="AK40" s="269">
        <f t="shared" si="0"/>
        <v>0</v>
      </c>
      <c r="AL40" s="89">
        <v>4.5999999999999996</v>
      </c>
      <c r="AM40" s="89">
        <v>4.9000000000000004</v>
      </c>
      <c r="AN40" s="88">
        <v>7.2</v>
      </c>
      <c r="AO40" s="88">
        <v>7.4</v>
      </c>
      <c r="AP40" s="80" t="s">
        <v>94</v>
      </c>
      <c r="AQ40" s="80" t="s">
        <v>94</v>
      </c>
      <c r="AR40" s="89">
        <v>9.5</v>
      </c>
      <c r="AS40" s="89">
        <v>9.5</v>
      </c>
      <c r="AT40" s="89">
        <v>5.2</v>
      </c>
      <c r="AU40" s="89">
        <v>4.0999999999999996</v>
      </c>
      <c r="AV40" s="88">
        <v>98</v>
      </c>
      <c r="AW40" s="88">
        <v>93</v>
      </c>
      <c r="AX40" s="63">
        <v>134</v>
      </c>
      <c r="AY40" s="145">
        <v>133</v>
      </c>
      <c r="AZ40" s="89" t="s">
        <v>94</v>
      </c>
      <c r="BA40" s="89" t="s">
        <v>94</v>
      </c>
      <c r="BB40" s="88" t="s">
        <v>94</v>
      </c>
      <c r="BC40" s="88" t="s">
        <v>94</v>
      </c>
      <c r="BD40" s="96">
        <f t="shared" si="1"/>
        <v>284.50644444444441</v>
      </c>
      <c r="BE40" s="96">
        <f t="shared" si="2"/>
        <v>280.78100000000001</v>
      </c>
      <c r="BF40" s="89">
        <v>4.8600000000000003</v>
      </c>
      <c r="BG40" s="89">
        <v>4.76</v>
      </c>
      <c r="BH40" s="145">
        <v>15.3</v>
      </c>
      <c r="BI40" s="145">
        <v>15.1</v>
      </c>
      <c r="BJ40" s="89">
        <v>47.4</v>
      </c>
      <c r="BK40" s="89">
        <v>45</v>
      </c>
      <c r="BL40" s="145">
        <v>97.5</v>
      </c>
      <c r="BM40" s="145">
        <v>94.5</v>
      </c>
      <c r="BN40" s="89">
        <v>31.5</v>
      </c>
      <c r="BO40" s="89">
        <v>31.7</v>
      </c>
      <c r="BP40" s="145">
        <v>32.299999999999997</v>
      </c>
      <c r="BQ40" s="145">
        <v>33.6</v>
      </c>
      <c r="BR40" s="89">
        <v>276</v>
      </c>
      <c r="BS40" s="89">
        <v>252</v>
      </c>
      <c r="BT40" s="145">
        <v>11.8</v>
      </c>
      <c r="BU40" s="145">
        <v>12.1</v>
      </c>
      <c r="BV40" s="108">
        <v>0.94</v>
      </c>
      <c r="BW40" s="108">
        <v>0.6</v>
      </c>
      <c r="BX40" s="259">
        <v>5.84</v>
      </c>
      <c r="BY40" s="259">
        <v>4.5999999999999996</v>
      </c>
      <c r="BZ40" s="89">
        <v>50.2</v>
      </c>
      <c r="CA40" s="89">
        <v>48.6</v>
      </c>
      <c r="CB40" s="145">
        <v>36.1</v>
      </c>
      <c r="CC40" s="145">
        <v>34.299999999999997</v>
      </c>
      <c r="CD40" s="89">
        <v>10.6</v>
      </c>
      <c r="CE40" s="89">
        <v>13.7</v>
      </c>
      <c r="CF40" s="145">
        <v>2.6</v>
      </c>
      <c r="CG40" s="145">
        <v>3</v>
      </c>
      <c r="CH40" s="89">
        <v>0.5</v>
      </c>
      <c r="CI40" s="89">
        <v>0.4</v>
      </c>
      <c r="CJ40" s="86" t="b">
        <f t="shared" si="3"/>
        <v>0</v>
      </c>
      <c r="CK40" s="2" t="b">
        <f t="shared" si="4"/>
        <v>1</v>
      </c>
      <c r="CL40" s="98">
        <f t="shared" si="5"/>
        <v>60.885999999999996</v>
      </c>
      <c r="CM40" s="98">
        <v>70</v>
      </c>
      <c r="CN40" s="98">
        <v>167</v>
      </c>
      <c r="CO40" s="86">
        <v>53.35</v>
      </c>
      <c r="CP40" s="98">
        <v>42.5</v>
      </c>
      <c r="CQ40" s="98">
        <v>38</v>
      </c>
      <c r="CR40" s="96">
        <v>13.02</v>
      </c>
    </row>
    <row r="41" spans="1:96" ht="15.75" customHeight="1">
      <c r="A41" s="72">
        <v>2017</v>
      </c>
      <c r="B41" s="79" t="s">
        <v>185</v>
      </c>
      <c r="C41" s="164">
        <v>3105</v>
      </c>
      <c r="D41" s="61">
        <v>32</v>
      </c>
      <c r="E41" s="80">
        <v>83</v>
      </c>
      <c r="F41" s="52">
        <v>2</v>
      </c>
      <c r="G41" s="76" t="s">
        <v>86</v>
      </c>
      <c r="H41" s="55" t="s">
        <v>90</v>
      </c>
      <c r="I41" s="56" t="s">
        <v>84</v>
      </c>
      <c r="J41" s="55" t="s">
        <v>99</v>
      </c>
      <c r="K41" s="56">
        <v>50</v>
      </c>
      <c r="L41" s="55">
        <v>50</v>
      </c>
      <c r="M41" s="87">
        <v>1231</v>
      </c>
      <c r="N41" s="87">
        <v>2548</v>
      </c>
      <c r="O41" s="88">
        <v>10</v>
      </c>
      <c r="P41" s="88">
        <v>35</v>
      </c>
      <c r="Q41" s="89" t="s">
        <v>94</v>
      </c>
      <c r="R41" s="89" t="s">
        <v>94</v>
      </c>
      <c r="S41" s="88">
        <v>538</v>
      </c>
      <c r="T41" s="88">
        <v>893</v>
      </c>
      <c r="U41" s="90">
        <v>53</v>
      </c>
      <c r="V41" s="90">
        <v>97</v>
      </c>
      <c r="W41" s="63">
        <v>4.4000000000000004</v>
      </c>
      <c r="X41" s="145">
        <v>4.2</v>
      </c>
      <c r="Y41" s="90">
        <v>56</v>
      </c>
      <c r="Z41" s="90">
        <v>68</v>
      </c>
      <c r="AA41" s="63">
        <v>18</v>
      </c>
      <c r="AB41" s="145">
        <v>17</v>
      </c>
      <c r="AC41" s="89" t="s">
        <v>94</v>
      </c>
      <c r="AD41" s="89" t="s">
        <v>94</v>
      </c>
      <c r="AE41" s="326">
        <v>91.5</v>
      </c>
      <c r="AF41" s="332">
        <v>102.6</v>
      </c>
      <c r="AG41" s="89">
        <v>42</v>
      </c>
      <c r="AH41" s="89">
        <v>41</v>
      </c>
      <c r="AI41" s="88">
        <v>1.1000000000000001</v>
      </c>
      <c r="AJ41" s="88">
        <v>1</v>
      </c>
      <c r="AK41" s="269">
        <f t="shared" si="0"/>
        <v>0</v>
      </c>
      <c r="AL41" s="89">
        <v>4.8</v>
      </c>
      <c r="AM41" s="89">
        <v>4.9000000000000004</v>
      </c>
      <c r="AN41" s="88">
        <v>7.5</v>
      </c>
      <c r="AO41" s="88">
        <v>7.2</v>
      </c>
      <c r="AP41" s="80" t="s">
        <v>94</v>
      </c>
      <c r="AQ41" s="80" t="s">
        <v>94</v>
      </c>
      <c r="AR41" s="89">
        <v>9.3000000000000007</v>
      </c>
      <c r="AS41" s="89">
        <v>9.5</v>
      </c>
      <c r="AT41" s="89">
        <v>5.0999999999999996</v>
      </c>
      <c r="AU41" s="89">
        <v>4.4000000000000004</v>
      </c>
      <c r="AV41" s="88">
        <v>87</v>
      </c>
      <c r="AW41" s="88">
        <v>83</v>
      </c>
      <c r="AX41" s="63">
        <v>137</v>
      </c>
      <c r="AY41" s="145">
        <v>137</v>
      </c>
      <c r="AZ41" s="89" t="s">
        <v>94</v>
      </c>
      <c r="BA41" s="89" t="s">
        <v>94</v>
      </c>
      <c r="BB41" s="88" t="s">
        <v>94</v>
      </c>
      <c r="BC41" s="88" t="s">
        <v>94</v>
      </c>
      <c r="BD41" s="96">
        <f t="shared" si="1"/>
        <v>290.86433333333332</v>
      </c>
      <c r="BE41" s="96">
        <f t="shared" si="2"/>
        <v>289.14011111111114</v>
      </c>
      <c r="BF41" s="89">
        <v>4.57</v>
      </c>
      <c r="BG41" s="89">
        <v>4.4000000000000004</v>
      </c>
      <c r="BH41" s="145">
        <v>13.6</v>
      </c>
      <c r="BI41" s="145">
        <v>13.1</v>
      </c>
      <c r="BJ41" s="89">
        <v>42.7</v>
      </c>
      <c r="BK41" s="89">
        <v>39.9</v>
      </c>
      <c r="BL41" s="145">
        <v>93.4</v>
      </c>
      <c r="BM41" s="145">
        <v>90.7</v>
      </c>
      <c r="BN41" s="89">
        <v>29.8</v>
      </c>
      <c r="BO41" s="89">
        <v>29.8</v>
      </c>
      <c r="BP41" s="145">
        <v>31.9</v>
      </c>
      <c r="BQ41" s="145">
        <v>32.799999999999997</v>
      </c>
      <c r="BR41" s="89">
        <v>341</v>
      </c>
      <c r="BS41" s="89">
        <v>342</v>
      </c>
      <c r="BT41" s="145">
        <v>12.2</v>
      </c>
      <c r="BU41" s="145">
        <v>13.3</v>
      </c>
      <c r="BV41" s="108">
        <v>1.1399999999999999</v>
      </c>
      <c r="BW41" s="108">
        <v>0.85</v>
      </c>
      <c r="BX41" s="259">
        <v>6.51</v>
      </c>
      <c r="BY41" s="259">
        <v>5.64</v>
      </c>
      <c r="BZ41" s="89">
        <v>43.4</v>
      </c>
      <c r="CA41" s="89">
        <v>49.3</v>
      </c>
      <c r="CB41" s="145">
        <v>30.1</v>
      </c>
      <c r="CC41" s="145">
        <v>25.7</v>
      </c>
      <c r="CD41" s="89">
        <v>8.4</v>
      </c>
      <c r="CE41" s="89">
        <v>10.1</v>
      </c>
      <c r="CF41" s="145">
        <v>17.8</v>
      </c>
      <c r="CG41" s="145">
        <v>14.7</v>
      </c>
      <c r="CH41" s="89">
        <v>0.3</v>
      </c>
      <c r="CI41" s="89">
        <v>0.2</v>
      </c>
      <c r="CJ41" s="86" t="b">
        <f t="shared" si="3"/>
        <v>0</v>
      </c>
      <c r="CK41" s="2" t="b">
        <f t="shared" si="4"/>
        <v>1</v>
      </c>
      <c r="CL41" s="98">
        <f t="shared" si="5"/>
        <v>71.683920000000001</v>
      </c>
      <c r="CM41" s="98">
        <v>79.2</v>
      </c>
      <c r="CN41" s="98">
        <v>172.6</v>
      </c>
      <c r="CO41" s="86">
        <v>51.6</v>
      </c>
      <c r="CP41" s="98">
        <v>60</v>
      </c>
      <c r="CQ41" s="98">
        <v>54</v>
      </c>
      <c r="CR41" s="96">
        <v>9.49</v>
      </c>
    </row>
    <row r="42" spans="1:96" ht="15.75" customHeight="1">
      <c r="A42" s="72">
        <v>2017</v>
      </c>
      <c r="B42" s="79" t="s">
        <v>185</v>
      </c>
      <c r="C42" s="164">
        <v>3106</v>
      </c>
      <c r="D42" s="61">
        <v>31</v>
      </c>
      <c r="E42" s="80">
        <v>85</v>
      </c>
      <c r="F42" s="52">
        <v>2</v>
      </c>
      <c r="G42" s="76" t="s">
        <v>82</v>
      </c>
      <c r="H42" s="55" t="s">
        <v>83</v>
      </c>
      <c r="I42" s="56" t="s">
        <v>93</v>
      </c>
      <c r="J42" s="55" t="s">
        <v>99</v>
      </c>
      <c r="K42" s="56">
        <v>50</v>
      </c>
      <c r="L42" s="55">
        <v>50</v>
      </c>
      <c r="M42" s="87">
        <v>220</v>
      </c>
      <c r="N42" s="87">
        <v>584</v>
      </c>
      <c r="O42" s="88">
        <v>5</v>
      </c>
      <c r="P42" s="88">
        <v>14</v>
      </c>
      <c r="Q42" s="89" t="s">
        <v>94</v>
      </c>
      <c r="R42" s="89" t="s">
        <v>94</v>
      </c>
      <c r="S42" s="88">
        <v>388</v>
      </c>
      <c r="T42" s="88">
        <v>558</v>
      </c>
      <c r="U42" s="90">
        <v>39</v>
      </c>
      <c r="V42" s="90">
        <v>60</v>
      </c>
      <c r="W42" s="63">
        <v>4.2</v>
      </c>
      <c r="X42" s="145">
        <v>4.5</v>
      </c>
      <c r="Y42" s="90">
        <v>56</v>
      </c>
      <c r="Z42" s="90">
        <v>54</v>
      </c>
      <c r="AA42" s="63">
        <v>20</v>
      </c>
      <c r="AB42" s="145">
        <v>19</v>
      </c>
      <c r="AC42" s="89" t="s">
        <v>94</v>
      </c>
      <c r="AD42" s="89" t="s">
        <v>94</v>
      </c>
      <c r="AE42" s="327" t="s">
        <v>109</v>
      </c>
      <c r="AF42" s="335">
        <v>92</v>
      </c>
      <c r="AG42" s="89">
        <v>38</v>
      </c>
      <c r="AH42" s="89">
        <v>38</v>
      </c>
      <c r="AI42" s="88">
        <v>1.1000000000000001</v>
      </c>
      <c r="AJ42" s="88">
        <v>1.1000000000000001</v>
      </c>
      <c r="AK42" s="269">
        <f t="shared" si="0"/>
        <v>0</v>
      </c>
      <c r="AL42" s="89">
        <v>4.5</v>
      </c>
      <c r="AM42" s="89">
        <v>5.3</v>
      </c>
      <c r="AN42" s="88">
        <v>7.2</v>
      </c>
      <c r="AO42" s="88">
        <v>7.5</v>
      </c>
      <c r="AP42" s="80" t="s">
        <v>94</v>
      </c>
      <c r="AQ42" s="80" t="s">
        <v>94</v>
      </c>
      <c r="AR42" s="89">
        <v>9.6</v>
      </c>
      <c r="AS42" s="89">
        <v>10.1</v>
      </c>
      <c r="AT42" s="89">
        <v>5.6</v>
      </c>
      <c r="AU42" s="89">
        <v>4.9000000000000004</v>
      </c>
      <c r="AV42" s="88">
        <v>104</v>
      </c>
      <c r="AW42" s="88">
        <v>93</v>
      </c>
      <c r="AX42" s="63">
        <v>135</v>
      </c>
      <c r="AY42" s="145">
        <v>135</v>
      </c>
      <c r="AZ42" s="89" t="s">
        <v>94</v>
      </c>
      <c r="BA42" s="89" t="s">
        <v>94</v>
      </c>
      <c r="BB42" s="88" t="s">
        <v>94</v>
      </c>
      <c r="BC42" s="88" t="s">
        <v>94</v>
      </c>
      <c r="BD42" s="96">
        <f t="shared" si="1"/>
        <v>288.49377777777778</v>
      </c>
      <c r="BE42" s="96">
        <f t="shared" si="2"/>
        <v>286.48899999999998</v>
      </c>
      <c r="BF42" s="89">
        <v>5.26</v>
      </c>
      <c r="BG42" s="89">
        <v>5.29</v>
      </c>
      <c r="BH42" s="145">
        <v>14.6</v>
      </c>
      <c r="BI42" s="145">
        <v>14.7</v>
      </c>
      <c r="BJ42" s="89">
        <v>43</v>
      </c>
      <c r="BK42" s="89">
        <v>42.1</v>
      </c>
      <c r="BL42" s="145">
        <v>81.7</v>
      </c>
      <c r="BM42" s="145">
        <v>79.599999999999994</v>
      </c>
      <c r="BN42" s="89">
        <v>27.8</v>
      </c>
      <c r="BO42" s="89">
        <v>27.8</v>
      </c>
      <c r="BP42" s="145">
        <v>34</v>
      </c>
      <c r="BQ42" s="145">
        <v>34.9</v>
      </c>
      <c r="BR42" s="89">
        <v>258</v>
      </c>
      <c r="BS42" s="89">
        <v>327</v>
      </c>
      <c r="BT42" s="145">
        <v>12.9</v>
      </c>
      <c r="BU42" s="145">
        <v>12.8</v>
      </c>
      <c r="BV42" s="108">
        <v>1.27</v>
      </c>
      <c r="BW42" s="108">
        <v>1.08</v>
      </c>
      <c r="BX42" s="259">
        <v>6.35</v>
      </c>
      <c r="BY42" s="259">
        <v>7.62</v>
      </c>
      <c r="BZ42" s="89">
        <v>43.8</v>
      </c>
      <c r="CA42" s="89">
        <v>52.2</v>
      </c>
      <c r="CB42" s="145">
        <v>38.1</v>
      </c>
      <c r="CC42" s="145">
        <v>31.5</v>
      </c>
      <c r="CD42" s="89">
        <v>13.2</v>
      </c>
      <c r="CE42" s="89">
        <v>13.3</v>
      </c>
      <c r="CF42" s="145">
        <v>3.8</v>
      </c>
      <c r="CG42" s="145">
        <v>2.5</v>
      </c>
      <c r="CH42" s="89">
        <v>1.1000000000000001</v>
      </c>
      <c r="CI42" s="89">
        <v>0.9</v>
      </c>
      <c r="CJ42" s="86" t="b">
        <f t="shared" si="3"/>
        <v>0</v>
      </c>
      <c r="CK42" s="2" t="b">
        <f t="shared" si="4"/>
        <v>0</v>
      </c>
      <c r="CL42" s="98">
        <f t="shared" si="5"/>
        <v>76.33</v>
      </c>
      <c r="CM42" s="98">
        <v>85</v>
      </c>
      <c r="CN42" s="98">
        <v>181</v>
      </c>
      <c r="CO42" s="86">
        <v>50.68</v>
      </c>
      <c r="CP42" s="98">
        <v>52</v>
      </c>
      <c r="CQ42" s="98">
        <v>55</v>
      </c>
      <c r="CR42" s="96">
        <v>10.199999999999999</v>
      </c>
    </row>
    <row r="43" spans="1:96" ht="15.75" customHeight="1">
      <c r="A43" s="72">
        <v>2017</v>
      </c>
      <c r="B43" s="79" t="s">
        <v>185</v>
      </c>
      <c r="C43" s="164">
        <v>3108</v>
      </c>
      <c r="D43" s="61">
        <v>31</v>
      </c>
      <c r="E43" s="80">
        <v>80</v>
      </c>
      <c r="F43" s="52">
        <v>2</v>
      </c>
      <c r="G43" s="54" t="s">
        <v>86</v>
      </c>
      <c r="H43" s="55" t="s">
        <v>83</v>
      </c>
      <c r="I43" s="56" t="s">
        <v>93</v>
      </c>
      <c r="J43" s="55" t="s">
        <v>100</v>
      </c>
      <c r="K43" s="53">
        <v>62.5</v>
      </c>
      <c r="L43" s="55">
        <v>37.5</v>
      </c>
      <c r="M43" s="87">
        <v>418</v>
      </c>
      <c r="N43" s="87">
        <v>932</v>
      </c>
      <c r="O43" s="88">
        <v>63</v>
      </c>
      <c r="P43" s="88">
        <v>42</v>
      </c>
      <c r="Q43" s="89" t="s">
        <v>94</v>
      </c>
      <c r="R43" s="89" t="s">
        <v>94</v>
      </c>
      <c r="S43" s="88">
        <v>494</v>
      </c>
      <c r="T43" s="88">
        <v>600</v>
      </c>
      <c r="U43" s="90">
        <v>93</v>
      </c>
      <c r="V43" s="90">
        <v>55</v>
      </c>
      <c r="W43" s="63">
        <v>4.5999999999999996</v>
      </c>
      <c r="X43" s="145">
        <v>4.2</v>
      </c>
      <c r="Y43" s="90">
        <v>55</v>
      </c>
      <c r="Z43" s="90">
        <v>48</v>
      </c>
      <c r="AA43" s="63">
        <v>22</v>
      </c>
      <c r="AB43" s="145">
        <v>21</v>
      </c>
      <c r="AC43" s="89" t="s">
        <v>94</v>
      </c>
      <c r="AD43" s="89" t="s">
        <v>94</v>
      </c>
      <c r="AE43" s="322">
        <v>103.2</v>
      </c>
      <c r="AF43" s="337">
        <v>117.1</v>
      </c>
      <c r="AG43" s="89">
        <v>33</v>
      </c>
      <c r="AH43" s="89">
        <v>33</v>
      </c>
      <c r="AI43" s="88">
        <v>1</v>
      </c>
      <c r="AJ43" s="88">
        <v>0.9</v>
      </c>
      <c r="AK43" s="269">
        <f t="shared" si="0"/>
        <v>0</v>
      </c>
      <c r="AL43" s="89">
        <v>3.8</v>
      </c>
      <c r="AM43" s="89">
        <v>4.5999999999999996</v>
      </c>
      <c r="AN43" s="88">
        <v>7.7</v>
      </c>
      <c r="AO43" s="88">
        <v>7.4</v>
      </c>
      <c r="AP43" s="80" t="s">
        <v>94</v>
      </c>
      <c r="AQ43" s="80" t="s">
        <v>94</v>
      </c>
      <c r="AR43" s="89">
        <v>9.5</v>
      </c>
      <c r="AS43" s="89">
        <v>9.5</v>
      </c>
      <c r="AT43" s="89">
        <v>4.3</v>
      </c>
      <c r="AU43" s="89">
        <v>4.4000000000000004</v>
      </c>
      <c r="AV43" s="88">
        <v>88</v>
      </c>
      <c r="AW43" s="88">
        <v>85</v>
      </c>
      <c r="AX43" s="63">
        <v>135</v>
      </c>
      <c r="AY43" s="145">
        <v>135</v>
      </c>
      <c r="AZ43" s="89" t="s">
        <v>94</v>
      </c>
      <c r="BA43" s="89" t="s">
        <v>94</v>
      </c>
      <c r="BB43" s="88" t="s">
        <v>94</v>
      </c>
      <c r="BC43" s="88" t="s">
        <v>94</v>
      </c>
      <c r="BD43" s="96">
        <f t="shared" si="1"/>
        <v>284.22022222222222</v>
      </c>
      <c r="BE43" s="96">
        <f t="shared" si="2"/>
        <v>284.21455555555559</v>
      </c>
      <c r="BF43" s="89">
        <v>5.13</v>
      </c>
      <c r="BG43" s="89">
        <v>5.0199999999999996</v>
      </c>
      <c r="BH43" s="145">
        <v>15.3</v>
      </c>
      <c r="BI43" s="145">
        <v>15.1</v>
      </c>
      <c r="BJ43" s="89">
        <v>46.9</v>
      </c>
      <c r="BK43" s="89">
        <v>44.5</v>
      </c>
      <c r="BL43" s="145">
        <v>91.4</v>
      </c>
      <c r="BM43" s="145">
        <v>88.6</v>
      </c>
      <c r="BN43" s="89">
        <v>29.8</v>
      </c>
      <c r="BO43" s="89">
        <v>30.1</v>
      </c>
      <c r="BP43" s="145">
        <v>32.6</v>
      </c>
      <c r="BQ43" s="145">
        <v>33.9</v>
      </c>
      <c r="BR43" s="89">
        <v>192</v>
      </c>
      <c r="BS43" s="89">
        <v>207</v>
      </c>
      <c r="BT43" s="145">
        <v>11.9</v>
      </c>
      <c r="BU43" s="145">
        <v>12.5</v>
      </c>
      <c r="BV43" s="108">
        <v>1.02</v>
      </c>
      <c r="BW43" s="108">
        <v>1.2</v>
      </c>
      <c r="BX43" s="259">
        <v>5.68</v>
      </c>
      <c r="BY43" s="259">
        <v>7.22</v>
      </c>
      <c r="BZ43" s="89">
        <v>42.4</v>
      </c>
      <c r="CA43" s="89">
        <v>51.8</v>
      </c>
      <c r="CB43" s="145">
        <v>46.5</v>
      </c>
      <c r="CC43" s="145">
        <v>34.799999999999997</v>
      </c>
      <c r="CD43" s="89">
        <v>9.5</v>
      </c>
      <c r="CE43" s="89">
        <v>10.7</v>
      </c>
      <c r="CF43" s="145">
        <v>1.2</v>
      </c>
      <c r="CG43" s="145">
        <v>2.4</v>
      </c>
      <c r="CH43" s="89">
        <v>0.4</v>
      </c>
      <c r="CI43" s="89">
        <v>0.3</v>
      </c>
      <c r="CJ43" s="86" t="b">
        <f t="shared" si="3"/>
        <v>0</v>
      </c>
      <c r="CK43" s="2" t="b">
        <f t="shared" si="4"/>
        <v>0</v>
      </c>
      <c r="CL43" s="98">
        <f t="shared" si="5"/>
        <v>71.280989999999989</v>
      </c>
      <c r="CM43" s="98">
        <v>80.099999999999994</v>
      </c>
      <c r="CN43" s="98">
        <v>184</v>
      </c>
      <c r="CO43" s="86">
        <v>51.35</v>
      </c>
      <c r="CP43" s="98">
        <v>57</v>
      </c>
      <c r="CQ43" s="98">
        <v>55</v>
      </c>
      <c r="CR43" s="96">
        <v>11.01</v>
      </c>
    </row>
    <row r="44" spans="1:96" ht="15.75" customHeight="1">
      <c r="A44" s="72">
        <v>2017</v>
      </c>
      <c r="B44" s="79" t="s">
        <v>185</v>
      </c>
      <c r="C44" s="164">
        <v>3114</v>
      </c>
      <c r="D44" s="61">
        <v>30</v>
      </c>
      <c r="E44" s="80">
        <v>72</v>
      </c>
      <c r="F44" s="52">
        <v>1</v>
      </c>
      <c r="G44" s="54" t="s">
        <v>89</v>
      </c>
      <c r="H44" s="55" t="s">
        <v>90</v>
      </c>
      <c r="I44" s="56" t="s">
        <v>93</v>
      </c>
      <c r="J44" s="55" t="s">
        <v>99</v>
      </c>
      <c r="K44" s="56">
        <v>50</v>
      </c>
      <c r="L44" s="55">
        <v>50</v>
      </c>
      <c r="M44" s="87">
        <v>1040</v>
      </c>
      <c r="N44" s="87">
        <v>1254</v>
      </c>
      <c r="O44" s="88">
        <v>13</v>
      </c>
      <c r="P44" s="88">
        <v>23</v>
      </c>
      <c r="Q44" s="89" t="s">
        <v>94</v>
      </c>
      <c r="R44" s="89" t="s">
        <v>94</v>
      </c>
      <c r="S44" s="88">
        <v>516</v>
      </c>
      <c r="T44" s="88">
        <v>657</v>
      </c>
      <c r="U44" s="90">
        <v>53</v>
      </c>
      <c r="V44" s="90">
        <v>61</v>
      </c>
      <c r="W44" s="63">
        <v>4.5999999999999996</v>
      </c>
      <c r="X44" s="145">
        <v>4.4000000000000004</v>
      </c>
      <c r="Y44" s="90">
        <v>45</v>
      </c>
      <c r="Z44" s="90">
        <v>45</v>
      </c>
      <c r="AA44" s="63">
        <v>11</v>
      </c>
      <c r="AB44" s="145">
        <v>10</v>
      </c>
      <c r="AC44" s="89" t="s">
        <v>94</v>
      </c>
      <c r="AD44" s="89" t="s">
        <v>94</v>
      </c>
      <c r="AE44" s="322">
        <v>103.8</v>
      </c>
      <c r="AF44" s="337">
        <v>103.8</v>
      </c>
      <c r="AG44" s="89">
        <v>55</v>
      </c>
      <c r="AH44" s="89">
        <v>53</v>
      </c>
      <c r="AI44" s="88">
        <v>1</v>
      </c>
      <c r="AJ44" s="88">
        <v>1</v>
      </c>
      <c r="AK44" s="269">
        <f t="shared" si="0"/>
        <v>0</v>
      </c>
      <c r="AL44" s="89">
        <v>4.2</v>
      </c>
      <c r="AM44" s="89">
        <v>4.2</v>
      </c>
      <c r="AN44" s="88">
        <v>7.8</v>
      </c>
      <c r="AO44" s="88">
        <v>7.5</v>
      </c>
      <c r="AP44" s="80" t="s">
        <v>94</v>
      </c>
      <c r="AQ44" s="80" t="s">
        <v>94</v>
      </c>
      <c r="AR44" s="89">
        <v>9.6999999999999993</v>
      </c>
      <c r="AS44" s="89">
        <v>9.6999999999999993</v>
      </c>
      <c r="AT44" s="89">
        <v>5.3</v>
      </c>
      <c r="AU44" s="89">
        <v>4.5999999999999996</v>
      </c>
      <c r="AV44" s="88">
        <v>88</v>
      </c>
      <c r="AW44" s="88">
        <v>91</v>
      </c>
      <c r="AX44" s="63">
        <v>136</v>
      </c>
      <c r="AY44" s="145">
        <v>134</v>
      </c>
      <c r="AZ44" s="89" t="s">
        <v>94</v>
      </c>
      <c r="BA44" s="89" t="s">
        <v>94</v>
      </c>
      <c r="BB44" s="88" t="s">
        <v>94</v>
      </c>
      <c r="BC44" s="88" t="s">
        <v>94</v>
      </c>
      <c r="BD44" s="96">
        <f t="shared" si="1"/>
        <v>291.60688888888893</v>
      </c>
      <c r="BE44" s="96">
        <f t="shared" si="2"/>
        <v>286.44322222222218</v>
      </c>
      <c r="BF44" s="89">
        <v>5.16</v>
      </c>
      <c r="BG44" s="89">
        <v>5.0599999999999996</v>
      </c>
      <c r="BH44" s="145">
        <v>15.1</v>
      </c>
      <c r="BI44" s="145">
        <v>14.7</v>
      </c>
      <c r="BJ44" s="89">
        <v>49.2</v>
      </c>
      <c r="BK44" s="89">
        <v>45.2</v>
      </c>
      <c r="BL44" s="145">
        <v>95.3</v>
      </c>
      <c r="BM44" s="145">
        <v>89.3</v>
      </c>
      <c r="BN44" s="89">
        <v>29.3</v>
      </c>
      <c r="BO44" s="89">
        <v>29.1</v>
      </c>
      <c r="BP44" s="145">
        <v>30.7</v>
      </c>
      <c r="BQ44" s="145">
        <v>32.5</v>
      </c>
      <c r="BR44" s="89">
        <v>288</v>
      </c>
      <c r="BS44" s="89">
        <v>335</v>
      </c>
      <c r="BT44" s="145">
        <v>12.7</v>
      </c>
      <c r="BU44" s="145">
        <v>13</v>
      </c>
      <c r="BV44" s="108">
        <v>1.1599999999999999</v>
      </c>
      <c r="BW44" s="108">
        <v>1.03</v>
      </c>
      <c r="BX44" s="259">
        <v>5.18</v>
      </c>
      <c r="BY44" s="259">
        <v>8.48</v>
      </c>
      <c r="BZ44" s="89">
        <v>55.4</v>
      </c>
      <c r="CA44" s="89">
        <v>64</v>
      </c>
      <c r="CB44" s="145">
        <v>29.3</v>
      </c>
      <c r="CC44" s="145">
        <v>19.2</v>
      </c>
      <c r="CD44" s="89">
        <v>11.8</v>
      </c>
      <c r="CE44" s="89">
        <v>11</v>
      </c>
      <c r="CF44" s="145">
        <v>2.7</v>
      </c>
      <c r="CG44" s="145">
        <v>5.2</v>
      </c>
      <c r="CH44" s="89">
        <v>0.8</v>
      </c>
      <c r="CI44" s="89">
        <v>0.6</v>
      </c>
      <c r="CJ44" s="86" t="b">
        <f t="shared" si="3"/>
        <v>0</v>
      </c>
      <c r="CK44" s="2" t="b">
        <f t="shared" si="4"/>
        <v>1</v>
      </c>
      <c r="CL44" s="98">
        <f t="shared" si="5"/>
        <v>66.363659999999996</v>
      </c>
      <c r="CM44" s="98">
        <v>72.599999999999994</v>
      </c>
      <c r="CN44" s="98">
        <v>180</v>
      </c>
      <c r="CO44" s="86">
        <v>52.5</v>
      </c>
      <c r="CP44" s="98">
        <v>45</v>
      </c>
      <c r="CQ44" s="98">
        <v>42</v>
      </c>
      <c r="CR44" s="96">
        <v>8.59</v>
      </c>
    </row>
    <row r="45" spans="1:96" ht="15.75" customHeight="1">
      <c r="A45" s="72">
        <v>2017</v>
      </c>
      <c r="B45" s="79" t="s">
        <v>185</v>
      </c>
      <c r="C45" s="164">
        <v>3116</v>
      </c>
      <c r="D45" s="52">
        <v>29</v>
      </c>
      <c r="E45" s="80">
        <v>70</v>
      </c>
      <c r="F45" s="52">
        <v>2</v>
      </c>
      <c r="G45" s="54" t="s">
        <v>89</v>
      </c>
      <c r="H45" s="55" t="s">
        <v>83</v>
      </c>
      <c r="I45" s="56" t="s">
        <v>93</v>
      </c>
      <c r="J45" s="55" t="s">
        <v>99</v>
      </c>
      <c r="K45" s="53">
        <v>62.5</v>
      </c>
      <c r="L45" s="55">
        <v>37.5</v>
      </c>
      <c r="M45" s="87">
        <v>108</v>
      </c>
      <c r="N45" s="87">
        <v>490</v>
      </c>
      <c r="O45" s="88">
        <v>3</v>
      </c>
      <c r="P45" s="88">
        <v>9</v>
      </c>
      <c r="Q45" s="89" t="s">
        <v>94</v>
      </c>
      <c r="R45" s="89" t="s">
        <v>94</v>
      </c>
      <c r="S45" s="88">
        <v>445</v>
      </c>
      <c r="T45" s="88">
        <v>670</v>
      </c>
      <c r="U45" s="90">
        <v>29</v>
      </c>
      <c r="V45" s="90">
        <v>66</v>
      </c>
      <c r="W45" s="63">
        <v>4.4000000000000004</v>
      </c>
      <c r="X45" s="145">
        <v>4.5</v>
      </c>
      <c r="Y45" s="90">
        <v>36</v>
      </c>
      <c r="Z45" s="90">
        <v>58</v>
      </c>
      <c r="AA45" s="63">
        <v>14</v>
      </c>
      <c r="AB45" s="145">
        <v>15</v>
      </c>
      <c r="AC45" s="89" t="s">
        <v>94</v>
      </c>
      <c r="AD45" s="89" t="s">
        <v>94</v>
      </c>
      <c r="AE45" s="322">
        <v>93.2</v>
      </c>
      <c r="AF45" s="337">
        <v>104.5</v>
      </c>
      <c r="AG45" s="89">
        <v>43</v>
      </c>
      <c r="AH45" s="89">
        <v>38</v>
      </c>
      <c r="AI45" s="88">
        <v>1.1000000000000001</v>
      </c>
      <c r="AJ45" s="88">
        <v>1</v>
      </c>
      <c r="AK45" s="269">
        <f t="shared" si="0"/>
        <v>0</v>
      </c>
      <c r="AL45" s="89">
        <v>4</v>
      </c>
      <c r="AM45" s="89">
        <v>5.4</v>
      </c>
      <c r="AN45" s="88">
        <v>6.9</v>
      </c>
      <c r="AO45" s="88">
        <v>7</v>
      </c>
      <c r="AP45" s="80" t="s">
        <v>94</v>
      </c>
      <c r="AQ45" s="80" t="s">
        <v>94</v>
      </c>
      <c r="AR45" s="89">
        <v>9.6999999999999993</v>
      </c>
      <c r="AS45" s="89">
        <v>10</v>
      </c>
      <c r="AT45" s="89">
        <v>4.9000000000000004</v>
      </c>
      <c r="AU45" s="89">
        <v>4.9000000000000004</v>
      </c>
      <c r="AV45" s="88">
        <v>84</v>
      </c>
      <c r="AW45" s="88">
        <v>83</v>
      </c>
      <c r="AX45" s="63">
        <v>138</v>
      </c>
      <c r="AY45" s="145">
        <v>137</v>
      </c>
      <c r="AZ45" s="89" t="s">
        <v>94</v>
      </c>
      <c r="BA45" s="89" t="s">
        <v>94</v>
      </c>
      <c r="BB45" s="88" t="s">
        <v>94</v>
      </c>
      <c r="BC45" s="88" t="s">
        <v>94</v>
      </c>
      <c r="BD45" s="96">
        <f t="shared" si="1"/>
        <v>292.3273333333334</v>
      </c>
      <c r="BE45" s="96">
        <f t="shared" si="2"/>
        <v>289.57011111111109</v>
      </c>
      <c r="BF45" s="89">
        <v>4.9000000000000004</v>
      </c>
      <c r="BG45" s="89">
        <v>5.04</v>
      </c>
      <c r="BH45" s="145">
        <v>14.4</v>
      </c>
      <c r="BI45" s="145">
        <v>14.8</v>
      </c>
      <c r="BJ45" s="89">
        <v>43.4</v>
      </c>
      <c r="BK45" s="89">
        <v>43.2</v>
      </c>
      <c r="BL45" s="145">
        <v>88.6</v>
      </c>
      <c r="BM45" s="145">
        <v>85.7</v>
      </c>
      <c r="BN45" s="89">
        <v>29.4</v>
      </c>
      <c r="BO45" s="89">
        <v>29.4</v>
      </c>
      <c r="BP45" s="145">
        <v>33.200000000000003</v>
      </c>
      <c r="BQ45" s="145">
        <v>34.299999999999997</v>
      </c>
      <c r="BR45" s="89">
        <v>172</v>
      </c>
      <c r="BS45" s="89">
        <v>216</v>
      </c>
      <c r="BT45" s="145">
        <v>12.3</v>
      </c>
      <c r="BU45" s="145">
        <v>12.9</v>
      </c>
      <c r="BV45" s="108">
        <v>1.76</v>
      </c>
      <c r="BW45" s="108">
        <v>1.58</v>
      </c>
      <c r="BX45" s="259">
        <v>5.12</v>
      </c>
      <c r="BY45" s="259">
        <v>5.49</v>
      </c>
      <c r="BZ45" s="89">
        <v>42.2</v>
      </c>
      <c r="CA45" s="89">
        <v>37</v>
      </c>
      <c r="CB45" s="145">
        <v>35</v>
      </c>
      <c r="CC45" s="145">
        <v>44.6</v>
      </c>
      <c r="CD45" s="89">
        <v>11.9</v>
      </c>
      <c r="CE45" s="89">
        <v>10.7</v>
      </c>
      <c r="CF45" s="145">
        <v>10.5</v>
      </c>
      <c r="CG45" s="145">
        <v>7.3</v>
      </c>
      <c r="CH45" s="89">
        <v>0.4</v>
      </c>
      <c r="CI45" s="89">
        <v>0.4</v>
      </c>
      <c r="CJ45" s="86" t="b">
        <f t="shared" si="3"/>
        <v>0</v>
      </c>
      <c r="CK45" s="2" t="b">
        <f t="shared" si="4"/>
        <v>0</v>
      </c>
      <c r="CL45" s="98"/>
      <c r="CM45" s="77"/>
      <c r="CN45" s="77"/>
      <c r="CO45" s="77"/>
      <c r="CP45" s="77"/>
      <c r="CQ45" s="77"/>
      <c r="CR45" s="77"/>
    </row>
    <row r="46" spans="1:96" ht="15.75" customHeight="1">
      <c r="A46" s="72">
        <v>2017</v>
      </c>
      <c r="B46" s="79" t="s">
        <v>185</v>
      </c>
      <c r="C46" s="164">
        <v>3119</v>
      </c>
      <c r="D46" s="52">
        <v>28</v>
      </c>
      <c r="E46" s="80">
        <v>75</v>
      </c>
      <c r="F46" s="52">
        <v>1</v>
      </c>
      <c r="G46" s="54" t="s">
        <v>89</v>
      </c>
      <c r="H46" s="55" t="s">
        <v>92</v>
      </c>
      <c r="I46" s="56" t="s">
        <v>93</v>
      </c>
      <c r="J46" s="55" t="s">
        <v>100</v>
      </c>
      <c r="K46" s="53">
        <v>62.5</v>
      </c>
      <c r="L46" s="55">
        <v>37.5</v>
      </c>
      <c r="M46" s="87">
        <v>446</v>
      </c>
      <c r="N46" s="87">
        <v>626</v>
      </c>
      <c r="O46" s="88">
        <v>11</v>
      </c>
      <c r="P46" s="88">
        <v>21</v>
      </c>
      <c r="Q46" s="89" t="s">
        <v>94</v>
      </c>
      <c r="R46" s="89" t="s">
        <v>94</v>
      </c>
      <c r="S46" s="88">
        <v>559</v>
      </c>
      <c r="T46" s="88">
        <v>668</v>
      </c>
      <c r="U46" s="90">
        <v>36</v>
      </c>
      <c r="V46" s="90">
        <v>50</v>
      </c>
      <c r="W46" s="63">
        <v>4.4000000000000004</v>
      </c>
      <c r="X46" s="145">
        <v>4.4000000000000004</v>
      </c>
      <c r="Y46" s="90">
        <v>47</v>
      </c>
      <c r="Z46" s="90">
        <v>51</v>
      </c>
      <c r="AA46" s="63">
        <v>31</v>
      </c>
      <c r="AB46" s="145">
        <v>35</v>
      </c>
      <c r="AC46" s="89" t="s">
        <v>94</v>
      </c>
      <c r="AD46" s="89" t="s">
        <v>94</v>
      </c>
      <c r="AE46" s="322">
        <v>105.1</v>
      </c>
      <c r="AF46" s="337">
        <v>93.8</v>
      </c>
      <c r="AG46" s="89">
        <v>29</v>
      </c>
      <c r="AH46" s="89">
        <v>35</v>
      </c>
      <c r="AI46" s="88">
        <v>1</v>
      </c>
      <c r="AJ46" s="88">
        <v>1.1000000000000001</v>
      </c>
      <c r="AK46" s="269">
        <f t="shared" si="0"/>
        <v>0.10000000000000009</v>
      </c>
      <c r="AL46" s="89">
        <v>4.0999999999999996</v>
      </c>
      <c r="AM46" s="89">
        <v>4.0999999999999996</v>
      </c>
      <c r="AN46" s="88">
        <v>7.2</v>
      </c>
      <c r="AO46" s="88">
        <v>7.2</v>
      </c>
      <c r="AP46" s="80" t="s">
        <v>94</v>
      </c>
      <c r="AQ46" s="80" t="s">
        <v>94</v>
      </c>
      <c r="AR46" s="89">
        <v>9.5</v>
      </c>
      <c r="AS46" s="89">
        <v>9.3000000000000007</v>
      </c>
      <c r="AT46" s="89">
        <v>4.5</v>
      </c>
      <c r="AU46" s="89">
        <v>4.2</v>
      </c>
      <c r="AV46" s="88">
        <v>107</v>
      </c>
      <c r="AW46" s="88">
        <v>91</v>
      </c>
      <c r="AX46" s="63">
        <v>136</v>
      </c>
      <c r="AY46" s="145">
        <v>133</v>
      </c>
      <c r="AZ46" s="89" t="s">
        <v>94</v>
      </c>
      <c r="BA46" s="89" t="s">
        <v>94</v>
      </c>
      <c r="BB46" s="88" t="s">
        <v>94</v>
      </c>
      <c r="BC46" s="88" t="s">
        <v>94</v>
      </c>
      <c r="BD46" s="96">
        <f t="shared" si="1"/>
        <v>286.99944444444446</v>
      </c>
      <c r="BE46" s="96">
        <f t="shared" si="2"/>
        <v>280.83922222222219</v>
      </c>
      <c r="BF46" s="89">
        <v>4.9000000000000004</v>
      </c>
      <c r="BG46" s="89">
        <v>4.83</v>
      </c>
      <c r="BH46" s="145">
        <v>14.4</v>
      </c>
      <c r="BI46" s="145">
        <v>14.2</v>
      </c>
      <c r="BJ46" s="89">
        <v>44.4</v>
      </c>
      <c r="BK46" s="89">
        <v>42.1</v>
      </c>
      <c r="BL46" s="145">
        <v>90.6</v>
      </c>
      <c r="BM46" s="145">
        <v>87.2</v>
      </c>
      <c r="BN46" s="89">
        <v>29.4</v>
      </c>
      <c r="BO46" s="89">
        <v>29.4</v>
      </c>
      <c r="BP46" s="145">
        <v>32.4</v>
      </c>
      <c r="BQ46" s="145">
        <v>33.700000000000003</v>
      </c>
      <c r="BR46" s="89">
        <v>186</v>
      </c>
      <c r="BS46" s="89">
        <v>253</v>
      </c>
      <c r="BT46" s="145">
        <v>12.9</v>
      </c>
      <c r="BU46" s="145">
        <v>13.3</v>
      </c>
      <c r="BV46" s="108">
        <v>1.1499999999999999</v>
      </c>
      <c r="BW46" s="108">
        <v>1.04</v>
      </c>
      <c r="BX46" s="259">
        <v>3.6</v>
      </c>
      <c r="BY46" s="259">
        <v>6.98</v>
      </c>
      <c r="BZ46" s="89">
        <v>46.9</v>
      </c>
      <c r="CA46" s="89">
        <v>54</v>
      </c>
      <c r="CB46" s="145">
        <v>33.1</v>
      </c>
      <c r="CC46" s="145">
        <v>27.7</v>
      </c>
      <c r="CD46" s="89">
        <v>14.2</v>
      </c>
      <c r="CE46" s="89">
        <v>14.9</v>
      </c>
      <c r="CF46" s="145">
        <v>4.7</v>
      </c>
      <c r="CG46" s="145">
        <v>3</v>
      </c>
      <c r="CH46" s="89">
        <v>1.1000000000000001</v>
      </c>
      <c r="CI46" s="89">
        <v>0.4</v>
      </c>
      <c r="CJ46" s="86" t="b">
        <f t="shared" si="3"/>
        <v>0</v>
      </c>
      <c r="CK46" s="2" t="b">
        <f t="shared" si="4"/>
        <v>0</v>
      </c>
      <c r="CL46" s="98">
        <f t="shared" ref="CL46:CL61" si="6">$CM46-($CM46*(0.01*$CR46))</f>
        <v>69.236999999999995</v>
      </c>
      <c r="CM46" s="98">
        <v>73.5</v>
      </c>
      <c r="CN46" s="98">
        <v>177</v>
      </c>
      <c r="CO46" s="86">
        <v>53.28</v>
      </c>
      <c r="CP46" s="98">
        <v>52.5</v>
      </c>
      <c r="CQ46" s="98">
        <v>50</v>
      </c>
      <c r="CR46" s="96">
        <v>5.8</v>
      </c>
    </row>
    <row r="47" spans="1:96" ht="15.75" customHeight="1">
      <c r="A47" s="72">
        <v>2017</v>
      </c>
      <c r="B47" s="79" t="s">
        <v>185</v>
      </c>
      <c r="C47" s="164">
        <v>3123</v>
      </c>
      <c r="D47" s="61">
        <v>27</v>
      </c>
      <c r="E47" s="80">
        <v>86</v>
      </c>
      <c r="F47" s="52">
        <v>1</v>
      </c>
      <c r="G47" s="54" t="s">
        <v>89</v>
      </c>
      <c r="H47" s="55" t="s">
        <v>92</v>
      </c>
      <c r="I47" s="56" t="s">
        <v>84</v>
      </c>
      <c r="J47" s="55" t="s">
        <v>97</v>
      </c>
      <c r="K47" s="56">
        <v>75</v>
      </c>
      <c r="L47" s="55">
        <v>25</v>
      </c>
      <c r="M47" s="87">
        <v>264</v>
      </c>
      <c r="N47" s="87">
        <v>631</v>
      </c>
      <c r="O47" s="88">
        <v>3</v>
      </c>
      <c r="P47" s="88">
        <v>12</v>
      </c>
      <c r="Q47" s="89" t="s">
        <v>94</v>
      </c>
      <c r="R47" s="89" t="s">
        <v>94</v>
      </c>
      <c r="S47" s="88">
        <v>462</v>
      </c>
      <c r="T47" s="88">
        <v>557</v>
      </c>
      <c r="U47" s="90">
        <v>39</v>
      </c>
      <c r="V47" s="90">
        <v>54</v>
      </c>
      <c r="W47" s="63">
        <v>4.4000000000000004</v>
      </c>
      <c r="X47" s="145">
        <v>4.3</v>
      </c>
      <c r="Y47" s="90">
        <v>45</v>
      </c>
      <c r="Z47" s="90">
        <v>47</v>
      </c>
      <c r="AA47" s="63">
        <v>26</v>
      </c>
      <c r="AB47" s="145">
        <v>24</v>
      </c>
      <c r="AC47" s="89" t="s">
        <v>94</v>
      </c>
      <c r="AD47" s="89" t="s">
        <v>94</v>
      </c>
      <c r="AE47" s="322">
        <v>120</v>
      </c>
      <c r="AF47" s="337">
        <v>105.8</v>
      </c>
      <c r="AG47" s="89">
        <v>33</v>
      </c>
      <c r="AH47" s="89">
        <v>41</v>
      </c>
      <c r="AI47" s="88">
        <v>0.9</v>
      </c>
      <c r="AJ47" s="88">
        <v>1</v>
      </c>
      <c r="AK47" s="269">
        <f t="shared" si="0"/>
        <v>9.9999999999999978E-2</v>
      </c>
      <c r="AL47" s="89">
        <v>4.4000000000000004</v>
      </c>
      <c r="AM47" s="89">
        <v>4.7</v>
      </c>
      <c r="AN47" s="88">
        <v>8.1</v>
      </c>
      <c r="AO47" s="88">
        <v>7.9</v>
      </c>
      <c r="AP47" s="80" t="s">
        <v>94</v>
      </c>
      <c r="AQ47" s="80" t="s">
        <v>94</v>
      </c>
      <c r="AR47" s="89">
        <v>9.3000000000000007</v>
      </c>
      <c r="AS47" s="89">
        <v>9.1999999999999993</v>
      </c>
      <c r="AT47" s="89">
        <v>4.8</v>
      </c>
      <c r="AU47" s="89">
        <v>4.7</v>
      </c>
      <c r="AV47" s="88">
        <v>87</v>
      </c>
      <c r="AW47" s="88">
        <v>98</v>
      </c>
      <c r="AX47" s="63">
        <v>136</v>
      </c>
      <c r="AY47" s="145">
        <v>133</v>
      </c>
      <c r="AZ47" s="89" t="s">
        <v>94</v>
      </c>
      <c r="BA47" s="89" t="s">
        <v>94</v>
      </c>
      <c r="BB47" s="88" t="s">
        <v>94</v>
      </c>
      <c r="BC47" s="88" t="s">
        <v>94</v>
      </c>
      <c r="BD47" s="96">
        <f t="shared" si="1"/>
        <v>286.94633333333337</v>
      </c>
      <c r="BE47" s="96">
        <f t="shared" si="2"/>
        <v>283.21644444444445</v>
      </c>
      <c r="BF47" s="89">
        <v>4.8099999999999996</v>
      </c>
      <c r="BG47" s="89">
        <v>4.7</v>
      </c>
      <c r="BH47" s="145">
        <v>12.7</v>
      </c>
      <c r="BI47" s="145">
        <v>12.5</v>
      </c>
      <c r="BJ47" s="89">
        <v>41.1</v>
      </c>
      <c r="BK47" s="89">
        <v>38.1</v>
      </c>
      <c r="BL47" s="145">
        <v>85.4</v>
      </c>
      <c r="BM47" s="145">
        <v>81.099999999999994</v>
      </c>
      <c r="BN47" s="89">
        <v>26.4</v>
      </c>
      <c r="BO47" s="89">
        <v>26.6</v>
      </c>
      <c r="BP47" s="145">
        <v>30.9</v>
      </c>
      <c r="BQ47" s="145">
        <v>32.799999999999997</v>
      </c>
      <c r="BR47" s="89">
        <v>298</v>
      </c>
      <c r="BS47" s="89">
        <v>301</v>
      </c>
      <c r="BT47" s="145">
        <v>13</v>
      </c>
      <c r="BU47" s="145">
        <v>13.4</v>
      </c>
      <c r="BV47" s="108">
        <v>0.94</v>
      </c>
      <c r="BW47" s="108">
        <v>0.99</v>
      </c>
      <c r="BX47" s="259">
        <v>8.48</v>
      </c>
      <c r="BY47" s="259">
        <v>7.4</v>
      </c>
      <c r="BZ47" s="89">
        <v>53.9</v>
      </c>
      <c r="CA47" s="89">
        <v>37.299999999999997</v>
      </c>
      <c r="CB47" s="145">
        <v>32.700000000000003</v>
      </c>
      <c r="CC47" s="145">
        <v>39.1</v>
      </c>
      <c r="CD47" s="89">
        <v>10.6</v>
      </c>
      <c r="CE47" s="89">
        <v>13.9</v>
      </c>
      <c r="CF47" s="145">
        <v>2.6</v>
      </c>
      <c r="CG47" s="145">
        <v>9.1999999999999993</v>
      </c>
      <c r="CH47" s="89">
        <v>0.2</v>
      </c>
      <c r="CI47" s="89">
        <v>0.5</v>
      </c>
      <c r="CJ47" s="86" t="b">
        <f t="shared" si="3"/>
        <v>0</v>
      </c>
      <c r="CK47" s="2" t="b">
        <f t="shared" si="4"/>
        <v>0</v>
      </c>
      <c r="CL47" s="98">
        <f t="shared" si="6"/>
        <v>74.045439999999999</v>
      </c>
      <c r="CM47" s="98">
        <v>89.6</v>
      </c>
      <c r="CN47" s="98">
        <v>176</v>
      </c>
      <c r="CO47" s="86">
        <v>45.45</v>
      </c>
      <c r="CP47" s="98">
        <v>46.5</v>
      </c>
      <c r="CQ47" s="98">
        <v>42</v>
      </c>
      <c r="CR47" s="96">
        <v>17.36</v>
      </c>
    </row>
    <row r="48" spans="1:96" ht="15.75" customHeight="1">
      <c r="A48" s="72">
        <v>2017</v>
      </c>
      <c r="B48" s="79" t="s">
        <v>185</v>
      </c>
      <c r="C48" s="164">
        <v>3125</v>
      </c>
      <c r="D48" s="52">
        <v>29</v>
      </c>
      <c r="E48" s="80">
        <v>70</v>
      </c>
      <c r="F48" s="52">
        <v>1</v>
      </c>
      <c r="G48" s="54" t="s">
        <v>82</v>
      </c>
      <c r="H48" s="55" t="s">
        <v>83</v>
      </c>
      <c r="I48" s="56" t="s">
        <v>93</v>
      </c>
      <c r="J48" s="55" t="s">
        <v>99</v>
      </c>
      <c r="K48" s="56">
        <v>50</v>
      </c>
      <c r="L48" s="55">
        <v>50</v>
      </c>
      <c r="M48" s="87">
        <v>161</v>
      </c>
      <c r="N48" s="87">
        <v>444</v>
      </c>
      <c r="O48" s="88">
        <v>4</v>
      </c>
      <c r="P48" s="88">
        <v>6</v>
      </c>
      <c r="Q48" s="89" t="s">
        <v>94</v>
      </c>
      <c r="R48" s="89" t="s">
        <v>94</v>
      </c>
      <c r="S48" s="88">
        <v>377</v>
      </c>
      <c r="T48" s="88">
        <v>535</v>
      </c>
      <c r="U48" s="90">
        <v>38</v>
      </c>
      <c r="V48" s="90">
        <v>58</v>
      </c>
      <c r="W48" s="63">
        <v>4.5999999999999996</v>
      </c>
      <c r="X48" s="145">
        <v>4.8</v>
      </c>
      <c r="Y48" s="90">
        <v>32</v>
      </c>
      <c r="Z48" s="90">
        <v>42</v>
      </c>
      <c r="AA48" s="63">
        <v>17</v>
      </c>
      <c r="AB48" s="145">
        <v>18</v>
      </c>
      <c r="AC48" s="89" t="s">
        <v>94</v>
      </c>
      <c r="AD48" s="89" t="s">
        <v>94</v>
      </c>
      <c r="AE48" s="322">
        <v>118.6</v>
      </c>
      <c r="AF48" s="337">
        <v>118.6</v>
      </c>
      <c r="AG48" s="89">
        <v>32</v>
      </c>
      <c r="AH48" s="89">
        <v>41</v>
      </c>
      <c r="AI48" s="88">
        <v>0.9</v>
      </c>
      <c r="AJ48" s="88">
        <v>0.9</v>
      </c>
      <c r="AK48" s="269">
        <f t="shared" si="0"/>
        <v>0</v>
      </c>
      <c r="AL48" s="89">
        <v>4.3</v>
      </c>
      <c r="AM48" s="89">
        <v>4.8</v>
      </c>
      <c r="AN48" s="88">
        <v>7.6</v>
      </c>
      <c r="AO48" s="88">
        <v>7.7</v>
      </c>
      <c r="AP48" s="80" t="s">
        <v>94</v>
      </c>
      <c r="AQ48" s="80" t="s">
        <v>94</v>
      </c>
      <c r="AR48" s="89">
        <v>9.1</v>
      </c>
      <c r="AS48" s="89">
        <v>9.8000000000000007</v>
      </c>
      <c r="AT48" s="89">
        <v>5</v>
      </c>
      <c r="AU48" s="89">
        <v>4.5</v>
      </c>
      <c r="AV48" s="88">
        <v>105</v>
      </c>
      <c r="AW48" s="88">
        <v>88</v>
      </c>
      <c r="AX48" s="63">
        <v>134</v>
      </c>
      <c r="AY48" s="145">
        <v>134</v>
      </c>
      <c r="AZ48" s="89" t="s">
        <v>94</v>
      </c>
      <c r="BA48" s="89" t="s">
        <v>94</v>
      </c>
      <c r="BB48" s="88" t="s">
        <v>94</v>
      </c>
      <c r="BC48" s="88" t="s">
        <v>94</v>
      </c>
      <c r="BD48" s="96">
        <f t="shared" si="1"/>
        <v>284.58166666666665</v>
      </c>
      <c r="BE48" s="96">
        <f t="shared" si="2"/>
        <v>284.06555555555553</v>
      </c>
      <c r="BF48" s="89">
        <v>5.22</v>
      </c>
      <c r="BG48" s="89">
        <v>5.24</v>
      </c>
      <c r="BH48" s="145">
        <v>14.9</v>
      </c>
      <c r="BI48" s="145">
        <v>15.2</v>
      </c>
      <c r="BJ48" s="89">
        <v>46.2</v>
      </c>
      <c r="BK48" s="89">
        <v>45</v>
      </c>
      <c r="BL48" s="145">
        <v>88.5</v>
      </c>
      <c r="BM48" s="145">
        <v>85.9</v>
      </c>
      <c r="BN48" s="89">
        <v>28.5</v>
      </c>
      <c r="BO48" s="89">
        <v>29</v>
      </c>
      <c r="BP48" s="145">
        <v>32.299999999999997</v>
      </c>
      <c r="BQ48" s="145">
        <v>33.799999999999997</v>
      </c>
      <c r="BR48" s="89">
        <v>231</v>
      </c>
      <c r="BS48" s="89">
        <v>256</v>
      </c>
      <c r="BT48" s="145">
        <v>12.6</v>
      </c>
      <c r="BU48" s="145">
        <v>13.1</v>
      </c>
      <c r="BV48" s="108">
        <v>1.1599999999999999</v>
      </c>
      <c r="BW48" s="108">
        <v>1.19</v>
      </c>
      <c r="BX48" s="259">
        <v>4.21</v>
      </c>
      <c r="BY48" s="259">
        <v>7.62</v>
      </c>
      <c r="BZ48" s="89">
        <v>53.2</v>
      </c>
      <c r="CA48" s="89">
        <v>69.400000000000006</v>
      </c>
      <c r="CB48" s="145">
        <v>31.8</v>
      </c>
      <c r="CC48" s="145">
        <v>18.100000000000001</v>
      </c>
      <c r="CD48" s="89">
        <v>12.1</v>
      </c>
      <c r="CE48" s="89">
        <v>10.6</v>
      </c>
      <c r="CF48" s="145">
        <v>1.9</v>
      </c>
      <c r="CG48" s="145">
        <v>1.2</v>
      </c>
      <c r="CH48" s="89">
        <v>1</v>
      </c>
      <c r="CI48" s="89">
        <v>0.7</v>
      </c>
      <c r="CJ48" s="86" t="b">
        <f t="shared" si="3"/>
        <v>0</v>
      </c>
      <c r="CK48" s="2" t="b">
        <f t="shared" si="4"/>
        <v>0</v>
      </c>
      <c r="CL48" s="98">
        <f t="shared" si="6"/>
        <v>63.743760000000002</v>
      </c>
      <c r="CM48" s="98">
        <v>72.900000000000006</v>
      </c>
      <c r="CN48" s="98">
        <v>168.6</v>
      </c>
      <c r="CO48" s="86">
        <v>48.54</v>
      </c>
      <c r="CP48" s="98">
        <v>50</v>
      </c>
      <c r="CQ48" s="98">
        <v>47</v>
      </c>
      <c r="CR48" s="96">
        <v>12.56</v>
      </c>
    </row>
    <row r="49" spans="1:96" ht="15.75" customHeight="1">
      <c r="A49" s="72">
        <v>2017</v>
      </c>
      <c r="B49" s="79" t="s">
        <v>185</v>
      </c>
      <c r="C49" s="164">
        <v>3136</v>
      </c>
      <c r="D49" s="61">
        <v>28</v>
      </c>
      <c r="E49" s="80">
        <v>82</v>
      </c>
      <c r="F49" s="52">
        <v>1</v>
      </c>
      <c r="G49" s="76" t="s">
        <v>89</v>
      </c>
      <c r="H49" s="55" t="s">
        <v>90</v>
      </c>
      <c r="I49" s="56" t="s">
        <v>93</v>
      </c>
      <c r="J49" s="55" t="s">
        <v>100</v>
      </c>
      <c r="K49" s="56">
        <v>37.5</v>
      </c>
      <c r="L49" s="52">
        <v>62.5</v>
      </c>
      <c r="M49" s="87">
        <v>200</v>
      </c>
      <c r="N49" s="87">
        <v>466</v>
      </c>
      <c r="O49" s="88">
        <v>4</v>
      </c>
      <c r="P49" s="88">
        <v>12</v>
      </c>
      <c r="Q49" s="89" t="s">
        <v>94</v>
      </c>
      <c r="R49" s="89" t="s">
        <v>94</v>
      </c>
      <c r="S49" s="88">
        <v>414</v>
      </c>
      <c r="T49" s="88">
        <v>538</v>
      </c>
      <c r="U49" s="90">
        <v>46</v>
      </c>
      <c r="V49" s="90">
        <v>48</v>
      </c>
      <c r="W49" s="63">
        <v>4.5999999999999996</v>
      </c>
      <c r="X49" s="145">
        <v>4.5</v>
      </c>
      <c r="Y49" s="90">
        <v>73</v>
      </c>
      <c r="Z49" s="90">
        <v>58</v>
      </c>
      <c r="AA49" s="63">
        <v>20</v>
      </c>
      <c r="AB49" s="145">
        <v>19</v>
      </c>
      <c r="AC49" s="89" t="s">
        <v>94</v>
      </c>
      <c r="AD49" s="89" t="s">
        <v>94</v>
      </c>
      <c r="AE49" s="322">
        <v>119.3</v>
      </c>
      <c r="AF49" s="337">
        <v>105.1</v>
      </c>
      <c r="AG49" s="89">
        <v>33</v>
      </c>
      <c r="AH49" s="89">
        <v>41</v>
      </c>
      <c r="AI49" s="88">
        <v>0.9</v>
      </c>
      <c r="AJ49" s="88">
        <v>1</v>
      </c>
      <c r="AK49" s="269">
        <f t="shared" si="0"/>
        <v>9.9999999999999978E-2</v>
      </c>
      <c r="AL49" s="89">
        <v>4.3</v>
      </c>
      <c r="AM49" s="89">
        <v>5.4</v>
      </c>
      <c r="AN49" s="88">
        <v>7.8</v>
      </c>
      <c r="AO49" s="88">
        <v>7.5</v>
      </c>
      <c r="AP49" s="80" t="s">
        <v>94</v>
      </c>
      <c r="AQ49" s="80" t="s">
        <v>94</v>
      </c>
      <c r="AR49" s="89">
        <v>9.6999999999999993</v>
      </c>
      <c r="AS49" s="89">
        <v>9.4</v>
      </c>
      <c r="AT49" s="89">
        <v>5.2</v>
      </c>
      <c r="AU49" s="89">
        <v>4.7</v>
      </c>
      <c r="AV49" s="88">
        <v>89</v>
      </c>
      <c r="AW49" s="88">
        <v>79</v>
      </c>
      <c r="AX49" s="63">
        <v>135</v>
      </c>
      <c r="AY49" s="145">
        <v>134</v>
      </c>
      <c r="AZ49" s="89" t="s">
        <v>94</v>
      </c>
      <c r="BA49" s="89" t="s">
        <v>94</v>
      </c>
      <c r="BB49" s="88" t="s">
        <v>94</v>
      </c>
      <c r="BC49" s="88" t="s">
        <v>94</v>
      </c>
      <c r="BD49" s="96">
        <f t="shared" si="1"/>
        <v>285.95811111111112</v>
      </c>
      <c r="BE49" s="96">
        <f t="shared" si="2"/>
        <v>283.8625555555555</v>
      </c>
      <c r="BF49" s="89">
        <v>5.0199999999999996</v>
      </c>
      <c r="BG49" s="89">
        <v>5.09</v>
      </c>
      <c r="BH49" s="145">
        <v>14.1</v>
      </c>
      <c r="BI49" s="145">
        <v>14.2</v>
      </c>
      <c r="BJ49" s="89">
        <v>43.5</v>
      </c>
      <c r="BK49" s="89">
        <v>43.2</v>
      </c>
      <c r="BL49" s="145">
        <v>86.7</v>
      </c>
      <c r="BM49" s="145">
        <v>84.9</v>
      </c>
      <c r="BN49" s="89">
        <v>28.1</v>
      </c>
      <c r="BO49" s="89">
        <v>27.9</v>
      </c>
      <c r="BP49" s="145">
        <v>32.4</v>
      </c>
      <c r="BQ49" s="145">
        <v>32.9</v>
      </c>
      <c r="BR49" s="89">
        <v>223</v>
      </c>
      <c r="BS49" s="89">
        <v>270</v>
      </c>
      <c r="BT49" s="145">
        <v>12.5</v>
      </c>
      <c r="BU49" s="145">
        <v>12.8</v>
      </c>
      <c r="BV49" s="108">
        <v>1.22</v>
      </c>
      <c r="BW49" s="108">
        <v>1.24</v>
      </c>
      <c r="BX49" s="259">
        <v>4.9400000000000004</v>
      </c>
      <c r="BY49" s="259">
        <v>5.7</v>
      </c>
      <c r="BZ49" s="89">
        <v>48.8</v>
      </c>
      <c r="CA49" s="89">
        <v>41</v>
      </c>
      <c r="CB49" s="145">
        <v>36</v>
      </c>
      <c r="CC49" s="145">
        <v>40.4</v>
      </c>
      <c r="CD49" s="89">
        <v>8.5</v>
      </c>
      <c r="CE49" s="89">
        <v>10.9</v>
      </c>
      <c r="CF49" s="145">
        <v>5.0999999999999996</v>
      </c>
      <c r="CG49" s="145">
        <v>6.1</v>
      </c>
      <c r="CH49" s="89">
        <v>1.6</v>
      </c>
      <c r="CI49" s="89">
        <v>1.6</v>
      </c>
      <c r="CJ49" s="86" t="b">
        <f t="shared" si="3"/>
        <v>0</v>
      </c>
      <c r="CK49" s="2" t="b">
        <f t="shared" si="4"/>
        <v>0</v>
      </c>
      <c r="CL49" s="98">
        <f t="shared" si="6"/>
        <v>70.596360000000004</v>
      </c>
      <c r="CM49" s="98">
        <v>80.7</v>
      </c>
      <c r="CN49" s="98">
        <v>182.1</v>
      </c>
      <c r="CO49" s="86">
        <v>50.93</v>
      </c>
      <c r="CP49" s="98">
        <v>56</v>
      </c>
      <c r="CQ49" s="98">
        <v>58</v>
      </c>
      <c r="CR49" s="96">
        <v>12.52</v>
      </c>
    </row>
    <row r="50" spans="1:96" ht="15.75" customHeight="1">
      <c r="A50" s="72">
        <v>2017</v>
      </c>
      <c r="B50" s="79" t="s">
        <v>185</v>
      </c>
      <c r="C50" s="164">
        <v>3143</v>
      </c>
      <c r="D50" s="61">
        <v>28</v>
      </c>
      <c r="E50" s="80">
        <v>79</v>
      </c>
      <c r="F50" s="52">
        <v>1</v>
      </c>
      <c r="G50" s="51" t="s">
        <v>86</v>
      </c>
      <c r="H50" s="52" t="s">
        <v>92</v>
      </c>
      <c r="I50" s="53" t="s">
        <v>93</v>
      </c>
      <c r="J50" s="55" t="s">
        <v>99</v>
      </c>
      <c r="K50" s="53">
        <v>87.5</v>
      </c>
      <c r="L50" s="52">
        <v>12.5</v>
      </c>
      <c r="M50" s="87">
        <v>70</v>
      </c>
      <c r="N50" s="87">
        <v>429</v>
      </c>
      <c r="O50" s="88">
        <v>3</v>
      </c>
      <c r="P50" s="88">
        <v>11</v>
      </c>
      <c r="Q50" s="89" t="s">
        <v>94</v>
      </c>
      <c r="R50" s="89" t="s">
        <v>94</v>
      </c>
      <c r="S50" s="88">
        <v>347</v>
      </c>
      <c r="T50" s="88">
        <v>583</v>
      </c>
      <c r="U50" s="90">
        <v>21</v>
      </c>
      <c r="V50" s="90">
        <v>52</v>
      </c>
      <c r="W50" s="63">
        <v>4.4000000000000004</v>
      </c>
      <c r="X50" s="145">
        <v>4.7</v>
      </c>
      <c r="Y50" s="90">
        <v>39</v>
      </c>
      <c r="Z50" s="90">
        <v>64</v>
      </c>
      <c r="AA50" s="63">
        <v>46</v>
      </c>
      <c r="AB50" s="145">
        <v>50</v>
      </c>
      <c r="AC50" s="89" t="s">
        <v>94</v>
      </c>
      <c r="AD50" s="89" t="s">
        <v>94</v>
      </c>
      <c r="AE50" s="322">
        <v>105.1</v>
      </c>
      <c r="AF50" s="337">
        <v>123.6</v>
      </c>
      <c r="AG50" s="89">
        <v>33</v>
      </c>
      <c r="AH50" s="89">
        <v>36</v>
      </c>
      <c r="AI50" s="88">
        <v>1</v>
      </c>
      <c r="AJ50" s="88">
        <v>0.8</v>
      </c>
      <c r="AK50" s="269">
        <f t="shared" si="0"/>
        <v>0</v>
      </c>
      <c r="AL50" s="89">
        <v>3.9</v>
      </c>
      <c r="AM50" s="89">
        <v>4.8</v>
      </c>
      <c r="AN50" s="88">
        <v>7.3</v>
      </c>
      <c r="AO50" s="88">
        <v>7.8</v>
      </c>
      <c r="AP50" s="80" t="s">
        <v>94</v>
      </c>
      <c r="AQ50" s="80" t="s">
        <v>94</v>
      </c>
      <c r="AR50" s="89">
        <v>9.3000000000000007</v>
      </c>
      <c r="AS50" s="89">
        <v>9.6</v>
      </c>
      <c r="AT50" s="89">
        <v>5.8</v>
      </c>
      <c r="AU50" s="89">
        <v>4.0999999999999996</v>
      </c>
      <c r="AV50" s="88">
        <v>113</v>
      </c>
      <c r="AW50" s="88">
        <v>90</v>
      </c>
      <c r="AX50" s="63">
        <v>135</v>
      </c>
      <c r="AY50" s="145">
        <v>134</v>
      </c>
      <c r="AZ50" s="89" t="s">
        <v>94</v>
      </c>
      <c r="BA50" s="89" t="s">
        <v>94</v>
      </c>
      <c r="BB50" s="88" t="s">
        <v>94</v>
      </c>
      <c r="BC50" s="88" t="s">
        <v>94</v>
      </c>
      <c r="BD50" s="96">
        <f t="shared" si="1"/>
        <v>288.60744444444447</v>
      </c>
      <c r="BE50" s="96">
        <f t="shared" si="2"/>
        <v>282.61599999999999</v>
      </c>
      <c r="BF50" s="89">
        <v>4.57</v>
      </c>
      <c r="BG50" s="89">
        <v>4.84</v>
      </c>
      <c r="BH50" s="145">
        <v>13.3</v>
      </c>
      <c r="BI50" s="145">
        <v>14</v>
      </c>
      <c r="BJ50" s="89">
        <v>42.1</v>
      </c>
      <c r="BK50" s="89">
        <v>43</v>
      </c>
      <c r="BL50" s="145">
        <v>92.1</v>
      </c>
      <c r="BM50" s="145">
        <v>88.8</v>
      </c>
      <c r="BN50" s="89">
        <v>29.1</v>
      </c>
      <c r="BO50" s="89">
        <v>28.9</v>
      </c>
      <c r="BP50" s="145">
        <v>31.6</v>
      </c>
      <c r="BQ50" s="145">
        <v>32.6</v>
      </c>
      <c r="BR50" s="89">
        <v>209</v>
      </c>
      <c r="BS50" s="89">
        <v>235</v>
      </c>
      <c r="BT50" s="145">
        <v>13</v>
      </c>
      <c r="BU50" s="145">
        <v>13.6</v>
      </c>
      <c r="BV50" s="108">
        <v>1.01</v>
      </c>
      <c r="BW50" s="108">
        <v>1.26</v>
      </c>
      <c r="BX50" s="259">
        <v>8.67</v>
      </c>
      <c r="BY50" s="259">
        <v>9.56</v>
      </c>
      <c r="BZ50" s="89">
        <v>57.6</v>
      </c>
      <c r="CA50" s="89">
        <v>55.1</v>
      </c>
      <c r="CB50" s="145">
        <v>27.3</v>
      </c>
      <c r="CC50" s="145">
        <v>33.4</v>
      </c>
      <c r="CD50" s="89">
        <v>8.3000000000000007</v>
      </c>
      <c r="CE50" s="89">
        <v>10.3</v>
      </c>
      <c r="CF50" s="145">
        <v>6.3</v>
      </c>
      <c r="CG50" s="145">
        <v>0.9</v>
      </c>
      <c r="CH50" s="89">
        <v>0.5</v>
      </c>
      <c r="CI50" s="89">
        <v>0.3</v>
      </c>
      <c r="CJ50" s="86" t="b">
        <f t="shared" si="3"/>
        <v>0</v>
      </c>
      <c r="CK50" s="2" t="b">
        <f t="shared" si="4"/>
        <v>0</v>
      </c>
      <c r="CL50" s="98">
        <f t="shared" si="6"/>
        <v>70.250040000000013</v>
      </c>
      <c r="CM50" s="98">
        <v>85.4</v>
      </c>
      <c r="CN50" s="98">
        <v>179.3</v>
      </c>
      <c r="CO50" s="86">
        <v>49.65</v>
      </c>
      <c r="CP50" s="98">
        <v>44</v>
      </c>
      <c r="CQ50" s="98">
        <v>35</v>
      </c>
      <c r="CR50" s="96">
        <v>17.739999999999998</v>
      </c>
    </row>
    <row r="51" spans="1:96" ht="15.75" customHeight="1">
      <c r="A51" s="72">
        <v>2017</v>
      </c>
      <c r="B51" s="79" t="s">
        <v>186</v>
      </c>
      <c r="C51" s="164">
        <v>3090</v>
      </c>
      <c r="D51" s="61">
        <v>29</v>
      </c>
      <c r="E51" s="80">
        <v>74</v>
      </c>
      <c r="F51" s="52">
        <v>2</v>
      </c>
      <c r="G51" s="54" t="s">
        <v>101</v>
      </c>
      <c r="H51" s="55" t="s">
        <v>83</v>
      </c>
      <c r="I51" s="56" t="s">
        <v>87</v>
      </c>
      <c r="J51" s="55" t="s">
        <v>99</v>
      </c>
      <c r="K51" s="56">
        <v>37.5</v>
      </c>
      <c r="L51" s="52">
        <v>62.5</v>
      </c>
      <c r="M51" s="247">
        <v>1600</v>
      </c>
      <c r="N51" s="247">
        <v>2243</v>
      </c>
      <c r="O51" s="248" t="s">
        <v>94</v>
      </c>
      <c r="P51" s="248">
        <v>25</v>
      </c>
      <c r="Q51" s="89" t="s">
        <v>94</v>
      </c>
      <c r="R51" s="89" t="s">
        <v>94</v>
      </c>
      <c r="S51" s="248">
        <v>805</v>
      </c>
      <c r="T51" s="248">
        <v>858</v>
      </c>
      <c r="U51" s="249">
        <v>73</v>
      </c>
      <c r="V51" s="249">
        <v>56</v>
      </c>
      <c r="W51" s="261">
        <v>4.4000000000000004</v>
      </c>
      <c r="X51" s="261">
        <v>4.9000000000000004</v>
      </c>
      <c r="Y51" s="249">
        <v>75</v>
      </c>
      <c r="Z51" s="249">
        <v>54</v>
      </c>
      <c r="AA51" s="262">
        <v>28</v>
      </c>
      <c r="AB51" s="262">
        <v>25</v>
      </c>
      <c r="AC51" s="89" t="s">
        <v>94</v>
      </c>
      <c r="AD51" s="89" t="s">
        <v>94</v>
      </c>
      <c r="AE51" s="319">
        <v>104.5</v>
      </c>
      <c r="AF51" s="338" t="s">
        <v>110</v>
      </c>
      <c r="AG51" s="113">
        <v>42</v>
      </c>
      <c r="AH51" s="113">
        <v>41</v>
      </c>
      <c r="AI51" s="144">
        <v>1</v>
      </c>
      <c r="AJ51" s="144">
        <v>1.1000000000000001</v>
      </c>
      <c r="AK51" s="269">
        <f t="shared" si="0"/>
        <v>0.10000000000000009</v>
      </c>
      <c r="AL51" s="149">
        <v>5</v>
      </c>
      <c r="AM51" s="149">
        <v>5.0999999999999996</v>
      </c>
      <c r="AN51" s="144">
        <v>7.3</v>
      </c>
      <c r="AO51" s="144">
        <v>7.8</v>
      </c>
      <c r="AP51" s="80" t="s">
        <v>94</v>
      </c>
      <c r="AQ51" s="80" t="s">
        <v>94</v>
      </c>
      <c r="AR51" s="149">
        <v>9.4</v>
      </c>
      <c r="AS51" s="149">
        <v>9.8000000000000007</v>
      </c>
      <c r="AT51" s="149">
        <v>4.5</v>
      </c>
      <c r="AU51" s="149">
        <v>4.3</v>
      </c>
      <c r="AV51" s="248">
        <v>83</v>
      </c>
      <c r="AW51" s="248">
        <v>111</v>
      </c>
      <c r="AX51" s="262">
        <v>140</v>
      </c>
      <c r="AY51" s="262">
        <v>143</v>
      </c>
      <c r="AZ51" s="142" t="s">
        <v>94</v>
      </c>
      <c r="BA51" s="142" t="s">
        <v>94</v>
      </c>
      <c r="BB51" s="80" t="s">
        <v>94</v>
      </c>
      <c r="BC51" s="80" t="s">
        <v>94</v>
      </c>
      <c r="BD51" s="96">
        <f t="shared" si="1"/>
        <v>295.07277777777779</v>
      </c>
      <c r="BE51" s="96">
        <f t="shared" si="2"/>
        <v>301.90299999999996</v>
      </c>
      <c r="BF51" s="263">
        <v>5.52</v>
      </c>
      <c r="BG51" s="89">
        <v>5.45</v>
      </c>
      <c r="BH51" s="145">
        <v>16</v>
      </c>
      <c r="BI51" s="145">
        <v>16.100000000000001</v>
      </c>
      <c r="BJ51" s="89">
        <v>47.1</v>
      </c>
      <c r="BK51" s="89">
        <v>45.9</v>
      </c>
      <c r="BL51" s="145">
        <v>85.3</v>
      </c>
      <c r="BM51" s="145">
        <v>84.2</v>
      </c>
      <c r="BN51" s="89">
        <v>29</v>
      </c>
      <c r="BO51" s="89">
        <v>29.5</v>
      </c>
      <c r="BP51" s="145">
        <v>34</v>
      </c>
      <c r="BQ51" s="145">
        <v>35.1</v>
      </c>
      <c r="BR51" s="89">
        <v>296</v>
      </c>
      <c r="BS51" s="89">
        <v>337</v>
      </c>
      <c r="BT51" s="145">
        <v>12.1</v>
      </c>
      <c r="BU51" s="145">
        <v>11.8</v>
      </c>
      <c r="BV51" s="108">
        <v>0.6</v>
      </c>
      <c r="BW51" s="108">
        <v>0.62</v>
      </c>
      <c r="BX51" s="259">
        <v>10.24</v>
      </c>
      <c r="BY51" s="259">
        <v>10.53</v>
      </c>
      <c r="BZ51" s="89">
        <v>54.7</v>
      </c>
      <c r="CA51" s="89">
        <v>50.4</v>
      </c>
      <c r="CB51" s="145">
        <v>26.6</v>
      </c>
      <c r="CC51" s="145">
        <v>30.7</v>
      </c>
      <c r="CD51" s="89">
        <v>9</v>
      </c>
      <c r="CE51" s="89">
        <v>11.8</v>
      </c>
      <c r="CF51" s="145">
        <v>8.5</v>
      </c>
      <c r="CG51" s="145">
        <v>6.1</v>
      </c>
      <c r="CH51" s="89">
        <v>1.2</v>
      </c>
      <c r="CI51" s="89">
        <v>1</v>
      </c>
      <c r="CJ51" s="86" t="b">
        <f t="shared" si="3"/>
        <v>0</v>
      </c>
      <c r="CK51" s="2" t="b">
        <f t="shared" si="4"/>
        <v>1</v>
      </c>
      <c r="CL51" s="98">
        <f t="shared" si="6"/>
        <v>64.758570000000006</v>
      </c>
      <c r="CM51" s="98">
        <v>73.900000000000006</v>
      </c>
      <c r="CN51" s="98">
        <v>172.6</v>
      </c>
      <c r="CO51" s="86">
        <v>52.06</v>
      </c>
      <c r="CP51" s="98">
        <v>42</v>
      </c>
      <c r="CQ51" s="98">
        <v>36.5</v>
      </c>
      <c r="CR51" s="96">
        <v>12.37</v>
      </c>
    </row>
    <row r="52" spans="1:96" ht="15.75" customHeight="1">
      <c r="A52" s="72">
        <v>2017</v>
      </c>
      <c r="B52" s="79" t="s">
        <v>186</v>
      </c>
      <c r="C52" s="164">
        <v>3091</v>
      </c>
      <c r="D52" s="61">
        <v>28</v>
      </c>
      <c r="E52" s="80">
        <v>77</v>
      </c>
      <c r="F52" s="52">
        <v>0</v>
      </c>
      <c r="G52" s="74" t="s">
        <v>82</v>
      </c>
      <c r="H52" s="52" t="s">
        <v>83</v>
      </c>
      <c r="I52" s="56" t="s">
        <v>87</v>
      </c>
      <c r="J52" s="55" t="s">
        <v>97</v>
      </c>
      <c r="K52" s="53">
        <v>37.5</v>
      </c>
      <c r="L52" s="52">
        <v>62.5</v>
      </c>
      <c r="M52" s="247">
        <v>540</v>
      </c>
      <c r="N52" s="247">
        <v>546</v>
      </c>
      <c r="O52" s="248">
        <v>10</v>
      </c>
      <c r="P52" s="248">
        <v>13</v>
      </c>
      <c r="Q52" s="89" t="s">
        <v>94</v>
      </c>
      <c r="R52" s="89" t="s">
        <v>94</v>
      </c>
      <c r="S52" s="248">
        <v>516</v>
      </c>
      <c r="T52" s="248">
        <v>638</v>
      </c>
      <c r="U52" s="249">
        <v>43</v>
      </c>
      <c r="V52" s="249">
        <v>36</v>
      </c>
      <c r="W52" s="261">
        <v>4.5999999999999996</v>
      </c>
      <c r="X52" s="261">
        <v>4.7</v>
      </c>
      <c r="Y52" s="249">
        <v>34</v>
      </c>
      <c r="Z52" s="249">
        <v>28</v>
      </c>
      <c r="AA52" s="262">
        <v>20</v>
      </c>
      <c r="AB52" s="262">
        <v>15</v>
      </c>
      <c r="AC52" s="89" t="s">
        <v>94</v>
      </c>
      <c r="AD52" s="89" t="s">
        <v>94</v>
      </c>
      <c r="AE52" s="319">
        <v>93.8</v>
      </c>
      <c r="AF52" s="338" t="s">
        <v>111</v>
      </c>
      <c r="AG52" s="113">
        <v>46</v>
      </c>
      <c r="AH52" s="113">
        <v>54</v>
      </c>
      <c r="AI52" s="144">
        <v>1.1000000000000001</v>
      </c>
      <c r="AJ52" s="144">
        <v>1.2</v>
      </c>
      <c r="AK52" s="269">
        <f t="shared" si="0"/>
        <v>9.9999999999999867E-2</v>
      </c>
      <c r="AL52" s="149">
        <v>5.6</v>
      </c>
      <c r="AM52" s="149">
        <v>5.2</v>
      </c>
      <c r="AN52" s="144">
        <v>7.5</v>
      </c>
      <c r="AO52" s="144">
        <v>7.2</v>
      </c>
      <c r="AP52" s="80" t="s">
        <v>94</v>
      </c>
      <c r="AQ52" s="80" t="s">
        <v>94</v>
      </c>
      <c r="AR52" s="149">
        <v>9.6999999999999993</v>
      </c>
      <c r="AS52" s="149">
        <v>10.199999999999999</v>
      </c>
      <c r="AT52" s="149">
        <v>4.4000000000000004</v>
      </c>
      <c r="AU52" s="149">
        <v>4.8</v>
      </c>
      <c r="AV52" s="248">
        <v>88</v>
      </c>
      <c r="AW52" s="248">
        <v>89</v>
      </c>
      <c r="AX52" s="262">
        <v>143</v>
      </c>
      <c r="AY52" s="262">
        <v>149</v>
      </c>
      <c r="AZ52" s="142" t="s">
        <v>94</v>
      </c>
      <c r="BA52" s="142" t="s">
        <v>94</v>
      </c>
      <c r="BB52" s="80" t="s">
        <v>94</v>
      </c>
      <c r="BC52" s="80" t="s">
        <v>94</v>
      </c>
      <c r="BD52" s="96">
        <f t="shared" si="1"/>
        <v>301.45288888888894</v>
      </c>
      <c r="BE52" s="96">
        <f t="shared" si="2"/>
        <v>314.75411111111117</v>
      </c>
      <c r="BF52" s="89">
        <v>4.67</v>
      </c>
      <c r="BG52" s="89">
        <v>4.63</v>
      </c>
      <c r="BH52" s="145">
        <v>14.1</v>
      </c>
      <c r="BI52" s="145">
        <v>13.9</v>
      </c>
      <c r="BJ52" s="89">
        <v>42.6</v>
      </c>
      <c r="BK52" s="89">
        <v>41.3</v>
      </c>
      <c r="BL52" s="145">
        <v>91.2</v>
      </c>
      <c r="BM52" s="145">
        <v>89.2</v>
      </c>
      <c r="BN52" s="89">
        <v>30.2</v>
      </c>
      <c r="BO52" s="89">
        <v>30</v>
      </c>
      <c r="BP52" s="145">
        <v>33.1</v>
      </c>
      <c r="BQ52" s="145">
        <v>33.700000000000003</v>
      </c>
      <c r="BR52" s="89">
        <v>302</v>
      </c>
      <c r="BS52" s="89">
        <v>300</v>
      </c>
      <c r="BT52" s="145">
        <v>12.3</v>
      </c>
      <c r="BU52" s="145">
        <v>11.9</v>
      </c>
      <c r="BV52" s="108">
        <v>1.01</v>
      </c>
      <c r="BW52" s="108">
        <v>0.66</v>
      </c>
      <c r="BX52" s="259">
        <v>12.93</v>
      </c>
      <c r="BY52" s="259">
        <v>9.52</v>
      </c>
      <c r="BZ52" s="89">
        <v>67</v>
      </c>
      <c r="CA52" s="89">
        <v>64.7</v>
      </c>
      <c r="CB52" s="145">
        <v>15</v>
      </c>
      <c r="CC52" s="145">
        <v>20.6</v>
      </c>
      <c r="CD52" s="89">
        <v>11.4</v>
      </c>
      <c r="CE52" s="89">
        <v>11.1</v>
      </c>
      <c r="CF52" s="145">
        <v>6.1</v>
      </c>
      <c r="CG52" s="145">
        <v>2.8</v>
      </c>
      <c r="CH52" s="89">
        <v>0.5</v>
      </c>
      <c r="CI52" s="89">
        <v>0.8</v>
      </c>
      <c r="CJ52" s="86" t="b">
        <f t="shared" si="3"/>
        <v>0</v>
      </c>
      <c r="CK52" s="2" t="b">
        <f t="shared" si="4"/>
        <v>0</v>
      </c>
      <c r="CL52" s="98">
        <f t="shared" si="6"/>
        <v>64.734659999999991</v>
      </c>
      <c r="CM52" s="98">
        <v>76.599999999999994</v>
      </c>
      <c r="CN52" s="98">
        <v>177</v>
      </c>
      <c r="CO52" s="86">
        <v>52.21</v>
      </c>
      <c r="CP52" s="98">
        <v>52</v>
      </c>
      <c r="CQ52" s="98">
        <v>49</v>
      </c>
      <c r="CR52" s="96">
        <v>15.49</v>
      </c>
    </row>
    <row r="53" spans="1:96" ht="15.75" customHeight="1">
      <c r="A53" s="72">
        <v>2017</v>
      </c>
      <c r="B53" s="79" t="s">
        <v>186</v>
      </c>
      <c r="C53" s="164">
        <v>3092</v>
      </c>
      <c r="D53" s="61">
        <v>28</v>
      </c>
      <c r="E53" s="80">
        <v>92</v>
      </c>
      <c r="F53" s="52">
        <v>1</v>
      </c>
      <c r="G53" s="54" t="s">
        <v>86</v>
      </c>
      <c r="H53" s="55" t="s">
        <v>83</v>
      </c>
      <c r="I53" s="56" t="s">
        <v>93</v>
      </c>
      <c r="J53" s="55" t="s">
        <v>100</v>
      </c>
      <c r="K53" s="53">
        <v>62.5</v>
      </c>
      <c r="L53" s="55">
        <v>37.5</v>
      </c>
      <c r="M53" s="247">
        <v>1473</v>
      </c>
      <c r="N53" s="247">
        <v>571</v>
      </c>
      <c r="O53" s="248">
        <v>40</v>
      </c>
      <c r="P53" s="248">
        <v>19</v>
      </c>
      <c r="Q53" s="89" t="s">
        <v>94</v>
      </c>
      <c r="R53" s="89" t="s">
        <v>94</v>
      </c>
      <c r="S53" s="248">
        <v>651</v>
      </c>
      <c r="T53" s="248">
        <v>656</v>
      </c>
      <c r="U53" s="249">
        <v>77</v>
      </c>
      <c r="V53" s="249">
        <v>34</v>
      </c>
      <c r="W53" s="261">
        <v>4.4000000000000004</v>
      </c>
      <c r="X53" s="261">
        <v>4.9000000000000004</v>
      </c>
      <c r="Y53" s="249">
        <v>40</v>
      </c>
      <c r="Z53" s="249">
        <v>36</v>
      </c>
      <c r="AA53" s="262">
        <v>43</v>
      </c>
      <c r="AB53" s="262">
        <v>55</v>
      </c>
      <c r="AC53" s="89" t="s">
        <v>94</v>
      </c>
      <c r="AD53" s="89" t="s">
        <v>94</v>
      </c>
      <c r="AE53" s="319">
        <v>105.1</v>
      </c>
      <c r="AF53" s="338" t="s">
        <v>111</v>
      </c>
      <c r="AG53" s="113">
        <v>48</v>
      </c>
      <c r="AH53" s="113">
        <v>49</v>
      </c>
      <c r="AI53" s="144">
        <v>1</v>
      </c>
      <c r="AJ53" s="144">
        <v>1.2</v>
      </c>
      <c r="AK53" s="269">
        <f t="shared" si="0"/>
        <v>0.19999999999999996</v>
      </c>
      <c r="AL53" s="149">
        <v>4.9000000000000004</v>
      </c>
      <c r="AM53" s="149">
        <v>5.5</v>
      </c>
      <c r="AN53" s="144">
        <v>7.7</v>
      </c>
      <c r="AO53" s="144">
        <v>8</v>
      </c>
      <c r="AP53" s="80" t="s">
        <v>94</v>
      </c>
      <c r="AQ53" s="80" t="s">
        <v>94</v>
      </c>
      <c r="AR53" s="149">
        <v>9.8000000000000007</v>
      </c>
      <c r="AS53" s="149">
        <v>10.9</v>
      </c>
      <c r="AT53" s="149">
        <v>4.8</v>
      </c>
      <c r="AU53" s="149" t="s">
        <v>94</v>
      </c>
      <c r="AV53" s="248">
        <v>90</v>
      </c>
      <c r="AW53" s="248">
        <v>91</v>
      </c>
      <c r="AX53" s="262">
        <v>143</v>
      </c>
      <c r="AY53" s="262">
        <v>151</v>
      </c>
      <c r="AZ53" s="142" t="s">
        <v>94</v>
      </c>
      <c r="BA53" s="142" t="s">
        <v>94</v>
      </c>
      <c r="BB53" s="80" t="s">
        <v>94</v>
      </c>
      <c r="BC53" s="80" t="s">
        <v>94</v>
      </c>
      <c r="BD53" s="96">
        <f t="shared" si="1"/>
        <v>302.65800000000002</v>
      </c>
      <c r="BE53" s="96" t="e">
        <f t="shared" si="2"/>
        <v>#VALUE!</v>
      </c>
      <c r="BF53" s="89">
        <v>4.59</v>
      </c>
      <c r="BG53" s="89">
        <v>4.62</v>
      </c>
      <c r="BH53" s="145">
        <v>13.8</v>
      </c>
      <c r="BI53" s="145">
        <v>13.7</v>
      </c>
      <c r="BJ53" s="89">
        <v>42.3</v>
      </c>
      <c r="BK53" s="89">
        <v>41.9</v>
      </c>
      <c r="BL53" s="145">
        <v>92.2</v>
      </c>
      <c r="BM53" s="145">
        <v>90.7</v>
      </c>
      <c r="BN53" s="89">
        <v>30.1</v>
      </c>
      <c r="BO53" s="89">
        <v>29.7</v>
      </c>
      <c r="BP53" s="145">
        <v>32.6</v>
      </c>
      <c r="BQ53" s="145">
        <v>32.700000000000003</v>
      </c>
      <c r="BR53" s="89">
        <v>314</v>
      </c>
      <c r="BS53" s="89">
        <v>315</v>
      </c>
      <c r="BT53" s="145">
        <v>13.7</v>
      </c>
      <c r="BU53" s="145">
        <v>13.3</v>
      </c>
      <c r="BV53" s="108">
        <v>0.66</v>
      </c>
      <c r="BW53" s="108">
        <v>0.57999999999999996</v>
      </c>
      <c r="BX53" s="259">
        <v>7.73</v>
      </c>
      <c r="BY53" s="259">
        <v>7.64</v>
      </c>
      <c r="BZ53" s="89">
        <v>44.8</v>
      </c>
      <c r="CA53" s="89">
        <v>42.7</v>
      </c>
      <c r="CB53" s="145">
        <v>41.8</v>
      </c>
      <c r="CC53" s="145">
        <v>37.799999999999997</v>
      </c>
      <c r="CD53" s="89">
        <v>7.8</v>
      </c>
      <c r="CE53" s="89">
        <v>11.4</v>
      </c>
      <c r="CF53" s="145">
        <v>4.4000000000000004</v>
      </c>
      <c r="CG53" s="145">
        <v>6.5</v>
      </c>
      <c r="CH53" s="89">
        <v>1.2</v>
      </c>
      <c r="CI53" s="89">
        <v>1.6</v>
      </c>
      <c r="CJ53" s="86" t="b">
        <f t="shared" si="3"/>
        <v>0</v>
      </c>
      <c r="CK53" s="2" t="b">
        <f t="shared" si="4"/>
        <v>1</v>
      </c>
      <c r="CL53" s="98">
        <f t="shared" si="6"/>
        <v>82.193119999999993</v>
      </c>
      <c r="CM53" s="98">
        <v>85.6</v>
      </c>
      <c r="CN53" s="98">
        <v>192.5</v>
      </c>
      <c r="CO53" s="86">
        <v>0</v>
      </c>
      <c r="CP53" s="98">
        <v>74</v>
      </c>
      <c r="CQ53" s="98">
        <v>70</v>
      </c>
      <c r="CR53" s="96">
        <v>3.98</v>
      </c>
    </row>
    <row r="54" spans="1:96" ht="15.75" customHeight="1">
      <c r="A54" s="72">
        <v>2017</v>
      </c>
      <c r="B54" s="79" t="s">
        <v>186</v>
      </c>
      <c r="C54" s="164">
        <v>3093</v>
      </c>
      <c r="D54" s="61">
        <v>28</v>
      </c>
      <c r="E54" s="80">
        <v>85</v>
      </c>
      <c r="F54" s="52">
        <v>2</v>
      </c>
      <c r="G54" s="305" t="s">
        <v>101</v>
      </c>
      <c r="H54" s="55" t="s">
        <v>92</v>
      </c>
      <c r="I54" s="56" t="s">
        <v>84</v>
      </c>
      <c r="J54" s="55" t="s">
        <v>99</v>
      </c>
      <c r="K54" s="53">
        <v>62.5</v>
      </c>
      <c r="L54" s="55">
        <v>37.5</v>
      </c>
      <c r="M54" s="247">
        <v>957</v>
      </c>
      <c r="N54" s="247">
        <v>739</v>
      </c>
      <c r="O54" s="248">
        <v>18</v>
      </c>
      <c r="P54" s="248">
        <v>20</v>
      </c>
      <c r="Q54" s="89" t="s">
        <v>94</v>
      </c>
      <c r="R54" s="89" t="s">
        <v>94</v>
      </c>
      <c r="S54" s="248">
        <v>648</v>
      </c>
      <c r="T54" s="248">
        <v>900</v>
      </c>
      <c r="U54" s="249">
        <v>35</v>
      </c>
      <c r="V54" s="249">
        <v>30</v>
      </c>
      <c r="W54" s="261">
        <v>4.4000000000000004</v>
      </c>
      <c r="X54" s="261">
        <v>5.0999999999999996</v>
      </c>
      <c r="Y54" s="249">
        <v>41</v>
      </c>
      <c r="Z54" s="249">
        <v>29</v>
      </c>
      <c r="AA54" s="262">
        <v>26</v>
      </c>
      <c r="AB54" s="262">
        <v>23</v>
      </c>
      <c r="AC54" s="89" t="s">
        <v>94</v>
      </c>
      <c r="AD54" s="89" t="s">
        <v>94</v>
      </c>
      <c r="AE54" s="319">
        <v>84.5</v>
      </c>
      <c r="AF54" s="338" t="s">
        <v>112</v>
      </c>
      <c r="AG54" s="113">
        <v>45</v>
      </c>
      <c r="AH54" s="113">
        <v>48</v>
      </c>
      <c r="AI54" s="144">
        <v>1.2</v>
      </c>
      <c r="AJ54" s="144">
        <v>1.5</v>
      </c>
      <c r="AK54" s="269">
        <f t="shared" si="0"/>
        <v>0.30000000000000004</v>
      </c>
      <c r="AL54" s="149">
        <v>5.0999999999999996</v>
      </c>
      <c r="AM54" s="149">
        <v>5.3</v>
      </c>
      <c r="AN54" s="144">
        <v>7.4</v>
      </c>
      <c r="AO54" s="144">
        <v>8.1999999999999993</v>
      </c>
      <c r="AP54" s="80" t="s">
        <v>94</v>
      </c>
      <c r="AQ54" s="80" t="s">
        <v>94</v>
      </c>
      <c r="AR54" s="149">
        <v>9.5</v>
      </c>
      <c r="AS54" s="149">
        <v>10.9</v>
      </c>
      <c r="AT54" s="149">
        <v>4.7</v>
      </c>
      <c r="AU54" s="149">
        <v>4.9000000000000004</v>
      </c>
      <c r="AV54" s="248">
        <v>78</v>
      </c>
      <c r="AW54" s="248">
        <v>87</v>
      </c>
      <c r="AX54" s="262">
        <v>141</v>
      </c>
      <c r="AY54" s="262">
        <v>156</v>
      </c>
      <c r="AZ54" s="142" t="s">
        <v>94</v>
      </c>
      <c r="BA54" s="142" t="s">
        <v>94</v>
      </c>
      <c r="BB54" s="80" t="s">
        <v>94</v>
      </c>
      <c r="BC54" s="80" t="s">
        <v>94</v>
      </c>
      <c r="BD54" s="96">
        <f t="shared" si="1"/>
        <v>297.48533333333336</v>
      </c>
      <c r="BE54" s="96">
        <f t="shared" si="2"/>
        <v>326.83233333333334</v>
      </c>
      <c r="BF54" s="89">
        <v>4.74</v>
      </c>
      <c r="BG54" s="89">
        <v>4.72</v>
      </c>
      <c r="BH54" s="145">
        <v>15.5</v>
      </c>
      <c r="BI54" s="145">
        <v>15.2</v>
      </c>
      <c r="BJ54" s="89">
        <v>47.3</v>
      </c>
      <c r="BK54" s="89">
        <v>46.5</v>
      </c>
      <c r="BL54" s="145">
        <v>99.8</v>
      </c>
      <c r="BM54" s="145">
        <v>98.5</v>
      </c>
      <c r="BN54" s="89">
        <v>32.700000000000003</v>
      </c>
      <c r="BO54" s="89">
        <v>32.200000000000003</v>
      </c>
      <c r="BP54" s="145">
        <v>32.799999999999997</v>
      </c>
      <c r="BQ54" s="145">
        <v>32.700000000000003</v>
      </c>
      <c r="BR54" s="89">
        <v>374</v>
      </c>
      <c r="BS54" s="89">
        <v>364</v>
      </c>
      <c r="BT54" s="145">
        <v>12.4</v>
      </c>
      <c r="BU54" s="145">
        <v>12.2</v>
      </c>
      <c r="BV54" s="108">
        <v>1.42</v>
      </c>
      <c r="BW54" s="108">
        <v>1.2</v>
      </c>
      <c r="BX54" s="259">
        <v>5.73</v>
      </c>
      <c r="BY54" s="259">
        <v>8.02</v>
      </c>
      <c r="BZ54" s="89">
        <v>45.7</v>
      </c>
      <c r="CA54" s="89">
        <v>50.7</v>
      </c>
      <c r="CB54" s="145">
        <v>34.4</v>
      </c>
      <c r="CC54" s="145">
        <v>34.4</v>
      </c>
      <c r="CD54" s="89">
        <v>15.9</v>
      </c>
      <c r="CE54" s="89">
        <v>12.5</v>
      </c>
      <c r="CF54" s="145">
        <v>2.6</v>
      </c>
      <c r="CG54" s="145">
        <v>1.7</v>
      </c>
      <c r="CH54" s="89">
        <v>1.4</v>
      </c>
      <c r="CI54" s="89">
        <v>0.7</v>
      </c>
      <c r="CJ54" s="86" t="b">
        <f t="shared" si="3"/>
        <v>1</v>
      </c>
      <c r="CK54" s="2" t="b">
        <f t="shared" si="4"/>
        <v>0</v>
      </c>
      <c r="CL54" s="98">
        <f t="shared" si="6"/>
        <v>78.848640000000003</v>
      </c>
      <c r="CM54" s="98">
        <v>86.4</v>
      </c>
      <c r="CN54" s="98">
        <v>184</v>
      </c>
      <c r="CO54" s="86">
        <v>50.17</v>
      </c>
      <c r="CP54" s="98">
        <v>48</v>
      </c>
      <c r="CQ54" s="98">
        <v>42.5</v>
      </c>
      <c r="CR54" s="96">
        <v>8.74</v>
      </c>
    </row>
    <row r="55" spans="1:96" ht="15.75" customHeight="1">
      <c r="A55" s="72">
        <v>2017</v>
      </c>
      <c r="B55" s="79" t="s">
        <v>186</v>
      </c>
      <c r="C55" s="164">
        <v>3094</v>
      </c>
      <c r="D55" s="61">
        <v>34</v>
      </c>
      <c r="E55" s="80">
        <v>0</v>
      </c>
      <c r="F55" s="52">
        <v>2</v>
      </c>
      <c r="G55" s="303" t="s">
        <v>82</v>
      </c>
      <c r="H55" s="55" t="s">
        <v>83</v>
      </c>
      <c r="I55" s="56" t="s">
        <v>84</v>
      </c>
      <c r="J55" s="55" t="s">
        <v>99</v>
      </c>
      <c r="K55" s="56">
        <v>37.5</v>
      </c>
      <c r="L55" s="52">
        <v>62.5</v>
      </c>
      <c r="M55" s="247">
        <v>819</v>
      </c>
      <c r="N55" s="247">
        <v>1233</v>
      </c>
      <c r="O55" s="248">
        <v>17</v>
      </c>
      <c r="P55" s="248">
        <v>18</v>
      </c>
      <c r="Q55" s="89" t="s">
        <v>94</v>
      </c>
      <c r="R55" s="89" t="s">
        <v>94</v>
      </c>
      <c r="S55" s="248">
        <v>523</v>
      </c>
      <c r="T55" s="248">
        <v>674</v>
      </c>
      <c r="U55" s="249">
        <v>58</v>
      </c>
      <c r="V55" s="249">
        <v>52</v>
      </c>
      <c r="W55" s="261">
        <v>4.4000000000000004</v>
      </c>
      <c r="X55" s="261">
        <v>4</v>
      </c>
      <c r="Y55" s="249">
        <v>59</v>
      </c>
      <c r="Z55" s="249">
        <v>47</v>
      </c>
      <c r="AA55" s="262">
        <v>63</v>
      </c>
      <c r="AB55" s="262">
        <v>50</v>
      </c>
      <c r="AC55" s="89" t="s">
        <v>94</v>
      </c>
      <c r="AD55" s="89" t="s">
        <v>94</v>
      </c>
      <c r="AE55" s="319">
        <v>101.3</v>
      </c>
      <c r="AF55" s="338" t="s">
        <v>106</v>
      </c>
      <c r="AG55" s="113">
        <v>48</v>
      </c>
      <c r="AH55" s="113">
        <v>55</v>
      </c>
      <c r="AI55" s="144">
        <v>1</v>
      </c>
      <c r="AJ55" s="144">
        <v>1.2</v>
      </c>
      <c r="AK55" s="269">
        <f t="shared" si="0"/>
        <v>0.19999999999999996</v>
      </c>
      <c r="AL55" s="149">
        <v>4.5999999999999996</v>
      </c>
      <c r="AM55" s="149">
        <v>5</v>
      </c>
      <c r="AN55" s="144">
        <v>7.8</v>
      </c>
      <c r="AO55" s="144">
        <v>7.9</v>
      </c>
      <c r="AP55" s="80" t="s">
        <v>94</v>
      </c>
      <c r="AQ55" s="80" t="s">
        <v>94</v>
      </c>
      <c r="AR55" s="149">
        <v>9.4</v>
      </c>
      <c r="AS55" s="149">
        <v>9.9</v>
      </c>
      <c r="AT55" s="149">
        <v>5.0999999999999996</v>
      </c>
      <c r="AU55" s="149">
        <v>4.5</v>
      </c>
      <c r="AV55" s="248">
        <v>96</v>
      </c>
      <c r="AW55" s="248">
        <v>101</v>
      </c>
      <c r="AX55" s="262">
        <v>142</v>
      </c>
      <c r="AY55" s="262">
        <v>149</v>
      </c>
      <c r="AZ55" s="142" t="s">
        <v>94</v>
      </c>
      <c r="BA55" s="142" t="s">
        <v>94</v>
      </c>
      <c r="BB55" s="80" t="s">
        <v>94</v>
      </c>
      <c r="BC55" s="80" t="s">
        <v>94</v>
      </c>
      <c r="BD55" s="96">
        <f t="shared" si="1"/>
        <v>301.73933333333332</v>
      </c>
      <c r="BE55" s="96">
        <f t="shared" si="2"/>
        <v>315.12944444444446</v>
      </c>
      <c r="BF55" s="89">
        <v>5.34</v>
      </c>
      <c r="BG55" s="89">
        <v>5.14</v>
      </c>
      <c r="BH55" s="145">
        <v>16.2</v>
      </c>
      <c r="BI55" s="145">
        <v>15.7</v>
      </c>
      <c r="BJ55" s="89">
        <v>49.3</v>
      </c>
      <c r="BK55" s="89">
        <v>46.5</v>
      </c>
      <c r="BL55" s="145">
        <v>92.3</v>
      </c>
      <c r="BM55" s="145">
        <v>90.5</v>
      </c>
      <c r="BN55" s="89">
        <v>30.3</v>
      </c>
      <c r="BO55" s="89">
        <v>30.5</v>
      </c>
      <c r="BP55" s="145">
        <v>32.9</v>
      </c>
      <c r="BQ55" s="145">
        <v>33.799999999999997</v>
      </c>
      <c r="BR55" s="89">
        <v>273</v>
      </c>
      <c r="BS55" s="89">
        <v>267</v>
      </c>
      <c r="BT55" s="145">
        <v>14.1</v>
      </c>
      <c r="BU55" s="145">
        <v>13.6</v>
      </c>
      <c r="BV55" s="108">
        <v>0.63</v>
      </c>
      <c r="BW55" s="108">
        <v>0.54</v>
      </c>
      <c r="BX55" s="259">
        <v>8.14</v>
      </c>
      <c r="BY55" s="259">
        <v>10.54</v>
      </c>
      <c r="BZ55" s="89">
        <v>59.7</v>
      </c>
      <c r="CA55" s="89">
        <v>62.8</v>
      </c>
      <c r="CB55" s="145">
        <v>29.9</v>
      </c>
      <c r="CC55" s="145">
        <v>26.3</v>
      </c>
      <c r="CD55" s="89">
        <v>7.9</v>
      </c>
      <c r="CE55" s="89">
        <v>8.9</v>
      </c>
      <c r="CF55" s="145">
        <v>2</v>
      </c>
      <c r="CG55" s="145">
        <v>1.5</v>
      </c>
      <c r="CH55" s="89">
        <v>0.5</v>
      </c>
      <c r="CI55" s="89">
        <v>0.5</v>
      </c>
      <c r="CJ55" s="86" t="b">
        <f t="shared" si="3"/>
        <v>0</v>
      </c>
      <c r="CK55" s="2" t="b">
        <f t="shared" si="4"/>
        <v>1</v>
      </c>
      <c r="CL55" s="98">
        <f t="shared" si="6"/>
        <v>73.472700000000003</v>
      </c>
      <c r="CM55" s="98">
        <v>88.5</v>
      </c>
      <c r="CN55" s="98">
        <v>187</v>
      </c>
      <c r="CO55" s="86">
        <v>49.59</v>
      </c>
      <c r="CP55" s="98">
        <v>59.5</v>
      </c>
      <c r="CQ55" s="98">
        <v>0</v>
      </c>
      <c r="CR55" s="96">
        <v>16.98</v>
      </c>
    </row>
    <row r="56" spans="1:96" ht="15.75" customHeight="1">
      <c r="A56" s="72">
        <v>2017</v>
      </c>
      <c r="B56" s="79" t="s">
        <v>186</v>
      </c>
      <c r="C56" s="164">
        <v>3095</v>
      </c>
      <c r="D56" s="61">
        <v>34</v>
      </c>
      <c r="E56" s="80">
        <v>80</v>
      </c>
      <c r="F56" s="52">
        <v>2</v>
      </c>
      <c r="G56" s="303" t="s">
        <v>101</v>
      </c>
      <c r="H56" s="55" t="s">
        <v>83</v>
      </c>
      <c r="I56" s="56" t="s">
        <v>87</v>
      </c>
      <c r="J56" s="55" t="s">
        <v>99</v>
      </c>
      <c r="K56" s="56">
        <v>37.5</v>
      </c>
      <c r="L56" s="52">
        <v>62.5</v>
      </c>
      <c r="M56" s="247">
        <v>994</v>
      </c>
      <c r="N56" s="247">
        <v>587</v>
      </c>
      <c r="O56" s="248">
        <v>31</v>
      </c>
      <c r="P56" s="248">
        <v>14</v>
      </c>
      <c r="Q56" s="89" t="s">
        <v>94</v>
      </c>
      <c r="R56" s="89" t="s">
        <v>94</v>
      </c>
      <c r="S56" s="248">
        <v>607</v>
      </c>
      <c r="T56" s="248">
        <v>501</v>
      </c>
      <c r="U56" s="249">
        <v>78</v>
      </c>
      <c r="V56" s="249">
        <v>28</v>
      </c>
      <c r="W56" s="261">
        <v>4.2</v>
      </c>
      <c r="X56" s="261">
        <v>3.3</v>
      </c>
      <c r="Y56" s="249">
        <v>52</v>
      </c>
      <c r="Z56" s="249">
        <v>35</v>
      </c>
      <c r="AA56" s="262">
        <v>28</v>
      </c>
      <c r="AB56" s="262">
        <v>20</v>
      </c>
      <c r="AC56" s="89" t="s">
        <v>94</v>
      </c>
      <c r="AD56" s="89" t="s">
        <v>94</v>
      </c>
      <c r="AE56" s="319">
        <v>81.400000000000006</v>
      </c>
      <c r="AF56" s="338" t="s">
        <v>113</v>
      </c>
      <c r="AG56" s="113">
        <v>39</v>
      </c>
      <c r="AH56" s="113">
        <v>34</v>
      </c>
      <c r="AI56" s="144">
        <v>1.2</v>
      </c>
      <c r="AJ56" s="144">
        <v>1</v>
      </c>
      <c r="AK56" s="269">
        <f t="shared" si="0"/>
        <v>0</v>
      </c>
      <c r="AL56" s="149">
        <v>5</v>
      </c>
      <c r="AM56" s="149">
        <v>4</v>
      </c>
      <c r="AN56" s="144">
        <v>7.3</v>
      </c>
      <c r="AO56" s="144">
        <v>5.6</v>
      </c>
      <c r="AP56" s="80" t="s">
        <v>94</v>
      </c>
      <c r="AQ56" s="80" t="s">
        <v>94</v>
      </c>
      <c r="AR56" s="149">
        <v>9.5</v>
      </c>
      <c r="AS56" s="149">
        <v>7.6</v>
      </c>
      <c r="AT56" s="149">
        <v>4.8</v>
      </c>
      <c r="AU56" s="149">
        <v>3.9</v>
      </c>
      <c r="AV56" s="248">
        <v>94</v>
      </c>
      <c r="AW56" s="248">
        <v>69</v>
      </c>
      <c r="AX56" s="262">
        <v>141</v>
      </c>
      <c r="AY56" s="262">
        <v>120</v>
      </c>
      <c r="AZ56" s="142" t="s">
        <v>94</v>
      </c>
      <c r="BA56" s="142" t="s">
        <v>94</v>
      </c>
      <c r="BB56" s="80" t="s">
        <v>94</v>
      </c>
      <c r="BC56" s="80" t="s">
        <v>94</v>
      </c>
      <c r="BD56" s="96">
        <f t="shared" si="1"/>
        <v>297.69355555555558</v>
      </c>
      <c r="BE56" s="96">
        <f t="shared" si="2"/>
        <v>254.52900000000002</v>
      </c>
      <c r="BF56" s="89">
        <v>5.13</v>
      </c>
      <c r="BG56" s="89">
        <v>5.86</v>
      </c>
      <c r="BH56" s="145">
        <v>14.1</v>
      </c>
      <c r="BI56" s="145">
        <v>16.399999999999999</v>
      </c>
      <c r="BJ56" s="89">
        <v>43.4</v>
      </c>
      <c r="BK56" s="89">
        <v>48.9</v>
      </c>
      <c r="BL56" s="145">
        <v>84.6</v>
      </c>
      <c r="BM56" s="145">
        <v>83.4</v>
      </c>
      <c r="BN56" s="89">
        <v>27.5</v>
      </c>
      <c r="BO56" s="89">
        <v>28</v>
      </c>
      <c r="BP56" s="145">
        <v>32.5</v>
      </c>
      <c r="BQ56" s="145">
        <v>33.5</v>
      </c>
      <c r="BR56" s="89">
        <v>165</v>
      </c>
      <c r="BS56" s="89">
        <v>190</v>
      </c>
      <c r="BT56" s="145">
        <v>13.4</v>
      </c>
      <c r="BU56" s="145">
        <v>13.1</v>
      </c>
      <c r="BV56" s="108">
        <v>0.92</v>
      </c>
      <c r="BW56" s="108">
        <v>0.73</v>
      </c>
      <c r="BX56" s="259">
        <v>5.93</v>
      </c>
      <c r="BY56" s="259">
        <v>7.17</v>
      </c>
      <c r="BZ56" s="89">
        <v>41.7</v>
      </c>
      <c r="CA56" s="89">
        <v>50.8</v>
      </c>
      <c r="CB56" s="145">
        <v>43.7</v>
      </c>
      <c r="CC56" s="145">
        <v>37.799999999999997</v>
      </c>
      <c r="CD56" s="89">
        <v>13.8</v>
      </c>
      <c r="CE56" s="89">
        <v>10.6</v>
      </c>
      <c r="CF56" s="145">
        <v>0.5</v>
      </c>
      <c r="CG56" s="145">
        <v>0.7</v>
      </c>
      <c r="CH56" s="89">
        <v>0.3</v>
      </c>
      <c r="CI56" s="89">
        <v>0.1</v>
      </c>
      <c r="CJ56" s="86" t="b">
        <f t="shared" si="3"/>
        <v>0</v>
      </c>
      <c r="CK56" s="2" t="b">
        <f t="shared" si="4"/>
        <v>0</v>
      </c>
      <c r="CL56" s="98">
        <f t="shared" si="6"/>
        <v>71.675339999999991</v>
      </c>
      <c r="CM56" s="98">
        <v>78.599999999999994</v>
      </c>
      <c r="CN56" s="98">
        <v>172</v>
      </c>
      <c r="CO56" s="86">
        <v>51.33</v>
      </c>
      <c r="CP56" s="98">
        <v>48</v>
      </c>
      <c r="CQ56" s="98">
        <v>49</v>
      </c>
      <c r="CR56" s="96">
        <v>8.81</v>
      </c>
    </row>
    <row r="57" spans="1:96" ht="15.75" customHeight="1">
      <c r="A57" s="72">
        <v>2017</v>
      </c>
      <c r="B57" s="79" t="s">
        <v>186</v>
      </c>
      <c r="C57" s="164">
        <v>3102</v>
      </c>
      <c r="D57" s="61">
        <v>34</v>
      </c>
      <c r="E57" s="80">
        <v>87</v>
      </c>
      <c r="F57" s="52">
        <v>2</v>
      </c>
      <c r="G57" s="303" t="s">
        <v>82</v>
      </c>
      <c r="H57" s="55" t="s">
        <v>90</v>
      </c>
      <c r="I57" s="56" t="s">
        <v>84</v>
      </c>
      <c r="J57" s="55" t="s">
        <v>97</v>
      </c>
      <c r="K57" s="56">
        <v>37.5</v>
      </c>
      <c r="L57" s="52">
        <v>62.5</v>
      </c>
      <c r="M57" s="247">
        <v>1515</v>
      </c>
      <c r="N57" s="247">
        <v>1344</v>
      </c>
      <c r="O57" s="248">
        <v>34</v>
      </c>
      <c r="P57" s="248">
        <v>19</v>
      </c>
      <c r="Q57" s="89" t="s">
        <v>94</v>
      </c>
      <c r="R57" s="89" t="s">
        <v>94</v>
      </c>
      <c r="S57" s="248">
        <v>670</v>
      </c>
      <c r="T57" s="248">
        <v>644</v>
      </c>
      <c r="U57" s="249">
        <v>77</v>
      </c>
      <c r="V57" s="249">
        <v>60</v>
      </c>
      <c r="W57" s="261">
        <v>4.4000000000000004</v>
      </c>
      <c r="X57" s="261">
        <v>4.8</v>
      </c>
      <c r="Y57" s="249">
        <v>58</v>
      </c>
      <c r="Z57" s="249">
        <v>35</v>
      </c>
      <c r="AA57" s="262">
        <v>32</v>
      </c>
      <c r="AB57" s="262">
        <v>22</v>
      </c>
      <c r="AC57" s="89" t="s">
        <v>94</v>
      </c>
      <c r="AD57" s="89" t="s">
        <v>94</v>
      </c>
      <c r="AE57" s="325">
        <v>114.9</v>
      </c>
      <c r="AF57" s="342" t="s">
        <v>113</v>
      </c>
      <c r="AG57" s="113">
        <v>30</v>
      </c>
      <c r="AH57" s="113">
        <v>34</v>
      </c>
      <c r="AI57" s="144">
        <v>0.9</v>
      </c>
      <c r="AJ57" s="144">
        <v>1</v>
      </c>
      <c r="AK57" s="269">
        <f t="shared" si="0"/>
        <v>9.9999999999999978E-2</v>
      </c>
      <c r="AL57" s="149">
        <v>5</v>
      </c>
      <c r="AM57" s="149">
        <v>4.9000000000000004</v>
      </c>
      <c r="AN57" s="144">
        <v>7.4</v>
      </c>
      <c r="AO57" s="144">
        <v>7.6</v>
      </c>
      <c r="AP57" s="80" t="s">
        <v>94</v>
      </c>
      <c r="AQ57" s="80" t="s">
        <v>94</v>
      </c>
      <c r="AR57" s="149">
        <v>9.6</v>
      </c>
      <c r="AS57" s="149">
        <v>10.1</v>
      </c>
      <c r="AT57" s="149">
        <v>5</v>
      </c>
      <c r="AU57" s="149">
        <v>5.3</v>
      </c>
      <c r="AV57" s="248">
        <v>94</v>
      </c>
      <c r="AW57" s="248">
        <v>89</v>
      </c>
      <c r="AX57" s="262">
        <v>145</v>
      </c>
      <c r="AY57" s="262">
        <v>146</v>
      </c>
      <c r="AZ57" s="142" t="s">
        <v>94</v>
      </c>
      <c r="BA57" s="142" t="s">
        <v>94</v>
      </c>
      <c r="BB57" s="80" t="s">
        <v>94</v>
      </c>
      <c r="BC57" s="80" t="s">
        <v>94</v>
      </c>
      <c r="BD57" s="96">
        <f t="shared" si="1"/>
        <v>304.00555555555553</v>
      </c>
      <c r="BE57" s="96">
        <f t="shared" si="2"/>
        <v>306.77077777777788</v>
      </c>
      <c r="BF57" s="89">
        <v>5.36</v>
      </c>
      <c r="BG57" s="89">
        <v>5.01</v>
      </c>
      <c r="BH57" s="145">
        <v>14.6</v>
      </c>
      <c r="BI57" s="145">
        <v>13.7</v>
      </c>
      <c r="BJ57" s="89">
        <v>44.9</v>
      </c>
      <c r="BK57" s="89">
        <v>42</v>
      </c>
      <c r="BL57" s="145">
        <v>83.8</v>
      </c>
      <c r="BM57" s="145">
        <v>83.8</v>
      </c>
      <c r="BN57" s="89">
        <v>27.2</v>
      </c>
      <c r="BO57" s="89">
        <v>27.3</v>
      </c>
      <c r="BP57" s="145">
        <v>32.5</v>
      </c>
      <c r="BQ57" s="145">
        <v>32.6</v>
      </c>
      <c r="BR57" s="89">
        <v>259</v>
      </c>
      <c r="BS57" s="89">
        <v>245</v>
      </c>
      <c r="BT57" s="145">
        <v>13.2</v>
      </c>
      <c r="BU57" s="145">
        <v>12.8</v>
      </c>
      <c r="BV57" s="108">
        <v>0.8</v>
      </c>
      <c r="BW57" s="108">
        <v>0.73</v>
      </c>
      <c r="BX57" s="259">
        <v>9.49</v>
      </c>
      <c r="BY57" s="259">
        <v>8.4600000000000009</v>
      </c>
      <c r="BZ57" s="89">
        <v>57.7</v>
      </c>
      <c r="CA57" s="89">
        <v>56.9</v>
      </c>
      <c r="CB57" s="145">
        <v>31</v>
      </c>
      <c r="CC57" s="145">
        <v>31.6</v>
      </c>
      <c r="CD57" s="89">
        <v>8.6</v>
      </c>
      <c r="CE57" s="89">
        <v>8.5</v>
      </c>
      <c r="CF57" s="145">
        <v>2.2000000000000002</v>
      </c>
      <c r="CG57" s="145">
        <v>2.4</v>
      </c>
      <c r="CH57" s="89">
        <v>0.5</v>
      </c>
      <c r="CI57" s="89">
        <v>0.6</v>
      </c>
      <c r="CJ57" s="86" t="b">
        <f t="shared" si="3"/>
        <v>0</v>
      </c>
      <c r="CK57" s="2" t="b">
        <f t="shared" si="4"/>
        <v>1</v>
      </c>
      <c r="CL57" s="98">
        <f t="shared" si="6"/>
        <v>75.626200000000011</v>
      </c>
      <c r="CM57" s="98">
        <v>88.4</v>
      </c>
      <c r="CN57" s="98">
        <v>179</v>
      </c>
      <c r="CO57" s="86">
        <v>47.54</v>
      </c>
      <c r="CP57" s="98">
        <v>51.5</v>
      </c>
      <c r="CQ57" s="98">
        <v>50.5</v>
      </c>
      <c r="CR57" s="96">
        <v>14.45</v>
      </c>
    </row>
    <row r="58" spans="1:96" ht="15.75" customHeight="1">
      <c r="A58" s="72">
        <v>2017</v>
      </c>
      <c r="B58" s="79" t="s">
        <v>186</v>
      </c>
      <c r="C58" s="164">
        <v>3105</v>
      </c>
      <c r="D58" s="61">
        <v>32</v>
      </c>
      <c r="E58" s="80">
        <v>83</v>
      </c>
      <c r="F58" s="52">
        <v>2</v>
      </c>
      <c r="G58" s="76" t="s">
        <v>86</v>
      </c>
      <c r="H58" s="55" t="s">
        <v>90</v>
      </c>
      <c r="I58" s="56" t="s">
        <v>84</v>
      </c>
      <c r="J58" s="55" t="s">
        <v>99</v>
      </c>
      <c r="K58" s="56">
        <v>50</v>
      </c>
      <c r="L58" s="55">
        <v>50</v>
      </c>
      <c r="M58" s="247">
        <v>4687</v>
      </c>
      <c r="N58" s="247">
        <v>1451</v>
      </c>
      <c r="O58" s="248">
        <v>47</v>
      </c>
      <c r="P58" s="248">
        <v>15</v>
      </c>
      <c r="Q58" s="89" t="s">
        <v>94</v>
      </c>
      <c r="R58" s="89" t="s">
        <v>94</v>
      </c>
      <c r="S58" s="248">
        <v>743</v>
      </c>
      <c r="T58" s="248">
        <v>591</v>
      </c>
      <c r="U58" s="249">
        <v>90</v>
      </c>
      <c r="V58" s="249">
        <v>34</v>
      </c>
      <c r="W58" s="261">
        <v>4.2</v>
      </c>
      <c r="X58" s="261">
        <v>3.4</v>
      </c>
      <c r="Y58" s="249">
        <v>52</v>
      </c>
      <c r="Z58" s="249">
        <v>34</v>
      </c>
      <c r="AA58" s="262">
        <v>17</v>
      </c>
      <c r="AB58" s="262">
        <v>10</v>
      </c>
      <c r="AC58" s="89" t="s">
        <v>94</v>
      </c>
      <c r="AD58" s="89" t="s">
        <v>94</v>
      </c>
      <c r="AE58" s="321">
        <v>116.4</v>
      </c>
      <c r="AF58" s="112">
        <v>102.6</v>
      </c>
      <c r="AG58" s="113">
        <v>44</v>
      </c>
      <c r="AH58" s="113">
        <v>41</v>
      </c>
      <c r="AI58" s="144">
        <v>0.9</v>
      </c>
      <c r="AJ58" s="144">
        <v>1</v>
      </c>
      <c r="AK58" s="269">
        <f t="shared" si="0"/>
        <v>9.9999999999999978E-2</v>
      </c>
      <c r="AL58" s="149">
        <v>4.7</v>
      </c>
      <c r="AM58" s="149">
        <v>4.3</v>
      </c>
      <c r="AN58" s="144">
        <v>7.3</v>
      </c>
      <c r="AO58" s="144">
        <v>5.7</v>
      </c>
      <c r="AP58" s="80" t="s">
        <v>94</v>
      </c>
      <c r="AQ58" s="80" t="s">
        <v>94</v>
      </c>
      <c r="AR58" s="149">
        <v>9.1</v>
      </c>
      <c r="AS58" s="149">
        <v>8</v>
      </c>
      <c r="AT58" s="149">
        <v>4.7</v>
      </c>
      <c r="AU58" s="149">
        <v>4.0999999999999996</v>
      </c>
      <c r="AV58" s="248">
        <v>85</v>
      </c>
      <c r="AW58" s="248">
        <v>68</v>
      </c>
      <c r="AX58" s="262">
        <v>140</v>
      </c>
      <c r="AY58" s="262">
        <v>129</v>
      </c>
      <c r="AZ58" s="142" t="s">
        <v>94</v>
      </c>
      <c r="BA58" s="142" t="s">
        <v>94</v>
      </c>
      <c r="BB58" s="80" t="s">
        <v>94</v>
      </c>
      <c r="BC58" s="80" t="s">
        <v>94</v>
      </c>
      <c r="BD58" s="96">
        <f t="shared" si="1"/>
        <v>295.90588888888885</v>
      </c>
      <c r="BE58" s="96">
        <f t="shared" si="2"/>
        <v>272.74377777777778</v>
      </c>
      <c r="BF58" s="89">
        <v>4.45</v>
      </c>
      <c r="BG58" s="89">
        <v>4.28</v>
      </c>
      <c r="BH58" s="145">
        <v>13.3</v>
      </c>
      <c r="BI58" s="145">
        <v>12.9</v>
      </c>
      <c r="BJ58" s="89">
        <v>40.200000000000003</v>
      </c>
      <c r="BK58" s="89">
        <v>38.5</v>
      </c>
      <c r="BL58" s="145">
        <v>90.3</v>
      </c>
      <c r="BM58" s="145">
        <v>90</v>
      </c>
      <c r="BN58" s="89">
        <v>29.9</v>
      </c>
      <c r="BO58" s="89">
        <v>30.1</v>
      </c>
      <c r="BP58" s="145">
        <v>33.1</v>
      </c>
      <c r="BQ58" s="145">
        <v>33.5</v>
      </c>
      <c r="BR58" s="89">
        <v>290</v>
      </c>
      <c r="BS58" s="89">
        <v>325</v>
      </c>
      <c r="BT58" s="145">
        <v>12.9</v>
      </c>
      <c r="BU58" s="145">
        <v>12.5</v>
      </c>
      <c r="BV58" s="108">
        <v>0.8</v>
      </c>
      <c r="BW58" s="108">
        <v>0.83</v>
      </c>
      <c r="BX58" s="259">
        <v>5.68</v>
      </c>
      <c r="BY58" s="259">
        <v>6.46</v>
      </c>
      <c r="BZ58" s="89">
        <v>44.9</v>
      </c>
      <c r="CA58" s="89">
        <v>47.5</v>
      </c>
      <c r="CB58" s="145">
        <v>26.2</v>
      </c>
      <c r="CC58" s="145">
        <v>27.6</v>
      </c>
      <c r="CD58" s="89">
        <v>8.5</v>
      </c>
      <c r="CE58" s="89">
        <v>10.199999999999999</v>
      </c>
      <c r="CF58" s="145">
        <v>20.2</v>
      </c>
      <c r="CG58" s="145">
        <v>14.4</v>
      </c>
      <c r="CH58" s="89">
        <v>0.2</v>
      </c>
      <c r="CI58" s="89">
        <v>0.3</v>
      </c>
      <c r="CJ58" s="86" t="b">
        <f t="shared" si="3"/>
        <v>0</v>
      </c>
      <c r="CK58" s="2" t="b">
        <f t="shared" si="4"/>
        <v>1</v>
      </c>
      <c r="CL58" s="98">
        <f t="shared" si="6"/>
        <v>71.683920000000001</v>
      </c>
      <c r="CM58" s="98">
        <v>79.2</v>
      </c>
      <c r="CN58" s="98">
        <v>172.6</v>
      </c>
      <c r="CO58" s="86">
        <v>51.6</v>
      </c>
      <c r="CP58" s="98">
        <v>60</v>
      </c>
      <c r="CQ58" s="98">
        <v>54</v>
      </c>
      <c r="CR58" s="96">
        <v>9.49</v>
      </c>
    </row>
    <row r="59" spans="1:96" ht="15.75" customHeight="1">
      <c r="A59" s="72">
        <v>2017</v>
      </c>
      <c r="B59" s="79" t="s">
        <v>186</v>
      </c>
      <c r="C59" s="164">
        <v>3106</v>
      </c>
      <c r="D59" s="61">
        <v>31</v>
      </c>
      <c r="E59" s="80">
        <v>85</v>
      </c>
      <c r="F59" s="52">
        <v>2</v>
      </c>
      <c r="G59" s="76" t="s">
        <v>82</v>
      </c>
      <c r="H59" s="55" t="s">
        <v>83</v>
      </c>
      <c r="I59" s="56" t="s">
        <v>93</v>
      </c>
      <c r="J59" s="55" t="s">
        <v>99</v>
      </c>
      <c r="K59" s="56">
        <v>50</v>
      </c>
      <c r="L59" s="55">
        <v>50</v>
      </c>
      <c r="M59" s="247">
        <v>378</v>
      </c>
      <c r="N59" s="247">
        <v>592</v>
      </c>
      <c r="O59" s="248">
        <v>17</v>
      </c>
      <c r="P59" s="248">
        <v>21</v>
      </c>
      <c r="Q59" s="89" t="s">
        <v>94</v>
      </c>
      <c r="R59" s="89" t="s">
        <v>94</v>
      </c>
      <c r="S59" s="248">
        <v>426</v>
      </c>
      <c r="T59" s="248">
        <v>484</v>
      </c>
      <c r="U59" s="249">
        <v>36</v>
      </c>
      <c r="V59" s="249">
        <v>44</v>
      </c>
      <c r="W59" s="261">
        <v>4.3</v>
      </c>
      <c r="X59" s="261">
        <v>5</v>
      </c>
      <c r="Y59" s="249">
        <v>42</v>
      </c>
      <c r="Z59" s="249">
        <v>44</v>
      </c>
      <c r="AA59" s="262">
        <v>17</v>
      </c>
      <c r="AB59" s="262">
        <v>16</v>
      </c>
      <c r="AC59" s="89" t="s">
        <v>94</v>
      </c>
      <c r="AD59" s="89" t="s">
        <v>94</v>
      </c>
      <c r="AE59" s="319">
        <v>103.2</v>
      </c>
      <c r="AF59" s="112">
        <v>82.9</v>
      </c>
      <c r="AG59" s="113">
        <v>39</v>
      </c>
      <c r="AH59" s="113">
        <v>53</v>
      </c>
      <c r="AI59" s="144">
        <v>1</v>
      </c>
      <c r="AJ59" s="144">
        <v>1.2</v>
      </c>
      <c r="AK59" s="269">
        <f t="shared" si="0"/>
        <v>0.19999999999999996</v>
      </c>
      <c r="AL59" s="149">
        <v>5.3</v>
      </c>
      <c r="AM59" s="149">
        <v>5.7</v>
      </c>
      <c r="AN59" s="144">
        <v>7.2</v>
      </c>
      <c r="AO59" s="144">
        <v>8</v>
      </c>
      <c r="AP59" s="80" t="s">
        <v>94</v>
      </c>
      <c r="AQ59" s="80" t="s">
        <v>94</v>
      </c>
      <c r="AR59" s="149">
        <v>9.4</v>
      </c>
      <c r="AS59" s="149">
        <v>11.2</v>
      </c>
      <c r="AT59" s="149">
        <v>6.2</v>
      </c>
      <c r="AU59" s="149">
        <v>5.3</v>
      </c>
      <c r="AV59" s="248">
        <v>92</v>
      </c>
      <c r="AW59" s="248">
        <v>95</v>
      </c>
      <c r="AX59" s="262">
        <v>142</v>
      </c>
      <c r="AY59" s="262">
        <v>154</v>
      </c>
      <c r="AZ59" s="142" t="s">
        <v>94</v>
      </c>
      <c r="BA59" s="142" t="s">
        <v>94</v>
      </c>
      <c r="BB59" s="80" t="s">
        <v>94</v>
      </c>
      <c r="BC59" s="80" t="s">
        <v>94</v>
      </c>
      <c r="BD59" s="96">
        <f t="shared" si="1"/>
        <v>302.02977777777778</v>
      </c>
      <c r="BE59" s="96">
        <f t="shared" si="2"/>
        <v>325.20077777777783</v>
      </c>
      <c r="BF59" s="89">
        <v>5.15</v>
      </c>
      <c r="BG59" s="89">
        <v>4.99</v>
      </c>
      <c r="BH59" s="145">
        <v>14.2</v>
      </c>
      <c r="BI59" s="145">
        <v>13.9</v>
      </c>
      <c r="BJ59" s="89">
        <v>41.4</v>
      </c>
      <c r="BK59" s="89">
        <v>40</v>
      </c>
      <c r="BL59" s="145">
        <v>80.400000000000006</v>
      </c>
      <c r="BM59" s="145">
        <v>80.2</v>
      </c>
      <c r="BN59" s="89">
        <v>27.6</v>
      </c>
      <c r="BO59" s="89">
        <v>27.9</v>
      </c>
      <c r="BP59" s="145">
        <v>34.299999999999997</v>
      </c>
      <c r="BQ59" s="145">
        <v>34.799999999999997</v>
      </c>
      <c r="BR59" s="89">
        <v>301</v>
      </c>
      <c r="BS59" s="89">
        <v>295</v>
      </c>
      <c r="BT59" s="145">
        <v>12.6</v>
      </c>
      <c r="BU59" s="145">
        <v>12.7</v>
      </c>
      <c r="BV59" s="108">
        <v>1.05</v>
      </c>
      <c r="BW59" s="108">
        <v>0.77</v>
      </c>
      <c r="BX59" s="259">
        <v>7.68</v>
      </c>
      <c r="BY59" s="259">
        <v>9.26</v>
      </c>
      <c r="BZ59" s="89">
        <v>47.6</v>
      </c>
      <c r="CA59" s="89">
        <v>51.5</v>
      </c>
      <c r="CB59" s="145">
        <v>37.1</v>
      </c>
      <c r="CC59" s="145">
        <v>32.299999999999997</v>
      </c>
      <c r="CD59" s="89">
        <v>11.1</v>
      </c>
      <c r="CE59" s="89">
        <v>12.3</v>
      </c>
      <c r="CF59" s="145">
        <v>3.5</v>
      </c>
      <c r="CG59" s="145">
        <v>3.3</v>
      </c>
      <c r="CH59" s="89">
        <v>0.7</v>
      </c>
      <c r="CI59" s="89">
        <v>0.6</v>
      </c>
      <c r="CJ59" s="86" t="b">
        <f t="shared" si="3"/>
        <v>0</v>
      </c>
      <c r="CK59" s="2" t="b">
        <f t="shared" si="4"/>
        <v>0</v>
      </c>
      <c r="CL59" s="98">
        <f t="shared" si="6"/>
        <v>76.33</v>
      </c>
      <c r="CM59" s="98">
        <v>85</v>
      </c>
      <c r="CN59" s="98">
        <v>181</v>
      </c>
      <c r="CO59" s="86">
        <v>50.68</v>
      </c>
      <c r="CP59" s="98">
        <v>52</v>
      </c>
      <c r="CQ59" s="98">
        <v>55</v>
      </c>
      <c r="CR59" s="96">
        <v>10.199999999999999</v>
      </c>
    </row>
    <row r="60" spans="1:96" ht="15.75" customHeight="1">
      <c r="A60" s="72">
        <v>2017</v>
      </c>
      <c r="B60" s="79" t="s">
        <v>186</v>
      </c>
      <c r="C60" s="164">
        <v>3108</v>
      </c>
      <c r="D60" s="61">
        <v>31</v>
      </c>
      <c r="E60" s="80">
        <v>81</v>
      </c>
      <c r="F60" s="52">
        <v>2</v>
      </c>
      <c r="G60" s="54" t="s">
        <v>86</v>
      </c>
      <c r="H60" s="55" t="s">
        <v>83</v>
      </c>
      <c r="I60" s="56" t="s">
        <v>93</v>
      </c>
      <c r="J60" s="55" t="s">
        <v>100</v>
      </c>
      <c r="K60" s="53">
        <v>62.5</v>
      </c>
      <c r="L60" s="55">
        <v>37.5</v>
      </c>
      <c r="M60" s="247">
        <v>1142</v>
      </c>
      <c r="N60" s="247">
        <v>949</v>
      </c>
      <c r="O60" s="248">
        <v>27</v>
      </c>
      <c r="P60" s="248">
        <v>24</v>
      </c>
      <c r="Q60" s="89" t="s">
        <v>94</v>
      </c>
      <c r="R60" s="89" t="s">
        <v>94</v>
      </c>
      <c r="S60" s="248">
        <v>608</v>
      </c>
      <c r="T60" s="248">
        <v>692</v>
      </c>
      <c r="U60" s="249">
        <v>56</v>
      </c>
      <c r="V60" s="249">
        <v>36</v>
      </c>
      <c r="W60" s="261">
        <v>4.5</v>
      </c>
      <c r="X60" s="261">
        <v>4.7</v>
      </c>
      <c r="Y60" s="249">
        <v>59</v>
      </c>
      <c r="Z60" s="249">
        <v>36</v>
      </c>
      <c r="AA60" s="262">
        <v>23</v>
      </c>
      <c r="AB60" s="262">
        <v>16</v>
      </c>
      <c r="AC60" s="89" t="s">
        <v>94</v>
      </c>
      <c r="AD60" s="89" t="s">
        <v>94</v>
      </c>
      <c r="AE60" s="319">
        <v>117.1</v>
      </c>
      <c r="AF60" s="112">
        <v>92</v>
      </c>
      <c r="AG60" s="113">
        <v>45</v>
      </c>
      <c r="AH60" s="113">
        <v>50</v>
      </c>
      <c r="AI60" s="144">
        <v>0.9</v>
      </c>
      <c r="AJ60" s="144">
        <v>1.1000000000000001</v>
      </c>
      <c r="AK60" s="269">
        <f t="shared" si="0"/>
        <v>0.20000000000000007</v>
      </c>
      <c r="AL60" s="149">
        <v>4.4000000000000004</v>
      </c>
      <c r="AM60" s="149">
        <v>4.5</v>
      </c>
      <c r="AN60" s="144">
        <v>7.6</v>
      </c>
      <c r="AO60" s="144">
        <v>7.2</v>
      </c>
      <c r="AP60" s="80" t="s">
        <v>94</v>
      </c>
      <c r="AQ60" s="80" t="s">
        <v>94</v>
      </c>
      <c r="AR60" s="149">
        <v>9.1</v>
      </c>
      <c r="AS60" s="149">
        <v>9.4</v>
      </c>
      <c r="AT60" s="149">
        <v>4.7</v>
      </c>
      <c r="AU60" s="149">
        <v>4.2</v>
      </c>
      <c r="AV60" s="248">
        <v>87</v>
      </c>
      <c r="AW60" s="248">
        <v>88</v>
      </c>
      <c r="AX60" s="262">
        <v>141</v>
      </c>
      <c r="AY60" s="262">
        <v>141</v>
      </c>
      <c r="AZ60" s="142" t="s">
        <v>94</v>
      </c>
      <c r="BA60" s="142" t="s">
        <v>94</v>
      </c>
      <c r="BB60" s="80" t="s">
        <v>94</v>
      </c>
      <c r="BC60" s="80" t="s">
        <v>94</v>
      </c>
      <c r="BD60" s="96">
        <f t="shared" si="1"/>
        <v>298.06033333333335</v>
      </c>
      <c r="BE60" s="96">
        <f t="shared" si="2"/>
        <v>298.02755555555552</v>
      </c>
      <c r="BF60" s="89">
        <v>4.97</v>
      </c>
      <c r="BG60" s="89">
        <v>4.8600000000000003</v>
      </c>
      <c r="BH60" s="145">
        <v>14.8</v>
      </c>
      <c r="BI60" s="145">
        <v>14.6</v>
      </c>
      <c r="BJ60" s="89">
        <v>44.2</v>
      </c>
      <c r="BK60" s="89">
        <v>42.7</v>
      </c>
      <c r="BL60" s="145">
        <v>88.9</v>
      </c>
      <c r="BM60" s="145">
        <v>87.9</v>
      </c>
      <c r="BN60" s="89">
        <v>29.8</v>
      </c>
      <c r="BO60" s="89">
        <v>30</v>
      </c>
      <c r="BP60" s="145">
        <v>33.5</v>
      </c>
      <c r="BQ60" s="145">
        <v>34.200000000000003</v>
      </c>
      <c r="BR60" s="89">
        <v>175</v>
      </c>
      <c r="BS60" s="89">
        <v>204</v>
      </c>
      <c r="BT60" s="145">
        <v>12.4</v>
      </c>
      <c r="BU60" s="145">
        <v>12.1</v>
      </c>
      <c r="BV60" s="108">
        <v>0.82</v>
      </c>
      <c r="BW60" s="108">
        <v>0.82</v>
      </c>
      <c r="BX60" s="259">
        <v>7.28</v>
      </c>
      <c r="BY60" s="259">
        <v>8.34</v>
      </c>
      <c r="BZ60" s="89">
        <v>57</v>
      </c>
      <c r="CA60" s="89">
        <v>56.8</v>
      </c>
      <c r="CB60" s="145">
        <v>33.200000000000003</v>
      </c>
      <c r="CC60" s="145">
        <v>29.9</v>
      </c>
      <c r="CD60" s="89">
        <v>8.5</v>
      </c>
      <c r="CE60" s="89">
        <v>12.2</v>
      </c>
      <c r="CF60" s="145">
        <v>1.2</v>
      </c>
      <c r="CG60" s="145">
        <v>1</v>
      </c>
      <c r="CH60" s="89">
        <v>0.1</v>
      </c>
      <c r="CI60" s="89">
        <v>0.1</v>
      </c>
      <c r="CJ60" s="86" t="b">
        <f t="shared" si="3"/>
        <v>0</v>
      </c>
      <c r="CK60" s="2" t="b">
        <f t="shared" si="4"/>
        <v>1</v>
      </c>
      <c r="CL60" s="98">
        <f t="shared" si="6"/>
        <v>71.280989999999989</v>
      </c>
      <c r="CM60" s="98">
        <v>80.099999999999994</v>
      </c>
      <c r="CN60" s="98">
        <v>184</v>
      </c>
      <c r="CO60" s="86">
        <v>51.35</v>
      </c>
      <c r="CP60" s="98">
        <v>57</v>
      </c>
      <c r="CQ60" s="98">
        <v>55</v>
      </c>
      <c r="CR60" s="96">
        <v>11.01</v>
      </c>
    </row>
    <row r="61" spans="1:96" ht="15.75" customHeight="1">
      <c r="A61" s="72">
        <v>2017</v>
      </c>
      <c r="B61" s="79" t="s">
        <v>186</v>
      </c>
      <c r="C61" s="164">
        <v>3114</v>
      </c>
      <c r="D61" s="61">
        <v>30</v>
      </c>
      <c r="E61" s="80">
        <v>72</v>
      </c>
      <c r="F61" s="52">
        <v>1</v>
      </c>
      <c r="G61" s="54" t="s">
        <v>89</v>
      </c>
      <c r="H61" s="55" t="s">
        <v>90</v>
      </c>
      <c r="I61" s="56" t="s">
        <v>93</v>
      </c>
      <c r="J61" s="55" t="s">
        <v>99</v>
      </c>
      <c r="K61" s="56">
        <v>50</v>
      </c>
      <c r="L61" s="55">
        <v>50</v>
      </c>
      <c r="M61" s="247">
        <v>1531</v>
      </c>
      <c r="N61" s="247">
        <v>1139</v>
      </c>
      <c r="O61" s="248">
        <v>28</v>
      </c>
      <c r="P61" s="248">
        <v>17</v>
      </c>
      <c r="Q61" s="89" t="s">
        <v>94</v>
      </c>
      <c r="R61" s="89" t="s">
        <v>94</v>
      </c>
      <c r="S61" s="248">
        <v>538</v>
      </c>
      <c r="T61" s="248">
        <v>461</v>
      </c>
      <c r="U61" s="249">
        <v>49</v>
      </c>
      <c r="V61" s="249">
        <v>27</v>
      </c>
      <c r="W61" s="261">
        <v>4.3</v>
      </c>
      <c r="X61" s="261">
        <v>3.8</v>
      </c>
      <c r="Y61" s="249">
        <v>35</v>
      </c>
      <c r="Z61" s="249">
        <v>26</v>
      </c>
      <c r="AA61" s="262">
        <v>10</v>
      </c>
      <c r="AB61" s="262">
        <v>10</v>
      </c>
      <c r="AC61" s="89" t="s">
        <v>94</v>
      </c>
      <c r="AD61" s="89" t="s">
        <v>94</v>
      </c>
      <c r="AE61" s="319">
        <v>122.1</v>
      </c>
      <c r="AF61" s="112">
        <v>117.8</v>
      </c>
      <c r="AG61" s="113">
        <v>47</v>
      </c>
      <c r="AH61" s="113">
        <v>41</v>
      </c>
      <c r="AI61" s="144">
        <v>0.8</v>
      </c>
      <c r="AJ61" s="144">
        <v>0.9</v>
      </c>
      <c r="AK61" s="269">
        <f t="shared" si="0"/>
        <v>9.9999999999999978E-2</v>
      </c>
      <c r="AL61" s="149">
        <v>4.5999999999999996</v>
      </c>
      <c r="AM61" s="149">
        <v>3.7</v>
      </c>
      <c r="AN61" s="144">
        <v>7.2</v>
      </c>
      <c r="AO61" s="144">
        <v>6</v>
      </c>
      <c r="AP61" s="80" t="s">
        <v>94</v>
      </c>
      <c r="AQ61" s="80" t="s">
        <v>94</v>
      </c>
      <c r="AR61" s="149">
        <v>9.6</v>
      </c>
      <c r="AS61" s="149">
        <v>8.8000000000000007</v>
      </c>
      <c r="AT61" s="149">
        <v>6.1</v>
      </c>
      <c r="AU61" s="149">
        <v>3.8</v>
      </c>
      <c r="AV61" s="248">
        <v>82</v>
      </c>
      <c r="AW61" s="248">
        <v>70</v>
      </c>
      <c r="AX61" s="262">
        <v>142</v>
      </c>
      <c r="AY61" s="264">
        <v>124</v>
      </c>
      <c r="AZ61" s="142" t="s">
        <v>94</v>
      </c>
      <c r="BA61" s="142" t="s">
        <v>94</v>
      </c>
      <c r="BB61" s="80" t="s">
        <v>94</v>
      </c>
      <c r="BC61" s="80" t="s">
        <v>94</v>
      </c>
      <c r="BD61" s="96">
        <f t="shared" si="1"/>
        <v>302.5382222222222</v>
      </c>
      <c r="BE61" s="96">
        <f t="shared" si="2"/>
        <v>263.01355555555557</v>
      </c>
      <c r="BF61" s="89">
        <v>5.08</v>
      </c>
      <c r="BG61" s="89">
        <v>4.99</v>
      </c>
      <c r="BH61" s="145">
        <v>14.7</v>
      </c>
      <c r="BI61" s="145">
        <v>14.5</v>
      </c>
      <c r="BJ61" s="89">
        <v>45.8</v>
      </c>
      <c r="BK61" s="89">
        <v>44.5</v>
      </c>
      <c r="BL61" s="145">
        <v>90.2</v>
      </c>
      <c r="BM61" s="145">
        <v>89.2</v>
      </c>
      <c r="BN61" s="89">
        <v>28.9</v>
      </c>
      <c r="BO61" s="89">
        <v>29.1</v>
      </c>
      <c r="BP61" s="145">
        <v>32.1</v>
      </c>
      <c r="BQ61" s="145">
        <v>32.6</v>
      </c>
      <c r="BR61" s="89">
        <v>293</v>
      </c>
      <c r="BS61" s="89">
        <v>315</v>
      </c>
      <c r="BT61" s="145">
        <v>13</v>
      </c>
      <c r="BU61" s="145">
        <v>12.3</v>
      </c>
      <c r="BV61" s="108">
        <v>0.92</v>
      </c>
      <c r="BW61" s="108">
        <v>0.84</v>
      </c>
      <c r="BX61" s="259">
        <v>6.12</v>
      </c>
      <c r="BY61" s="259">
        <v>8.68</v>
      </c>
      <c r="BZ61" s="89">
        <v>55.9</v>
      </c>
      <c r="CA61" s="89">
        <v>58.6</v>
      </c>
      <c r="CB61" s="145">
        <v>30.9</v>
      </c>
      <c r="CC61" s="145">
        <v>30.4</v>
      </c>
      <c r="CD61" s="89">
        <v>9.8000000000000007</v>
      </c>
      <c r="CE61" s="89">
        <v>8.1999999999999993</v>
      </c>
      <c r="CF61" s="145">
        <v>3.1</v>
      </c>
      <c r="CG61" s="145">
        <v>2.2000000000000002</v>
      </c>
      <c r="CH61" s="89">
        <v>0.3</v>
      </c>
      <c r="CI61" s="89">
        <v>0.6</v>
      </c>
      <c r="CJ61" s="86" t="b">
        <f t="shared" si="3"/>
        <v>0</v>
      </c>
      <c r="CK61" s="2" t="b">
        <f t="shared" si="4"/>
        <v>1</v>
      </c>
      <c r="CL61" s="98">
        <f t="shared" si="6"/>
        <v>66.363659999999996</v>
      </c>
      <c r="CM61" s="98">
        <v>72.599999999999994</v>
      </c>
      <c r="CN61" s="98">
        <v>180</v>
      </c>
      <c r="CO61" s="86">
        <v>52.5</v>
      </c>
      <c r="CP61" s="98">
        <v>45</v>
      </c>
      <c r="CQ61" s="98">
        <v>42</v>
      </c>
      <c r="CR61" s="96">
        <v>8.59</v>
      </c>
    </row>
    <row r="62" spans="1:96" ht="15.75" customHeight="1">
      <c r="A62" s="72">
        <v>2017</v>
      </c>
      <c r="B62" s="79" t="s">
        <v>186</v>
      </c>
      <c r="C62" s="164">
        <v>3116</v>
      </c>
      <c r="D62" s="52">
        <v>29</v>
      </c>
      <c r="E62" s="80">
        <v>70</v>
      </c>
      <c r="F62" s="52">
        <v>2</v>
      </c>
      <c r="G62" s="54" t="s">
        <v>89</v>
      </c>
      <c r="H62" s="55" t="s">
        <v>83</v>
      </c>
      <c r="I62" s="56" t="s">
        <v>93</v>
      </c>
      <c r="J62" s="55" t="s">
        <v>99</v>
      </c>
      <c r="K62" s="53">
        <v>62.5</v>
      </c>
      <c r="L62" s="55">
        <v>37.5</v>
      </c>
      <c r="M62" s="247">
        <v>307</v>
      </c>
      <c r="N62" s="247">
        <v>320</v>
      </c>
      <c r="O62" s="248">
        <v>17</v>
      </c>
      <c r="P62" s="248">
        <v>15</v>
      </c>
      <c r="Q62" s="89" t="s">
        <v>94</v>
      </c>
      <c r="R62" s="89" t="s">
        <v>94</v>
      </c>
      <c r="S62" s="248">
        <v>529</v>
      </c>
      <c r="T62" s="248">
        <v>514</v>
      </c>
      <c r="U62" s="249">
        <v>35</v>
      </c>
      <c r="V62" s="249">
        <v>30</v>
      </c>
      <c r="W62" s="261">
        <v>4.5999999999999996</v>
      </c>
      <c r="X62" s="261">
        <v>4.8</v>
      </c>
      <c r="Y62" s="249">
        <v>35</v>
      </c>
      <c r="Z62" s="249">
        <v>24</v>
      </c>
      <c r="AA62" s="262">
        <v>15</v>
      </c>
      <c r="AB62" s="262">
        <v>11</v>
      </c>
      <c r="AC62" s="89" t="s">
        <v>94</v>
      </c>
      <c r="AD62" s="89" t="s">
        <v>94</v>
      </c>
      <c r="AE62" s="319">
        <v>118.6</v>
      </c>
      <c r="AF62" s="112">
        <v>93.2</v>
      </c>
      <c r="AG62" s="113">
        <v>52</v>
      </c>
      <c r="AH62" s="113">
        <v>40</v>
      </c>
      <c r="AI62" s="144">
        <v>0.9</v>
      </c>
      <c r="AJ62" s="144">
        <v>1.1000000000000001</v>
      </c>
      <c r="AK62" s="269">
        <f t="shared" si="0"/>
        <v>0.20000000000000007</v>
      </c>
      <c r="AL62" s="149">
        <v>5.4</v>
      </c>
      <c r="AM62" s="149">
        <v>5</v>
      </c>
      <c r="AN62" s="144">
        <v>7.2</v>
      </c>
      <c r="AO62" s="144">
        <v>7.2</v>
      </c>
      <c r="AP62" s="80" t="s">
        <v>94</v>
      </c>
      <c r="AQ62" s="80" t="s">
        <v>94</v>
      </c>
      <c r="AR62" s="149">
        <v>9.6</v>
      </c>
      <c r="AS62" s="149">
        <v>10.3</v>
      </c>
      <c r="AT62" s="149">
        <v>5.5</v>
      </c>
      <c r="AU62" s="149">
        <v>4.9000000000000004</v>
      </c>
      <c r="AV62" s="248">
        <v>92</v>
      </c>
      <c r="AW62" s="248">
        <v>107</v>
      </c>
      <c r="AX62" s="262">
        <v>143</v>
      </c>
      <c r="AY62" s="262">
        <v>140</v>
      </c>
      <c r="AZ62" s="142" t="s">
        <v>94</v>
      </c>
      <c r="BA62" s="142" t="s">
        <v>94</v>
      </c>
      <c r="BB62" s="80" t="s">
        <v>94</v>
      </c>
      <c r="BC62" s="80" t="s">
        <v>94</v>
      </c>
      <c r="BD62" s="96">
        <f t="shared" si="1"/>
        <v>304.75444444444452</v>
      </c>
      <c r="BE62" s="96">
        <f t="shared" si="2"/>
        <v>297.0167777777778</v>
      </c>
      <c r="BF62" s="89">
        <v>4.93</v>
      </c>
      <c r="BG62" s="89">
        <v>5.13</v>
      </c>
      <c r="BH62" s="145">
        <v>14.8</v>
      </c>
      <c r="BI62" s="145">
        <v>15.1</v>
      </c>
      <c r="BJ62" s="89">
        <v>42.3</v>
      </c>
      <c r="BK62" s="89">
        <v>43.7</v>
      </c>
      <c r="BL62" s="145">
        <v>85.8</v>
      </c>
      <c r="BM62" s="145">
        <v>85.2</v>
      </c>
      <c r="BN62" s="89">
        <v>30</v>
      </c>
      <c r="BO62" s="89">
        <v>29.4</v>
      </c>
      <c r="BP62" s="145">
        <v>35</v>
      </c>
      <c r="BQ62" s="145">
        <v>34.6</v>
      </c>
      <c r="BR62" s="89">
        <v>184</v>
      </c>
      <c r="BS62" s="89">
        <v>204</v>
      </c>
      <c r="BT62" s="145">
        <v>13</v>
      </c>
      <c r="BU62" s="145">
        <v>12.7</v>
      </c>
      <c r="BV62" s="108">
        <v>1.44</v>
      </c>
      <c r="BW62" s="108">
        <v>1.19</v>
      </c>
      <c r="BX62" s="259">
        <v>5.66</v>
      </c>
      <c r="BY62" s="259">
        <v>7.29</v>
      </c>
      <c r="BZ62" s="89">
        <v>42.1</v>
      </c>
      <c r="CA62" s="89">
        <v>46.8</v>
      </c>
      <c r="CB62" s="145">
        <v>39.799999999999997</v>
      </c>
      <c r="CC62" s="145">
        <v>37.700000000000003</v>
      </c>
      <c r="CD62" s="89">
        <v>8.6999999999999993</v>
      </c>
      <c r="CE62" s="89">
        <v>8.9</v>
      </c>
      <c r="CF62" s="145">
        <v>9</v>
      </c>
      <c r="CG62" s="145">
        <v>6.3</v>
      </c>
      <c r="CH62" s="89">
        <v>0.4</v>
      </c>
      <c r="CI62" s="89">
        <v>0.3</v>
      </c>
      <c r="CJ62" s="86" t="b">
        <f t="shared" si="3"/>
        <v>0</v>
      </c>
      <c r="CK62" s="2" t="b">
        <f t="shared" si="4"/>
        <v>0</v>
      </c>
      <c r="CL62" s="98"/>
      <c r="CM62" s="77"/>
      <c r="CN62" s="77"/>
      <c r="CO62" s="77"/>
      <c r="CP62" s="77"/>
      <c r="CQ62" s="77"/>
      <c r="CR62" s="77"/>
    </row>
    <row r="63" spans="1:96" ht="15.75" customHeight="1">
      <c r="A63" s="72">
        <v>2017</v>
      </c>
      <c r="B63" s="79" t="s">
        <v>186</v>
      </c>
      <c r="C63" s="164">
        <v>3119</v>
      </c>
      <c r="D63" s="52">
        <v>28</v>
      </c>
      <c r="E63" s="80">
        <v>75</v>
      </c>
      <c r="F63" s="52">
        <v>1</v>
      </c>
      <c r="G63" s="54" t="s">
        <v>89</v>
      </c>
      <c r="H63" s="55" t="s">
        <v>92</v>
      </c>
      <c r="I63" s="56" t="s">
        <v>93</v>
      </c>
      <c r="J63" s="55" t="s">
        <v>100</v>
      </c>
      <c r="K63" s="53">
        <v>62.5</v>
      </c>
      <c r="L63" s="55">
        <v>37.5</v>
      </c>
      <c r="M63" s="247">
        <v>587</v>
      </c>
      <c r="N63" s="247">
        <v>12218</v>
      </c>
      <c r="O63" s="248">
        <v>13</v>
      </c>
      <c r="P63" s="248">
        <v>31</v>
      </c>
      <c r="Q63" s="89" t="s">
        <v>94</v>
      </c>
      <c r="R63" s="89" t="s">
        <v>94</v>
      </c>
      <c r="S63" s="248">
        <v>601</v>
      </c>
      <c r="T63" s="248">
        <v>1907</v>
      </c>
      <c r="U63" s="249">
        <v>35</v>
      </c>
      <c r="V63" s="249">
        <v>152</v>
      </c>
      <c r="W63" s="261">
        <v>4.2</v>
      </c>
      <c r="X63" s="261">
        <v>4.4000000000000004</v>
      </c>
      <c r="Y63" s="249">
        <v>40</v>
      </c>
      <c r="Z63" s="249">
        <v>51</v>
      </c>
      <c r="AA63" s="262">
        <v>30</v>
      </c>
      <c r="AB63" s="262">
        <v>26</v>
      </c>
      <c r="AC63" s="89" t="s">
        <v>94</v>
      </c>
      <c r="AD63" s="89" t="s">
        <v>94</v>
      </c>
      <c r="AE63" s="319">
        <v>105.1</v>
      </c>
      <c r="AF63" s="112">
        <v>84.5</v>
      </c>
      <c r="AG63" s="113">
        <v>42</v>
      </c>
      <c r="AH63" s="113">
        <v>45</v>
      </c>
      <c r="AI63" s="144">
        <v>1</v>
      </c>
      <c r="AJ63" s="144">
        <v>1.2</v>
      </c>
      <c r="AK63" s="269">
        <f t="shared" si="0"/>
        <v>0.19999999999999996</v>
      </c>
      <c r="AL63" s="149">
        <v>4.3</v>
      </c>
      <c r="AM63" s="149">
        <v>3.8</v>
      </c>
      <c r="AN63" s="144">
        <v>7</v>
      </c>
      <c r="AO63" s="144">
        <v>6.9</v>
      </c>
      <c r="AP63" s="80" t="s">
        <v>94</v>
      </c>
      <c r="AQ63" s="80" t="s">
        <v>94</v>
      </c>
      <c r="AR63" s="149">
        <v>8.6999999999999993</v>
      </c>
      <c r="AS63" s="149">
        <v>9.1</v>
      </c>
      <c r="AT63" s="149">
        <v>6.4</v>
      </c>
      <c r="AU63" s="149">
        <v>4</v>
      </c>
      <c r="AV63" s="248">
        <v>97</v>
      </c>
      <c r="AW63" s="248">
        <v>86</v>
      </c>
      <c r="AX63" s="262">
        <v>139</v>
      </c>
      <c r="AY63" s="262">
        <v>137</v>
      </c>
      <c r="AZ63" s="142" t="s">
        <v>94</v>
      </c>
      <c r="BA63" s="142" t="s">
        <v>94</v>
      </c>
      <c r="BB63" s="80" t="s">
        <v>94</v>
      </c>
      <c r="BC63" s="80" t="s">
        <v>94</v>
      </c>
      <c r="BD63" s="96">
        <f t="shared" si="1"/>
        <v>297.64122222222221</v>
      </c>
      <c r="BE63" s="96">
        <f t="shared" si="2"/>
        <v>289.25444444444446</v>
      </c>
      <c r="BF63" s="89">
        <v>4.84</v>
      </c>
      <c r="BG63" s="89">
        <v>4.96</v>
      </c>
      <c r="BH63" s="145">
        <v>14.2</v>
      </c>
      <c r="BI63" s="145">
        <v>14.5</v>
      </c>
      <c r="BJ63" s="89">
        <v>42.6</v>
      </c>
      <c r="BK63" s="89">
        <v>43</v>
      </c>
      <c r="BL63" s="145">
        <v>88</v>
      </c>
      <c r="BM63" s="145">
        <v>86.7</v>
      </c>
      <c r="BN63" s="89">
        <v>29.3</v>
      </c>
      <c r="BO63" s="89">
        <v>29.2</v>
      </c>
      <c r="BP63" s="145">
        <v>33.299999999999997</v>
      </c>
      <c r="BQ63" s="145">
        <v>33.700000000000003</v>
      </c>
      <c r="BR63" s="89">
        <v>253</v>
      </c>
      <c r="BS63" s="108">
        <v>244</v>
      </c>
      <c r="BT63" s="145">
        <v>13.1</v>
      </c>
      <c r="BU63" s="145">
        <v>12.9</v>
      </c>
      <c r="BV63" s="108">
        <v>0.75</v>
      </c>
      <c r="BW63" s="108">
        <v>0.7</v>
      </c>
      <c r="BX63" s="259">
        <v>5.39</v>
      </c>
      <c r="BY63" s="259">
        <v>8.39</v>
      </c>
      <c r="BZ63" s="89">
        <v>50.2</v>
      </c>
      <c r="CA63" s="89">
        <v>64.599999999999994</v>
      </c>
      <c r="CB63" s="145">
        <v>35.299999999999997</v>
      </c>
      <c r="CC63" s="145">
        <v>21.6</v>
      </c>
      <c r="CD63" s="89">
        <v>10.4</v>
      </c>
      <c r="CE63" s="89">
        <v>12.9</v>
      </c>
      <c r="CF63" s="145">
        <v>3.5</v>
      </c>
      <c r="CG63" s="145">
        <v>0.7</v>
      </c>
      <c r="CH63" s="89">
        <v>0.6</v>
      </c>
      <c r="CI63" s="89">
        <v>0.2</v>
      </c>
      <c r="CJ63" s="86" t="b">
        <f t="shared" si="3"/>
        <v>0</v>
      </c>
      <c r="CK63" s="2" t="b">
        <f t="shared" si="4"/>
        <v>1</v>
      </c>
      <c r="CL63" s="98">
        <f t="shared" ref="CL63:CL78" si="7">$CM63-($CM63*(0.01*$CR63))</f>
        <v>69.236999999999995</v>
      </c>
      <c r="CM63" s="98">
        <v>73.5</v>
      </c>
      <c r="CN63" s="98">
        <v>177</v>
      </c>
      <c r="CO63" s="86">
        <v>53.28</v>
      </c>
      <c r="CP63" s="98">
        <v>52.5</v>
      </c>
      <c r="CQ63" s="98">
        <v>50</v>
      </c>
      <c r="CR63" s="96">
        <v>5.8</v>
      </c>
    </row>
    <row r="64" spans="1:96" ht="15.75" customHeight="1">
      <c r="A64" s="72">
        <v>2017</v>
      </c>
      <c r="B64" s="79" t="s">
        <v>186</v>
      </c>
      <c r="C64" s="164">
        <v>3123</v>
      </c>
      <c r="D64" s="61">
        <v>27</v>
      </c>
      <c r="E64" s="80">
        <v>86</v>
      </c>
      <c r="F64" s="52">
        <v>1</v>
      </c>
      <c r="G64" s="54" t="s">
        <v>89</v>
      </c>
      <c r="H64" s="55" t="s">
        <v>92</v>
      </c>
      <c r="I64" s="56" t="s">
        <v>84</v>
      </c>
      <c r="J64" s="55" t="s">
        <v>97</v>
      </c>
      <c r="K64" s="56">
        <v>75</v>
      </c>
      <c r="L64" s="55">
        <v>25</v>
      </c>
      <c r="M64" s="247">
        <v>343</v>
      </c>
      <c r="N64" s="247">
        <v>377</v>
      </c>
      <c r="O64" s="248">
        <v>13</v>
      </c>
      <c r="P64" s="248">
        <v>17</v>
      </c>
      <c r="Q64" s="89" t="s">
        <v>94</v>
      </c>
      <c r="R64" s="89" t="s">
        <v>94</v>
      </c>
      <c r="S64" s="248">
        <v>443</v>
      </c>
      <c r="T64" s="248">
        <v>580</v>
      </c>
      <c r="U64" s="249">
        <v>33</v>
      </c>
      <c r="V64" s="249">
        <v>32</v>
      </c>
      <c r="W64" s="261">
        <v>4.3</v>
      </c>
      <c r="X64" s="261">
        <v>5.2</v>
      </c>
      <c r="Y64" s="249">
        <v>38</v>
      </c>
      <c r="Z64" s="249">
        <v>31</v>
      </c>
      <c r="AA64" s="262">
        <v>22</v>
      </c>
      <c r="AB64" s="262">
        <v>20</v>
      </c>
      <c r="AC64" s="89" t="s">
        <v>94</v>
      </c>
      <c r="AD64" s="89" t="s">
        <v>94</v>
      </c>
      <c r="AE64" s="319">
        <v>120</v>
      </c>
      <c r="AF64" s="112">
        <v>77.2</v>
      </c>
      <c r="AG64" s="113">
        <v>45</v>
      </c>
      <c r="AH64" s="113">
        <v>54</v>
      </c>
      <c r="AI64" s="144">
        <v>0.9</v>
      </c>
      <c r="AJ64" s="144">
        <v>1.3</v>
      </c>
      <c r="AK64" s="269">
        <f t="shared" si="0"/>
        <v>0.4</v>
      </c>
      <c r="AL64" s="149">
        <v>4.5999999999999996</v>
      </c>
      <c r="AM64" s="149">
        <v>5.8</v>
      </c>
      <c r="AN64" s="144">
        <v>8</v>
      </c>
      <c r="AO64" s="144">
        <v>9.1999999999999993</v>
      </c>
      <c r="AP64" s="80" t="s">
        <v>94</v>
      </c>
      <c r="AQ64" s="80" t="s">
        <v>94</v>
      </c>
      <c r="AR64" s="149">
        <v>9</v>
      </c>
      <c r="AS64" s="149">
        <v>10.5</v>
      </c>
      <c r="AT64" s="149">
        <v>6.6</v>
      </c>
      <c r="AU64" s="149">
        <v>4.8</v>
      </c>
      <c r="AV64" s="248">
        <v>95</v>
      </c>
      <c r="AW64" s="248">
        <v>99</v>
      </c>
      <c r="AX64" s="262">
        <v>137</v>
      </c>
      <c r="AY64" s="262">
        <v>157</v>
      </c>
      <c r="AZ64" s="142" t="s">
        <v>94</v>
      </c>
      <c r="BA64" s="142" t="s">
        <v>94</v>
      </c>
      <c r="BB64" s="80" t="s">
        <v>94</v>
      </c>
      <c r="BC64" s="80" t="s">
        <v>94</v>
      </c>
      <c r="BD64" s="96">
        <f t="shared" si="1"/>
        <v>294.66544444444446</v>
      </c>
      <c r="BE64" s="96">
        <f t="shared" si="2"/>
        <v>330.27300000000002</v>
      </c>
      <c r="BF64" s="89">
        <v>4.7699999999999996</v>
      </c>
      <c r="BG64" s="89">
        <v>4.96</v>
      </c>
      <c r="BH64" s="145">
        <v>12.6</v>
      </c>
      <c r="BI64" s="145">
        <v>13.1</v>
      </c>
      <c r="BJ64" s="89">
        <v>39</v>
      </c>
      <c r="BK64" s="89">
        <v>40.4</v>
      </c>
      <c r="BL64" s="145">
        <v>81.8</v>
      </c>
      <c r="BM64" s="145">
        <v>81.5</v>
      </c>
      <c r="BN64" s="89">
        <v>26.4</v>
      </c>
      <c r="BO64" s="89">
        <v>26.4</v>
      </c>
      <c r="BP64" s="145">
        <v>32.299999999999997</v>
      </c>
      <c r="BQ64" s="145">
        <v>32.4</v>
      </c>
      <c r="BR64" s="89">
        <v>312</v>
      </c>
      <c r="BS64" s="89">
        <v>326</v>
      </c>
      <c r="BT64" s="145">
        <v>13.2</v>
      </c>
      <c r="BU64" s="145">
        <v>13</v>
      </c>
      <c r="BV64" s="108">
        <v>0.73</v>
      </c>
      <c r="BW64" s="108">
        <v>0.64</v>
      </c>
      <c r="BX64" s="259">
        <v>8.07</v>
      </c>
      <c r="BY64" s="259">
        <v>10.02</v>
      </c>
      <c r="BZ64" s="89">
        <v>45.4</v>
      </c>
      <c r="CA64" s="89">
        <v>48.2</v>
      </c>
      <c r="CB64" s="145">
        <v>37.9</v>
      </c>
      <c r="CC64" s="145">
        <v>37.4</v>
      </c>
      <c r="CD64" s="89">
        <v>11.8</v>
      </c>
      <c r="CE64" s="89">
        <v>11.8</v>
      </c>
      <c r="CF64" s="145">
        <v>4.7</v>
      </c>
      <c r="CG64" s="145">
        <v>2.2999999999999998</v>
      </c>
      <c r="CH64" s="89">
        <v>0.2</v>
      </c>
      <c r="CI64" s="89">
        <v>0.3</v>
      </c>
      <c r="CJ64" s="86" t="b">
        <f t="shared" si="3"/>
        <v>1</v>
      </c>
      <c r="CK64" s="2" t="b">
        <f t="shared" si="4"/>
        <v>0</v>
      </c>
      <c r="CL64" s="98">
        <f t="shared" si="7"/>
        <v>74.045439999999999</v>
      </c>
      <c r="CM64" s="98">
        <v>89.6</v>
      </c>
      <c r="CN64" s="98">
        <v>176</v>
      </c>
      <c r="CO64" s="86">
        <v>45.45</v>
      </c>
      <c r="CP64" s="98">
        <v>46.5</v>
      </c>
      <c r="CQ64" s="98">
        <v>42</v>
      </c>
      <c r="CR64" s="96">
        <v>17.36</v>
      </c>
    </row>
    <row r="65" spans="1:96" ht="15.75" customHeight="1">
      <c r="A65" s="72">
        <v>2017</v>
      </c>
      <c r="B65" s="79" t="s">
        <v>186</v>
      </c>
      <c r="C65" s="164">
        <v>3125</v>
      </c>
      <c r="D65" s="52">
        <v>29</v>
      </c>
      <c r="E65" s="80">
        <v>70</v>
      </c>
      <c r="F65" s="52">
        <v>1</v>
      </c>
      <c r="G65" s="54" t="s">
        <v>82</v>
      </c>
      <c r="H65" s="55" t="s">
        <v>83</v>
      </c>
      <c r="I65" s="56" t="s">
        <v>93</v>
      </c>
      <c r="J65" s="55" t="s">
        <v>99</v>
      </c>
      <c r="K65" s="56">
        <v>50</v>
      </c>
      <c r="L65" s="55">
        <v>50</v>
      </c>
      <c r="M65" s="247">
        <v>160</v>
      </c>
      <c r="N65" s="247">
        <v>304</v>
      </c>
      <c r="O65" s="248">
        <v>13</v>
      </c>
      <c r="P65" s="248">
        <v>10</v>
      </c>
      <c r="Q65" s="89" t="s">
        <v>94</v>
      </c>
      <c r="R65" s="89" t="s">
        <v>94</v>
      </c>
      <c r="S65" s="248">
        <v>417</v>
      </c>
      <c r="T65" s="248">
        <v>305</v>
      </c>
      <c r="U65" s="249">
        <v>33</v>
      </c>
      <c r="V65" s="249">
        <v>23</v>
      </c>
      <c r="W65" s="261">
        <v>4.4000000000000004</v>
      </c>
      <c r="X65" s="261">
        <v>2.9</v>
      </c>
      <c r="Y65" s="249">
        <v>29</v>
      </c>
      <c r="Z65" s="249">
        <v>26</v>
      </c>
      <c r="AA65" s="262">
        <v>17</v>
      </c>
      <c r="AB65" s="262">
        <v>10</v>
      </c>
      <c r="AC65" s="89" t="s">
        <v>94</v>
      </c>
      <c r="AD65" s="89" t="s">
        <v>94</v>
      </c>
      <c r="AE65" s="319">
        <v>118.6</v>
      </c>
      <c r="AF65" s="112">
        <v>122.9</v>
      </c>
      <c r="AG65" s="113">
        <v>37</v>
      </c>
      <c r="AH65" s="113">
        <v>36</v>
      </c>
      <c r="AI65" s="144">
        <v>0.9</v>
      </c>
      <c r="AJ65" s="144">
        <v>0.8</v>
      </c>
      <c r="AK65" s="269">
        <f t="shared" si="0"/>
        <v>0</v>
      </c>
      <c r="AL65" s="149">
        <v>5</v>
      </c>
      <c r="AM65" s="149">
        <v>4.0999999999999996</v>
      </c>
      <c r="AN65" s="144">
        <v>7.4</v>
      </c>
      <c r="AO65" s="144">
        <v>5</v>
      </c>
      <c r="AP65" s="80" t="s">
        <v>94</v>
      </c>
      <c r="AQ65" s="80" t="s">
        <v>94</v>
      </c>
      <c r="AR65" s="149">
        <v>9.3000000000000007</v>
      </c>
      <c r="AS65" s="149">
        <v>7.1</v>
      </c>
      <c r="AT65" s="149">
        <v>4.7</v>
      </c>
      <c r="AU65" s="149">
        <v>3.8</v>
      </c>
      <c r="AV65" s="248">
        <v>75</v>
      </c>
      <c r="AW65" s="248">
        <v>59</v>
      </c>
      <c r="AX65" s="262">
        <v>142</v>
      </c>
      <c r="AY65" s="262">
        <v>115</v>
      </c>
      <c r="AZ65" s="142" t="s">
        <v>94</v>
      </c>
      <c r="BA65" s="142" t="s">
        <v>94</v>
      </c>
      <c r="BB65" s="80" t="s">
        <v>94</v>
      </c>
      <c r="BC65" s="80" t="s">
        <v>94</v>
      </c>
      <c r="BD65" s="96">
        <f t="shared" si="1"/>
        <v>297.82033333333334</v>
      </c>
      <c r="BE65" s="96">
        <f t="shared" si="2"/>
        <v>244.73744444444446</v>
      </c>
      <c r="BF65" s="89">
        <v>5.31</v>
      </c>
      <c r="BG65" s="89">
        <v>5.13</v>
      </c>
      <c r="BH65" s="145">
        <v>15.3</v>
      </c>
      <c r="BI65" s="145">
        <v>14.8</v>
      </c>
      <c r="BJ65" s="89">
        <v>46.1</v>
      </c>
      <c r="BK65" s="89">
        <v>43.7</v>
      </c>
      <c r="BL65" s="145">
        <v>86.8</v>
      </c>
      <c r="BM65" s="145">
        <v>85.2</v>
      </c>
      <c r="BN65" s="89">
        <v>28.8</v>
      </c>
      <c r="BO65" s="89">
        <v>28.8</v>
      </c>
      <c r="BP65" s="145">
        <v>33.200000000000003</v>
      </c>
      <c r="BQ65" s="145">
        <v>33.9</v>
      </c>
      <c r="BR65" s="89">
        <v>238</v>
      </c>
      <c r="BS65" s="89">
        <v>208</v>
      </c>
      <c r="BT65" s="145">
        <v>13</v>
      </c>
      <c r="BU65" s="145">
        <v>12.6</v>
      </c>
      <c r="BV65" s="108">
        <v>1.0900000000000001</v>
      </c>
      <c r="BW65" s="108">
        <v>0.93</v>
      </c>
      <c r="BX65" s="259">
        <v>5.36</v>
      </c>
      <c r="BY65" s="259">
        <v>7.2</v>
      </c>
      <c r="BZ65" s="89">
        <v>57.8</v>
      </c>
      <c r="CA65" s="89">
        <v>62.8</v>
      </c>
      <c r="CB65" s="145">
        <v>27.8</v>
      </c>
      <c r="CC65" s="145">
        <v>25</v>
      </c>
      <c r="CD65" s="89">
        <v>11.8</v>
      </c>
      <c r="CE65" s="89">
        <v>10.4</v>
      </c>
      <c r="CF65" s="145">
        <v>1.9</v>
      </c>
      <c r="CG65" s="145">
        <v>1.1000000000000001</v>
      </c>
      <c r="CH65" s="89">
        <v>0.7</v>
      </c>
      <c r="CI65" s="89">
        <v>0.7</v>
      </c>
      <c r="CJ65" s="86" t="b">
        <f t="shared" si="3"/>
        <v>0</v>
      </c>
      <c r="CK65" s="2" t="b">
        <f t="shared" si="4"/>
        <v>0</v>
      </c>
      <c r="CL65" s="98">
        <f t="shared" si="7"/>
        <v>63.743760000000002</v>
      </c>
      <c r="CM65" s="98">
        <v>72.900000000000006</v>
      </c>
      <c r="CN65" s="98">
        <v>168.6</v>
      </c>
      <c r="CO65" s="86">
        <v>48.54</v>
      </c>
      <c r="CP65" s="98">
        <v>50</v>
      </c>
      <c r="CQ65" s="98">
        <v>47</v>
      </c>
      <c r="CR65" s="96">
        <v>12.56</v>
      </c>
    </row>
    <row r="66" spans="1:96" ht="15.75" customHeight="1">
      <c r="A66" s="72">
        <v>2017</v>
      </c>
      <c r="B66" s="79" t="s">
        <v>186</v>
      </c>
      <c r="C66" s="164">
        <v>3136</v>
      </c>
      <c r="D66" s="61">
        <v>28</v>
      </c>
      <c r="E66" s="80">
        <v>82</v>
      </c>
      <c r="F66" s="52">
        <v>1</v>
      </c>
      <c r="G66" s="76" t="s">
        <v>89</v>
      </c>
      <c r="H66" s="55" t="s">
        <v>90</v>
      </c>
      <c r="I66" s="56" t="s">
        <v>93</v>
      </c>
      <c r="J66" s="55" t="s">
        <v>100</v>
      </c>
      <c r="K66" s="56">
        <v>37.5</v>
      </c>
      <c r="L66" s="52">
        <v>62.5</v>
      </c>
      <c r="M66" s="247">
        <v>278</v>
      </c>
      <c r="N66" s="247">
        <v>315</v>
      </c>
      <c r="O66" s="248">
        <v>16</v>
      </c>
      <c r="P66" s="248">
        <v>16</v>
      </c>
      <c r="Q66" s="89" t="s">
        <v>94</v>
      </c>
      <c r="R66" s="89" t="s">
        <v>94</v>
      </c>
      <c r="S66" s="248">
        <v>446</v>
      </c>
      <c r="T66" s="248">
        <v>564</v>
      </c>
      <c r="U66" s="249">
        <v>35</v>
      </c>
      <c r="V66" s="249">
        <v>30</v>
      </c>
      <c r="W66" s="261">
        <v>4.4000000000000004</v>
      </c>
      <c r="X66" s="261">
        <v>4.9000000000000004</v>
      </c>
      <c r="Y66" s="249">
        <v>42</v>
      </c>
      <c r="Z66" s="249">
        <v>29</v>
      </c>
      <c r="AA66" s="262">
        <v>17</v>
      </c>
      <c r="AB66" s="262">
        <v>14</v>
      </c>
      <c r="AC66" s="89" t="s">
        <v>94</v>
      </c>
      <c r="AD66" s="89" t="s">
        <v>94</v>
      </c>
      <c r="AE66" s="319">
        <v>119.3</v>
      </c>
      <c r="AF66" s="112">
        <v>93.8</v>
      </c>
      <c r="AG66" s="113">
        <v>43</v>
      </c>
      <c r="AH66" s="113">
        <v>39</v>
      </c>
      <c r="AI66" s="144">
        <v>0.9</v>
      </c>
      <c r="AJ66" s="144">
        <v>1.1000000000000001</v>
      </c>
      <c r="AK66" s="269">
        <f t="shared" ref="AK66:AK129" si="8">IFERROR(IF((AJ66-AI66)&lt;0,0,(AJ66-AI66)),"Dados Insuficientes")</f>
        <v>0.20000000000000007</v>
      </c>
      <c r="AL66" s="149">
        <v>5.7</v>
      </c>
      <c r="AM66" s="149">
        <v>5.8</v>
      </c>
      <c r="AN66" s="144">
        <v>7.4</v>
      </c>
      <c r="AO66" s="144">
        <v>7.7</v>
      </c>
      <c r="AP66" s="80" t="s">
        <v>94</v>
      </c>
      <c r="AQ66" s="80" t="s">
        <v>94</v>
      </c>
      <c r="AR66" s="149">
        <v>9.8000000000000007</v>
      </c>
      <c r="AS66" s="149">
        <v>10.1</v>
      </c>
      <c r="AT66" s="149">
        <v>6.8</v>
      </c>
      <c r="AU66" s="149">
        <v>4.5999999999999996</v>
      </c>
      <c r="AV66" s="248">
        <v>80</v>
      </c>
      <c r="AW66" s="248">
        <v>80</v>
      </c>
      <c r="AX66" s="262">
        <v>142</v>
      </c>
      <c r="AY66" s="262">
        <v>146</v>
      </c>
      <c r="AZ66" s="142" t="s">
        <v>94</v>
      </c>
      <c r="BA66" s="142" t="s">
        <v>94</v>
      </c>
      <c r="BB66" s="80" t="s">
        <v>94</v>
      </c>
      <c r="BC66" s="80" t="s">
        <v>94</v>
      </c>
      <c r="BD66" s="96">
        <f t="shared" ref="BD66:BD129" si="9">1.86*(AX66+AT66)+1.15*(AV66/18)+(AG66/6)+14</f>
        <v>303.0457777777778</v>
      </c>
      <c r="BE66" s="96">
        <f t="shared" ref="BE66:BE129" si="10">1.86*(AY66+AU66)+1.15*(AW66/18)+(AH66/6)+14</f>
        <v>305.72711111111107</v>
      </c>
      <c r="BF66" s="89">
        <v>5.27</v>
      </c>
      <c r="BG66" s="89">
        <v>5.09</v>
      </c>
      <c r="BH66" s="145">
        <v>14.8</v>
      </c>
      <c r="BI66" s="63">
        <v>14.3</v>
      </c>
      <c r="BJ66" s="89">
        <v>45</v>
      </c>
      <c r="BK66" s="89">
        <v>42.9</v>
      </c>
      <c r="BL66" s="145">
        <v>85.4</v>
      </c>
      <c r="BM66" s="63">
        <v>84.3</v>
      </c>
      <c r="BN66" s="89">
        <v>28.1</v>
      </c>
      <c r="BO66" s="89">
        <v>28.1</v>
      </c>
      <c r="BP66" s="145">
        <v>32.9</v>
      </c>
      <c r="BQ66" s="63">
        <v>33.299999999999997</v>
      </c>
      <c r="BR66" s="89">
        <v>256</v>
      </c>
      <c r="BS66" s="89">
        <v>270</v>
      </c>
      <c r="BT66" s="145">
        <v>13</v>
      </c>
      <c r="BU66" s="63">
        <v>12.6</v>
      </c>
      <c r="BV66" s="108">
        <v>1.1200000000000001</v>
      </c>
      <c r="BW66" s="108">
        <v>0.86</v>
      </c>
      <c r="BX66" s="259">
        <v>6.1</v>
      </c>
      <c r="BY66" s="265">
        <v>5.67</v>
      </c>
      <c r="BZ66" s="89">
        <v>45.2</v>
      </c>
      <c r="CA66" s="89">
        <v>41.8</v>
      </c>
      <c r="CB66" s="145">
        <v>38.700000000000003</v>
      </c>
      <c r="CC66" s="63">
        <v>43</v>
      </c>
      <c r="CD66" s="89">
        <v>9.5</v>
      </c>
      <c r="CE66" s="89">
        <v>10.1</v>
      </c>
      <c r="CF66" s="145">
        <v>5.0999999999999996</v>
      </c>
      <c r="CG66" s="63">
        <v>3.5</v>
      </c>
      <c r="CH66" s="89">
        <v>1.5</v>
      </c>
      <c r="CI66" s="89">
        <v>1.6</v>
      </c>
      <c r="CJ66" s="86" t="b">
        <f t="shared" ref="CJ66:CJ129" si="11">(AJ66-AI66)&gt;=0.3</f>
        <v>0</v>
      </c>
      <c r="CK66" s="2" t="b">
        <f t="shared" ref="CK66:CK129" si="12">OR(N66&gt;=1000,M66&gt;=1000)</f>
        <v>0</v>
      </c>
      <c r="CL66" s="98">
        <f t="shared" si="7"/>
        <v>70.596360000000004</v>
      </c>
      <c r="CM66" s="98">
        <v>80.7</v>
      </c>
      <c r="CN66" s="98">
        <v>182.1</v>
      </c>
      <c r="CO66" s="86">
        <v>50.93</v>
      </c>
      <c r="CP66" s="98">
        <v>56</v>
      </c>
      <c r="CQ66" s="98">
        <v>58</v>
      </c>
      <c r="CR66" s="96">
        <v>12.52</v>
      </c>
    </row>
    <row r="67" spans="1:96" ht="15.75" customHeight="1">
      <c r="A67" s="72">
        <v>2017</v>
      </c>
      <c r="B67" s="79" t="s">
        <v>186</v>
      </c>
      <c r="C67" s="164">
        <v>3143</v>
      </c>
      <c r="D67" s="61">
        <v>28</v>
      </c>
      <c r="E67" s="80">
        <v>85</v>
      </c>
      <c r="F67" s="52">
        <v>1</v>
      </c>
      <c r="G67" s="60" t="s">
        <v>86</v>
      </c>
      <c r="H67" s="52" t="s">
        <v>92</v>
      </c>
      <c r="I67" s="53" t="s">
        <v>93</v>
      </c>
      <c r="J67" s="55" t="s">
        <v>99</v>
      </c>
      <c r="K67" s="53">
        <v>87.5</v>
      </c>
      <c r="L67" s="52">
        <v>12.5</v>
      </c>
      <c r="M67" s="247">
        <v>140</v>
      </c>
      <c r="N67" s="247">
        <v>193</v>
      </c>
      <c r="O67" s="248">
        <v>6</v>
      </c>
      <c r="P67" s="248">
        <v>16</v>
      </c>
      <c r="Q67" s="89" t="s">
        <v>94</v>
      </c>
      <c r="R67" s="89" t="s">
        <v>94</v>
      </c>
      <c r="S67" s="248">
        <v>398</v>
      </c>
      <c r="T67" s="248">
        <v>474</v>
      </c>
      <c r="U67" s="249">
        <v>27</v>
      </c>
      <c r="V67" s="249">
        <v>25</v>
      </c>
      <c r="W67" s="261">
        <v>4.5</v>
      </c>
      <c r="X67" s="261">
        <v>5.3</v>
      </c>
      <c r="Y67" s="249">
        <v>43</v>
      </c>
      <c r="Z67" s="249">
        <v>27</v>
      </c>
      <c r="AA67" s="262">
        <v>49</v>
      </c>
      <c r="AB67" s="262">
        <v>45</v>
      </c>
      <c r="AC67" s="89" t="s">
        <v>94</v>
      </c>
      <c r="AD67" s="89" t="s">
        <v>94</v>
      </c>
      <c r="AE67" s="319">
        <v>123.6</v>
      </c>
      <c r="AF67" s="112">
        <v>93.8</v>
      </c>
      <c r="AG67" s="113">
        <v>34</v>
      </c>
      <c r="AH67" s="113">
        <v>43</v>
      </c>
      <c r="AI67" s="144">
        <v>0.8</v>
      </c>
      <c r="AJ67" s="144">
        <v>1.1000000000000001</v>
      </c>
      <c r="AK67" s="269">
        <f t="shared" si="8"/>
        <v>0.30000000000000004</v>
      </c>
      <c r="AL67" s="149">
        <v>4.5999999999999996</v>
      </c>
      <c r="AM67" s="149">
        <v>5.0999999999999996</v>
      </c>
      <c r="AN67" s="144">
        <v>7.6</v>
      </c>
      <c r="AO67" s="144">
        <v>8.3000000000000007</v>
      </c>
      <c r="AP67" s="80" t="s">
        <v>94</v>
      </c>
      <c r="AQ67" s="80" t="s">
        <v>94</v>
      </c>
      <c r="AR67" s="149">
        <v>9.1999999999999993</v>
      </c>
      <c r="AS67" s="149">
        <v>10.7</v>
      </c>
      <c r="AT67" s="149">
        <v>4.8</v>
      </c>
      <c r="AU67" s="149">
        <v>4.5</v>
      </c>
      <c r="AV67" s="248">
        <v>97</v>
      </c>
      <c r="AW67" s="248">
        <v>114</v>
      </c>
      <c r="AX67" s="262">
        <v>142</v>
      </c>
      <c r="AY67" s="262">
        <v>151</v>
      </c>
      <c r="AZ67" s="142" t="s">
        <v>94</v>
      </c>
      <c r="BA67" s="142" t="s">
        <v>94</v>
      </c>
      <c r="BB67" s="80" t="s">
        <v>94</v>
      </c>
      <c r="BC67" s="80" t="s">
        <v>94</v>
      </c>
      <c r="BD67" s="96">
        <f t="shared" si="9"/>
        <v>298.91188888888894</v>
      </c>
      <c r="BE67" s="96">
        <f t="shared" si="10"/>
        <v>317.68000000000006</v>
      </c>
      <c r="BF67" s="89">
        <v>4.8</v>
      </c>
      <c r="BG67" s="89">
        <v>4.9000000000000004</v>
      </c>
      <c r="BH67" s="145">
        <v>13.9</v>
      </c>
      <c r="BI67" s="145">
        <v>14.1</v>
      </c>
      <c r="BJ67" s="89">
        <v>43.1</v>
      </c>
      <c r="BK67" s="89">
        <v>43.6</v>
      </c>
      <c r="BL67" s="145">
        <v>89.8</v>
      </c>
      <c r="BM67" s="145">
        <v>89</v>
      </c>
      <c r="BN67" s="89">
        <v>29</v>
      </c>
      <c r="BO67" s="89">
        <v>28.8</v>
      </c>
      <c r="BP67" s="145">
        <v>32.299999999999997</v>
      </c>
      <c r="BQ67" s="145">
        <v>32.299999999999997</v>
      </c>
      <c r="BR67" s="89">
        <v>235</v>
      </c>
      <c r="BS67" s="89">
        <v>229</v>
      </c>
      <c r="BT67" s="145">
        <v>13.2</v>
      </c>
      <c r="BU67" s="145">
        <v>12.9</v>
      </c>
      <c r="BV67" s="108">
        <v>0.76</v>
      </c>
      <c r="BW67" s="108">
        <v>0.57999999999999996</v>
      </c>
      <c r="BX67" s="259">
        <v>7.82</v>
      </c>
      <c r="BY67" s="259">
        <v>9.8699999999999992</v>
      </c>
      <c r="BZ67" s="89">
        <v>43.6</v>
      </c>
      <c r="CA67" s="89">
        <v>49.6</v>
      </c>
      <c r="CB67" s="145">
        <v>43.5</v>
      </c>
      <c r="CC67" s="145">
        <v>38.299999999999997</v>
      </c>
      <c r="CD67" s="89">
        <v>10.199999999999999</v>
      </c>
      <c r="CE67" s="89">
        <v>10.199999999999999</v>
      </c>
      <c r="CF67" s="145">
        <v>2.4</v>
      </c>
      <c r="CG67" s="145">
        <v>1.6</v>
      </c>
      <c r="CH67" s="89">
        <v>0.3</v>
      </c>
      <c r="CI67" s="89">
        <v>0.3</v>
      </c>
      <c r="CJ67" s="86" t="b">
        <f t="shared" si="11"/>
        <v>1</v>
      </c>
      <c r="CK67" s="2" t="b">
        <f t="shared" si="12"/>
        <v>0</v>
      </c>
      <c r="CL67" s="98">
        <f t="shared" si="7"/>
        <v>70.250040000000013</v>
      </c>
      <c r="CM67" s="98">
        <v>85.4</v>
      </c>
      <c r="CN67" s="98">
        <v>179.3</v>
      </c>
      <c r="CO67" s="86">
        <v>49.65</v>
      </c>
      <c r="CP67" s="98">
        <v>44</v>
      </c>
      <c r="CQ67" s="98">
        <v>35</v>
      </c>
      <c r="CR67" s="96">
        <v>17.739999999999998</v>
      </c>
    </row>
    <row r="68" spans="1:96" ht="15.75" customHeight="1">
      <c r="A68" s="72">
        <v>2017</v>
      </c>
      <c r="B68" s="79" t="s">
        <v>187</v>
      </c>
      <c r="C68" s="164">
        <v>3090</v>
      </c>
      <c r="D68" s="61">
        <v>29</v>
      </c>
      <c r="E68" s="80">
        <v>74</v>
      </c>
      <c r="F68" s="52">
        <v>2</v>
      </c>
      <c r="G68" s="54" t="s">
        <v>101</v>
      </c>
      <c r="H68" s="55" t="s">
        <v>83</v>
      </c>
      <c r="I68" s="56" t="s">
        <v>87</v>
      </c>
      <c r="J68" s="55" t="s">
        <v>99</v>
      </c>
      <c r="K68" s="56">
        <v>37.5</v>
      </c>
      <c r="L68" s="52">
        <v>62.5</v>
      </c>
      <c r="M68" s="247">
        <v>1495</v>
      </c>
      <c r="N68" s="247">
        <v>3200</v>
      </c>
      <c r="O68" s="248">
        <v>40</v>
      </c>
      <c r="P68" s="248">
        <v>179</v>
      </c>
      <c r="Q68" s="89" t="s">
        <v>94</v>
      </c>
      <c r="R68" s="89" t="s">
        <v>94</v>
      </c>
      <c r="S68" s="248">
        <v>807</v>
      </c>
      <c r="T68" s="248">
        <v>1503</v>
      </c>
      <c r="U68" s="249">
        <v>63</v>
      </c>
      <c r="V68" s="249">
        <v>211</v>
      </c>
      <c r="W68" s="261">
        <v>4.2</v>
      </c>
      <c r="X68" s="261">
        <v>5.0999999999999996</v>
      </c>
      <c r="Y68" s="249">
        <v>64</v>
      </c>
      <c r="Z68" s="249">
        <v>89</v>
      </c>
      <c r="AA68" s="262">
        <v>22</v>
      </c>
      <c r="AB68" s="262">
        <v>26</v>
      </c>
      <c r="AC68" s="89" t="s">
        <v>94</v>
      </c>
      <c r="AD68" s="89" t="s">
        <v>94</v>
      </c>
      <c r="AE68" s="319">
        <v>122.9</v>
      </c>
      <c r="AF68" s="112">
        <v>122.9</v>
      </c>
      <c r="AG68" s="113">
        <v>27</v>
      </c>
      <c r="AH68" s="113">
        <v>44</v>
      </c>
      <c r="AI68" s="144">
        <v>0.8</v>
      </c>
      <c r="AJ68" s="144">
        <v>1.1000000000000001</v>
      </c>
      <c r="AK68" s="269">
        <f t="shared" si="8"/>
        <v>0.30000000000000004</v>
      </c>
      <c r="AL68" s="149">
        <v>3.9</v>
      </c>
      <c r="AM68" s="149">
        <v>5.4</v>
      </c>
      <c r="AN68" s="144">
        <v>7.1</v>
      </c>
      <c r="AO68" s="144">
        <v>8.3000000000000007</v>
      </c>
      <c r="AP68" s="88" t="s">
        <v>94</v>
      </c>
      <c r="AQ68" s="88" t="s">
        <v>94</v>
      </c>
      <c r="AR68" s="149">
        <v>9.5</v>
      </c>
      <c r="AS68" s="149">
        <v>9.9</v>
      </c>
      <c r="AT68" s="149">
        <v>4.8</v>
      </c>
      <c r="AU68" s="149">
        <v>4.0999999999999996</v>
      </c>
      <c r="AV68" s="266">
        <v>97</v>
      </c>
      <c r="AW68" s="248">
        <v>99</v>
      </c>
      <c r="AX68" s="262">
        <v>138</v>
      </c>
      <c r="AY68" s="262">
        <v>140</v>
      </c>
      <c r="AZ68" s="142" t="s">
        <v>94</v>
      </c>
      <c r="BA68" s="142" t="s">
        <v>94</v>
      </c>
      <c r="BB68" s="80" t="s">
        <v>94</v>
      </c>
      <c r="BC68" s="80" t="s">
        <v>94</v>
      </c>
      <c r="BD68" s="96">
        <f t="shared" si="9"/>
        <v>290.30522222222226</v>
      </c>
      <c r="BE68" s="96">
        <f t="shared" si="10"/>
        <v>295.68433333333331</v>
      </c>
      <c r="BF68" s="149">
        <v>4.84</v>
      </c>
      <c r="BG68" s="263">
        <v>5.41</v>
      </c>
      <c r="BH68" s="261">
        <v>14.4</v>
      </c>
      <c r="BI68" s="261">
        <v>16.5</v>
      </c>
      <c r="BJ68" s="149">
        <v>46.6</v>
      </c>
      <c r="BK68" s="149">
        <v>46.4</v>
      </c>
      <c r="BL68" s="261">
        <v>96.3</v>
      </c>
      <c r="BM68" s="261">
        <v>85.8</v>
      </c>
      <c r="BN68" s="149">
        <v>29.8</v>
      </c>
      <c r="BO68" s="149">
        <v>30.5</v>
      </c>
      <c r="BP68" s="261">
        <v>30.9</v>
      </c>
      <c r="BQ68" s="261">
        <v>35.6</v>
      </c>
      <c r="BR68" s="113">
        <v>267</v>
      </c>
      <c r="BS68" s="113">
        <v>324</v>
      </c>
      <c r="BT68" s="261">
        <v>13.3</v>
      </c>
      <c r="BU68" s="261">
        <v>12.6</v>
      </c>
      <c r="BV68" s="108">
        <v>0.83</v>
      </c>
      <c r="BW68" s="108">
        <v>2.1</v>
      </c>
      <c r="BX68" s="259">
        <v>7.64</v>
      </c>
      <c r="BY68" s="259">
        <v>6.42</v>
      </c>
      <c r="BZ68" s="149">
        <v>63.481675392670155</v>
      </c>
      <c r="CA68" s="89">
        <v>39.6</v>
      </c>
      <c r="CB68" s="261">
        <v>20.549738219895289</v>
      </c>
      <c r="CC68" s="145">
        <v>36.299999999999997</v>
      </c>
      <c r="CD68" s="149">
        <v>6.9371727748691105</v>
      </c>
      <c r="CE68" s="149">
        <v>20.2</v>
      </c>
      <c r="CF68" s="261">
        <v>7.8534031413612571</v>
      </c>
      <c r="CG68" s="145">
        <v>1.1000000000000001</v>
      </c>
      <c r="CH68" s="149">
        <v>1.1780104712041886</v>
      </c>
      <c r="CI68" s="89">
        <v>2.8</v>
      </c>
      <c r="CJ68" s="86" t="b">
        <f t="shared" si="11"/>
        <v>1</v>
      </c>
      <c r="CK68" s="2" t="b">
        <f t="shared" si="12"/>
        <v>1</v>
      </c>
      <c r="CL68" s="98">
        <f t="shared" si="7"/>
        <v>64.758570000000006</v>
      </c>
      <c r="CM68" s="98">
        <v>73.900000000000006</v>
      </c>
      <c r="CN68" s="98">
        <v>172.6</v>
      </c>
      <c r="CO68" s="86">
        <v>52.06</v>
      </c>
      <c r="CP68" s="98">
        <v>42</v>
      </c>
      <c r="CQ68" s="98">
        <v>36.5</v>
      </c>
      <c r="CR68" s="96">
        <v>12.37</v>
      </c>
    </row>
    <row r="69" spans="1:96" ht="15.75" customHeight="1">
      <c r="A69" s="72">
        <v>2017</v>
      </c>
      <c r="B69" s="79" t="s">
        <v>187</v>
      </c>
      <c r="C69" s="164">
        <v>3091</v>
      </c>
      <c r="D69" s="61">
        <v>28</v>
      </c>
      <c r="E69" s="80">
        <v>77</v>
      </c>
      <c r="F69" s="52">
        <v>0</v>
      </c>
      <c r="G69" s="305" t="s">
        <v>82</v>
      </c>
      <c r="H69" s="52" t="s">
        <v>83</v>
      </c>
      <c r="I69" s="56" t="s">
        <v>87</v>
      </c>
      <c r="J69" s="55" t="s">
        <v>97</v>
      </c>
      <c r="K69" s="53">
        <v>37.5</v>
      </c>
      <c r="L69" s="52">
        <v>62.5</v>
      </c>
      <c r="M69" s="247">
        <v>151</v>
      </c>
      <c r="N69" s="247">
        <v>3033</v>
      </c>
      <c r="O69" s="248">
        <v>16</v>
      </c>
      <c r="P69" s="248">
        <v>68</v>
      </c>
      <c r="Q69" s="89" t="s">
        <v>94</v>
      </c>
      <c r="R69" s="89" t="s">
        <v>94</v>
      </c>
      <c r="S69" s="248">
        <v>508</v>
      </c>
      <c r="T69" s="248">
        <v>1352</v>
      </c>
      <c r="U69" s="249">
        <v>24</v>
      </c>
      <c r="V69" s="249">
        <v>118</v>
      </c>
      <c r="W69" s="261">
        <v>4.2</v>
      </c>
      <c r="X69" s="261">
        <v>4.8</v>
      </c>
      <c r="Y69" s="249">
        <v>24</v>
      </c>
      <c r="Z69" s="249">
        <v>41</v>
      </c>
      <c r="AA69" s="262">
        <v>12</v>
      </c>
      <c r="AB69" s="262">
        <v>14</v>
      </c>
      <c r="AC69" s="89" t="s">
        <v>94</v>
      </c>
      <c r="AD69" s="89" t="s">
        <v>94</v>
      </c>
      <c r="AE69" s="319">
        <v>119.3</v>
      </c>
      <c r="AF69" s="112">
        <v>105.1</v>
      </c>
      <c r="AG69" s="113">
        <v>45</v>
      </c>
      <c r="AH69" s="113">
        <v>37</v>
      </c>
      <c r="AI69" s="144">
        <v>0.9</v>
      </c>
      <c r="AJ69" s="144">
        <v>1</v>
      </c>
      <c r="AK69" s="269">
        <f t="shared" si="8"/>
        <v>9.9999999999999978E-2</v>
      </c>
      <c r="AL69" s="149">
        <v>4.0999999999999996</v>
      </c>
      <c r="AM69" s="149">
        <v>4.4000000000000004</v>
      </c>
      <c r="AN69" s="144">
        <v>6.8</v>
      </c>
      <c r="AO69" s="144">
        <v>7.4</v>
      </c>
      <c r="AP69" s="88" t="s">
        <v>94</v>
      </c>
      <c r="AQ69" s="88" t="s">
        <v>94</v>
      </c>
      <c r="AR69" s="149">
        <v>9.5</v>
      </c>
      <c r="AS69" s="149">
        <v>9.8000000000000007</v>
      </c>
      <c r="AT69" s="149">
        <v>4.5</v>
      </c>
      <c r="AU69" s="149">
        <v>4</v>
      </c>
      <c r="AV69" s="266">
        <v>134</v>
      </c>
      <c r="AW69" s="248">
        <v>112</v>
      </c>
      <c r="AX69" s="262">
        <v>143</v>
      </c>
      <c r="AY69" s="262">
        <v>138</v>
      </c>
      <c r="AZ69" s="142" t="s">
        <v>94</v>
      </c>
      <c r="BA69" s="142" t="s">
        <v>94</v>
      </c>
      <c r="BB69" s="80" t="s">
        <v>94</v>
      </c>
      <c r="BC69" s="80" t="s">
        <v>94</v>
      </c>
      <c r="BD69" s="96">
        <f t="shared" si="9"/>
        <v>304.41111111111115</v>
      </c>
      <c r="BE69" s="96">
        <f t="shared" si="10"/>
        <v>291.44222222222226</v>
      </c>
      <c r="BF69" s="149">
        <v>4.1100000000000003</v>
      </c>
      <c r="BG69" s="263">
        <v>4.43</v>
      </c>
      <c r="BH69" s="261">
        <v>12.4</v>
      </c>
      <c r="BI69" s="261">
        <v>13.6</v>
      </c>
      <c r="BJ69" s="149">
        <v>41</v>
      </c>
      <c r="BK69" s="149">
        <v>39.799999999999997</v>
      </c>
      <c r="BL69" s="261">
        <v>99.8</v>
      </c>
      <c r="BM69" s="261">
        <v>89.8</v>
      </c>
      <c r="BN69" s="149">
        <v>30.2</v>
      </c>
      <c r="BO69" s="149">
        <v>30.7</v>
      </c>
      <c r="BP69" s="261">
        <v>30.2</v>
      </c>
      <c r="BQ69" s="261">
        <v>34.200000000000003</v>
      </c>
      <c r="BR69" s="113">
        <v>246</v>
      </c>
      <c r="BS69" s="113">
        <v>270</v>
      </c>
      <c r="BT69" s="261">
        <v>13.7</v>
      </c>
      <c r="BU69" s="261">
        <v>12.9</v>
      </c>
      <c r="BV69" s="108">
        <v>1.28</v>
      </c>
      <c r="BW69" s="108">
        <v>1.98</v>
      </c>
      <c r="BX69" s="259">
        <v>6.33</v>
      </c>
      <c r="BY69" s="259">
        <v>8.76</v>
      </c>
      <c r="BZ69" s="149">
        <v>65.876777251184834</v>
      </c>
      <c r="CA69" s="89">
        <v>69.8</v>
      </c>
      <c r="CB69" s="261">
        <v>20.379146919431278</v>
      </c>
      <c r="CC69" s="145">
        <v>12.2</v>
      </c>
      <c r="CD69" s="149">
        <v>7.8988941548183256</v>
      </c>
      <c r="CE69" s="149">
        <v>17.2</v>
      </c>
      <c r="CF69" s="261">
        <v>5.2132701421800949</v>
      </c>
      <c r="CG69" s="145">
        <v>0.1</v>
      </c>
      <c r="CH69" s="149">
        <v>0.63191153238546605</v>
      </c>
      <c r="CI69" s="89">
        <v>0.7</v>
      </c>
      <c r="CJ69" s="86" t="b">
        <f t="shared" si="11"/>
        <v>0</v>
      </c>
      <c r="CK69" s="2" t="b">
        <f t="shared" si="12"/>
        <v>1</v>
      </c>
      <c r="CL69" s="98">
        <f t="shared" si="7"/>
        <v>64.734659999999991</v>
      </c>
      <c r="CM69" s="98">
        <v>76.599999999999994</v>
      </c>
      <c r="CN69" s="98">
        <v>177</v>
      </c>
      <c r="CO69" s="86">
        <v>52.21</v>
      </c>
      <c r="CP69" s="98">
        <v>52</v>
      </c>
      <c r="CQ69" s="98">
        <v>49</v>
      </c>
      <c r="CR69" s="96">
        <v>15.49</v>
      </c>
    </row>
    <row r="70" spans="1:96" ht="15.75" customHeight="1">
      <c r="A70" s="72">
        <v>2017</v>
      </c>
      <c r="B70" s="79" t="s">
        <v>187</v>
      </c>
      <c r="C70" s="164">
        <v>3092</v>
      </c>
      <c r="D70" s="61">
        <v>28</v>
      </c>
      <c r="E70" s="80">
        <v>90</v>
      </c>
      <c r="F70" s="52">
        <v>1</v>
      </c>
      <c r="G70" s="305" t="s">
        <v>86</v>
      </c>
      <c r="H70" s="55" t="s">
        <v>83</v>
      </c>
      <c r="I70" s="56" t="s">
        <v>93</v>
      </c>
      <c r="J70" s="55" t="s">
        <v>100</v>
      </c>
      <c r="K70" s="53">
        <v>62.5</v>
      </c>
      <c r="L70" s="55">
        <v>37.5</v>
      </c>
      <c r="M70" s="247">
        <v>298</v>
      </c>
      <c r="N70" s="247">
        <v>2204</v>
      </c>
      <c r="O70" s="248">
        <v>27</v>
      </c>
      <c r="P70" s="248">
        <v>72</v>
      </c>
      <c r="Q70" s="89" t="s">
        <v>94</v>
      </c>
      <c r="R70" s="89" t="s">
        <v>94</v>
      </c>
      <c r="S70" s="248">
        <v>577</v>
      </c>
      <c r="T70" s="248">
        <v>1195</v>
      </c>
      <c r="U70" s="249">
        <v>27</v>
      </c>
      <c r="V70" s="249">
        <v>84</v>
      </c>
      <c r="W70" s="261">
        <v>4</v>
      </c>
      <c r="X70" s="261">
        <v>5.0999999999999996</v>
      </c>
      <c r="Y70" s="249">
        <v>31</v>
      </c>
      <c r="Z70" s="249">
        <v>45</v>
      </c>
      <c r="AA70" s="262">
        <v>84</v>
      </c>
      <c r="AB70" s="262">
        <v>83</v>
      </c>
      <c r="AC70" s="89" t="s">
        <v>94</v>
      </c>
      <c r="AD70" s="89" t="s">
        <v>94</v>
      </c>
      <c r="AE70" s="319">
        <v>93.8</v>
      </c>
      <c r="AF70" s="112">
        <v>105.1</v>
      </c>
      <c r="AG70" s="113">
        <v>47</v>
      </c>
      <c r="AH70" s="113">
        <v>36</v>
      </c>
      <c r="AI70" s="144">
        <v>1.1000000000000001</v>
      </c>
      <c r="AJ70" s="144">
        <v>1</v>
      </c>
      <c r="AK70" s="269">
        <f t="shared" si="8"/>
        <v>0</v>
      </c>
      <c r="AL70" s="149">
        <v>4.4000000000000004</v>
      </c>
      <c r="AM70" s="149">
        <v>3.7</v>
      </c>
      <c r="AN70" s="144">
        <v>7</v>
      </c>
      <c r="AO70" s="144">
        <v>8.3000000000000007</v>
      </c>
      <c r="AP70" s="88" t="s">
        <v>94</v>
      </c>
      <c r="AQ70" s="88" t="s">
        <v>94</v>
      </c>
      <c r="AR70" s="149">
        <v>9.5</v>
      </c>
      <c r="AS70" s="149">
        <v>10.1</v>
      </c>
      <c r="AT70" s="149">
        <v>4.5999999999999996</v>
      </c>
      <c r="AU70" s="149">
        <v>4.3</v>
      </c>
      <c r="AV70" s="266">
        <v>82</v>
      </c>
      <c r="AW70" s="248">
        <v>98</v>
      </c>
      <c r="AX70" s="262">
        <v>141</v>
      </c>
      <c r="AY70" s="262">
        <v>137</v>
      </c>
      <c r="AZ70" s="142" t="s">
        <v>94</v>
      </c>
      <c r="BA70" s="142" t="s">
        <v>94</v>
      </c>
      <c r="BB70" s="80" t="s">
        <v>94</v>
      </c>
      <c r="BC70" s="80" t="s">
        <v>94</v>
      </c>
      <c r="BD70" s="96">
        <f t="shared" si="9"/>
        <v>297.88822222222223</v>
      </c>
      <c r="BE70" s="96">
        <f t="shared" si="10"/>
        <v>289.07911111111116</v>
      </c>
      <c r="BF70" s="149">
        <v>4.4400000000000004</v>
      </c>
      <c r="BG70" s="267">
        <v>4.97</v>
      </c>
      <c r="BH70" s="261">
        <v>13.2</v>
      </c>
      <c r="BI70" s="261">
        <v>15</v>
      </c>
      <c r="BJ70" s="149">
        <v>40.9</v>
      </c>
      <c r="BK70" s="149">
        <v>44.9</v>
      </c>
      <c r="BL70" s="261">
        <v>92.1</v>
      </c>
      <c r="BM70" s="261">
        <v>90.3</v>
      </c>
      <c r="BN70" s="149">
        <v>29.7</v>
      </c>
      <c r="BO70" s="149">
        <v>30.2</v>
      </c>
      <c r="BP70" s="261">
        <v>32.299999999999997</v>
      </c>
      <c r="BQ70" s="261">
        <v>33.4</v>
      </c>
      <c r="BR70" s="113">
        <v>304</v>
      </c>
      <c r="BS70" s="113">
        <v>325</v>
      </c>
      <c r="BT70" s="261">
        <v>14</v>
      </c>
      <c r="BU70" s="108">
        <v>13.8</v>
      </c>
      <c r="BV70" s="108">
        <v>0.77</v>
      </c>
      <c r="BW70" s="108">
        <v>1.48</v>
      </c>
      <c r="BX70" s="259">
        <v>8.24</v>
      </c>
      <c r="BY70" s="259">
        <v>5.4</v>
      </c>
      <c r="BZ70" s="149">
        <v>41.990291262135919</v>
      </c>
      <c r="CA70" s="89">
        <v>45.6</v>
      </c>
      <c r="CB70" s="261">
        <v>37.621359223300971</v>
      </c>
      <c r="CC70" s="145">
        <v>40.200000000000003</v>
      </c>
      <c r="CD70" s="149">
        <v>10.922330097087379</v>
      </c>
      <c r="CE70" s="149">
        <v>11.9</v>
      </c>
      <c r="CF70" s="261">
        <v>8.3737864077669908</v>
      </c>
      <c r="CG70" s="145">
        <v>0.6</v>
      </c>
      <c r="CH70" s="149">
        <v>1.0922330097087378</v>
      </c>
      <c r="CI70" s="89">
        <v>1.7</v>
      </c>
      <c r="CJ70" s="86" t="b">
        <f t="shared" si="11"/>
        <v>0</v>
      </c>
      <c r="CK70" s="2" t="b">
        <f t="shared" si="12"/>
        <v>1</v>
      </c>
      <c r="CL70" s="98">
        <f t="shared" si="7"/>
        <v>82.193119999999993</v>
      </c>
      <c r="CM70" s="98">
        <v>85.6</v>
      </c>
      <c r="CN70" s="98">
        <v>192.5</v>
      </c>
      <c r="CO70" s="86">
        <v>0</v>
      </c>
      <c r="CP70" s="98">
        <v>74</v>
      </c>
      <c r="CQ70" s="98">
        <v>70</v>
      </c>
      <c r="CR70" s="96">
        <v>3.98</v>
      </c>
    </row>
    <row r="71" spans="1:96" ht="15.75" customHeight="1">
      <c r="A71" s="72">
        <v>2017</v>
      </c>
      <c r="B71" s="79" t="s">
        <v>187</v>
      </c>
      <c r="C71" s="164">
        <v>3093</v>
      </c>
      <c r="D71" s="61">
        <v>28</v>
      </c>
      <c r="E71" s="80">
        <v>84</v>
      </c>
      <c r="F71" s="52">
        <v>2</v>
      </c>
      <c r="G71" s="305" t="s">
        <v>101</v>
      </c>
      <c r="H71" s="55" t="s">
        <v>92</v>
      </c>
      <c r="I71" s="56" t="s">
        <v>84</v>
      </c>
      <c r="J71" s="55" t="s">
        <v>99</v>
      </c>
      <c r="K71" s="53">
        <v>62.5</v>
      </c>
      <c r="L71" s="55">
        <v>37.5</v>
      </c>
      <c r="M71" s="247">
        <v>1009</v>
      </c>
      <c r="N71" s="247">
        <v>3200</v>
      </c>
      <c r="O71" s="248">
        <v>31</v>
      </c>
      <c r="P71" s="248">
        <v>98</v>
      </c>
      <c r="Q71" s="89" t="s">
        <v>94</v>
      </c>
      <c r="R71" s="89" t="s">
        <v>94</v>
      </c>
      <c r="S71" s="248">
        <v>952</v>
      </c>
      <c r="T71" s="266">
        <v>2150</v>
      </c>
      <c r="U71" s="249">
        <v>40</v>
      </c>
      <c r="V71" s="249">
        <v>112</v>
      </c>
      <c r="W71" s="261">
        <v>4.4000000000000004</v>
      </c>
      <c r="X71" s="261">
        <v>5.0999999999999996</v>
      </c>
      <c r="Y71" s="249">
        <v>63</v>
      </c>
      <c r="Z71" s="249">
        <v>72</v>
      </c>
      <c r="AA71" s="262">
        <v>26</v>
      </c>
      <c r="AB71" s="262">
        <v>30</v>
      </c>
      <c r="AC71" s="89" t="s">
        <v>94</v>
      </c>
      <c r="AD71" s="89" t="s">
        <v>94</v>
      </c>
      <c r="AE71" s="319">
        <v>105.1</v>
      </c>
      <c r="AF71" s="112">
        <v>105.1</v>
      </c>
      <c r="AG71" s="113">
        <v>44</v>
      </c>
      <c r="AH71" s="113">
        <v>44</v>
      </c>
      <c r="AI71" s="144">
        <v>1</v>
      </c>
      <c r="AJ71" s="144">
        <v>1.2</v>
      </c>
      <c r="AK71" s="269">
        <f t="shared" si="8"/>
        <v>0.19999999999999996</v>
      </c>
      <c r="AL71" s="149">
        <v>4.3</v>
      </c>
      <c r="AM71" s="149">
        <v>5.4</v>
      </c>
      <c r="AN71" s="144">
        <v>7.2</v>
      </c>
      <c r="AO71" s="144">
        <v>8.1</v>
      </c>
      <c r="AP71" s="88" t="s">
        <v>94</v>
      </c>
      <c r="AQ71" s="88" t="s">
        <v>94</v>
      </c>
      <c r="AR71" s="149">
        <v>9.6999999999999993</v>
      </c>
      <c r="AS71" s="149">
        <v>10.3</v>
      </c>
      <c r="AT71" s="149">
        <v>4.5</v>
      </c>
      <c r="AU71" s="149">
        <v>4.4000000000000004</v>
      </c>
      <c r="AV71" s="266">
        <v>119</v>
      </c>
      <c r="AW71" s="248">
        <v>90</v>
      </c>
      <c r="AX71" s="262">
        <v>139</v>
      </c>
      <c r="AY71" s="262">
        <v>140</v>
      </c>
      <c r="AZ71" s="142" t="s">
        <v>94</v>
      </c>
      <c r="BA71" s="142" t="s">
        <v>94</v>
      </c>
      <c r="BB71" s="80" t="s">
        <v>94</v>
      </c>
      <c r="BC71" s="80" t="s">
        <v>94</v>
      </c>
      <c r="BD71" s="96">
        <f t="shared" si="9"/>
        <v>295.8461111111111</v>
      </c>
      <c r="BE71" s="96">
        <f t="shared" si="10"/>
        <v>295.66733333333332</v>
      </c>
      <c r="BF71" s="149">
        <v>4.0999999999999996</v>
      </c>
      <c r="BG71" s="263">
        <v>4.66</v>
      </c>
      <c r="BH71" s="261">
        <v>14</v>
      </c>
      <c r="BI71" s="261">
        <v>15.8</v>
      </c>
      <c r="BJ71" s="149">
        <v>42.3</v>
      </c>
      <c r="BK71" s="149">
        <v>46.5</v>
      </c>
      <c r="BL71" s="261">
        <v>101</v>
      </c>
      <c r="BM71" s="261">
        <v>99.8</v>
      </c>
      <c r="BN71" s="149">
        <v>33.4</v>
      </c>
      <c r="BO71" s="149">
        <v>33.9</v>
      </c>
      <c r="BP71" s="261">
        <v>33.1</v>
      </c>
      <c r="BQ71" s="261">
        <v>34</v>
      </c>
      <c r="BR71" s="113">
        <v>405</v>
      </c>
      <c r="BS71" s="113">
        <v>430</v>
      </c>
      <c r="BT71" s="261">
        <v>12.3</v>
      </c>
      <c r="BU71" s="261">
        <v>12.9</v>
      </c>
      <c r="BV71" s="108">
        <v>1.28</v>
      </c>
      <c r="BW71" s="108">
        <v>1.83</v>
      </c>
      <c r="BX71" s="259">
        <v>6.06</v>
      </c>
      <c r="BY71" s="259">
        <v>8.1300000000000008</v>
      </c>
      <c r="BZ71" s="149">
        <v>75.247524752475243</v>
      </c>
      <c r="CA71" s="89">
        <v>65.2</v>
      </c>
      <c r="CB71" s="261">
        <v>16.336633663366339</v>
      </c>
      <c r="CC71" s="145">
        <v>10.8</v>
      </c>
      <c r="CD71" s="149">
        <v>8.2508250825082516</v>
      </c>
      <c r="CE71" s="149">
        <v>22.4</v>
      </c>
      <c r="CF71" s="261">
        <v>0</v>
      </c>
      <c r="CG71" s="145">
        <v>0</v>
      </c>
      <c r="CH71" s="149">
        <v>0.16501650165016502</v>
      </c>
      <c r="CI71" s="89">
        <v>1.6</v>
      </c>
      <c r="CJ71" s="86" t="b">
        <f t="shared" si="11"/>
        <v>0</v>
      </c>
      <c r="CK71" s="2" t="b">
        <f t="shared" si="12"/>
        <v>1</v>
      </c>
      <c r="CL71" s="98">
        <f t="shared" si="7"/>
        <v>78.848640000000003</v>
      </c>
      <c r="CM71" s="98">
        <v>86.4</v>
      </c>
      <c r="CN71" s="98">
        <v>184</v>
      </c>
      <c r="CO71" s="86">
        <v>50.17</v>
      </c>
      <c r="CP71" s="98">
        <v>48</v>
      </c>
      <c r="CQ71" s="98">
        <v>42.5</v>
      </c>
      <c r="CR71" s="96">
        <v>8.74</v>
      </c>
    </row>
    <row r="72" spans="1:96" ht="15.75" customHeight="1">
      <c r="A72" s="72">
        <v>2017</v>
      </c>
      <c r="B72" s="79" t="s">
        <v>187</v>
      </c>
      <c r="C72" s="164">
        <v>3094</v>
      </c>
      <c r="D72" s="61">
        <v>34</v>
      </c>
      <c r="E72" s="80">
        <v>0</v>
      </c>
      <c r="F72" s="52">
        <v>2</v>
      </c>
      <c r="G72" s="303" t="s">
        <v>82</v>
      </c>
      <c r="H72" s="55" t="s">
        <v>83</v>
      </c>
      <c r="I72" s="56" t="s">
        <v>84</v>
      </c>
      <c r="J72" s="55" t="s">
        <v>99</v>
      </c>
      <c r="K72" s="56">
        <v>37.5</v>
      </c>
      <c r="L72" s="52">
        <v>62.5</v>
      </c>
      <c r="M72" s="247">
        <v>2144</v>
      </c>
      <c r="N72" s="247">
        <v>3200</v>
      </c>
      <c r="O72" s="248">
        <v>64</v>
      </c>
      <c r="P72" s="248">
        <v>95</v>
      </c>
      <c r="Q72" s="89" t="s">
        <v>94</v>
      </c>
      <c r="R72" s="89" t="s">
        <v>94</v>
      </c>
      <c r="S72" s="248">
        <v>1096</v>
      </c>
      <c r="T72" s="248">
        <v>1517</v>
      </c>
      <c r="U72" s="249">
        <v>96</v>
      </c>
      <c r="V72" s="249">
        <v>118</v>
      </c>
      <c r="W72" s="261">
        <v>4</v>
      </c>
      <c r="X72" s="261">
        <v>4.5999999999999996</v>
      </c>
      <c r="Y72" s="249">
        <v>99</v>
      </c>
      <c r="Z72" s="249">
        <v>69</v>
      </c>
      <c r="AA72" s="262">
        <v>72</v>
      </c>
      <c r="AB72" s="262">
        <v>86</v>
      </c>
      <c r="AC72" s="89" t="s">
        <v>94</v>
      </c>
      <c r="AD72" s="89" t="s">
        <v>94</v>
      </c>
      <c r="AE72" s="325">
        <v>119.1</v>
      </c>
      <c r="AF72" s="112">
        <v>114.9</v>
      </c>
      <c r="AG72" s="113">
        <v>42</v>
      </c>
      <c r="AH72" s="113">
        <v>49</v>
      </c>
      <c r="AI72" s="144">
        <v>0.8</v>
      </c>
      <c r="AJ72" s="144">
        <v>1</v>
      </c>
      <c r="AK72" s="269">
        <f t="shared" si="8"/>
        <v>0.19999999999999996</v>
      </c>
      <c r="AL72" s="149">
        <v>3.3</v>
      </c>
      <c r="AM72" s="149">
        <v>5.0999999999999996</v>
      </c>
      <c r="AN72" s="144">
        <v>7.2</v>
      </c>
      <c r="AO72" s="144">
        <v>7.7</v>
      </c>
      <c r="AP72" s="88" t="s">
        <v>94</v>
      </c>
      <c r="AQ72" s="88" t="s">
        <v>94</v>
      </c>
      <c r="AR72" s="149">
        <v>9</v>
      </c>
      <c r="AS72" s="149">
        <v>9.4</v>
      </c>
      <c r="AT72" s="149">
        <v>4.8</v>
      </c>
      <c r="AU72" s="149">
        <v>4.2</v>
      </c>
      <c r="AV72" s="266">
        <v>132</v>
      </c>
      <c r="AW72" s="248">
        <v>88</v>
      </c>
      <c r="AX72" s="262">
        <v>137</v>
      </c>
      <c r="AY72" s="262">
        <v>137</v>
      </c>
      <c r="AZ72" s="142" t="s">
        <v>94</v>
      </c>
      <c r="BA72" s="142" t="s">
        <v>94</v>
      </c>
      <c r="BB72" s="80" t="s">
        <v>94</v>
      </c>
      <c r="BC72" s="80" t="s">
        <v>94</v>
      </c>
      <c r="BD72" s="96">
        <f t="shared" si="9"/>
        <v>293.18133333333338</v>
      </c>
      <c r="BE72" s="96">
        <f t="shared" si="10"/>
        <v>290.4208888888889</v>
      </c>
      <c r="BF72" s="149">
        <v>4.58</v>
      </c>
      <c r="BG72" s="263">
        <v>5.1100000000000003</v>
      </c>
      <c r="BH72" s="261">
        <v>13.8</v>
      </c>
      <c r="BI72" s="261">
        <v>15.9</v>
      </c>
      <c r="BJ72" s="149">
        <v>44.4</v>
      </c>
      <c r="BK72" s="149">
        <v>46.2</v>
      </c>
      <c r="BL72" s="261">
        <v>96.9</v>
      </c>
      <c r="BM72" s="261">
        <v>90.4</v>
      </c>
      <c r="BN72" s="149">
        <v>30.1</v>
      </c>
      <c r="BO72" s="149">
        <v>31.1</v>
      </c>
      <c r="BP72" s="261">
        <v>31.1</v>
      </c>
      <c r="BQ72" s="261">
        <v>34.4</v>
      </c>
      <c r="BR72" s="113">
        <v>234</v>
      </c>
      <c r="BS72" s="113">
        <v>324</v>
      </c>
      <c r="BT72" s="261">
        <v>15.8</v>
      </c>
      <c r="BU72" s="261">
        <v>14.8</v>
      </c>
      <c r="BV72" s="108">
        <v>0.99</v>
      </c>
      <c r="BW72" s="108">
        <v>1.77</v>
      </c>
      <c r="BX72" s="259">
        <v>6.8</v>
      </c>
      <c r="BY72" s="259">
        <v>12.38</v>
      </c>
      <c r="BZ72" s="149">
        <v>89.705882352941174</v>
      </c>
      <c r="CA72" s="89">
        <v>68.5</v>
      </c>
      <c r="CB72" s="261">
        <v>6.7647058823529411</v>
      </c>
      <c r="CC72" s="145">
        <v>17</v>
      </c>
      <c r="CD72" s="149">
        <v>0.88235294117647056</v>
      </c>
      <c r="CE72" s="149">
        <v>12.9</v>
      </c>
      <c r="CF72" s="261">
        <v>2.5</v>
      </c>
      <c r="CG72" s="145">
        <v>0.6</v>
      </c>
      <c r="CH72" s="149">
        <v>0.14705882352941177</v>
      </c>
      <c r="CI72" s="89">
        <v>1</v>
      </c>
      <c r="CJ72" s="86" t="b">
        <f t="shared" si="11"/>
        <v>0</v>
      </c>
      <c r="CK72" s="2" t="b">
        <f t="shared" si="12"/>
        <v>1</v>
      </c>
      <c r="CL72" s="98">
        <f t="shared" si="7"/>
        <v>73.472700000000003</v>
      </c>
      <c r="CM72" s="98">
        <v>88.5</v>
      </c>
      <c r="CN72" s="98">
        <v>187</v>
      </c>
      <c r="CO72" s="86">
        <v>49.59</v>
      </c>
      <c r="CP72" s="98">
        <v>59.5</v>
      </c>
      <c r="CQ72" s="98">
        <v>0</v>
      </c>
      <c r="CR72" s="96">
        <v>16.98</v>
      </c>
    </row>
    <row r="73" spans="1:96" ht="15.75" customHeight="1">
      <c r="A73" s="72">
        <v>2017</v>
      </c>
      <c r="B73" s="79" t="s">
        <v>187</v>
      </c>
      <c r="C73" s="164">
        <v>3095</v>
      </c>
      <c r="D73" s="61">
        <v>34</v>
      </c>
      <c r="E73" s="80">
        <v>80</v>
      </c>
      <c r="F73" s="52">
        <v>2</v>
      </c>
      <c r="G73" s="76" t="s">
        <v>101</v>
      </c>
      <c r="H73" s="55" t="s">
        <v>83</v>
      </c>
      <c r="I73" s="56" t="s">
        <v>87</v>
      </c>
      <c r="J73" s="55" t="s">
        <v>99</v>
      </c>
      <c r="K73" s="56">
        <v>37.5</v>
      </c>
      <c r="L73" s="52">
        <v>62.5</v>
      </c>
      <c r="M73" s="247">
        <v>548</v>
      </c>
      <c r="N73" s="247">
        <v>1443</v>
      </c>
      <c r="O73" s="248">
        <v>30</v>
      </c>
      <c r="P73" s="248">
        <v>60</v>
      </c>
      <c r="Q73" s="89" t="s">
        <v>94</v>
      </c>
      <c r="R73" s="89" t="s">
        <v>94</v>
      </c>
      <c r="S73" s="248">
        <v>652</v>
      </c>
      <c r="T73" s="248">
        <v>917</v>
      </c>
      <c r="U73" s="249">
        <v>47</v>
      </c>
      <c r="V73" s="249">
        <v>76</v>
      </c>
      <c r="W73" s="261">
        <v>4.8</v>
      </c>
      <c r="X73" s="261">
        <v>4.8</v>
      </c>
      <c r="Y73" s="249">
        <v>49</v>
      </c>
      <c r="Z73" s="249">
        <v>46</v>
      </c>
      <c r="AA73" s="262">
        <v>33</v>
      </c>
      <c r="AB73" s="262">
        <v>30</v>
      </c>
      <c r="AC73" s="89" t="s">
        <v>94</v>
      </c>
      <c r="AD73" s="89" t="s">
        <v>94</v>
      </c>
      <c r="AE73" s="321">
        <v>101.3</v>
      </c>
      <c r="AF73" s="336">
        <v>90.3</v>
      </c>
      <c r="AG73" s="113">
        <v>36</v>
      </c>
      <c r="AH73" s="113">
        <v>39</v>
      </c>
      <c r="AI73" s="144">
        <v>1</v>
      </c>
      <c r="AJ73" s="144">
        <v>1.4</v>
      </c>
      <c r="AK73" s="269">
        <f t="shared" si="8"/>
        <v>0.39999999999999991</v>
      </c>
      <c r="AL73" s="149">
        <v>3.1</v>
      </c>
      <c r="AM73" s="149">
        <v>5.6</v>
      </c>
      <c r="AN73" s="144">
        <v>8.1</v>
      </c>
      <c r="AO73" s="144">
        <v>8.1</v>
      </c>
      <c r="AP73" s="88" t="s">
        <v>94</v>
      </c>
      <c r="AQ73" s="88" t="s">
        <v>94</v>
      </c>
      <c r="AR73" s="149">
        <v>9.9</v>
      </c>
      <c r="AS73" s="149">
        <v>9.8000000000000007</v>
      </c>
      <c r="AT73" s="149">
        <v>4.5</v>
      </c>
      <c r="AU73" s="149">
        <v>4.2</v>
      </c>
      <c r="AV73" s="266">
        <v>120</v>
      </c>
      <c r="AW73" s="248">
        <v>111</v>
      </c>
      <c r="AX73" s="262">
        <v>142</v>
      </c>
      <c r="AY73" s="262">
        <v>140</v>
      </c>
      <c r="AZ73" s="142" t="s">
        <v>94</v>
      </c>
      <c r="BA73" s="142" t="s">
        <v>94</v>
      </c>
      <c r="BB73" s="80" t="s">
        <v>94</v>
      </c>
      <c r="BC73" s="80" t="s">
        <v>94</v>
      </c>
      <c r="BD73" s="96">
        <f t="shared" si="9"/>
        <v>300.15666666666669</v>
      </c>
      <c r="BE73" s="96">
        <f t="shared" si="10"/>
        <v>295.80366666666663</v>
      </c>
      <c r="BF73" s="149">
        <v>5.12</v>
      </c>
      <c r="BG73" s="263">
        <v>5.58</v>
      </c>
      <c r="BH73" s="261">
        <v>14</v>
      </c>
      <c r="BI73" s="261">
        <v>15.6</v>
      </c>
      <c r="BJ73" s="149">
        <v>47.2</v>
      </c>
      <c r="BK73" s="149">
        <v>46.2</v>
      </c>
      <c r="BL73" s="261" t="s">
        <v>114</v>
      </c>
      <c r="BM73" s="261">
        <v>82.8</v>
      </c>
      <c r="BN73" s="149">
        <v>27.3</v>
      </c>
      <c r="BO73" s="149">
        <v>28</v>
      </c>
      <c r="BP73" s="261">
        <v>29.7</v>
      </c>
      <c r="BQ73" s="261">
        <v>33.799999999999997</v>
      </c>
      <c r="BR73" s="113">
        <v>174</v>
      </c>
      <c r="BS73" s="113">
        <v>174</v>
      </c>
      <c r="BT73" s="261">
        <v>14</v>
      </c>
      <c r="BU73" s="261">
        <v>13.1</v>
      </c>
      <c r="BV73" s="108">
        <v>0.7</v>
      </c>
      <c r="BW73" s="108">
        <v>1.67</v>
      </c>
      <c r="BX73" s="259">
        <v>7.46</v>
      </c>
      <c r="BY73" s="259">
        <v>9.4600000000000009</v>
      </c>
      <c r="BZ73" s="149">
        <v>75.737265415549601</v>
      </c>
      <c r="CA73" s="89">
        <v>42.1</v>
      </c>
      <c r="CB73" s="261">
        <v>23.056300268096514</v>
      </c>
      <c r="CC73" s="145">
        <v>41.3</v>
      </c>
      <c r="CD73" s="149">
        <v>1.0723860589812333</v>
      </c>
      <c r="CE73" s="149">
        <v>15.1</v>
      </c>
      <c r="CF73" s="261">
        <v>0.13404825737265416</v>
      </c>
      <c r="CG73" s="145">
        <v>0.3</v>
      </c>
      <c r="CH73" s="149">
        <v>0</v>
      </c>
      <c r="CI73" s="89">
        <v>1.2</v>
      </c>
      <c r="CJ73" s="86" t="b">
        <f t="shared" si="11"/>
        <v>1</v>
      </c>
      <c r="CK73" s="2" t="b">
        <f t="shared" si="12"/>
        <v>1</v>
      </c>
      <c r="CL73" s="98">
        <f t="shared" si="7"/>
        <v>71.675339999999991</v>
      </c>
      <c r="CM73" s="98">
        <v>78.599999999999994</v>
      </c>
      <c r="CN73" s="98">
        <v>172</v>
      </c>
      <c r="CO73" s="86">
        <v>51.33</v>
      </c>
      <c r="CP73" s="98">
        <v>48</v>
      </c>
      <c r="CQ73" s="98">
        <v>49</v>
      </c>
      <c r="CR73" s="96">
        <v>8.81</v>
      </c>
    </row>
    <row r="74" spans="1:96" ht="15.75" customHeight="1">
      <c r="A74" s="72">
        <v>2017</v>
      </c>
      <c r="B74" s="79" t="s">
        <v>187</v>
      </c>
      <c r="C74" s="164">
        <v>3102</v>
      </c>
      <c r="D74" s="61">
        <v>34</v>
      </c>
      <c r="E74" s="80">
        <v>85</v>
      </c>
      <c r="F74" s="52">
        <v>2</v>
      </c>
      <c r="G74" s="76" t="s">
        <v>82</v>
      </c>
      <c r="H74" s="55" t="s">
        <v>90</v>
      </c>
      <c r="I74" s="56" t="s">
        <v>84</v>
      </c>
      <c r="J74" s="55" t="s">
        <v>97</v>
      </c>
      <c r="K74" s="56">
        <v>37.5</v>
      </c>
      <c r="L74" s="52">
        <v>62.5</v>
      </c>
      <c r="M74" s="247">
        <v>618</v>
      </c>
      <c r="N74" s="247">
        <v>3200</v>
      </c>
      <c r="O74" s="248">
        <v>30</v>
      </c>
      <c r="P74" s="248">
        <v>101</v>
      </c>
      <c r="Q74" s="89" t="s">
        <v>94</v>
      </c>
      <c r="R74" s="89" t="s">
        <v>94</v>
      </c>
      <c r="S74" s="248">
        <v>563</v>
      </c>
      <c r="T74" s="248">
        <v>1502</v>
      </c>
      <c r="U74" s="249">
        <v>41</v>
      </c>
      <c r="V74" s="249">
        <v>136</v>
      </c>
      <c r="W74" s="261">
        <v>4.5</v>
      </c>
      <c r="X74" s="261">
        <v>4.9000000000000004</v>
      </c>
      <c r="Y74" s="249">
        <v>45</v>
      </c>
      <c r="Z74" s="249">
        <v>71</v>
      </c>
      <c r="AA74" s="262">
        <v>29</v>
      </c>
      <c r="AB74" s="262">
        <v>27</v>
      </c>
      <c r="AC74" s="89" t="s">
        <v>94</v>
      </c>
      <c r="AD74" s="89" t="s">
        <v>94</v>
      </c>
      <c r="AE74" s="319">
        <v>119.1</v>
      </c>
      <c r="AF74" s="334">
        <v>119.1</v>
      </c>
      <c r="AG74" s="113">
        <v>35</v>
      </c>
      <c r="AH74" s="113">
        <v>34</v>
      </c>
      <c r="AI74" s="144">
        <v>0.8</v>
      </c>
      <c r="AJ74" s="144">
        <v>1.1000000000000001</v>
      </c>
      <c r="AK74" s="269">
        <f t="shared" si="8"/>
        <v>0.30000000000000004</v>
      </c>
      <c r="AL74" s="149">
        <v>4.0999999999999996</v>
      </c>
      <c r="AM74" s="149">
        <v>4.9000000000000004</v>
      </c>
      <c r="AN74" s="144">
        <v>7.3</v>
      </c>
      <c r="AO74" s="144">
        <v>7.8</v>
      </c>
      <c r="AP74" s="88" t="s">
        <v>94</v>
      </c>
      <c r="AQ74" s="88" t="s">
        <v>94</v>
      </c>
      <c r="AR74" s="149">
        <v>9.5</v>
      </c>
      <c r="AS74" s="149">
        <v>9.5</v>
      </c>
      <c r="AT74" s="149">
        <v>4.9000000000000004</v>
      </c>
      <c r="AU74" s="149">
        <v>4.4000000000000004</v>
      </c>
      <c r="AV74" s="266">
        <v>127</v>
      </c>
      <c r="AW74" s="248">
        <v>134</v>
      </c>
      <c r="AX74" s="262">
        <v>141</v>
      </c>
      <c r="AY74" s="262">
        <v>140</v>
      </c>
      <c r="AZ74" s="142" t="s">
        <v>94</v>
      </c>
      <c r="BA74" s="142" t="s">
        <v>94</v>
      </c>
      <c r="BB74" s="80" t="s">
        <v>94</v>
      </c>
      <c r="BC74" s="80" t="s">
        <v>94</v>
      </c>
      <c r="BD74" s="96">
        <f t="shared" si="9"/>
        <v>299.32122222222222</v>
      </c>
      <c r="BE74" s="96">
        <f t="shared" si="10"/>
        <v>296.81177777777782</v>
      </c>
      <c r="BF74" s="149">
        <v>4.91</v>
      </c>
      <c r="BG74" s="263">
        <v>5.49</v>
      </c>
      <c r="BH74" s="261">
        <v>13.2</v>
      </c>
      <c r="BI74" s="261">
        <v>15.1</v>
      </c>
      <c r="BJ74" s="149">
        <v>44.5</v>
      </c>
      <c r="BK74" s="149">
        <v>45.6</v>
      </c>
      <c r="BL74" s="261">
        <v>90.6</v>
      </c>
      <c r="BM74" s="261">
        <v>83.1</v>
      </c>
      <c r="BN74" s="149">
        <v>26.9</v>
      </c>
      <c r="BO74" s="149">
        <v>27.5</v>
      </c>
      <c r="BP74" s="261">
        <v>29.7</v>
      </c>
      <c r="BQ74" s="261">
        <v>33.1</v>
      </c>
      <c r="BR74" s="113">
        <v>231</v>
      </c>
      <c r="BS74" s="113">
        <v>226</v>
      </c>
      <c r="BT74" s="261">
        <v>14.9</v>
      </c>
      <c r="BU74" s="261">
        <v>13.9</v>
      </c>
      <c r="BV74" s="108">
        <v>1.1100000000000001</v>
      </c>
      <c r="BW74" s="108">
        <v>1.83</v>
      </c>
      <c r="BX74" s="259">
        <v>8.84</v>
      </c>
      <c r="BY74" s="259">
        <v>6.21</v>
      </c>
      <c r="BZ74" s="149">
        <v>85.407239819004531</v>
      </c>
      <c r="CA74" s="89">
        <v>33.700000000000003</v>
      </c>
      <c r="CB74" s="261">
        <v>12.556561085972852</v>
      </c>
      <c r="CC74" s="145">
        <v>45.6</v>
      </c>
      <c r="CD74" s="149">
        <v>1.6968325791855203</v>
      </c>
      <c r="CE74" s="149">
        <v>19</v>
      </c>
      <c r="CF74" s="261">
        <v>0.11312217194570136</v>
      </c>
      <c r="CG74" s="145">
        <v>0.3</v>
      </c>
      <c r="CH74" s="149">
        <v>0.22624434389140272</v>
      </c>
      <c r="CI74" s="89">
        <v>1.4</v>
      </c>
      <c r="CJ74" s="86" t="b">
        <f t="shared" si="11"/>
        <v>1</v>
      </c>
      <c r="CK74" s="2" t="b">
        <f t="shared" si="12"/>
        <v>1</v>
      </c>
      <c r="CL74" s="98">
        <f t="shared" si="7"/>
        <v>75.626200000000011</v>
      </c>
      <c r="CM74" s="98">
        <v>88.4</v>
      </c>
      <c r="CN74" s="98">
        <v>179</v>
      </c>
      <c r="CO74" s="86">
        <v>47.54</v>
      </c>
      <c r="CP74" s="98">
        <v>51.5</v>
      </c>
      <c r="CQ74" s="98">
        <v>50.5</v>
      </c>
      <c r="CR74" s="96">
        <v>14.45</v>
      </c>
    </row>
    <row r="75" spans="1:96" ht="15.75" customHeight="1">
      <c r="A75" s="72">
        <v>2017</v>
      </c>
      <c r="B75" s="79" t="s">
        <v>187</v>
      </c>
      <c r="C75" s="164">
        <v>3105</v>
      </c>
      <c r="D75" s="61">
        <v>32</v>
      </c>
      <c r="E75" s="80">
        <v>0</v>
      </c>
      <c r="F75" s="52">
        <v>2</v>
      </c>
      <c r="G75" s="76" t="s">
        <v>86</v>
      </c>
      <c r="H75" s="55" t="s">
        <v>90</v>
      </c>
      <c r="I75" s="56" t="s">
        <v>84</v>
      </c>
      <c r="J75" s="55" t="s">
        <v>99</v>
      </c>
      <c r="K75" s="56">
        <v>50</v>
      </c>
      <c r="L75" s="55">
        <v>50</v>
      </c>
      <c r="M75" s="247">
        <v>2277</v>
      </c>
      <c r="N75" s="247">
        <v>3200</v>
      </c>
      <c r="O75" s="248">
        <v>47</v>
      </c>
      <c r="P75" s="248">
        <v>147</v>
      </c>
      <c r="Q75" s="89" t="s">
        <v>94</v>
      </c>
      <c r="R75" s="89" t="s">
        <v>94</v>
      </c>
      <c r="S75" s="248">
        <v>770</v>
      </c>
      <c r="T75" s="248">
        <v>1563</v>
      </c>
      <c r="U75" s="249">
        <v>77</v>
      </c>
      <c r="V75" s="249">
        <v>164</v>
      </c>
      <c r="W75" s="261">
        <v>4.3</v>
      </c>
      <c r="X75" s="261">
        <v>4.9000000000000004</v>
      </c>
      <c r="Y75" s="249">
        <v>55</v>
      </c>
      <c r="Z75" s="249">
        <v>67</v>
      </c>
      <c r="AA75" s="262">
        <v>15</v>
      </c>
      <c r="AB75" s="262">
        <v>18</v>
      </c>
      <c r="AC75" s="89" t="s">
        <v>94</v>
      </c>
      <c r="AD75" s="89" t="s">
        <v>94</v>
      </c>
      <c r="AE75" s="319">
        <v>116.4</v>
      </c>
      <c r="AF75" s="334">
        <v>116.4</v>
      </c>
      <c r="AG75" s="113">
        <v>27</v>
      </c>
      <c r="AH75" s="113">
        <v>39</v>
      </c>
      <c r="AI75" s="144">
        <v>0.9</v>
      </c>
      <c r="AJ75" s="144">
        <v>0.9</v>
      </c>
      <c r="AK75" s="269">
        <f t="shared" si="8"/>
        <v>0</v>
      </c>
      <c r="AL75" s="149">
        <v>4.2</v>
      </c>
      <c r="AM75" s="149">
        <v>4.9000000000000004</v>
      </c>
      <c r="AN75" s="144">
        <v>7.2</v>
      </c>
      <c r="AO75" s="144">
        <v>8.1</v>
      </c>
      <c r="AP75" s="88" t="s">
        <v>94</v>
      </c>
      <c r="AQ75" s="88" t="s">
        <v>94</v>
      </c>
      <c r="AR75" s="149">
        <v>9</v>
      </c>
      <c r="AS75" s="149">
        <v>9.6</v>
      </c>
      <c r="AT75" s="149">
        <v>4.2</v>
      </c>
      <c r="AU75" s="149">
        <v>4</v>
      </c>
      <c r="AV75" s="266">
        <v>109</v>
      </c>
      <c r="AW75" s="248">
        <v>88</v>
      </c>
      <c r="AX75" s="262">
        <v>142</v>
      </c>
      <c r="AY75" s="262">
        <v>139</v>
      </c>
      <c r="AZ75" s="142" t="s">
        <v>94</v>
      </c>
      <c r="BA75" s="142" t="s">
        <v>94</v>
      </c>
      <c r="BB75" s="80" t="s">
        <v>94</v>
      </c>
      <c r="BC75" s="80" t="s">
        <v>94</v>
      </c>
      <c r="BD75" s="96">
        <f t="shared" si="9"/>
        <v>297.39588888888892</v>
      </c>
      <c r="BE75" s="96">
        <f t="shared" si="10"/>
        <v>292.10222222222222</v>
      </c>
      <c r="BF75" s="149">
        <v>4.08</v>
      </c>
      <c r="BG75" s="263">
        <v>4.59</v>
      </c>
      <c r="BH75" s="261">
        <v>12.3</v>
      </c>
      <c r="BI75" s="261">
        <v>14</v>
      </c>
      <c r="BJ75" s="149">
        <v>41</v>
      </c>
      <c r="BK75" s="149">
        <v>40.799999999999997</v>
      </c>
      <c r="BL75" s="261">
        <v>100.5</v>
      </c>
      <c r="BM75" s="261">
        <v>88.9</v>
      </c>
      <c r="BN75" s="149">
        <v>30.1</v>
      </c>
      <c r="BO75" s="149">
        <v>30.5</v>
      </c>
      <c r="BP75" s="261">
        <v>30</v>
      </c>
      <c r="BQ75" s="261">
        <v>34.4</v>
      </c>
      <c r="BR75" s="113">
        <v>284</v>
      </c>
      <c r="BS75" s="113">
        <v>375</v>
      </c>
      <c r="BT75" s="261">
        <v>13.5</v>
      </c>
      <c r="BU75" s="261">
        <v>13</v>
      </c>
      <c r="BV75" s="108">
        <v>0.78</v>
      </c>
      <c r="BW75" s="108">
        <v>1.6</v>
      </c>
      <c r="BX75" s="259">
        <v>4.63</v>
      </c>
      <c r="BY75" s="259">
        <v>12.53</v>
      </c>
      <c r="BZ75" s="149">
        <v>53.995680345572353</v>
      </c>
      <c r="CA75" s="89">
        <v>82.7</v>
      </c>
      <c r="CB75" s="261">
        <v>25.269978401727862</v>
      </c>
      <c r="CC75" s="145">
        <v>9.6999999999999993</v>
      </c>
      <c r="CD75" s="149">
        <v>9.9352051835853139</v>
      </c>
      <c r="CE75" s="149">
        <v>7.1</v>
      </c>
      <c r="CF75" s="261">
        <v>10.583153347732182</v>
      </c>
      <c r="CG75" s="145">
        <v>0.3</v>
      </c>
      <c r="CH75" s="149">
        <v>0.21598272138228941</v>
      </c>
      <c r="CI75" s="89">
        <v>0.2</v>
      </c>
      <c r="CJ75" s="86" t="b">
        <f t="shared" si="11"/>
        <v>0</v>
      </c>
      <c r="CK75" s="2" t="b">
        <f t="shared" si="12"/>
        <v>1</v>
      </c>
      <c r="CL75" s="98">
        <f t="shared" si="7"/>
        <v>71.683920000000001</v>
      </c>
      <c r="CM75" s="98">
        <v>79.2</v>
      </c>
      <c r="CN75" s="98">
        <v>172.6</v>
      </c>
      <c r="CO75" s="86">
        <v>51.6</v>
      </c>
      <c r="CP75" s="98">
        <v>60</v>
      </c>
      <c r="CQ75" s="98">
        <v>54</v>
      </c>
      <c r="CR75" s="96">
        <v>9.49</v>
      </c>
    </row>
    <row r="76" spans="1:96" ht="15.75" customHeight="1">
      <c r="A76" s="72">
        <v>2017</v>
      </c>
      <c r="B76" s="79" t="s">
        <v>187</v>
      </c>
      <c r="C76" s="164">
        <v>3106</v>
      </c>
      <c r="D76" s="61">
        <v>31</v>
      </c>
      <c r="E76" s="80">
        <v>85</v>
      </c>
      <c r="F76" s="52">
        <v>2</v>
      </c>
      <c r="G76" s="76" t="s">
        <v>82</v>
      </c>
      <c r="H76" s="55" t="s">
        <v>83</v>
      </c>
      <c r="I76" s="56" t="s">
        <v>93</v>
      </c>
      <c r="J76" s="55" t="s">
        <v>99</v>
      </c>
      <c r="K76" s="56">
        <v>50</v>
      </c>
      <c r="L76" s="55">
        <v>50</v>
      </c>
      <c r="M76" s="247">
        <v>232</v>
      </c>
      <c r="N76" s="247">
        <v>2701</v>
      </c>
      <c r="O76" s="248">
        <v>22</v>
      </c>
      <c r="P76" s="248">
        <v>65</v>
      </c>
      <c r="Q76" s="89" t="s">
        <v>94</v>
      </c>
      <c r="R76" s="89" t="s">
        <v>94</v>
      </c>
      <c r="S76" s="248">
        <v>421</v>
      </c>
      <c r="T76" s="248">
        <v>951</v>
      </c>
      <c r="U76" s="249">
        <v>29</v>
      </c>
      <c r="V76" s="249">
        <v>102</v>
      </c>
      <c r="W76" s="261">
        <v>4.3</v>
      </c>
      <c r="X76" s="261">
        <v>5.3</v>
      </c>
      <c r="Y76" s="249">
        <v>30</v>
      </c>
      <c r="Z76" s="249">
        <v>51</v>
      </c>
      <c r="AA76" s="262">
        <v>13</v>
      </c>
      <c r="AB76" s="262">
        <v>17</v>
      </c>
      <c r="AC76" s="89" t="s">
        <v>94</v>
      </c>
      <c r="AD76" s="89" t="s">
        <v>94</v>
      </c>
      <c r="AE76" s="319">
        <v>117.1</v>
      </c>
      <c r="AF76" s="334">
        <v>103.2</v>
      </c>
      <c r="AG76" s="113">
        <v>31</v>
      </c>
      <c r="AH76" s="113">
        <v>52</v>
      </c>
      <c r="AI76" s="144">
        <v>0.9</v>
      </c>
      <c r="AJ76" s="144">
        <v>1.3</v>
      </c>
      <c r="AK76" s="269">
        <f t="shared" si="8"/>
        <v>0.4</v>
      </c>
      <c r="AL76" s="149">
        <v>4</v>
      </c>
      <c r="AM76" s="149">
        <v>5.3</v>
      </c>
      <c r="AN76" s="144">
        <v>7.1</v>
      </c>
      <c r="AO76" s="144">
        <v>8.3000000000000007</v>
      </c>
      <c r="AP76" s="88" t="s">
        <v>94</v>
      </c>
      <c r="AQ76" s="88" t="s">
        <v>94</v>
      </c>
      <c r="AR76" s="149">
        <v>9.6</v>
      </c>
      <c r="AS76" s="149">
        <v>10.1</v>
      </c>
      <c r="AT76" s="149">
        <v>4.9000000000000004</v>
      </c>
      <c r="AU76" s="149">
        <v>4.5</v>
      </c>
      <c r="AV76" s="266">
        <v>102</v>
      </c>
      <c r="AW76" s="248">
        <v>103</v>
      </c>
      <c r="AX76" s="262">
        <v>141</v>
      </c>
      <c r="AY76" s="262">
        <v>137</v>
      </c>
      <c r="AZ76" s="142" t="s">
        <v>94</v>
      </c>
      <c r="BA76" s="142" t="s">
        <v>94</v>
      </c>
      <c r="BB76" s="80" t="s">
        <v>94</v>
      </c>
      <c r="BC76" s="80" t="s">
        <v>94</v>
      </c>
      <c r="BD76" s="96">
        <f t="shared" si="9"/>
        <v>297.05733333333336</v>
      </c>
      <c r="BE76" s="96">
        <f t="shared" si="10"/>
        <v>292.43722222222226</v>
      </c>
      <c r="BF76" s="149">
        <v>4.93</v>
      </c>
      <c r="BG76" s="263">
        <v>5.44</v>
      </c>
      <c r="BH76" s="261">
        <v>13.7</v>
      </c>
      <c r="BI76" s="261">
        <v>15.6</v>
      </c>
      <c r="BJ76" s="149">
        <v>43.9</v>
      </c>
      <c r="BK76" s="149">
        <v>43.2</v>
      </c>
      <c r="BL76" s="261">
        <v>89</v>
      </c>
      <c r="BM76" s="261">
        <v>79.400000000000006</v>
      </c>
      <c r="BN76" s="149">
        <v>27.8</v>
      </c>
      <c r="BO76" s="149">
        <v>28.7</v>
      </c>
      <c r="BP76" s="261">
        <v>31.2</v>
      </c>
      <c r="BQ76" s="261">
        <v>36.1</v>
      </c>
      <c r="BR76" s="113">
        <v>302</v>
      </c>
      <c r="BS76" s="113">
        <v>341</v>
      </c>
      <c r="BT76" s="261">
        <v>13.8</v>
      </c>
      <c r="BU76" s="261">
        <v>12.8</v>
      </c>
      <c r="BV76" s="108">
        <v>1.27</v>
      </c>
      <c r="BW76" s="108">
        <v>1.63</v>
      </c>
      <c r="BX76" s="259">
        <v>6.89</v>
      </c>
      <c r="BY76" s="259">
        <v>10.56</v>
      </c>
      <c r="BZ76" s="149">
        <v>52.975326560232226</v>
      </c>
      <c r="CA76" s="89" t="s">
        <v>94</v>
      </c>
      <c r="CB76" s="261">
        <v>33.09143686502177</v>
      </c>
      <c r="CC76" s="145" t="s">
        <v>94</v>
      </c>
      <c r="CD76" s="149">
        <v>8.8534107402031932</v>
      </c>
      <c r="CE76" s="149">
        <v>15.2</v>
      </c>
      <c r="CF76" s="261">
        <v>4.3541364296081282</v>
      </c>
      <c r="CG76" s="145">
        <v>0.2</v>
      </c>
      <c r="CH76" s="149">
        <v>0.72568940493468803</v>
      </c>
      <c r="CI76" s="89">
        <v>1.6</v>
      </c>
      <c r="CJ76" s="86" t="b">
        <f t="shared" si="11"/>
        <v>1</v>
      </c>
      <c r="CK76" s="2" t="b">
        <f t="shared" si="12"/>
        <v>1</v>
      </c>
      <c r="CL76" s="98">
        <f t="shared" si="7"/>
        <v>76.33</v>
      </c>
      <c r="CM76" s="98">
        <v>85</v>
      </c>
      <c r="CN76" s="98">
        <v>181</v>
      </c>
      <c r="CO76" s="86">
        <v>50.68</v>
      </c>
      <c r="CP76" s="98">
        <v>52</v>
      </c>
      <c r="CQ76" s="98">
        <v>55</v>
      </c>
      <c r="CR76" s="96">
        <v>10.199999999999999</v>
      </c>
    </row>
    <row r="77" spans="1:96" ht="15.75" customHeight="1">
      <c r="A77" s="72">
        <v>2017</v>
      </c>
      <c r="B77" s="79" t="s">
        <v>187</v>
      </c>
      <c r="C77" s="164">
        <v>3108</v>
      </c>
      <c r="D77" s="61">
        <v>31</v>
      </c>
      <c r="E77" s="80">
        <v>81</v>
      </c>
      <c r="F77" s="52">
        <v>2</v>
      </c>
      <c r="G77" s="54" t="s">
        <v>86</v>
      </c>
      <c r="H77" s="55" t="s">
        <v>83</v>
      </c>
      <c r="I77" s="56" t="s">
        <v>93</v>
      </c>
      <c r="J77" s="55" t="s">
        <v>100</v>
      </c>
      <c r="K77" s="53">
        <v>62.5</v>
      </c>
      <c r="L77" s="55">
        <v>37.5</v>
      </c>
      <c r="M77" s="247">
        <v>428</v>
      </c>
      <c r="N77" s="247">
        <v>2862</v>
      </c>
      <c r="O77" s="248">
        <v>29</v>
      </c>
      <c r="P77" s="248">
        <v>76</v>
      </c>
      <c r="Q77" s="89" t="s">
        <v>94</v>
      </c>
      <c r="R77" s="89" t="s">
        <v>94</v>
      </c>
      <c r="S77" s="248">
        <v>602</v>
      </c>
      <c r="T77" s="248">
        <v>1109</v>
      </c>
      <c r="U77" s="249">
        <v>31</v>
      </c>
      <c r="V77" s="249">
        <v>99</v>
      </c>
      <c r="W77" s="261">
        <v>4.4000000000000004</v>
      </c>
      <c r="X77" s="261">
        <v>5.0999999999999996</v>
      </c>
      <c r="Y77" s="249">
        <v>36</v>
      </c>
      <c r="Z77" s="249">
        <v>51</v>
      </c>
      <c r="AA77" s="262">
        <v>18</v>
      </c>
      <c r="AB77" s="262">
        <v>23</v>
      </c>
      <c r="AC77" s="89" t="s">
        <v>94</v>
      </c>
      <c r="AD77" s="89" t="s">
        <v>94</v>
      </c>
      <c r="AE77" s="319">
        <v>121.3</v>
      </c>
      <c r="AF77" s="334">
        <v>117.1</v>
      </c>
      <c r="AG77" s="113">
        <v>30</v>
      </c>
      <c r="AH77" s="113">
        <v>45</v>
      </c>
      <c r="AI77" s="144">
        <v>0.8</v>
      </c>
      <c r="AJ77" s="144">
        <v>1</v>
      </c>
      <c r="AK77" s="269">
        <f t="shared" si="8"/>
        <v>0.19999999999999996</v>
      </c>
      <c r="AL77" s="149">
        <v>4</v>
      </c>
      <c r="AM77" s="149">
        <v>4.8</v>
      </c>
      <c r="AN77" s="144">
        <v>7.1</v>
      </c>
      <c r="AO77" s="144">
        <v>8</v>
      </c>
      <c r="AP77" s="88" t="s">
        <v>94</v>
      </c>
      <c r="AQ77" s="88" t="s">
        <v>94</v>
      </c>
      <c r="AR77" s="149">
        <v>9.1999999999999993</v>
      </c>
      <c r="AS77" s="149">
        <v>9.6</v>
      </c>
      <c r="AT77" s="149">
        <v>4.3</v>
      </c>
      <c r="AU77" s="149">
        <v>4.2</v>
      </c>
      <c r="AV77" s="266">
        <v>91</v>
      </c>
      <c r="AW77" s="248">
        <v>123</v>
      </c>
      <c r="AX77" s="262">
        <v>142</v>
      </c>
      <c r="AY77" s="262">
        <v>139</v>
      </c>
      <c r="AZ77" s="142" t="s">
        <v>94</v>
      </c>
      <c r="BA77" s="142" t="s">
        <v>94</v>
      </c>
      <c r="BB77" s="80" t="s">
        <v>94</v>
      </c>
      <c r="BC77" s="80" t="s">
        <v>94</v>
      </c>
      <c r="BD77" s="96">
        <f t="shared" si="9"/>
        <v>296.93188888888892</v>
      </c>
      <c r="BE77" s="96">
        <f t="shared" si="10"/>
        <v>295.71033333333332</v>
      </c>
      <c r="BF77" s="149">
        <v>4.5599999999999996</v>
      </c>
      <c r="BG77" s="263">
        <v>5.25</v>
      </c>
      <c r="BH77" s="261">
        <v>13.7</v>
      </c>
      <c r="BI77" s="261">
        <v>16.3</v>
      </c>
      <c r="BJ77" s="149">
        <v>45.8</v>
      </c>
      <c r="BK77" s="149">
        <v>46.5</v>
      </c>
      <c r="BL77" s="261">
        <v>100.4</v>
      </c>
      <c r="BM77" s="261">
        <v>88.6</v>
      </c>
      <c r="BN77" s="149">
        <v>30</v>
      </c>
      <c r="BO77" s="149">
        <v>31</v>
      </c>
      <c r="BP77" s="261">
        <v>29.9</v>
      </c>
      <c r="BQ77" s="261">
        <v>35.1</v>
      </c>
      <c r="BR77" s="113">
        <v>188</v>
      </c>
      <c r="BS77" s="113">
        <v>189</v>
      </c>
      <c r="BT77" s="261">
        <v>13.1</v>
      </c>
      <c r="BU77" s="261">
        <v>12.3</v>
      </c>
      <c r="BV77" s="108">
        <v>1.0900000000000001</v>
      </c>
      <c r="BW77" s="108">
        <v>1.61</v>
      </c>
      <c r="BX77" s="259">
        <v>6.2</v>
      </c>
      <c r="BY77" s="259">
        <v>5.86</v>
      </c>
      <c r="BZ77" s="149">
        <v>49.032258064516128</v>
      </c>
      <c r="CA77" s="89">
        <v>38.700000000000003</v>
      </c>
      <c r="CB77" s="261">
        <v>39.516129032258071</v>
      </c>
      <c r="CC77" s="145">
        <v>41.5</v>
      </c>
      <c r="CD77" s="149">
        <v>8.5483870967741939</v>
      </c>
      <c r="CE77" s="149">
        <v>17.899999999999999</v>
      </c>
      <c r="CF77" s="261">
        <v>2.7419354838709675</v>
      </c>
      <c r="CG77" s="145">
        <v>0.2</v>
      </c>
      <c r="CH77" s="149">
        <v>0.16129032258064516</v>
      </c>
      <c r="CI77" s="89">
        <v>1.7</v>
      </c>
      <c r="CJ77" s="86" t="b">
        <f t="shared" si="11"/>
        <v>0</v>
      </c>
      <c r="CK77" s="2" t="b">
        <f t="shared" si="12"/>
        <v>1</v>
      </c>
      <c r="CL77" s="98">
        <f t="shared" si="7"/>
        <v>71.280989999999989</v>
      </c>
      <c r="CM77" s="98">
        <v>80.099999999999994</v>
      </c>
      <c r="CN77" s="98">
        <v>184</v>
      </c>
      <c r="CO77" s="86">
        <v>51.35</v>
      </c>
      <c r="CP77" s="98">
        <v>57</v>
      </c>
      <c r="CQ77" s="98">
        <v>55</v>
      </c>
      <c r="CR77" s="96">
        <v>11.01</v>
      </c>
    </row>
    <row r="78" spans="1:96" ht="15.75" customHeight="1">
      <c r="A78" s="72">
        <v>2017</v>
      </c>
      <c r="B78" s="79" t="s">
        <v>187</v>
      </c>
      <c r="C78" s="164">
        <v>3114</v>
      </c>
      <c r="D78" s="61">
        <v>30</v>
      </c>
      <c r="E78" s="80">
        <v>70</v>
      </c>
      <c r="F78" s="52">
        <v>1</v>
      </c>
      <c r="G78" s="54" t="s">
        <v>89</v>
      </c>
      <c r="H78" s="55" t="s">
        <v>90</v>
      </c>
      <c r="I78" s="56" t="s">
        <v>93</v>
      </c>
      <c r="J78" s="55" t="s">
        <v>99</v>
      </c>
      <c r="K78" s="56">
        <v>50</v>
      </c>
      <c r="L78" s="55">
        <v>50</v>
      </c>
      <c r="M78" s="247">
        <v>1050</v>
      </c>
      <c r="N78" s="247">
        <v>3200</v>
      </c>
      <c r="O78" s="248">
        <v>35</v>
      </c>
      <c r="P78" s="248">
        <v>103</v>
      </c>
      <c r="Q78" s="89" t="s">
        <v>94</v>
      </c>
      <c r="R78" s="89" t="s">
        <v>94</v>
      </c>
      <c r="S78" s="248">
        <v>621</v>
      </c>
      <c r="T78" s="248">
        <v>1336</v>
      </c>
      <c r="U78" s="249">
        <v>45</v>
      </c>
      <c r="V78" s="249">
        <v>126</v>
      </c>
      <c r="W78" s="261">
        <v>4.8</v>
      </c>
      <c r="X78" s="261">
        <v>5.5</v>
      </c>
      <c r="Y78" s="249">
        <v>37</v>
      </c>
      <c r="Z78" s="249">
        <v>52</v>
      </c>
      <c r="AA78" s="262">
        <v>10</v>
      </c>
      <c r="AB78" s="262">
        <v>10</v>
      </c>
      <c r="AC78" s="89" t="s">
        <v>94</v>
      </c>
      <c r="AD78" s="89" t="s">
        <v>94</v>
      </c>
      <c r="AE78" s="319">
        <v>122.1</v>
      </c>
      <c r="AF78" s="334">
        <v>117.8</v>
      </c>
      <c r="AG78" s="113">
        <v>39</v>
      </c>
      <c r="AH78" s="113">
        <v>53</v>
      </c>
      <c r="AI78" s="144">
        <v>0.8</v>
      </c>
      <c r="AJ78" s="144">
        <v>1</v>
      </c>
      <c r="AK78" s="269">
        <f t="shared" si="8"/>
        <v>0.19999999999999996</v>
      </c>
      <c r="AL78" s="149">
        <v>3.1</v>
      </c>
      <c r="AM78" s="149">
        <v>5.8</v>
      </c>
      <c r="AN78" s="144">
        <v>7.9</v>
      </c>
      <c r="AO78" s="144">
        <v>8.8000000000000007</v>
      </c>
      <c r="AP78" s="88" t="s">
        <v>94</v>
      </c>
      <c r="AQ78" s="88" t="s">
        <v>94</v>
      </c>
      <c r="AR78" s="149">
        <v>10.1</v>
      </c>
      <c r="AS78" s="149">
        <v>10.5</v>
      </c>
      <c r="AT78" s="149">
        <v>4.8</v>
      </c>
      <c r="AU78" s="149">
        <v>4.9000000000000004</v>
      </c>
      <c r="AV78" s="266">
        <v>115</v>
      </c>
      <c r="AW78" s="248">
        <v>122</v>
      </c>
      <c r="AX78" s="262">
        <v>141</v>
      </c>
      <c r="AY78" s="262">
        <v>141</v>
      </c>
      <c r="AZ78" s="142" t="s">
        <v>94</v>
      </c>
      <c r="BA78" s="142" t="s">
        <v>94</v>
      </c>
      <c r="BB78" s="80" t="s">
        <v>94</v>
      </c>
      <c r="BC78" s="80" t="s">
        <v>94</v>
      </c>
      <c r="BD78" s="96">
        <f t="shared" si="9"/>
        <v>299.03522222222227</v>
      </c>
      <c r="BE78" s="96">
        <f t="shared" si="10"/>
        <v>302.00177777777776</v>
      </c>
      <c r="BF78" s="149">
        <v>4.95</v>
      </c>
      <c r="BG78" s="263">
        <v>5.48</v>
      </c>
      <c r="BH78" s="261">
        <v>14.3</v>
      </c>
      <c r="BI78" s="261">
        <v>16.2</v>
      </c>
      <c r="BJ78" s="149">
        <v>52.3</v>
      </c>
      <c r="BK78" s="149">
        <v>50</v>
      </c>
      <c r="BL78" s="261">
        <v>105.7</v>
      </c>
      <c r="BM78" s="261">
        <v>91.2</v>
      </c>
      <c r="BN78" s="149">
        <v>28.9</v>
      </c>
      <c r="BO78" s="149">
        <v>29.6</v>
      </c>
      <c r="BP78" s="261">
        <v>27.3</v>
      </c>
      <c r="BQ78" s="261">
        <v>32.4</v>
      </c>
      <c r="BR78" s="113">
        <v>316</v>
      </c>
      <c r="BS78" s="113">
        <v>387</v>
      </c>
      <c r="BT78" s="261">
        <v>14.5</v>
      </c>
      <c r="BU78" s="261">
        <v>13.3</v>
      </c>
      <c r="BV78" s="108">
        <v>0.95</v>
      </c>
      <c r="BW78" s="108">
        <v>1.56</v>
      </c>
      <c r="BX78" s="259">
        <v>8.1999999999999993</v>
      </c>
      <c r="BY78" s="259">
        <v>5.08</v>
      </c>
      <c r="BZ78" s="149">
        <v>89.146341463414643</v>
      </c>
      <c r="CA78" s="89">
        <v>64.900000000000006</v>
      </c>
      <c r="CB78" s="261">
        <v>9.5121951219512209</v>
      </c>
      <c r="CC78" s="145">
        <v>19.7</v>
      </c>
      <c r="CD78" s="149">
        <v>1.3414634146341464</v>
      </c>
      <c r="CE78" s="149">
        <v>13.6</v>
      </c>
      <c r="CF78" s="261">
        <v>0</v>
      </c>
      <c r="CG78" s="145">
        <v>0</v>
      </c>
      <c r="CH78" s="149">
        <v>0</v>
      </c>
      <c r="CI78" s="89">
        <v>1.8</v>
      </c>
      <c r="CJ78" s="86" t="b">
        <f t="shared" si="11"/>
        <v>0</v>
      </c>
      <c r="CK78" s="2" t="b">
        <f t="shared" si="12"/>
        <v>1</v>
      </c>
      <c r="CL78" s="98">
        <f t="shared" si="7"/>
        <v>66.363659999999996</v>
      </c>
      <c r="CM78" s="98">
        <v>72.599999999999994</v>
      </c>
      <c r="CN78" s="98">
        <v>180</v>
      </c>
      <c r="CO78" s="86">
        <v>52.5</v>
      </c>
      <c r="CP78" s="98">
        <v>45</v>
      </c>
      <c r="CQ78" s="98">
        <v>42</v>
      </c>
      <c r="CR78" s="96">
        <v>8.59</v>
      </c>
    </row>
    <row r="79" spans="1:96" ht="15.75" customHeight="1">
      <c r="A79" s="72">
        <v>2017</v>
      </c>
      <c r="B79" s="79" t="s">
        <v>187</v>
      </c>
      <c r="C79" s="164">
        <v>3116</v>
      </c>
      <c r="D79" s="52">
        <v>29</v>
      </c>
      <c r="E79" s="80">
        <v>70</v>
      </c>
      <c r="F79" s="52">
        <v>2</v>
      </c>
      <c r="G79" s="54" t="s">
        <v>89</v>
      </c>
      <c r="H79" s="55" t="s">
        <v>83</v>
      </c>
      <c r="I79" s="56" t="s">
        <v>93</v>
      </c>
      <c r="J79" s="55" t="s">
        <v>99</v>
      </c>
      <c r="K79" s="53">
        <v>62.5</v>
      </c>
      <c r="L79" s="55">
        <v>37.5</v>
      </c>
      <c r="M79" s="247">
        <v>258</v>
      </c>
      <c r="N79" s="247">
        <v>2135</v>
      </c>
      <c r="O79" s="248">
        <v>22</v>
      </c>
      <c r="P79" s="248">
        <v>66</v>
      </c>
      <c r="Q79" s="89" t="s">
        <v>94</v>
      </c>
      <c r="R79" s="89" t="s">
        <v>94</v>
      </c>
      <c r="S79" s="248">
        <v>569</v>
      </c>
      <c r="T79" s="248">
        <v>1089</v>
      </c>
      <c r="U79" s="249">
        <v>34</v>
      </c>
      <c r="V79" s="249">
        <v>89</v>
      </c>
      <c r="W79" s="261">
        <v>4.5</v>
      </c>
      <c r="X79" s="261">
        <v>5.3</v>
      </c>
      <c r="Y79" s="249">
        <v>37</v>
      </c>
      <c r="Z79" s="249">
        <v>47</v>
      </c>
      <c r="AA79" s="262">
        <v>11</v>
      </c>
      <c r="AB79" s="262">
        <v>13</v>
      </c>
      <c r="AC79" s="89" t="s">
        <v>94</v>
      </c>
      <c r="AD79" s="89" t="s">
        <v>94</v>
      </c>
      <c r="AE79" s="319">
        <v>104.5</v>
      </c>
      <c r="AF79" s="334">
        <v>104.5</v>
      </c>
      <c r="AG79" s="113">
        <v>36</v>
      </c>
      <c r="AH79" s="113">
        <v>41</v>
      </c>
      <c r="AI79" s="144">
        <v>1</v>
      </c>
      <c r="AJ79" s="144">
        <v>1</v>
      </c>
      <c r="AK79" s="269">
        <f t="shared" si="8"/>
        <v>0</v>
      </c>
      <c r="AL79" s="149">
        <v>4.3</v>
      </c>
      <c r="AM79" s="149">
        <v>4.4000000000000004</v>
      </c>
      <c r="AN79" s="144">
        <v>6.8</v>
      </c>
      <c r="AO79" s="144">
        <v>7.9</v>
      </c>
      <c r="AP79" s="88" t="s">
        <v>94</v>
      </c>
      <c r="AQ79" s="88" t="s">
        <v>94</v>
      </c>
      <c r="AR79" s="149">
        <v>9.8000000000000007</v>
      </c>
      <c r="AS79" s="149">
        <v>10</v>
      </c>
      <c r="AT79" s="149">
        <v>5</v>
      </c>
      <c r="AU79" s="149">
        <v>4.5999999999999996</v>
      </c>
      <c r="AV79" s="266">
        <v>84</v>
      </c>
      <c r="AW79" s="248">
        <v>94</v>
      </c>
      <c r="AX79" s="262">
        <v>141</v>
      </c>
      <c r="AY79" s="262">
        <v>140</v>
      </c>
      <c r="AZ79" s="142" t="s">
        <v>94</v>
      </c>
      <c r="BA79" s="142" t="s">
        <v>94</v>
      </c>
      <c r="BB79" s="80" t="s">
        <v>94</v>
      </c>
      <c r="BC79" s="80" t="s">
        <v>94</v>
      </c>
      <c r="BD79" s="96">
        <f t="shared" si="9"/>
        <v>296.92666666666668</v>
      </c>
      <c r="BE79" s="96">
        <f t="shared" si="10"/>
        <v>295.79488888888886</v>
      </c>
      <c r="BF79" s="149">
        <v>4.6900000000000004</v>
      </c>
      <c r="BG79" s="263">
        <v>5.38</v>
      </c>
      <c r="BH79" s="261">
        <v>13.8</v>
      </c>
      <c r="BI79" s="261">
        <v>15.9</v>
      </c>
      <c r="BJ79" s="149">
        <v>44.8</v>
      </c>
      <c r="BK79" s="149">
        <v>46</v>
      </c>
      <c r="BL79" s="261">
        <v>95.5</v>
      </c>
      <c r="BM79" s="261">
        <v>85.5</v>
      </c>
      <c r="BN79" s="149">
        <v>29.4</v>
      </c>
      <c r="BO79" s="149">
        <v>29.6</v>
      </c>
      <c r="BP79" s="261">
        <v>30.8</v>
      </c>
      <c r="BQ79" s="261">
        <v>34.6</v>
      </c>
      <c r="BR79" s="113">
        <v>168</v>
      </c>
      <c r="BS79" s="113">
        <v>234</v>
      </c>
      <c r="BT79" s="261">
        <v>13.6</v>
      </c>
      <c r="BU79" s="261">
        <v>12.7</v>
      </c>
      <c r="BV79" s="108">
        <v>1.32</v>
      </c>
      <c r="BW79" s="108">
        <v>2.11</v>
      </c>
      <c r="BX79" s="259">
        <v>5.72</v>
      </c>
      <c r="BY79" s="259">
        <v>6.38</v>
      </c>
      <c r="BZ79" s="149">
        <v>41.25874125874126</v>
      </c>
      <c r="CA79" s="89">
        <v>59</v>
      </c>
      <c r="CB79" s="261">
        <v>38.286713286713287</v>
      </c>
      <c r="CC79" s="145">
        <v>22.1</v>
      </c>
      <c r="CD79" s="149">
        <v>7.5174825174825175</v>
      </c>
      <c r="CE79" s="149">
        <v>12.7</v>
      </c>
      <c r="CF79" s="261">
        <v>12.587412587412588</v>
      </c>
      <c r="CG79" s="145">
        <v>2</v>
      </c>
      <c r="CH79" s="149">
        <v>0.34965034965034969</v>
      </c>
      <c r="CI79" s="89">
        <v>4.2</v>
      </c>
      <c r="CJ79" s="86" t="b">
        <f t="shared" si="11"/>
        <v>0</v>
      </c>
      <c r="CK79" s="2" t="b">
        <f t="shared" si="12"/>
        <v>1</v>
      </c>
      <c r="CL79" s="98"/>
      <c r="CM79" s="77"/>
      <c r="CN79" s="77"/>
      <c r="CO79" s="77"/>
      <c r="CP79" s="77"/>
      <c r="CQ79" s="77"/>
      <c r="CR79" s="77"/>
    </row>
    <row r="80" spans="1:96" ht="15.75" customHeight="1">
      <c r="A80" s="72">
        <v>2017</v>
      </c>
      <c r="B80" s="79" t="s">
        <v>187</v>
      </c>
      <c r="C80" s="164">
        <v>3119</v>
      </c>
      <c r="D80" s="52">
        <v>28</v>
      </c>
      <c r="E80" s="80">
        <v>75</v>
      </c>
      <c r="F80" s="52">
        <v>1</v>
      </c>
      <c r="G80" s="54" t="s">
        <v>89</v>
      </c>
      <c r="H80" s="55" t="s">
        <v>92</v>
      </c>
      <c r="I80" s="56" t="s">
        <v>93</v>
      </c>
      <c r="J80" s="55" t="s">
        <v>100</v>
      </c>
      <c r="K80" s="53">
        <v>62.5</v>
      </c>
      <c r="L80" s="55">
        <v>37.5</v>
      </c>
      <c r="M80" s="247">
        <v>2378</v>
      </c>
      <c r="N80" s="247">
        <v>2469</v>
      </c>
      <c r="O80" s="248">
        <v>66</v>
      </c>
      <c r="P80" s="248">
        <v>78</v>
      </c>
      <c r="Q80" s="89" t="s">
        <v>94</v>
      </c>
      <c r="R80" s="89" t="s">
        <v>94</v>
      </c>
      <c r="S80" s="248">
        <v>1040</v>
      </c>
      <c r="T80" s="248">
        <v>1114</v>
      </c>
      <c r="U80" s="249">
        <v>88</v>
      </c>
      <c r="V80" s="249">
        <v>98</v>
      </c>
      <c r="W80" s="261">
        <v>4.9000000000000004</v>
      </c>
      <c r="X80" s="261">
        <v>5.2</v>
      </c>
      <c r="Y80" s="249">
        <v>73</v>
      </c>
      <c r="Z80" s="249">
        <v>62</v>
      </c>
      <c r="AA80" s="262">
        <v>28</v>
      </c>
      <c r="AB80" s="262">
        <v>28</v>
      </c>
      <c r="AC80" s="89" t="s">
        <v>94</v>
      </c>
      <c r="AD80" s="89" t="s">
        <v>94</v>
      </c>
      <c r="AE80" s="319">
        <v>119.3</v>
      </c>
      <c r="AF80" s="334">
        <v>119.3</v>
      </c>
      <c r="AG80" s="113">
        <v>31</v>
      </c>
      <c r="AH80" s="113">
        <v>40</v>
      </c>
      <c r="AI80" s="144">
        <v>0.9</v>
      </c>
      <c r="AJ80" s="144">
        <v>1.1000000000000001</v>
      </c>
      <c r="AK80" s="269">
        <f t="shared" si="8"/>
        <v>0.20000000000000007</v>
      </c>
      <c r="AL80" s="149">
        <v>3</v>
      </c>
      <c r="AM80" s="149">
        <v>4.4000000000000004</v>
      </c>
      <c r="AN80" s="144">
        <v>7.5</v>
      </c>
      <c r="AO80" s="144">
        <v>8.1</v>
      </c>
      <c r="AP80" s="88" t="s">
        <v>94</v>
      </c>
      <c r="AQ80" s="88" t="s">
        <v>94</v>
      </c>
      <c r="AR80" s="149">
        <v>9.9</v>
      </c>
      <c r="AS80" s="149">
        <v>9.6999999999999993</v>
      </c>
      <c r="AT80" s="149">
        <v>4.0999999999999996</v>
      </c>
      <c r="AU80" s="149">
        <v>4.2</v>
      </c>
      <c r="AV80" s="266">
        <v>161</v>
      </c>
      <c r="AW80" s="248">
        <v>88</v>
      </c>
      <c r="AX80" s="262">
        <v>141</v>
      </c>
      <c r="AY80" s="262">
        <v>140</v>
      </c>
      <c r="AZ80" s="142" t="s">
        <v>94</v>
      </c>
      <c r="BA80" s="142" t="s">
        <v>94</v>
      </c>
      <c r="BB80" s="80" t="s">
        <v>94</v>
      </c>
      <c r="BC80" s="80" t="s">
        <v>94</v>
      </c>
      <c r="BD80" s="96">
        <f t="shared" si="9"/>
        <v>299.33877777777781</v>
      </c>
      <c r="BE80" s="96">
        <f t="shared" si="10"/>
        <v>294.50088888888888</v>
      </c>
      <c r="BF80" s="149">
        <v>4.7699999999999996</v>
      </c>
      <c r="BG80" s="263">
        <v>5.13</v>
      </c>
      <c r="BH80" s="261">
        <v>14.1</v>
      </c>
      <c r="BI80" s="261">
        <v>15.3</v>
      </c>
      <c r="BJ80" s="149">
        <v>45.6</v>
      </c>
      <c r="BK80" s="149">
        <v>44.5</v>
      </c>
      <c r="BL80" s="261">
        <v>95.6</v>
      </c>
      <c r="BM80" s="261">
        <v>86.7</v>
      </c>
      <c r="BN80" s="149">
        <v>29.6</v>
      </c>
      <c r="BO80" s="149">
        <v>29.8</v>
      </c>
      <c r="BP80" s="261">
        <v>30.9</v>
      </c>
      <c r="BQ80" s="261">
        <v>34.4</v>
      </c>
      <c r="BR80" s="113">
        <v>273</v>
      </c>
      <c r="BS80" s="113">
        <v>290</v>
      </c>
      <c r="BT80" s="261">
        <v>14.5</v>
      </c>
      <c r="BU80" s="261">
        <v>13.1</v>
      </c>
      <c r="BV80" s="108">
        <v>0.78</v>
      </c>
      <c r="BW80" s="108">
        <v>1.47</v>
      </c>
      <c r="BX80" s="259">
        <v>7.35</v>
      </c>
      <c r="BY80" s="259">
        <v>3.64</v>
      </c>
      <c r="BZ80" s="149">
        <v>91.700680272108855</v>
      </c>
      <c r="CA80" s="89">
        <v>44.3</v>
      </c>
      <c r="CB80" s="261">
        <v>7.4829931972789128</v>
      </c>
      <c r="CC80" s="145">
        <v>29.7</v>
      </c>
      <c r="CD80" s="149">
        <v>0.81632653061224492</v>
      </c>
      <c r="CE80" s="149">
        <v>22.5</v>
      </c>
      <c r="CF80" s="261">
        <v>0</v>
      </c>
      <c r="CG80" s="145">
        <v>0.5</v>
      </c>
      <c r="CH80" s="149">
        <v>0</v>
      </c>
      <c r="CI80" s="89">
        <v>3</v>
      </c>
      <c r="CJ80" s="86" t="b">
        <f t="shared" si="11"/>
        <v>0</v>
      </c>
      <c r="CK80" s="2" t="b">
        <f t="shared" si="12"/>
        <v>1</v>
      </c>
      <c r="CL80" s="98">
        <f t="shared" ref="CL80:CL143" si="13">$CM80-($CM80*(0.01*$CR80))</f>
        <v>69.236999999999995</v>
      </c>
      <c r="CM80" s="98">
        <v>73.5</v>
      </c>
      <c r="CN80" s="98">
        <v>177</v>
      </c>
      <c r="CO80" s="86">
        <v>53.28</v>
      </c>
      <c r="CP80" s="98">
        <v>52.5</v>
      </c>
      <c r="CQ80" s="98">
        <v>50</v>
      </c>
      <c r="CR80" s="96">
        <v>5.8</v>
      </c>
    </row>
    <row r="81" spans="1:96" ht="15.75" customHeight="1">
      <c r="A81" s="72">
        <v>2017</v>
      </c>
      <c r="B81" s="79" t="s">
        <v>187</v>
      </c>
      <c r="C81" s="164">
        <v>3123</v>
      </c>
      <c r="D81" s="61">
        <v>27</v>
      </c>
      <c r="E81" s="80">
        <v>86</v>
      </c>
      <c r="F81" s="52">
        <v>1</v>
      </c>
      <c r="G81" s="74" t="s">
        <v>89</v>
      </c>
      <c r="H81" s="55" t="s">
        <v>92</v>
      </c>
      <c r="I81" s="56" t="s">
        <v>84</v>
      </c>
      <c r="J81" s="55" t="s">
        <v>97</v>
      </c>
      <c r="K81" s="56">
        <v>75</v>
      </c>
      <c r="L81" s="55">
        <v>25</v>
      </c>
      <c r="M81" s="247">
        <v>587</v>
      </c>
      <c r="N81" s="247">
        <v>1547</v>
      </c>
      <c r="O81" s="248">
        <v>26</v>
      </c>
      <c r="P81" s="248">
        <v>54</v>
      </c>
      <c r="Q81" s="89" t="s">
        <v>94</v>
      </c>
      <c r="R81" s="89" t="s">
        <v>94</v>
      </c>
      <c r="S81" s="248">
        <v>571</v>
      </c>
      <c r="T81" s="248">
        <v>770</v>
      </c>
      <c r="U81" s="249">
        <v>47</v>
      </c>
      <c r="V81" s="249">
        <v>75</v>
      </c>
      <c r="W81" s="261">
        <v>4.4000000000000004</v>
      </c>
      <c r="X81" s="261">
        <v>4.7</v>
      </c>
      <c r="Y81" s="249">
        <v>55</v>
      </c>
      <c r="Z81" s="249">
        <v>42</v>
      </c>
      <c r="AA81" s="262">
        <v>24</v>
      </c>
      <c r="AB81" s="262">
        <v>23</v>
      </c>
      <c r="AC81" s="89" t="s">
        <v>94</v>
      </c>
      <c r="AD81" s="89" t="s">
        <v>94</v>
      </c>
      <c r="AE81" s="319">
        <v>120</v>
      </c>
      <c r="AF81" s="334">
        <v>105.8</v>
      </c>
      <c r="AG81" s="113">
        <v>30</v>
      </c>
      <c r="AH81" s="113">
        <v>31</v>
      </c>
      <c r="AI81" s="144">
        <v>0.9</v>
      </c>
      <c r="AJ81" s="144">
        <v>0.9</v>
      </c>
      <c r="AK81" s="269">
        <f t="shared" si="8"/>
        <v>0</v>
      </c>
      <c r="AL81" s="149">
        <v>3.9</v>
      </c>
      <c r="AM81" s="149">
        <v>5.3</v>
      </c>
      <c r="AN81" s="144">
        <v>7.6</v>
      </c>
      <c r="AO81" s="144">
        <v>8.3000000000000007</v>
      </c>
      <c r="AP81" s="88" t="s">
        <v>94</v>
      </c>
      <c r="AQ81" s="88" t="s">
        <v>94</v>
      </c>
      <c r="AR81" s="149">
        <v>9.1</v>
      </c>
      <c r="AS81" s="149">
        <v>9.3000000000000007</v>
      </c>
      <c r="AT81" s="149">
        <v>4.7</v>
      </c>
      <c r="AU81" s="149">
        <v>4.3</v>
      </c>
      <c r="AV81" s="266">
        <v>120</v>
      </c>
      <c r="AW81" s="248">
        <v>103</v>
      </c>
      <c r="AX81" s="262">
        <v>140</v>
      </c>
      <c r="AY81" s="262">
        <v>141</v>
      </c>
      <c r="AZ81" s="142" t="s">
        <v>94</v>
      </c>
      <c r="BA81" s="142" t="s">
        <v>94</v>
      </c>
      <c r="BB81" s="80" t="s">
        <v>94</v>
      </c>
      <c r="BC81" s="80" t="s">
        <v>94</v>
      </c>
      <c r="BD81" s="96">
        <f t="shared" si="9"/>
        <v>295.80866666666668</v>
      </c>
      <c r="BE81" s="96">
        <f t="shared" si="10"/>
        <v>296.0052222222223</v>
      </c>
      <c r="BF81" s="149">
        <v>4.58</v>
      </c>
      <c r="BG81" s="263">
        <v>5.17</v>
      </c>
      <c r="BH81" s="261">
        <v>12</v>
      </c>
      <c r="BI81" s="261">
        <v>13.7</v>
      </c>
      <c r="BJ81" s="149">
        <v>41.2</v>
      </c>
      <c r="BK81" s="149">
        <v>41.3</v>
      </c>
      <c r="BL81" s="261">
        <v>90</v>
      </c>
      <c r="BM81" s="261">
        <v>79.900000000000006</v>
      </c>
      <c r="BN81" s="149">
        <v>26.2</v>
      </c>
      <c r="BO81" s="149">
        <v>26.5</v>
      </c>
      <c r="BP81" s="261">
        <v>29.1</v>
      </c>
      <c r="BQ81" s="261">
        <v>33.200000000000003</v>
      </c>
      <c r="BR81" s="113">
        <v>270</v>
      </c>
      <c r="BS81" s="113">
        <v>304</v>
      </c>
      <c r="BT81" s="261">
        <v>14.4</v>
      </c>
      <c r="BU81" s="261">
        <v>13</v>
      </c>
      <c r="BV81" s="108">
        <v>0.64</v>
      </c>
      <c r="BW81" s="108">
        <v>1.36</v>
      </c>
      <c r="BX81" s="259">
        <v>7.04</v>
      </c>
      <c r="BY81" s="259">
        <v>5.72</v>
      </c>
      <c r="BZ81" s="149">
        <v>51.988636363636367</v>
      </c>
      <c r="CA81" s="89">
        <v>39.5</v>
      </c>
      <c r="CB81" s="261">
        <v>33.238636363636367</v>
      </c>
      <c r="CC81" s="145">
        <v>46.7</v>
      </c>
      <c r="CD81" s="149">
        <v>9.232954545454545</v>
      </c>
      <c r="CE81" s="149">
        <v>12.4</v>
      </c>
      <c r="CF81" s="261">
        <v>5.3977272727272725</v>
      </c>
      <c r="CG81" s="145">
        <v>0.7</v>
      </c>
      <c r="CH81" s="149">
        <v>0.14204545454545456</v>
      </c>
      <c r="CI81" s="89">
        <v>0.7</v>
      </c>
      <c r="CJ81" s="86" t="b">
        <f t="shared" si="11"/>
        <v>0</v>
      </c>
      <c r="CK81" s="2" t="b">
        <f t="shared" si="12"/>
        <v>1</v>
      </c>
      <c r="CL81" s="98">
        <f t="shared" si="13"/>
        <v>74.045439999999999</v>
      </c>
      <c r="CM81" s="98">
        <v>89.6</v>
      </c>
      <c r="CN81" s="98">
        <v>176</v>
      </c>
      <c r="CO81" s="86">
        <v>45.45</v>
      </c>
      <c r="CP81" s="98">
        <v>46.5</v>
      </c>
      <c r="CQ81" s="98">
        <v>42</v>
      </c>
      <c r="CR81" s="96">
        <v>17.36</v>
      </c>
    </row>
    <row r="82" spans="1:96" ht="15.75" customHeight="1">
      <c r="A82" s="72">
        <v>2017</v>
      </c>
      <c r="B82" s="79" t="s">
        <v>187</v>
      </c>
      <c r="C82" s="164">
        <v>3125</v>
      </c>
      <c r="D82" s="52">
        <v>29</v>
      </c>
      <c r="E82" s="80">
        <v>70</v>
      </c>
      <c r="F82" s="52">
        <v>1</v>
      </c>
      <c r="G82" s="54" t="s">
        <v>82</v>
      </c>
      <c r="H82" s="55" t="s">
        <v>83</v>
      </c>
      <c r="I82" s="56" t="s">
        <v>93</v>
      </c>
      <c r="J82" s="55" t="s">
        <v>99</v>
      </c>
      <c r="K82" s="56">
        <v>50</v>
      </c>
      <c r="L82" s="55">
        <v>50</v>
      </c>
      <c r="M82" s="247">
        <v>199</v>
      </c>
      <c r="N82" s="247">
        <v>2305</v>
      </c>
      <c r="O82" s="248">
        <v>22</v>
      </c>
      <c r="P82" s="248">
        <v>55</v>
      </c>
      <c r="Q82" s="89" t="s">
        <v>94</v>
      </c>
      <c r="R82" s="89" t="s">
        <v>94</v>
      </c>
      <c r="S82" s="248">
        <v>425</v>
      </c>
      <c r="T82" s="248">
        <v>919</v>
      </c>
      <c r="U82" s="249">
        <v>35</v>
      </c>
      <c r="V82" s="249">
        <v>104</v>
      </c>
      <c r="W82" s="261">
        <v>4.7</v>
      </c>
      <c r="X82" s="261">
        <v>5.5</v>
      </c>
      <c r="Y82" s="249">
        <v>31</v>
      </c>
      <c r="Z82" s="249">
        <v>48</v>
      </c>
      <c r="AA82" s="262">
        <v>14</v>
      </c>
      <c r="AB82" s="262">
        <v>14</v>
      </c>
      <c r="AC82" s="89" t="s">
        <v>94</v>
      </c>
      <c r="AD82" s="89" t="s">
        <v>94</v>
      </c>
      <c r="AE82" s="319">
        <v>118.6</v>
      </c>
      <c r="AF82" s="334">
        <v>104.5</v>
      </c>
      <c r="AG82" s="113">
        <v>34</v>
      </c>
      <c r="AH82" s="113">
        <v>39</v>
      </c>
      <c r="AI82" s="144">
        <v>0.9</v>
      </c>
      <c r="AJ82" s="144">
        <v>1</v>
      </c>
      <c r="AK82" s="269">
        <f t="shared" si="8"/>
        <v>9.9999999999999978E-2</v>
      </c>
      <c r="AL82" s="149">
        <v>3.7</v>
      </c>
      <c r="AM82" s="149">
        <v>5.9</v>
      </c>
      <c r="AN82" s="144">
        <v>7.4</v>
      </c>
      <c r="AO82" s="144">
        <v>8.6</v>
      </c>
      <c r="AP82" s="88" t="s">
        <v>94</v>
      </c>
      <c r="AQ82" s="88" t="s">
        <v>94</v>
      </c>
      <c r="AR82" s="149">
        <v>9.6999999999999993</v>
      </c>
      <c r="AS82" s="149">
        <v>9.9</v>
      </c>
      <c r="AT82" s="149">
        <v>5</v>
      </c>
      <c r="AU82" s="149">
        <v>4.3</v>
      </c>
      <c r="AV82" s="266">
        <v>105</v>
      </c>
      <c r="AW82" s="248">
        <v>81</v>
      </c>
      <c r="AX82" s="262">
        <v>142</v>
      </c>
      <c r="AY82" s="262">
        <v>142</v>
      </c>
      <c r="AZ82" s="142" t="s">
        <v>94</v>
      </c>
      <c r="BA82" s="142" t="s">
        <v>94</v>
      </c>
      <c r="BB82" s="80" t="s">
        <v>94</v>
      </c>
      <c r="BC82" s="80" t="s">
        <v>94</v>
      </c>
      <c r="BD82" s="96">
        <f t="shared" si="9"/>
        <v>299.79500000000002</v>
      </c>
      <c r="BE82" s="96">
        <f t="shared" si="10"/>
        <v>297.79300000000006</v>
      </c>
      <c r="BF82" s="149">
        <v>4.8600000000000003</v>
      </c>
      <c r="BG82" s="263">
        <v>5.49</v>
      </c>
      <c r="BH82" s="261">
        <v>14</v>
      </c>
      <c r="BI82" s="261">
        <v>16.100000000000001</v>
      </c>
      <c r="BJ82" s="149">
        <v>46.9</v>
      </c>
      <c r="BK82" s="149">
        <v>46.8</v>
      </c>
      <c r="BL82" s="261">
        <v>96.5</v>
      </c>
      <c r="BM82" s="261">
        <v>85.2</v>
      </c>
      <c r="BN82" s="149">
        <v>28.8</v>
      </c>
      <c r="BO82" s="149">
        <v>29.3</v>
      </c>
      <c r="BP82" s="261">
        <v>29.9</v>
      </c>
      <c r="BQ82" s="261">
        <v>34.4</v>
      </c>
      <c r="BR82" s="113">
        <v>215</v>
      </c>
      <c r="BS82" s="113">
        <v>264</v>
      </c>
      <c r="BT82" s="261">
        <v>13.5</v>
      </c>
      <c r="BU82" s="261">
        <v>12.9</v>
      </c>
      <c r="BV82" s="108">
        <v>1.0900000000000001</v>
      </c>
      <c r="BW82" s="108">
        <v>2.21</v>
      </c>
      <c r="BX82" s="259">
        <v>5.12</v>
      </c>
      <c r="BY82" s="259">
        <v>5.2</v>
      </c>
      <c r="BZ82" s="149">
        <v>61.1328125</v>
      </c>
      <c r="CA82" s="89">
        <v>61.5</v>
      </c>
      <c r="CB82" s="261">
        <v>27.9296875</v>
      </c>
      <c r="CC82" s="145">
        <v>23.1</v>
      </c>
      <c r="CD82" s="149">
        <v>8.0078125</v>
      </c>
      <c r="CE82" s="149">
        <v>13.5</v>
      </c>
      <c r="CF82" s="261">
        <v>2.34375</v>
      </c>
      <c r="CG82" s="145">
        <v>0.2</v>
      </c>
      <c r="CH82" s="149">
        <v>0.5859375</v>
      </c>
      <c r="CI82" s="89">
        <v>1.7</v>
      </c>
      <c r="CJ82" s="86" t="b">
        <f t="shared" si="11"/>
        <v>0</v>
      </c>
      <c r="CK82" s="2" t="b">
        <f t="shared" si="12"/>
        <v>1</v>
      </c>
      <c r="CL82" s="98">
        <f t="shared" si="13"/>
        <v>63.743760000000002</v>
      </c>
      <c r="CM82" s="98">
        <v>72.900000000000006</v>
      </c>
      <c r="CN82" s="98">
        <v>168.6</v>
      </c>
      <c r="CO82" s="86">
        <v>48.54</v>
      </c>
      <c r="CP82" s="98">
        <v>50</v>
      </c>
      <c r="CQ82" s="98">
        <v>47</v>
      </c>
      <c r="CR82" s="96">
        <v>12.56</v>
      </c>
    </row>
    <row r="83" spans="1:96" ht="15.75" customHeight="1">
      <c r="A83" s="79">
        <v>2017</v>
      </c>
      <c r="B83" s="79" t="s">
        <v>187</v>
      </c>
      <c r="C83" s="164">
        <v>3143</v>
      </c>
      <c r="D83" s="61">
        <v>28</v>
      </c>
      <c r="E83" s="80">
        <v>85</v>
      </c>
      <c r="F83" s="52">
        <v>1</v>
      </c>
      <c r="G83" s="304" t="s">
        <v>86</v>
      </c>
      <c r="H83" s="52" t="s">
        <v>92</v>
      </c>
      <c r="I83" s="53" t="s">
        <v>93</v>
      </c>
      <c r="J83" s="55" t="s">
        <v>99</v>
      </c>
      <c r="K83" s="53">
        <v>87.5</v>
      </c>
      <c r="L83" s="52">
        <v>12.5</v>
      </c>
      <c r="M83" s="247">
        <v>92</v>
      </c>
      <c r="N83" s="247">
        <v>648</v>
      </c>
      <c r="O83" s="248">
        <v>18</v>
      </c>
      <c r="P83" s="248">
        <v>41</v>
      </c>
      <c r="Q83" s="89" t="s">
        <v>94</v>
      </c>
      <c r="R83" s="89" t="s">
        <v>94</v>
      </c>
      <c r="S83" s="248">
        <v>449</v>
      </c>
      <c r="T83" s="248">
        <v>860</v>
      </c>
      <c r="U83" s="249">
        <v>24</v>
      </c>
      <c r="V83" s="249">
        <v>51</v>
      </c>
      <c r="W83" s="261">
        <v>4.5999999999999996</v>
      </c>
      <c r="X83" s="261">
        <v>5.2</v>
      </c>
      <c r="Y83" s="249">
        <v>45</v>
      </c>
      <c r="Z83" s="249">
        <v>37</v>
      </c>
      <c r="AA83" s="262">
        <v>42</v>
      </c>
      <c r="AB83" s="262">
        <v>47</v>
      </c>
      <c r="AC83" s="89" t="s">
        <v>94</v>
      </c>
      <c r="AD83" s="89" t="s">
        <v>94</v>
      </c>
      <c r="AE83" s="319">
        <v>123.6</v>
      </c>
      <c r="AF83" s="334">
        <v>123.6</v>
      </c>
      <c r="AG83" s="113">
        <v>29</v>
      </c>
      <c r="AH83" s="113">
        <v>32</v>
      </c>
      <c r="AI83" s="144">
        <v>0.8</v>
      </c>
      <c r="AJ83" s="144">
        <v>1</v>
      </c>
      <c r="AK83" s="269">
        <f t="shared" si="8"/>
        <v>0.19999999999999996</v>
      </c>
      <c r="AL83" s="149">
        <v>3.3</v>
      </c>
      <c r="AM83" s="149">
        <v>5.6</v>
      </c>
      <c r="AN83" s="144">
        <v>7.3</v>
      </c>
      <c r="AO83" s="144">
        <v>8.3000000000000007</v>
      </c>
      <c r="AP83" s="88" t="s">
        <v>94</v>
      </c>
      <c r="AQ83" s="88" t="s">
        <v>94</v>
      </c>
      <c r="AR83" s="149">
        <v>9.6999999999999993</v>
      </c>
      <c r="AS83" s="149">
        <v>9.6999999999999993</v>
      </c>
      <c r="AT83" s="149">
        <v>4.7</v>
      </c>
      <c r="AU83" s="149">
        <v>4.0999999999999996</v>
      </c>
      <c r="AV83" s="266">
        <v>109</v>
      </c>
      <c r="AW83" s="248">
        <v>106</v>
      </c>
      <c r="AX83" s="262">
        <v>143</v>
      </c>
      <c r="AY83" s="262">
        <v>141</v>
      </c>
      <c r="AZ83" s="142" t="s">
        <v>94</v>
      </c>
      <c r="BA83" s="142" t="s">
        <v>94</v>
      </c>
      <c r="BB83" s="80" t="s">
        <v>94</v>
      </c>
      <c r="BC83" s="80" t="s">
        <v>94</v>
      </c>
      <c r="BD83" s="96">
        <f t="shared" si="9"/>
        <v>300.5192222222222</v>
      </c>
      <c r="BE83" s="96">
        <f t="shared" si="10"/>
        <v>295.99155555555558</v>
      </c>
      <c r="BF83" s="149">
        <v>4.49</v>
      </c>
      <c r="BG83" s="263">
        <v>5.0199999999999996</v>
      </c>
      <c r="BH83" s="261">
        <v>13.1</v>
      </c>
      <c r="BI83" s="261">
        <v>14.6</v>
      </c>
      <c r="BJ83" s="149">
        <v>44</v>
      </c>
      <c r="BK83" s="149">
        <v>44.2</v>
      </c>
      <c r="BL83" s="261">
        <v>98</v>
      </c>
      <c r="BM83" s="261">
        <v>88</v>
      </c>
      <c r="BN83" s="149">
        <v>29.2</v>
      </c>
      <c r="BO83" s="149">
        <v>29.1</v>
      </c>
      <c r="BP83" s="261">
        <v>29.8</v>
      </c>
      <c r="BQ83" s="261">
        <v>33</v>
      </c>
      <c r="BR83" s="113">
        <v>225</v>
      </c>
      <c r="BS83" s="113">
        <v>265</v>
      </c>
      <c r="BT83" s="261">
        <v>13.7</v>
      </c>
      <c r="BU83" s="261">
        <v>13</v>
      </c>
      <c r="BV83" s="108">
        <v>0.91</v>
      </c>
      <c r="BW83" s="108">
        <v>1.6</v>
      </c>
      <c r="BX83" s="259">
        <v>7.41</v>
      </c>
      <c r="BY83" s="259">
        <v>9.11</v>
      </c>
      <c r="BZ83" s="149">
        <v>57.48987854251012</v>
      </c>
      <c r="CA83" s="89">
        <v>59.1</v>
      </c>
      <c r="CB83" s="261">
        <v>31.713900134952766</v>
      </c>
      <c r="CC83" s="145">
        <v>28.5</v>
      </c>
      <c r="CD83" s="149">
        <v>7.5573549257759796</v>
      </c>
      <c r="CE83" s="149">
        <v>11.2</v>
      </c>
      <c r="CF83" s="261">
        <v>3</v>
      </c>
      <c r="CG83" s="145">
        <v>0.1</v>
      </c>
      <c r="CH83" s="149">
        <v>0.3</v>
      </c>
      <c r="CI83" s="89">
        <v>1.1000000000000001</v>
      </c>
      <c r="CJ83" s="86" t="b">
        <f t="shared" si="11"/>
        <v>0</v>
      </c>
      <c r="CK83" s="2" t="b">
        <f t="shared" si="12"/>
        <v>0</v>
      </c>
      <c r="CL83" s="98">
        <f t="shared" si="13"/>
        <v>70.250040000000013</v>
      </c>
      <c r="CM83" s="98">
        <v>85.4</v>
      </c>
      <c r="CN83" s="98">
        <v>179.3</v>
      </c>
      <c r="CO83" s="86">
        <v>49.65</v>
      </c>
      <c r="CP83" s="98">
        <v>44</v>
      </c>
      <c r="CQ83" s="98">
        <v>35</v>
      </c>
      <c r="CR83" s="96">
        <v>17.739999999999998</v>
      </c>
    </row>
    <row r="84" spans="1:96" ht="15.75" customHeight="1">
      <c r="A84" s="50">
        <v>2018</v>
      </c>
      <c r="B84" s="50" t="s">
        <v>172</v>
      </c>
      <c r="C84" s="85">
        <v>3150</v>
      </c>
      <c r="D84" s="86">
        <v>33</v>
      </c>
      <c r="E84" s="86">
        <v>88</v>
      </c>
      <c r="F84" s="86">
        <v>1</v>
      </c>
      <c r="G84" s="304" t="s">
        <v>82</v>
      </c>
      <c r="H84" s="52" t="s">
        <v>83</v>
      </c>
      <c r="I84" s="53" t="s">
        <v>84</v>
      </c>
      <c r="J84" s="52" t="s">
        <v>85</v>
      </c>
      <c r="K84" s="53">
        <v>25</v>
      </c>
      <c r="L84" s="52">
        <v>75</v>
      </c>
      <c r="M84" s="87">
        <v>337</v>
      </c>
      <c r="N84" s="87">
        <v>664</v>
      </c>
      <c r="O84" s="88">
        <v>3</v>
      </c>
      <c r="P84" s="88">
        <v>16</v>
      </c>
      <c r="Q84" s="89" t="s">
        <v>94</v>
      </c>
      <c r="R84" s="89" t="s">
        <v>94</v>
      </c>
      <c r="S84" s="88">
        <v>629</v>
      </c>
      <c r="T84" s="88">
        <v>796</v>
      </c>
      <c r="U84" s="90">
        <v>33</v>
      </c>
      <c r="V84" s="90">
        <v>48</v>
      </c>
      <c r="W84" s="88">
        <v>4.5999999999999996</v>
      </c>
      <c r="X84" s="88">
        <v>4</v>
      </c>
      <c r="Y84" s="90">
        <v>37</v>
      </c>
      <c r="Z84" s="90">
        <v>63</v>
      </c>
      <c r="AA84" s="88">
        <v>16</v>
      </c>
      <c r="AB84" s="88">
        <v>17</v>
      </c>
      <c r="AC84" s="89">
        <v>5.0999999999999996</v>
      </c>
      <c r="AD84" s="89">
        <v>5.9</v>
      </c>
      <c r="AE84" s="102">
        <v>90.9</v>
      </c>
      <c r="AF84" s="103">
        <v>81.900000000000006</v>
      </c>
      <c r="AG84" s="89">
        <v>39</v>
      </c>
      <c r="AH84" s="89">
        <v>43</v>
      </c>
      <c r="AI84" s="88">
        <v>1.1000000000000001</v>
      </c>
      <c r="AJ84" s="88">
        <v>1.2</v>
      </c>
      <c r="AK84" s="269">
        <f t="shared" si="8"/>
        <v>9.9999999999999867E-2</v>
      </c>
      <c r="AL84" s="89">
        <v>3.6</v>
      </c>
      <c r="AM84" s="89">
        <v>3.6</v>
      </c>
      <c r="AN84" s="93">
        <v>7.8</v>
      </c>
      <c r="AO84" s="63">
        <v>6.7</v>
      </c>
      <c r="AP84" s="94" t="s">
        <v>94</v>
      </c>
      <c r="AQ84" s="94" t="s">
        <v>94</v>
      </c>
      <c r="AR84" s="89">
        <v>9.9</v>
      </c>
      <c r="AS84" s="89">
        <v>9.1</v>
      </c>
      <c r="AT84" s="89">
        <v>5.2</v>
      </c>
      <c r="AU84" s="89">
        <v>4.5999999999999996</v>
      </c>
      <c r="AV84" s="63">
        <v>103</v>
      </c>
      <c r="AW84" s="63">
        <v>110</v>
      </c>
      <c r="AX84" s="63">
        <v>145</v>
      </c>
      <c r="AY84" s="63">
        <v>146</v>
      </c>
      <c r="AZ84" s="89">
        <v>2</v>
      </c>
      <c r="BA84" s="89">
        <v>2</v>
      </c>
      <c r="BB84" s="95">
        <v>102</v>
      </c>
      <c r="BC84" s="88">
        <v>106</v>
      </c>
      <c r="BD84" s="96">
        <f t="shared" si="9"/>
        <v>306.45255555555559</v>
      </c>
      <c r="BE84" s="96">
        <f t="shared" si="10"/>
        <v>308.31044444444444</v>
      </c>
      <c r="BF84" s="97">
        <v>4.38</v>
      </c>
      <c r="BG84" s="89">
        <v>4.37</v>
      </c>
      <c r="BH84" s="94">
        <v>13.5</v>
      </c>
      <c r="BI84" s="88">
        <v>13.3</v>
      </c>
      <c r="BJ84" s="97">
        <v>40.9</v>
      </c>
      <c r="BK84" s="89">
        <v>39.4</v>
      </c>
      <c r="BL84" s="94">
        <v>93.4</v>
      </c>
      <c r="BM84" s="88">
        <v>90.2</v>
      </c>
      <c r="BN84" s="97">
        <v>30.8</v>
      </c>
      <c r="BO84" s="89">
        <v>30.4</v>
      </c>
      <c r="BP84" s="94">
        <v>33</v>
      </c>
      <c r="BQ84" s="88">
        <v>33.799999999999997</v>
      </c>
      <c r="BR84" s="97">
        <v>299</v>
      </c>
      <c r="BS84" s="89">
        <v>289</v>
      </c>
      <c r="BT84" s="94">
        <v>12.8</v>
      </c>
      <c r="BU84" s="88">
        <v>12.2</v>
      </c>
      <c r="BV84" s="97">
        <v>1.83</v>
      </c>
      <c r="BW84" s="89">
        <v>1.52</v>
      </c>
      <c r="BX84" s="94">
        <v>7.38</v>
      </c>
      <c r="BY84" s="88">
        <v>8.17</v>
      </c>
      <c r="BZ84" s="97">
        <v>49.1</v>
      </c>
      <c r="CA84" s="89">
        <v>72.599999999999994</v>
      </c>
      <c r="CB84" s="94">
        <v>39</v>
      </c>
      <c r="CC84" s="88">
        <v>21.1</v>
      </c>
      <c r="CD84" s="97">
        <v>8.3000000000000007</v>
      </c>
      <c r="CE84" s="89">
        <v>5.3</v>
      </c>
      <c r="CF84" s="94">
        <v>3.3</v>
      </c>
      <c r="CG84" s="88">
        <v>0.9</v>
      </c>
      <c r="CH84" s="97">
        <v>0.3</v>
      </c>
      <c r="CI84" s="89">
        <v>0.1</v>
      </c>
      <c r="CJ84" s="86" t="b">
        <f t="shared" si="11"/>
        <v>0</v>
      </c>
      <c r="CK84" s="2" t="b">
        <f t="shared" si="12"/>
        <v>0</v>
      </c>
      <c r="CL84" s="98">
        <f t="shared" si="13"/>
        <v>75.827849999999998</v>
      </c>
      <c r="CM84" s="98">
        <v>84.3</v>
      </c>
      <c r="CN84" s="98">
        <v>181.5</v>
      </c>
      <c r="CO84" s="86">
        <v>52.78</v>
      </c>
      <c r="CP84" s="98">
        <v>35</v>
      </c>
      <c r="CQ84" s="98">
        <v>37</v>
      </c>
      <c r="CR84" s="96">
        <v>10.050000000000001</v>
      </c>
    </row>
    <row r="85" spans="1:96" ht="15.75" customHeight="1">
      <c r="A85" s="50">
        <v>2018</v>
      </c>
      <c r="B85" s="50" t="s">
        <v>172</v>
      </c>
      <c r="C85" s="100">
        <v>3155</v>
      </c>
      <c r="D85" s="101">
        <v>26</v>
      </c>
      <c r="E85" s="101">
        <v>74</v>
      </c>
      <c r="F85" s="101">
        <v>1</v>
      </c>
      <c r="G85" s="305" t="s">
        <v>86</v>
      </c>
      <c r="H85" s="55" t="s">
        <v>83</v>
      </c>
      <c r="I85" s="56" t="s">
        <v>87</v>
      </c>
      <c r="J85" s="52" t="s">
        <v>88</v>
      </c>
      <c r="K85" s="53">
        <v>50</v>
      </c>
      <c r="L85" s="55">
        <v>50</v>
      </c>
      <c r="M85" s="87">
        <v>687</v>
      </c>
      <c r="N85" s="87">
        <v>2246</v>
      </c>
      <c r="O85" s="88">
        <v>6</v>
      </c>
      <c r="P85" s="88">
        <v>38</v>
      </c>
      <c r="Q85" s="89" t="s">
        <v>94</v>
      </c>
      <c r="R85" s="89" t="s">
        <v>94</v>
      </c>
      <c r="S85" s="88">
        <v>720</v>
      </c>
      <c r="T85" s="88">
        <v>1182</v>
      </c>
      <c r="U85" s="90">
        <v>49</v>
      </c>
      <c r="V85" s="90">
        <v>105</v>
      </c>
      <c r="W85" s="88">
        <v>4.9000000000000004</v>
      </c>
      <c r="X85" s="88">
        <v>4.5999999999999996</v>
      </c>
      <c r="Y85" s="90">
        <v>57</v>
      </c>
      <c r="Z85" s="90">
        <v>93</v>
      </c>
      <c r="AA85" s="88">
        <v>38</v>
      </c>
      <c r="AB85" s="88">
        <v>37</v>
      </c>
      <c r="AC85" s="89">
        <v>3.6</v>
      </c>
      <c r="AD85" s="89">
        <v>5.0999999999999996</v>
      </c>
      <c r="AE85" s="102">
        <v>120</v>
      </c>
      <c r="AF85" s="103">
        <v>124.4</v>
      </c>
      <c r="AG85" s="89">
        <v>57</v>
      </c>
      <c r="AH85" s="89">
        <v>49</v>
      </c>
      <c r="AI85" s="88">
        <v>0.9</v>
      </c>
      <c r="AJ85" s="88">
        <v>0.8</v>
      </c>
      <c r="AK85" s="269">
        <f t="shared" si="8"/>
        <v>0</v>
      </c>
      <c r="AL85" s="89">
        <v>4</v>
      </c>
      <c r="AM85" s="89">
        <v>3.1</v>
      </c>
      <c r="AN85" s="88">
        <v>7.9</v>
      </c>
      <c r="AO85" s="88">
        <v>7.4</v>
      </c>
      <c r="AP85" s="94" t="s">
        <v>94</v>
      </c>
      <c r="AQ85" s="94" t="s">
        <v>94</v>
      </c>
      <c r="AR85" s="89">
        <v>10.1</v>
      </c>
      <c r="AS85" s="89">
        <v>9.4</v>
      </c>
      <c r="AT85" s="89">
        <v>4.5999999999999996</v>
      </c>
      <c r="AU85" s="89">
        <v>4.3</v>
      </c>
      <c r="AV85" s="63">
        <v>95</v>
      </c>
      <c r="AW85" s="63">
        <v>114</v>
      </c>
      <c r="AX85" s="63">
        <v>142</v>
      </c>
      <c r="AY85" s="63">
        <v>141</v>
      </c>
      <c r="AZ85" s="89">
        <v>2.2000000000000002</v>
      </c>
      <c r="BA85" s="89">
        <v>1.9</v>
      </c>
      <c r="BB85" s="88">
        <v>102</v>
      </c>
      <c r="BC85" s="88">
        <v>103</v>
      </c>
      <c r="BD85" s="96">
        <f t="shared" si="9"/>
        <v>302.24544444444444</v>
      </c>
      <c r="BE85" s="96">
        <f t="shared" si="10"/>
        <v>299.70800000000008</v>
      </c>
      <c r="BF85" s="97" t="s">
        <v>94</v>
      </c>
      <c r="BG85" s="89">
        <v>4.6399999999999997</v>
      </c>
      <c r="BH85" s="94" t="s">
        <v>94</v>
      </c>
      <c r="BI85" s="88">
        <v>13.9</v>
      </c>
      <c r="BJ85" s="97" t="s">
        <v>94</v>
      </c>
      <c r="BK85" s="89">
        <v>40.6</v>
      </c>
      <c r="BL85" s="94" t="s">
        <v>94</v>
      </c>
      <c r="BM85" s="88">
        <v>87.5</v>
      </c>
      <c r="BN85" s="97" t="s">
        <v>94</v>
      </c>
      <c r="BO85" s="89">
        <v>30</v>
      </c>
      <c r="BP85" s="94" t="s">
        <v>94</v>
      </c>
      <c r="BQ85" s="88">
        <v>34.200000000000003</v>
      </c>
      <c r="BR85" s="97">
        <v>268</v>
      </c>
      <c r="BS85" s="89">
        <v>304</v>
      </c>
      <c r="BT85" s="94" t="s">
        <v>94</v>
      </c>
      <c r="BU85" s="88">
        <v>13.4</v>
      </c>
      <c r="BV85" s="97" t="s">
        <v>94</v>
      </c>
      <c r="BW85" s="89">
        <v>1.47</v>
      </c>
      <c r="BX85" s="94" t="s">
        <v>94</v>
      </c>
      <c r="BY85" s="88">
        <v>9.3800000000000008</v>
      </c>
      <c r="BZ85" s="97" t="s">
        <v>94</v>
      </c>
      <c r="CA85" s="89">
        <v>72</v>
      </c>
      <c r="CB85" s="94" t="s">
        <v>94</v>
      </c>
      <c r="CC85" s="88">
        <v>12.5</v>
      </c>
      <c r="CD85" s="97" t="s">
        <v>94</v>
      </c>
      <c r="CE85" s="89">
        <v>15</v>
      </c>
      <c r="CF85" s="94" t="s">
        <v>94</v>
      </c>
      <c r="CG85" s="88">
        <v>0.3</v>
      </c>
      <c r="CH85" s="97" t="s">
        <v>94</v>
      </c>
      <c r="CI85" s="89">
        <v>0.2</v>
      </c>
      <c r="CJ85" s="86" t="b">
        <f t="shared" si="11"/>
        <v>0</v>
      </c>
      <c r="CK85" s="2" t="b">
        <f t="shared" si="12"/>
        <v>1</v>
      </c>
      <c r="CL85" s="98">
        <f t="shared" si="13"/>
        <v>71.28528</v>
      </c>
      <c r="CM85" s="98">
        <v>75.900000000000006</v>
      </c>
      <c r="CN85" s="98">
        <v>171</v>
      </c>
      <c r="CO85" s="86">
        <v>54.68</v>
      </c>
      <c r="CP85" s="98">
        <v>42</v>
      </c>
      <c r="CQ85" s="98">
        <v>43</v>
      </c>
      <c r="CR85" s="96">
        <v>6.08</v>
      </c>
    </row>
    <row r="86" spans="1:96" ht="15.75" customHeight="1">
      <c r="A86" s="50">
        <v>2018</v>
      </c>
      <c r="B86" s="50" t="s">
        <v>172</v>
      </c>
      <c r="C86" s="85">
        <v>3156</v>
      </c>
      <c r="D86" s="86">
        <v>26</v>
      </c>
      <c r="E86" s="86">
        <v>76</v>
      </c>
      <c r="F86" s="86">
        <v>1</v>
      </c>
      <c r="G86" s="305" t="s">
        <v>89</v>
      </c>
      <c r="H86" s="55" t="s">
        <v>90</v>
      </c>
      <c r="I86" s="56" t="s">
        <v>84</v>
      </c>
      <c r="J86" s="55" t="s">
        <v>91</v>
      </c>
      <c r="K86" s="53">
        <v>50</v>
      </c>
      <c r="L86" s="55">
        <v>50</v>
      </c>
      <c r="M86" s="87">
        <v>841</v>
      </c>
      <c r="N86" s="87">
        <v>4616</v>
      </c>
      <c r="O86" s="88">
        <v>43</v>
      </c>
      <c r="P86" s="88">
        <v>71</v>
      </c>
      <c r="Q86" s="89" t="s">
        <v>94</v>
      </c>
      <c r="R86" s="89" t="s">
        <v>94</v>
      </c>
      <c r="S86" s="88">
        <v>895</v>
      </c>
      <c r="T86" s="88">
        <v>1531</v>
      </c>
      <c r="U86" s="90">
        <v>57</v>
      </c>
      <c r="V86" s="90">
        <v>145</v>
      </c>
      <c r="W86" s="88">
        <v>4.9000000000000004</v>
      </c>
      <c r="X86" s="88">
        <v>4.8</v>
      </c>
      <c r="Y86" s="90">
        <v>58</v>
      </c>
      <c r="Z86" s="90">
        <v>113</v>
      </c>
      <c r="AA86" s="88">
        <v>26</v>
      </c>
      <c r="AB86" s="88">
        <v>23</v>
      </c>
      <c r="AC86" s="89">
        <v>3.9</v>
      </c>
      <c r="AD86" s="89">
        <v>4.5</v>
      </c>
      <c r="AE86" s="110">
        <v>85</v>
      </c>
      <c r="AF86" s="111">
        <v>85</v>
      </c>
      <c r="AG86" s="89">
        <v>50</v>
      </c>
      <c r="AH86" s="89">
        <v>39</v>
      </c>
      <c r="AI86" s="88">
        <v>1.2</v>
      </c>
      <c r="AJ86" s="88">
        <v>1.2</v>
      </c>
      <c r="AK86" s="269">
        <f t="shared" si="8"/>
        <v>0</v>
      </c>
      <c r="AL86" s="89">
        <v>3.2</v>
      </c>
      <c r="AM86" s="89">
        <v>3.5</v>
      </c>
      <c r="AN86" s="88">
        <v>7.8</v>
      </c>
      <c r="AO86" s="88">
        <v>7.4</v>
      </c>
      <c r="AP86" s="94" t="s">
        <v>94</v>
      </c>
      <c r="AQ86" s="94" t="s">
        <v>94</v>
      </c>
      <c r="AR86" s="89">
        <v>9.6999999999999993</v>
      </c>
      <c r="AS86" s="89">
        <v>10.199999999999999</v>
      </c>
      <c r="AT86" s="89">
        <v>5.2</v>
      </c>
      <c r="AU86" s="89">
        <v>4.5</v>
      </c>
      <c r="AV86" s="63">
        <v>99</v>
      </c>
      <c r="AW86" s="63">
        <v>98</v>
      </c>
      <c r="AX86" s="63">
        <v>145</v>
      </c>
      <c r="AY86" s="63">
        <v>146</v>
      </c>
      <c r="AZ86" s="89">
        <v>2.2000000000000002</v>
      </c>
      <c r="BA86" s="89">
        <v>2.2000000000000002</v>
      </c>
      <c r="BB86" s="88">
        <v>105</v>
      </c>
      <c r="BC86" s="88">
        <v>100</v>
      </c>
      <c r="BD86" s="96">
        <f t="shared" si="9"/>
        <v>308.03033333333332</v>
      </c>
      <c r="BE86" s="96">
        <f t="shared" si="10"/>
        <v>306.69111111111113</v>
      </c>
      <c r="BF86" s="97" t="s">
        <v>94</v>
      </c>
      <c r="BG86" s="89">
        <v>4.7699999999999996</v>
      </c>
      <c r="BH86" s="94" t="s">
        <v>94</v>
      </c>
      <c r="BI86" s="88">
        <v>14.5</v>
      </c>
      <c r="BJ86" s="97" t="s">
        <v>94</v>
      </c>
      <c r="BK86" s="89">
        <v>42.7</v>
      </c>
      <c r="BL86" s="94" t="s">
        <v>94</v>
      </c>
      <c r="BM86" s="88">
        <v>89.5</v>
      </c>
      <c r="BN86" s="97" t="s">
        <v>94</v>
      </c>
      <c r="BO86" s="89">
        <v>30.4</v>
      </c>
      <c r="BP86" s="94" t="s">
        <v>94</v>
      </c>
      <c r="BQ86" s="88">
        <v>34</v>
      </c>
      <c r="BR86" s="97" t="s">
        <v>94</v>
      </c>
      <c r="BS86" s="89">
        <v>268</v>
      </c>
      <c r="BT86" s="94" t="s">
        <v>94</v>
      </c>
      <c r="BU86" s="88">
        <v>12.1</v>
      </c>
      <c r="BV86" s="97" t="s">
        <v>94</v>
      </c>
      <c r="BW86" s="89">
        <v>1.2</v>
      </c>
      <c r="BX86" s="94" t="s">
        <v>94</v>
      </c>
      <c r="BY86" s="88">
        <v>7.48</v>
      </c>
      <c r="BZ86" s="97" t="s">
        <v>94</v>
      </c>
      <c r="CA86" s="89">
        <v>82.8</v>
      </c>
      <c r="CB86" s="94" t="s">
        <v>94</v>
      </c>
      <c r="CC86" s="88">
        <v>11.2</v>
      </c>
      <c r="CD86" s="97" t="s">
        <v>94</v>
      </c>
      <c r="CE86" s="89">
        <v>5.6</v>
      </c>
      <c r="CF86" s="94" t="s">
        <v>94</v>
      </c>
      <c r="CG86" s="88">
        <v>0.1</v>
      </c>
      <c r="CH86" s="97" t="s">
        <v>94</v>
      </c>
      <c r="CI86" s="89">
        <v>0.3</v>
      </c>
      <c r="CJ86" s="86" t="b">
        <f t="shared" si="11"/>
        <v>0</v>
      </c>
      <c r="CK86" s="2" t="b">
        <f t="shared" si="12"/>
        <v>1</v>
      </c>
      <c r="CL86" s="98">
        <f t="shared" si="13"/>
        <v>72.293760000000006</v>
      </c>
      <c r="CM86" s="98">
        <v>79.2</v>
      </c>
      <c r="CN86" s="98">
        <v>174</v>
      </c>
      <c r="CO86" s="86">
        <v>53.64</v>
      </c>
      <c r="CP86" s="98">
        <v>49.5</v>
      </c>
      <c r="CQ86" s="98">
        <v>49.5</v>
      </c>
      <c r="CR86" s="96">
        <v>8.7200000000000006</v>
      </c>
    </row>
    <row r="87" spans="1:96" ht="15.75" customHeight="1">
      <c r="A87" s="50">
        <v>2018</v>
      </c>
      <c r="B87" s="50" t="s">
        <v>172</v>
      </c>
      <c r="C87" s="100">
        <v>3159</v>
      </c>
      <c r="D87" s="101">
        <v>25</v>
      </c>
      <c r="E87" s="101">
        <v>84</v>
      </c>
      <c r="F87" s="101">
        <v>1</v>
      </c>
      <c r="G87" s="51" t="s">
        <v>86</v>
      </c>
      <c r="H87" s="52" t="s">
        <v>92</v>
      </c>
      <c r="I87" s="53" t="s">
        <v>93</v>
      </c>
      <c r="J87" s="55" t="s">
        <v>88</v>
      </c>
      <c r="K87" s="53" t="s">
        <v>94</v>
      </c>
      <c r="L87" s="52" t="s">
        <v>94</v>
      </c>
      <c r="M87" s="87">
        <v>363</v>
      </c>
      <c r="N87" s="87">
        <v>2611</v>
      </c>
      <c r="O87" s="88">
        <v>5</v>
      </c>
      <c r="P87" s="88">
        <v>53</v>
      </c>
      <c r="Q87" s="89" t="s">
        <v>94</v>
      </c>
      <c r="R87" s="89" t="s">
        <v>94</v>
      </c>
      <c r="S87" s="88">
        <v>349</v>
      </c>
      <c r="T87" s="88">
        <v>666</v>
      </c>
      <c r="U87" s="90">
        <v>46</v>
      </c>
      <c r="V87" s="90">
        <v>138</v>
      </c>
      <c r="W87" s="88">
        <v>4.8</v>
      </c>
      <c r="X87" s="88">
        <v>4.0999999999999996</v>
      </c>
      <c r="Y87" s="90">
        <v>42</v>
      </c>
      <c r="Z87" s="90">
        <v>100</v>
      </c>
      <c r="AA87" s="88">
        <v>13</v>
      </c>
      <c r="AB87" s="88">
        <v>10</v>
      </c>
      <c r="AC87" s="89">
        <v>5.4</v>
      </c>
      <c r="AD87" s="89">
        <v>5.9</v>
      </c>
      <c r="AE87" s="91">
        <v>77.7</v>
      </c>
      <c r="AF87" s="92">
        <v>94.9</v>
      </c>
      <c r="AG87" s="89">
        <v>49</v>
      </c>
      <c r="AH87" s="89">
        <v>45</v>
      </c>
      <c r="AI87" s="88">
        <v>1.3</v>
      </c>
      <c r="AJ87" s="88">
        <v>1.1000000000000001</v>
      </c>
      <c r="AK87" s="269">
        <f t="shared" si="8"/>
        <v>0</v>
      </c>
      <c r="AL87" s="89">
        <v>4.0999999999999996</v>
      </c>
      <c r="AM87" s="89">
        <v>3</v>
      </c>
      <c r="AN87" s="88">
        <v>7.7</v>
      </c>
      <c r="AO87" s="88">
        <v>6.7</v>
      </c>
      <c r="AP87" s="94" t="s">
        <v>94</v>
      </c>
      <c r="AQ87" s="94" t="s">
        <v>94</v>
      </c>
      <c r="AR87" s="89">
        <v>10</v>
      </c>
      <c r="AS87" s="89">
        <v>9.4</v>
      </c>
      <c r="AT87" s="89">
        <v>6.2</v>
      </c>
      <c r="AU87" s="89">
        <v>4.5999999999999996</v>
      </c>
      <c r="AV87" s="63">
        <v>94</v>
      </c>
      <c r="AW87" s="63">
        <v>144</v>
      </c>
      <c r="AX87" s="88">
        <v>144</v>
      </c>
      <c r="AY87" s="88">
        <v>143</v>
      </c>
      <c r="AZ87" s="89">
        <v>2.1</v>
      </c>
      <c r="BA87" s="89">
        <v>2</v>
      </c>
      <c r="BB87" s="88">
        <v>106</v>
      </c>
      <c r="BC87" s="88">
        <v>108</v>
      </c>
      <c r="BD87" s="96">
        <f t="shared" si="9"/>
        <v>307.54422222222223</v>
      </c>
      <c r="BE87" s="96">
        <f t="shared" si="10"/>
        <v>305.23599999999999</v>
      </c>
      <c r="BF87" s="89">
        <v>5.22</v>
      </c>
      <c r="BG87" s="89">
        <v>4.5199999999999996</v>
      </c>
      <c r="BH87" s="88">
        <v>14.9</v>
      </c>
      <c r="BI87" s="88">
        <v>13.1</v>
      </c>
      <c r="BJ87" s="89">
        <v>47.7</v>
      </c>
      <c r="BK87" s="89">
        <v>38.700000000000003</v>
      </c>
      <c r="BL87" s="88">
        <v>91.4</v>
      </c>
      <c r="BM87" s="88">
        <v>85.6</v>
      </c>
      <c r="BN87" s="89">
        <v>28.5</v>
      </c>
      <c r="BO87" s="89">
        <v>29</v>
      </c>
      <c r="BP87" s="88">
        <v>31.2</v>
      </c>
      <c r="BQ87" s="88">
        <v>33.9</v>
      </c>
      <c r="BR87" s="89">
        <v>242</v>
      </c>
      <c r="BS87" s="89">
        <v>246</v>
      </c>
      <c r="BT87" s="88">
        <v>12.9</v>
      </c>
      <c r="BU87" s="88">
        <v>12.4</v>
      </c>
      <c r="BV87" s="97" t="s">
        <v>94</v>
      </c>
      <c r="BW87" s="89">
        <v>1.1100000000000001</v>
      </c>
      <c r="BX87" s="88">
        <v>4.91</v>
      </c>
      <c r="BY87" s="88">
        <v>5.79</v>
      </c>
      <c r="BZ87" s="89">
        <v>52</v>
      </c>
      <c r="CA87" s="89">
        <v>67.8</v>
      </c>
      <c r="CB87" s="88">
        <v>34.6</v>
      </c>
      <c r="CC87" s="88">
        <v>21.6</v>
      </c>
      <c r="CD87" s="89">
        <v>11.2</v>
      </c>
      <c r="CE87" s="89">
        <v>6.2</v>
      </c>
      <c r="CF87" s="88">
        <v>1.2</v>
      </c>
      <c r="CG87" s="88">
        <v>3.5</v>
      </c>
      <c r="CH87" s="89">
        <v>1</v>
      </c>
      <c r="CI87" s="89">
        <v>0.9</v>
      </c>
      <c r="CJ87" s="86" t="b">
        <f t="shared" si="11"/>
        <v>0</v>
      </c>
      <c r="CK87" s="2" t="b">
        <f t="shared" si="12"/>
        <v>1</v>
      </c>
      <c r="CL87" s="98">
        <f t="shared" si="13"/>
        <v>75.355769999999993</v>
      </c>
      <c r="CM87" s="98">
        <v>84.3</v>
      </c>
      <c r="CN87" s="98">
        <v>178</v>
      </c>
      <c r="CO87" s="86">
        <v>52.69</v>
      </c>
      <c r="CP87" s="98">
        <v>60</v>
      </c>
      <c r="CQ87" s="98">
        <v>57</v>
      </c>
      <c r="CR87" s="96">
        <v>10.61</v>
      </c>
    </row>
    <row r="88" spans="1:96" ht="15.75" customHeight="1">
      <c r="A88" s="50">
        <v>2018</v>
      </c>
      <c r="B88" s="50" t="s">
        <v>172</v>
      </c>
      <c r="C88" s="104">
        <v>3165</v>
      </c>
      <c r="D88" s="104">
        <v>33</v>
      </c>
      <c r="E88" s="104">
        <v>82</v>
      </c>
      <c r="F88" s="104">
        <v>1</v>
      </c>
      <c r="G88" s="51" t="s">
        <v>86</v>
      </c>
      <c r="H88" s="52" t="s">
        <v>83</v>
      </c>
      <c r="I88" s="53" t="s">
        <v>87</v>
      </c>
      <c r="J88" s="52" t="s">
        <v>88</v>
      </c>
      <c r="K88" s="53">
        <v>50</v>
      </c>
      <c r="L88" s="52">
        <v>50</v>
      </c>
      <c r="M88" s="87">
        <v>192</v>
      </c>
      <c r="N88" s="87">
        <v>1111</v>
      </c>
      <c r="O88" s="88">
        <v>3</v>
      </c>
      <c r="P88" s="88">
        <v>15</v>
      </c>
      <c r="Q88" s="89" t="s">
        <v>94</v>
      </c>
      <c r="R88" s="89" t="s">
        <v>94</v>
      </c>
      <c r="S88" s="88">
        <v>643</v>
      </c>
      <c r="T88" s="88">
        <v>1089</v>
      </c>
      <c r="U88" s="90">
        <v>32</v>
      </c>
      <c r="V88" s="90">
        <v>94</v>
      </c>
      <c r="W88" s="88">
        <v>4.8</v>
      </c>
      <c r="X88" s="88">
        <v>4.3</v>
      </c>
      <c r="Y88" s="90">
        <v>32</v>
      </c>
      <c r="Z88" s="90">
        <v>85</v>
      </c>
      <c r="AA88" s="88">
        <v>39</v>
      </c>
      <c r="AB88" s="88">
        <v>40</v>
      </c>
      <c r="AC88" s="89">
        <v>5.7</v>
      </c>
      <c r="AD88" s="89">
        <v>5.2</v>
      </c>
      <c r="AE88" s="102">
        <v>101.3</v>
      </c>
      <c r="AF88" s="103">
        <v>101.3</v>
      </c>
      <c r="AG88" s="89">
        <v>43</v>
      </c>
      <c r="AH88" s="89">
        <v>52</v>
      </c>
      <c r="AI88" s="88">
        <v>1</v>
      </c>
      <c r="AJ88" s="88">
        <v>1</v>
      </c>
      <c r="AK88" s="269">
        <f t="shared" si="8"/>
        <v>0</v>
      </c>
      <c r="AL88" s="89">
        <v>3.6</v>
      </c>
      <c r="AM88" s="89">
        <v>3.3</v>
      </c>
      <c r="AN88" s="88">
        <v>7.7</v>
      </c>
      <c r="AO88" s="88">
        <v>6.7</v>
      </c>
      <c r="AP88" s="94" t="s">
        <v>94</v>
      </c>
      <c r="AQ88" s="94" t="s">
        <v>94</v>
      </c>
      <c r="AR88" s="89">
        <v>9.3000000000000007</v>
      </c>
      <c r="AS88" s="89">
        <v>9.5</v>
      </c>
      <c r="AT88" s="89">
        <v>4.8</v>
      </c>
      <c r="AU88" s="89">
        <v>4.5</v>
      </c>
      <c r="AV88" s="63">
        <v>96</v>
      </c>
      <c r="AW88" s="63">
        <v>142</v>
      </c>
      <c r="AX88" s="88">
        <v>142</v>
      </c>
      <c r="AY88" s="88">
        <v>142</v>
      </c>
      <c r="AZ88" s="89">
        <v>2</v>
      </c>
      <c r="BA88" s="89">
        <v>1.9</v>
      </c>
      <c r="BB88" s="88">
        <v>102</v>
      </c>
      <c r="BC88" s="88">
        <v>103</v>
      </c>
      <c r="BD88" s="96">
        <f t="shared" si="9"/>
        <v>300.34800000000007</v>
      </c>
      <c r="BE88" s="96">
        <f t="shared" si="10"/>
        <v>304.22888888888889</v>
      </c>
      <c r="BF88" s="89">
        <v>4.37</v>
      </c>
      <c r="BG88" s="89">
        <v>4.0599999999999996</v>
      </c>
      <c r="BH88" s="88">
        <v>13.3</v>
      </c>
      <c r="BI88" s="88">
        <v>12.5</v>
      </c>
      <c r="BJ88" s="89">
        <v>41.9</v>
      </c>
      <c r="BK88" s="89">
        <v>37.5</v>
      </c>
      <c r="BL88" s="88">
        <v>95.9</v>
      </c>
      <c r="BM88" s="88">
        <v>92.4</v>
      </c>
      <c r="BN88" s="89">
        <v>30.4</v>
      </c>
      <c r="BO88" s="89">
        <v>30.8</v>
      </c>
      <c r="BP88" s="88">
        <v>31.7</v>
      </c>
      <c r="BQ88" s="88">
        <v>33.299999999999997</v>
      </c>
      <c r="BR88" s="89">
        <v>192</v>
      </c>
      <c r="BS88" s="89">
        <v>259</v>
      </c>
      <c r="BT88" s="88">
        <v>11.7</v>
      </c>
      <c r="BU88" s="88">
        <v>12.1</v>
      </c>
      <c r="BV88" s="89" t="s">
        <v>94</v>
      </c>
      <c r="BW88" s="89">
        <v>2.27</v>
      </c>
      <c r="BX88" s="88">
        <v>6.31</v>
      </c>
      <c r="BY88" s="88">
        <v>10.56</v>
      </c>
      <c r="BZ88" s="89">
        <v>79.099999999999994</v>
      </c>
      <c r="CA88" s="89">
        <v>82.6</v>
      </c>
      <c r="CB88" s="88">
        <v>15.2</v>
      </c>
      <c r="CC88" s="88">
        <v>10.9</v>
      </c>
      <c r="CD88" s="89">
        <v>4.0999999999999996</v>
      </c>
      <c r="CE88" s="89">
        <v>5.5</v>
      </c>
      <c r="CF88" s="88">
        <v>1.1000000000000001</v>
      </c>
      <c r="CG88" s="88">
        <v>0.9</v>
      </c>
      <c r="CH88" s="89">
        <v>0.5</v>
      </c>
      <c r="CI88" s="89">
        <v>0.1</v>
      </c>
      <c r="CJ88" s="104" t="b">
        <f t="shared" si="11"/>
        <v>0</v>
      </c>
      <c r="CK88" s="5" t="b">
        <f t="shared" si="12"/>
        <v>1</v>
      </c>
      <c r="CL88" s="98">
        <f t="shared" si="13"/>
        <v>67.787359999999993</v>
      </c>
      <c r="CM88" s="98">
        <v>79.599999999999994</v>
      </c>
      <c r="CN88" s="98">
        <v>182</v>
      </c>
      <c r="CO88" s="86">
        <v>51.21</v>
      </c>
      <c r="CP88" s="98">
        <v>51</v>
      </c>
      <c r="CQ88" s="98">
        <v>49</v>
      </c>
      <c r="CR88" s="96">
        <v>14.84</v>
      </c>
    </row>
    <row r="89" spans="1:96" ht="15.75" customHeight="1">
      <c r="A89" s="50">
        <v>2018</v>
      </c>
      <c r="B89" s="50" t="s">
        <v>172</v>
      </c>
      <c r="C89" s="100">
        <v>3169</v>
      </c>
      <c r="D89" s="101">
        <v>31</v>
      </c>
      <c r="E89" s="101">
        <v>92</v>
      </c>
      <c r="F89" s="101">
        <v>1</v>
      </c>
      <c r="G89" s="51" t="s">
        <v>82</v>
      </c>
      <c r="H89" s="52" t="s">
        <v>83</v>
      </c>
      <c r="I89" s="53" t="s">
        <v>84</v>
      </c>
      <c r="J89" s="52" t="s">
        <v>85</v>
      </c>
      <c r="K89" s="53">
        <v>100</v>
      </c>
      <c r="L89" s="52">
        <v>0</v>
      </c>
      <c r="M89" s="87">
        <v>437</v>
      </c>
      <c r="N89" s="87">
        <v>2840</v>
      </c>
      <c r="O89" s="88">
        <v>4</v>
      </c>
      <c r="P89" s="88">
        <v>40</v>
      </c>
      <c r="Q89" s="89" t="s">
        <v>94</v>
      </c>
      <c r="R89" s="89" t="s">
        <v>94</v>
      </c>
      <c r="S89" s="88">
        <v>685</v>
      </c>
      <c r="T89" s="88">
        <v>1090</v>
      </c>
      <c r="U89" s="90">
        <v>65</v>
      </c>
      <c r="V89" s="90">
        <v>162</v>
      </c>
      <c r="W89" s="88">
        <v>4.9000000000000004</v>
      </c>
      <c r="X89" s="88">
        <v>4.5</v>
      </c>
      <c r="Y89" s="90">
        <v>54</v>
      </c>
      <c r="Z89" s="90">
        <v>110</v>
      </c>
      <c r="AA89" s="88">
        <v>20</v>
      </c>
      <c r="AB89" s="88">
        <v>20</v>
      </c>
      <c r="AC89" s="89">
        <v>7.9</v>
      </c>
      <c r="AD89" s="89">
        <v>8.6</v>
      </c>
      <c r="AE89" s="102">
        <v>82.4</v>
      </c>
      <c r="AF89" s="103">
        <v>102.6</v>
      </c>
      <c r="AG89" s="89">
        <v>37</v>
      </c>
      <c r="AH89" s="89">
        <v>47</v>
      </c>
      <c r="AI89" s="88">
        <v>1.2</v>
      </c>
      <c r="AJ89" s="88">
        <v>1</v>
      </c>
      <c r="AK89" s="269">
        <f t="shared" si="8"/>
        <v>0</v>
      </c>
      <c r="AL89" s="89">
        <v>3.1</v>
      </c>
      <c r="AM89" s="89">
        <v>3.6</v>
      </c>
      <c r="AN89" s="88">
        <v>8.5</v>
      </c>
      <c r="AO89" s="88">
        <v>7.7</v>
      </c>
      <c r="AP89" s="94" t="s">
        <v>94</v>
      </c>
      <c r="AQ89" s="94" t="s">
        <v>94</v>
      </c>
      <c r="AR89" s="89">
        <v>9.8000000000000007</v>
      </c>
      <c r="AS89" s="89">
        <v>9.5</v>
      </c>
      <c r="AT89" s="89">
        <v>5.6</v>
      </c>
      <c r="AU89" s="89">
        <v>4.8</v>
      </c>
      <c r="AV89" s="63">
        <v>110</v>
      </c>
      <c r="AW89" s="66">
        <v>105</v>
      </c>
      <c r="AX89" s="88">
        <v>146</v>
      </c>
      <c r="AY89" s="88">
        <v>146</v>
      </c>
      <c r="AZ89" s="89">
        <v>2.1</v>
      </c>
      <c r="BA89" s="89">
        <v>2.1</v>
      </c>
      <c r="BB89" s="88">
        <v>105</v>
      </c>
      <c r="BC89" s="88">
        <v>106</v>
      </c>
      <c r="BD89" s="96">
        <f t="shared" si="9"/>
        <v>309.17044444444446</v>
      </c>
      <c r="BE89" s="96">
        <f t="shared" si="10"/>
        <v>309.02966666666669</v>
      </c>
      <c r="BF89" s="89">
        <v>4.62</v>
      </c>
      <c r="BG89" s="89">
        <v>4.24</v>
      </c>
      <c r="BH89" s="88">
        <v>13.6</v>
      </c>
      <c r="BI89" s="88">
        <v>12.6</v>
      </c>
      <c r="BJ89" s="89">
        <v>43.7</v>
      </c>
      <c r="BK89" s="89">
        <v>38.200000000000003</v>
      </c>
      <c r="BL89" s="88">
        <v>94.6</v>
      </c>
      <c r="BM89" s="88">
        <v>90.1</v>
      </c>
      <c r="BN89" s="89">
        <v>29.4</v>
      </c>
      <c r="BO89" s="89">
        <v>29.7</v>
      </c>
      <c r="BP89" s="88">
        <v>31.1</v>
      </c>
      <c r="BQ89" s="88">
        <v>33</v>
      </c>
      <c r="BR89" s="89">
        <v>279</v>
      </c>
      <c r="BS89" s="89">
        <v>305</v>
      </c>
      <c r="BT89" s="88">
        <v>13.1</v>
      </c>
      <c r="BU89" s="88">
        <v>13.4</v>
      </c>
      <c r="BV89" s="97" t="s">
        <v>94</v>
      </c>
      <c r="BW89" s="89">
        <v>1.68</v>
      </c>
      <c r="BX89" s="88">
        <v>9.18</v>
      </c>
      <c r="BY89" s="88">
        <v>12.45</v>
      </c>
      <c r="BZ89" s="89">
        <v>80.900000000000006</v>
      </c>
      <c r="CA89" s="89">
        <v>81.2</v>
      </c>
      <c r="CB89" s="88">
        <v>13.4</v>
      </c>
      <c r="CC89" s="88">
        <v>10.199999999999999</v>
      </c>
      <c r="CD89" s="89">
        <v>5.2</v>
      </c>
      <c r="CE89" s="89">
        <v>7.9</v>
      </c>
      <c r="CF89" s="88">
        <v>0.1</v>
      </c>
      <c r="CG89" s="88">
        <v>0.4</v>
      </c>
      <c r="CH89" s="89">
        <v>0.4</v>
      </c>
      <c r="CI89" s="89">
        <v>0.3</v>
      </c>
      <c r="CJ89" s="86" t="b">
        <f t="shared" si="11"/>
        <v>0</v>
      </c>
      <c r="CK89" s="2" t="b">
        <f t="shared" si="12"/>
        <v>1</v>
      </c>
      <c r="CL89" s="98">
        <f t="shared" si="13"/>
        <v>74.95620000000001</v>
      </c>
      <c r="CM89" s="98">
        <v>90.2</v>
      </c>
      <c r="CN89" s="98">
        <v>184.5</v>
      </c>
      <c r="CO89" s="86">
        <v>48.67</v>
      </c>
      <c r="CP89" s="98">
        <v>54</v>
      </c>
      <c r="CQ89" s="98">
        <v>47</v>
      </c>
      <c r="CR89" s="96">
        <v>16.899999999999999</v>
      </c>
    </row>
    <row r="90" spans="1:96" ht="15.75" customHeight="1">
      <c r="A90" s="50">
        <v>2018</v>
      </c>
      <c r="B90" s="50" t="s">
        <v>172</v>
      </c>
      <c r="C90" s="100">
        <v>3175</v>
      </c>
      <c r="D90" s="101">
        <v>32</v>
      </c>
      <c r="E90" s="101">
        <v>96</v>
      </c>
      <c r="F90" s="101">
        <v>2</v>
      </c>
      <c r="G90" s="74" t="s">
        <v>89</v>
      </c>
      <c r="H90" s="55" t="s">
        <v>90</v>
      </c>
      <c r="I90" s="56" t="s">
        <v>84</v>
      </c>
      <c r="J90" s="55" t="s">
        <v>91</v>
      </c>
      <c r="K90" s="57">
        <v>45.8333333333333</v>
      </c>
      <c r="L90" s="58">
        <v>54.1666666666667</v>
      </c>
      <c r="M90" s="87">
        <v>719</v>
      </c>
      <c r="N90" s="87">
        <v>13785</v>
      </c>
      <c r="O90" s="88">
        <v>15</v>
      </c>
      <c r="P90" s="88">
        <v>255</v>
      </c>
      <c r="Q90" s="89" t="s">
        <v>94</v>
      </c>
      <c r="R90" s="89" t="s">
        <v>94</v>
      </c>
      <c r="S90" s="88">
        <v>694</v>
      </c>
      <c r="T90" s="88">
        <v>2598</v>
      </c>
      <c r="U90" s="90">
        <v>61</v>
      </c>
      <c r="V90" s="90">
        <v>293</v>
      </c>
      <c r="W90" s="88">
        <v>5</v>
      </c>
      <c r="X90" s="88">
        <v>4.5</v>
      </c>
      <c r="Y90" s="90">
        <v>57</v>
      </c>
      <c r="Z90" s="90">
        <v>169</v>
      </c>
      <c r="AA90" s="88">
        <v>26</v>
      </c>
      <c r="AB90" s="88">
        <v>25</v>
      </c>
      <c r="AC90" s="89">
        <v>4.7</v>
      </c>
      <c r="AD90" s="89">
        <v>4.7</v>
      </c>
      <c r="AE90" s="102">
        <v>91.5</v>
      </c>
      <c r="AF90" s="103">
        <v>102.6</v>
      </c>
      <c r="AG90" s="89">
        <v>50</v>
      </c>
      <c r="AH90" s="89">
        <v>46</v>
      </c>
      <c r="AI90" s="88">
        <v>1.1000000000000001</v>
      </c>
      <c r="AJ90" s="88">
        <v>1</v>
      </c>
      <c r="AK90" s="269">
        <f t="shared" si="8"/>
        <v>0</v>
      </c>
      <c r="AL90" s="89">
        <v>4</v>
      </c>
      <c r="AM90" s="89">
        <v>3</v>
      </c>
      <c r="AN90" s="88">
        <v>8.6</v>
      </c>
      <c r="AO90" s="88">
        <v>7.8</v>
      </c>
      <c r="AP90" s="94" t="s">
        <v>94</v>
      </c>
      <c r="AQ90" s="94" t="s">
        <v>94</v>
      </c>
      <c r="AR90" s="89">
        <v>10.199999999999999</v>
      </c>
      <c r="AS90" s="89">
        <v>9.6999999999999993</v>
      </c>
      <c r="AT90" s="89">
        <v>5.3</v>
      </c>
      <c r="AU90" s="89">
        <v>4.4000000000000004</v>
      </c>
      <c r="AV90" s="63">
        <v>99</v>
      </c>
      <c r="AW90" s="66">
        <v>119</v>
      </c>
      <c r="AX90" s="88">
        <v>143</v>
      </c>
      <c r="AY90" s="88">
        <v>143</v>
      </c>
      <c r="AZ90" s="89">
        <v>2</v>
      </c>
      <c r="BA90" s="89">
        <v>2.1</v>
      </c>
      <c r="BB90" s="88">
        <v>105</v>
      </c>
      <c r="BC90" s="88">
        <v>107</v>
      </c>
      <c r="BD90" s="96">
        <f t="shared" si="9"/>
        <v>304.49633333333333</v>
      </c>
      <c r="BE90" s="96">
        <f t="shared" si="10"/>
        <v>303.43344444444449</v>
      </c>
      <c r="BF90" s="89">
        <v>4.8899999999999997</v>
      </c>
      <c r="BG90" s="89">
        <v>4.57</v>
      </c>
      <c r="BH90" s="88">
        <v>14.5</v>
      </c>
      <c r="BI90" s="88">
        <v>13.7</v>
      </c>
      <c r="BJ90" s="89">
        <v>46.1</v>
      </c>
      <c r="BK90" s="89">
        <v>40.799999999999997</v>
      </c>
      <c r="BL90" s="88">
        <v>94.3</v>
      </c>
      <c r="BM90" s="88">
        <v>89.3</v>
      </c>
      <c r="BN90" s="89">
        <v>29.7</v>
      </c>
      <c r="BO90" s="89">
        <v>30</v>
      </c>
      <c r="BP90" s="88">
        <v>31.5</v>
      </c>
      <c r="BQ90" s="88">
        <v>33.6</v>
      </c>
      <c r="BR90" s="89">
        <v>154</v>
      </c>
      <c r="BS90" s="89">
        <v>206</v>
      </c>
      <c r="BT90" s="88">
        <v>12.8</v>
      </c>
      <c r="BU90" s="88">
        <v>12.8</v>
      </c>
      <c r="BV90" s="97" t="s">
        <v>94</v>
      </c>
      <c r="BW90" s="89">
        <v>1.27</v>
      </c>
      <c r="BX90" s="88">
        <v>2.0699999999999998</v>
      </c>
      <c r="BY90" s="88">
        <v>9.34</v>
      </c>
      <c r="BZ90" s="89">
        <v>49.7</v>
      </c>
      <c r="CA90" s="89">
        <v>74.2</v>
      </c>
      <c r="CB90" s="88">
        <v>38.200000000000003</v>
      </c>
      <c r="CC90" s="88">
        <v>17.899999999999999</v>
      </c>
      <c r="CD90" s="89">
        <v>9.6999999999999993</v>
      </c>
      <c r="CE90" s="89">
        <v>6.9</v>
      </c>
      <c r="CF90" s="88">
        <v>1</v>
      </c>
      <c r="CG90" s="88">
        <v>0.9</v>
      </c>
      <c r="CH90" s="89">
        <v>1.4</v>
      </c>
      <c r="CI90" s="89">
        <v>0.1</v>
      </c>
      <c r="CJ90" s="86" t="b">
        <f t="shared" si="11"/>
        <v>0</v>
      </c>
      <c r="CK90" s="2" t="b">
        <f t="shared" si="12"/>
        <v>1</v>
      </c>
      <c r="CL90" s="98">
        <f t="shared" si="13"/>
        <v>82.029080000000008</v>
      </c>
      <c r="CM90" s="98">
        <v>90.7</v>
      </c>
      <c r="CN90" s="98">
        <v>191</v>
      </c>
      <c r="CO90" s="86">
        <v>50.01</v>
      </c>
      <c r="CP90" s="98">
        <v>56.5</v>
      </c>
      <c r="CQ90" s="98">
        <v>54.5</v>
      </c>
      <c r="CR90" s="96">
        <v>9.56</v>
      </c>
    </row>
    <row r="91" spans="1:96" ht="15.75" customHeight="1">
      <c r="A91" s="50">
        <v>2018</v>
      </c>
      <c r="B91" s="50" t="s">
        <v>172</v>
      </c>
      <c r="C91" s="105">
        <v>3180</v>
      </c>
      <c r="D91" s="105">
        <v>30</v>
      </c>
      <c r="E91" s="105">
        <v>78</v>
      </c>
      <c r="F91" s="105">
        <v>1</v>
      </c>
      <c r="G91" s="51" t="s">
        <v>89</v>
      </c>
      <c r="H91" s="52" t="s">
        <v>92</v>
      </c>
      <c r="I91" s="53" t="s">
        <v>93</v>
      </c>
      <c r="J91" s="52" t="s">
        <v>85</v>
      </c>
      <c r="K91" s="57">
        <v>54.1666666666667</v>
      </c>
      <c r="L91" s="59">
        <v>45.8333333333333</v>
      </c>
      <c r="M91" s="87">
        <v>605</v>
      </c>
      <c r="N91" s="87">
        <v>1330</v>
      </c>
      <c r="O91" s="88">
        <v>3</v>
      </c>
      <c r="P91" s="88">
        <v>37</v>
      </c>
      <c r="Q91" s="89" t="s">
        <v>94</v>
      </c>
      <c r="R91" s="89" t="s">
        <v>94</v>
      </c>
      <c r="S91" s="88">
        <v>583</v>
      </c>
      <c r="T91" s="88">
        <v>996</v>
      </c>
      <c r="U91" s="90">
        <v>46</v>
      </c>
      <c r="V91" s="90">
        <v>89</v>
      </c>
      <c r="W91" s="88">
        <v>4.7</v>
      </c>
      <c r="X91" s="88">
        <v>4</v>
      </c>
      <c r="Y91" s="90">
        <v>39</v>
      </c>
      <c r="Z91" s="90">
        <v>87</v>
      </c>
      <c r="AA91" s="88">
        <v>14</v>
      </c>
      <c r="AB91" s="88">
        <v>15</v>
      </c>
      <c r="AC91" s="89">
        <v>4.5999999999999996</v>
      </c>
      <c r="AD91" s="89">
        <v>6.3</v>
      </c>
      <c r="AE91" s="102">
        <v>93.8</v>
      </c>
      <c r="AF91" s="103">
        <v>105.1</v>
      </c>
      <c r="AG91" s="89">
        <v>35</v>
      </c>
      <c r="AH91" s="89">
        <v>33</v>
      </c>
      <c r="AI91" s="88">
        <v>1.1000000000000001</v>
      </c>
      <c r="AJ91" s="88">
        <v>1</v>
      </c>
      <c r="AK91" s="269">
        <f t="shared" si="8"/>
        <v>0</v>
      </c>
      <c r="AL91" s="89">
        <v>3.3</v>
      </c>
      <c r="AM91" s="89">
        <v>3.5</v>
      </c>
      <c r="AN91" s="88">
        <v>7.2</v>
      </c>
      <c r="AO91" s="88">
        <v>6.2</v>
      </c>
      <c r="AP91" s="88" t="s">
        <v>94</v>
      </c>
      <c r="AQ91" s="94" t="s">
        <v>94</v>
      </c>
      <c r="AR91" s="89">
        <v>9.4</v>
      </c>
      <c r="AS91" s="89">
        <v>9</v>
      </c>
      <c r="AT91" s="89">
        <v>5.0999999999999996</v>
      </c>
      <c r="AU91" s="89">
        <v>4.3</v>
      </c>
      <c r="AV91" s="63">
        <v>106</v>
      </c>
      <c r="AW91" s="66">
        <v>142</v>
      </c>
      <c r="AX91" s="88">
        <v>143</v>
      </c>
      <c r="AY91" s="88">
        <v>144</v>
      </c>
      <c r="AZ91" s="89">
        <v>2</v>
      </c>
      <c r="BA91" s="89">
        <v>2</v>
      </c>
      <c r="BB91" s="88">
        <v>105</v>
      </c>
      <c r="BC91" s="88">
        <v>105</v>
      </c>
      <c r="BD91" s="96">
        <f t="shared" si="9"/>
        <v>302.07155555555556</v>
      </c>
      <c r="BE91" s="96">
        <f t="shared" si="10"/>
        <v>304.41022222222227</v>
      </c>
      <c r="BF91" s="89">
        <v>4.9800000000000004</v>
      </c>
      <c r="BG91" s="89">
        <v>4.74</v>
      </c>
      <c r="BH91" s="88">
        <v>15.1</v>
      </c>
      <c r="BI91" s="88">
        <v>14.3</v>
      </c>
      <c r="BJ91" s="89">
        <v>46.6</v>
      </c>
      <c r="BK91" s="89">
        <v>42.3</v>
      </c>
      <c r="BL91" s="88">
        <v>93.6</v>
      </c>
      <c r="BM91" s="88">
        <v>89.2</v>
      </c>
      <c r="BN91" s="89">
        <v>30.3</v>
      </c>
      <c r="BO91" s="89">
        <v>30.2</v>
      </c>
      <c r="BP91" s="88">
        <v>32.4</v>
      </c>
      <c r="BQ91" s="88">
        <v>33.799999999999997</v>
      </c>
      <c r="BR91" s="89">
        <v>168</v>
      </c>
      <c r="BS91" s="89">
        <v>230</v>
      </c>
      <c r="BT91" s="88">
        <v>13.4</v>
      </c>
      <c r="BU91" s="88">
        <v>13.2</v>
      </c>
      <c r="BV91" s="97" t="s">
        <v>94</v>
      </c>
      <c r="BW91" s="89">
        <v>1.46</v>
      </c>
      <c r="BX91" s="88">
        <v>8.6999999999999993</v>
      </c>
      <c r="BY91" s="88">
        <v>9.6300000000000008</v>
      </c>
      <c r="BZ91" s="89">
        <v>78.900000000000006</v>
      </c>
      <c r="CA91" s="89">
        <v>79</v>
      </c>
      <c r="CB91" s="88">
        <v>15.3</v>
      </c>
      <c r="CC91" s="88">
        <v>13.3</v>
      </c>
      <c r="CD91" s="89">
        <v>5.2</v>
      </c>
      <c r="CE91" s="89">
        <v>7.3</v>
      </c>
      <c r="CF91" s="88">
        <v>0.1</v>
      </c>
      <c r="CG91" s="88">
        <v>0.2</v>
      </c>
      <c r="CH91" s="89">
        <v>0.5</v>
      </c>
      <c r="CI91" s="89">
        <v>0.2</v>
      </c>
      <c r="CJ91" s="105" t="b">
        <f t="shared" si="11"/>
        <v>0</v>
      </c>
      <c r="CK91" s="6" t="b">
        <f t="shared" si="12"/>
        <v>1</v>
      </c>
      <c r="CL91" s="98">
        <f t="shared" si="13"/>
        <v>67.7637</v>
      </c>
      <c r="CM91" s="98">
        <v>76.5</v>
      </c>
      <c r="CN91" s="98">
        <v>177</v>
      </c>
      <c r="CO91" s="86">
        <v>51.95</v>
      </c>
      <c r="CP91" s="98">
        <v>41</v>
      </c>
      <c r="CQ91" s="98">
        <v>38</v>
      </c>
      <c r="CR91" s="96">
        <v>11.42</v>
      </c>
    </row>
    <row r="92" spans="1:96" ht="15.75" customHeight="1">
      <c r="A92" s="50">
        <v>2018</v>
      </c>
      <c r="B92" s="50" t="s">
        <v>172</v>
      </c>
      <c r="C92" s="104">
        <v>3181</v>
      </c>
      <c r="D92" s="101">
        <v>28</v>
      </c>
      <c r="E92" s="101">
        <v>86.6</v>
      </c>
      <c r="F92" s="101">
        <v>1</v>
      </c>
      <c r="G92" s="51" t="s">
        <v>89</v>
      </c>
      <c r="H92" s="52" t="s">
        <v>83</v>
      </c>
      <c r="I92" s="53" t="s">
        <v>84</v>
      </c>
      <c r="J92" s="52" t="s">
        <v>88</v>
      </c>
      <c r="K92" s="57">
        <v>54.1666666666667</v>
      </c>
      <c r="L92" s="59">
        <v>45.8333333333333</v>
      </c>
      <c r="M92" s="87">
        <v>792</v>
      </c>
      <c r="N92" s="87">
        <v>9004</v>
      </c>
      <c r="O92" s="88">
        <v>57</v>
      </c>
      <c r="P92" s="88">
        <v>61</v>
      </c>
      <c r="Q92" s="89" t="s">
        <v>94</v>
      </c>
      <c r="R92" s="89" t="s">
        <v>94</v>
      </c>
      <c r="S92" s="88">
        <v>1471</v>
      </c>
      <c r="T92" s="88">
        <v>1436</v>
      </c>
      <c r="U92" s="90">
        <v>123</v>
      </c>
      <c r="V92" s="90">
        <v>126</v>
      </c>
      <c r="W92" s="88">
        <v>4.8</v>
      </c>
      <c r="X92" s="88">
        <v>4.9000000000000004</v>
      </c>
      <c r="Y92" s="90">
        <v>56</v>
      </c>
      <c r="Z92" s="90">
        <v>62</v>
      </c>
      <c r="AA92" s="88">
        <v>21</v>
      </c>
      <c r="AB92" s="88">
        <v>21</v>
      </c>
      <c r="AC92" s="89">
        <v>4.8</v>
      </c>
      <c r="AD92" s="89" t="s">
        <v>94</v>
      </c>
      <c r="AE92" s="102">
        <v>70.2</v>
      </c>
      <c r="AF92" s="103">
        <v>76.7</v>
      </c>
      <c r="AG92" s="89">
        <v>47</v>
      </c>
      <c r="AH92" s="89">
        <v>48</v>
      </c>
      <c r="AI92" s="88">
        <v>1.4</v>
      </c>
      <c r="AJ92" s="88">
        <v>1.3</v>
      </c>
      <c r="AK92" s="269">
        <f t="shared" si="8"/>
        <v>0</v>
      </c>
      <c r="AL92" s="89">
        <v>3.6</v>
      </c>
      <c r="AM92" s="89">
        <v>3.7</v>
      </c>
      <c r="AN92" s="88">
        <v>7.7</v>
      </c>
      <c r="AO92" s="88">
        <v>7.9</v>
      </c>
      <c r="AP92" s="94" t="s">
        <v>94</v>
      </c>
      <c r="AQ92" s="94" t="s">
        <v>94</v>
      </c>
      <c r="AR92" s="89">
        <v>9.9</v>
      </c>
      <c r="AS92" s="89">
        <v>10.199999999999999</v>
      </c>
      <c r="AT92" s="89">
        <v>5.5</v>
      </c>
      <c r="AU92" s="89">
        <v>5.6</v>
      </c>
      <c r="AV92" s="63">
        <v>106</v>
      </c>
      <c r="AW92" s="66">
        <v>114</v>
      </c>
      <c r="AX92" s="88">
        <v>145</v>
      </c>
      <c r="AY92" s="88">
        <v>143</v>
      </c>
      <c r="AZ92" s="89">
        <v>2.1</v>
      </c>
      <c r="BA92" s="97" t="s">
        <v>94</v>
      </c>
      <c r="BB92" s="88">
        <v>105</v>
      </c>
      <c r="BC92" s="94" t="s">
        <v>94</v>
      </c>
      <c r="BD92" s="96">
        <f t="shared" si="9"/>
        <v>308.53555555555556</v>
      </c>
      <c r="BE92" s="96">
        <f t="shared" si="10"/>
        <v>305.67933333333337</v>
      </c>
      <c r="BF92" s="89">
        <v>5.14</v>
      </c>
      <c r="BG92" s="89">
        <v>4.53</v>
      </c>
      <c r="BH92" s="88">
        <v>15.4</v>
      </c>
      <c r="BI92" s="88">
        <v>14</v>
      </c>
      <c r="BJ92" s="89">
        <v>48.6</v>
      </c>
      <c r="BK92" s="89">
        <v>41.1</v>
      </c>
      <c r="BL92" s="88">
        <v>94.6</v>
      </c>
      <c r="BM92" s="88">
        <v>90.7</v>
      </c>
      <c r="BN92" s="89">
        <v>30</v>
      </c>
      <c r="BO92" s="89">
        <v>30.9</v>
      </c>
      <c r="BP92" s="88">
        <v>31.7</v>
      </c>
      <c r="BQ92" s="88">
        <v>34.1</v>
      </c>
      <c r="BR92" s="89">
        <v>265</v>
      </c>
      <c r="BS92" s="89">
        <v>267</v>
      </c>
      <c r="BT92" s="88">
        <v>12.7</v>
      </c>
      <c r="BU92" s="88">
        <v>13</v>
      </c>
      <c r="BV92" s="97" t="s">
        <v>94</v>
      </c>
      <c r="BW92" s="89">
        <v>1.26</v>
      </c>
      <c r="BX92" s="88">
        <v>14.07</v>
      </c>
      <c r="BY92" s="88">
        <v>13.27</v>
      </c>
      <c r="BZ92" s="97" t="s">
        <v>94</v>
      </c>
      <c r="CA92" s="89">
        <v>86.7</v>
      </c>
      <c r="CB92" s="94" t="s">
        <v>94</v>
      </c>
      <c r="CC92" s="88">
        <v>7.6</v>
      </c>
      <c r="CD92" s="89">
        <v>3</v>
      </c>
      <c r="CE92" s="89">
        <v>5.3</v>
      </c>
      <c r="CF92" s="88">
        <v>0.5</v>
      </c>
      <c r="CG92" s="88">
        <v>0.2</v>
      </c>
      <c r="CH92" s="89">
        <v>0.1</v>
      </c>
      <c r="CI92" s="89">
        <v>0.2</v>
      </c>
      <c r="CJ92" s="86" t="b">
        <f t="shared" si="11"/>
        <v>0</v>
      </c>
      <c r="CK92" s="2" t="b">
        <f t="shared" si="12"/>
        <v>1</v>
      </c>
      <c r="CL92" s="98">
        <f t="shared" si="13"/>
        <v>77.353679999999997</v>
      </c>
      <c r="CM92" s="98">
        <v>84.3</v>
      </c>
      <c r="CN92" s="98">
        <v>190</v>
      </c>
      <c r="CO92" s="86">
        <v>51.12</v>
      </c>
      <c r="CP92" s="98">
        <v>54.5</v>
      </c>
      <c r="CQ92" s="98">
        <v>50.5</v>
      </c>
      <c r="CR92" s="96">
        <v>8.24</v>
      </c>
    </row>
    <row r="93" spans="1:96" ht="15.75" customHeight="1">
      <c r="A93" s="50">
        <v>2018</v>
      </c>
      <c r="B93" s="50" t="s">
        <v>172</v>
      </c>
      <c r="C93" s="104">
        <v>3183</v>
      </c>
      <c r="D93" s="101">
        <v>26</v>
      </c>
      <c r="E93" s="101">
        <v>90</v>
      </c>
      <c r="F93" s="101">
        <v>1</v>
      </c>
      <c r="G93" s="51" t="s">
        <v>94</v>
      </c>
      <c r="H93" s="52" t="s">
        <v>94</v>
      </c>
      <c r="I93" s="53" t="s">
        <v>94</v>
      </c>
      <c r="J93" s="52" t="s">
        <v>94</v>
      </c>
      <c r="K93" s="53" t="s">
        <v>94</v>
      </c>
      <c r="L93" s="52" t="s">
        <v>94</v>
      </c>
      <c r="M93" s="87">
        <v>494</v>
      </c>
      <c r="N93" s="87">
        <v>2787</v>
      </c>
      <c r="O93" s="88">
        <v>3</v>
      </c>
      <c r="P93" s="88">
        <v>47</v>
      </c>
      <c r="Q93" s="89" t="s">
        <v>94</v>
      </c>
      <c r="R93" s="89" t="s">
        <v>94</v>
      </c>
      <c r="S93" s="88">
        <v>659</v>
      </c>
      <c r="T93" s="88">
        <v>1468</v>
      </c>
      <c r="U93" s="90">
        <v>41</v>
      </c>
      <c r="V93" s="90">
        <v>127</v>
      </c>
      <c r="W93" s="88">
        <v>4.8</v>
      </c>
      <c r="X93" s="88">
        <v>4.3</v>
      </c>
      <c r="Y93" s="90">
        <v>42</v>
      </c>
      <c r="Z93" s="90">
        <v>121</v>
      </c>
      <c r="AA93" s="88">
        <v>21</v>
      </c>
      <c r="AB93" s="88">
        <v>19</v>
      </c>
      <c r="AC93" s="89">
        <v>4.7</v>
      </c>
      <c r="AD93" s="89">
        <v>5.3</v>
      </c>
      <c r="AE93" s="102">
        <v>105.8</v>
      </c>
      <c r="AF93" s="103">
        <v>120</v>
      </c>
      <c r="AG93" s="89">
        <v>36</v>
      </c>
      <c r="AH93" s="89">
        <v>35</v>
      </c>
      <c r="AI93" s="88">
        <v>1</v>
      </c>
      <c r="AJ93" s="88">
        <v>0.9</v>
      </c>
      <c r="AK93" s="269">
        <f t="shared" si="8"/>
        <v>0</v>
      </c>
      <c r="AL93" s="89">
        <v>4.2</v>
      </c>
      <c r="AM93" s="89">
        <v>3.8</v>
      </c>
      <c r="AN93" s="88">
        <v>8.3000000000000007</v>
      </c>
      <c r="AO93" s="88">
        <v>7.2</v>
      </c>
      <c r="AP93" s="94" t="s">
        <v>94</v>
      </c>
      <c r="AQ93" s="94" t="s">
        <v>94</v>
      </c>
      <c r="AR93" s="89">
        <v>9.6</v>
      </c>
      <c r="AS93" s="89">
        <v>9.6</v>
      </c>
      <c r="AT93" s="89">
        <v>5.4</v>
      </c>
      <c r="AU93" s="89">
        <v>4.7</v>
      </c>
      <c r="AV93" s="63">
        <v>89</v>
      </c>
      <c r="AW93" s="106">
        <v>111</v>
      </c>
      <c r="AX93" s="88">
        <v>142</v>
      </c>
      <c r="AY93" s="88">
        <v>142</v>
      </c>
      <c r="AZ93" s="89">
        <v>2.1</v>
      </c>
      <c r="BA93" s="89">
        <v>2</v>
      </c>
      <c r="BB93" s="88">
        <v>102</v>
      </c>
      <c r="BC93" s="88">
        <v>104</v>
      </c>
      <c r="BD93" s="96">
        <f t="shared" si="9"/>
        <v>299.85011111111118</v>
      </c>
      <c r="BE93" s="96">
        <f t="shared" si="10"/>
        <v>299.78699999999992</v>
      </c>
      <c r="BF93" s="89">
        <v>4.99</v>
      </c>
      <c r="BG93" s="89">
        <v>4.45</v>
      </c>
      <c r="BH93" s="88">
        <v>15.1</v>
      </c>
      <c r="BI93" s="88">
        <v>13.5</v>
      </c>
      <c r="BJ93" s="89">
        <v>47.3</v>
      </c>
      <c r="BK93" s="89">
        <v>39.700000000000003</v>
      </c>
      <c r="BL93" s="88">
        <v>94.8</v>
      </c>
      <c r="BM93" s="88">
        <v>89.2</v>
      </c>
      <c r="BN93" s="89">
        <v>30.3</v>
      </c>
      <c r="BO93" s="89">
        <v>30.3</v>
      </c>
      <c r="BP93" s="88">
        <v>31.9</v>
      </c>
      <c r="BQ93" s="88">
        <v>34</v>
      </c>
      <c r="BR93" s="89">
        <v>302</v>
      </c>
      <c r="BS93" s="89">
        <v>328</v>
      </c>
      <c r="BT93" s="88">
        <v>12.3</v>
      </c>
      <c r="BU93" s="88">
        <v>12.3</v>
      </c>
      <c r="BV93" s="97" t="s">
        <v>94</v>
      </c>
      <c r="BW93" s="89">
        <v>2.31</v>
      </c>
      <c r="BX93" s="88">
        <v>9.2200000000000006</v>
      </c>
      <c r="BY93" s="88">
        <v>10.8</v>
      </c>
      <c r="BZ93" s="89">
        <v>78</v>
      </c>
      <c r="CA93" s="89">
        <v>75.400000000000006</v>
      </c>
      <c r="CB93" s="88">
        <v>15.2</v>
      </c>
      <c r="CC93" s="88">
        <v>15.3</v>
      </c>
      <c r="CD93" s="89">
        <v>5.3</v>
      </c>
      <c r="CE93" s="89">
        <v>7.2</v>
      </c>
      <c r="CF93" s="88">
        <v>1.4</v>
      </c>
      <c r="CG93" s="88">
        <v>1.9</v>
      </c>
      <c r="CH93" s="89">
        <v>0.1</v>
      </c>
      <c r="CI93" s="89">
        <v>0.2</v>
      </c>
      <c r="CJ93" s="86" t="b">
        <f t="shared" si="11"/>
        <v>0</v>
      </c>
      <c r="CK93" s="2" t="b">
        <f t="shared" si="12"/>
        <v>1</v>
      </c>
      <c r="CL93" s="98">
        <f t="shared" si="13"/>
        <v>82.441199999999995</v>
      </c>
      <c r="CM93" s="98">
        <v>92</v>
      </c>
      <c r="CN93" s="98">
        <v>174.4</v>
      </c>
      <c r="CO93" s="86">
        <v>49.71</v>
      </c>
      <c r="CP93" s="98">
        <v>55</v>
      </c>
      <c r="CQ93" s="98">
        <v>55.5</v>
      </c>
      <c r="CR93" s="96">
        <v>10.39</v>
      </c>
    </row>
    <row r="94" spans="1:96" ht="15.75" customHeight="1">
      <c r="A94" s="50">
        <v>2018</v>
      </c>
      <c r="B94" s="50" t="s">
        <v>172</v>
      </c>
      <c r="C94" s="104">
        <v>3184</v>
      </c>
      <c r="D94" s="107">
        <v>29</v>
      </c>
      <c r="E94" s="107">
        <v>76</v>
      </c>
      <c r="F94" s="107">
        <v>1</v>
      </c>
      <c r="G94" s="51" t="s">
        <v>86</v>
      </c>
      <c r="H94" s="52" t="s">
        <v>83</v>
      </c>
      <c r="I94" s="53" t="s">
        <v>87</v>
      </c>
      <c r="J94" s="52" t="s">
        <v>88</v>
      </c>
      <c r="K94" s="53">
        <v>51</v>
      </c>
      <c r="L94" s="52">
        <v>51</v>
      </c>
      <c r="M94" s="87">
        <v>410</v>
      </c>
      <c r="N94" s="87">
        <v>1457</v>
      </c>
      <c r="O94" s="88">
        <v>3</v>
      </c>
      <c r="P94" s="88">
        <v>16</v>
      </c>
      <c r="Q94" s="89" t="s">
        <v>94</v>
      </c>
      <c r="R94" s="89" t="s">
        <v>94</v>
      </c>
      <c r="S94" s="88">
        <v>733</v>
      </c>
      <c r="T94" s="88">
        <v>1747</v>
      </c>
      <c r="U94" s="90">
        <v>36</v>
      </c>
      <c r="V94" s="90">
        <v>205</v>
      </c>
      <c r="W94" s="88">
        <v>5.0999999999999996</v>
      </c>
      <c r="X94" s="88">
        <v>4.0999999999999996</v>
      </c>
      <c r="Y94" s="90">
        <v>44</v>
      </c>
      <c r="Z94" s="90">
        <v>191</v>
      </c>
      <c r="AA94" s="88">
        <v>65</v>
      </c>
      <c r="AB94" s="88">
        <v>312</v>
      </c>
      <c r="AC94" s="89">
        <v>4.8</v>
      </c>
      <c r="AD94" s="89">
        <v>6.2</v>
      </c>
      <c r="AE94" s="102">
        <v>74.900000000000006</v>
      </c>
      <c r="AF94" s="103">
        <v>91.5</v>
      </c>
      <c r="AG94" s="89">
        <v>37</v>
      </c>
      <c r="AH94" s="89">
        <v>31</v>
      </c>
      <c r="AI94" s="88">
        <v>1.3</v>
      </c>
      <c r="AJ94" s="88">
        <v>1.1000000000000001</v>
      </c>
      <c r="AK94" s="269">
        <f t="shared" si="8"/>
        <v>0</v>
      </c>
      <c r="AL94" s="89">
        <v>3.1</v>
      </c>
      <c r="AM94" s="89">
        <v>3.1</v>
      </c>
      <c r="AN94" s="88">
        <v>8.5</v>
      </c>
      <c r="AO94" s="88">
        <v>6.9</v>
      </c>
      <c r="AP94" s="94" t="s">
        <v>94</v>
      </c>
      <c r="AQ94" s="94" t="s">
        <v>94</v>
      </c>
      <c r="AR94" s="89">
        <v>10.199999999999999</v>
      </c>
      <c r="AS94" s="89">
        <v>9.5</v>
      </c>
      <c r="AT94" s="89">
        <v>4.9000000000000004</v>
      </c>
      <c r="AU94" s="89">
        <v>4.2</v>
      </c>
      <c r="AV94" s="63">
        <v>105</v>
      </c>
      <c r="AW94" s="106">
        <v>116</v>
      </c>
      <c r="AX94" s="88">
        <v>146</v>
      </c>
      <c r="AY94" s="88">
        <v>143</v>
      </c>
      <c r="AZ94" s="89">
        <v>2</v>
      </c>
      <c r="BA94" s="89">
        <v>2.1</v>
      </c>
      <c r="BB94" s="88">
        <v>103</v>
      </c>
      <c r="BC94" s="88">
        <v>102</v>
      </c>
      <c r="BD94" s="96">
        <f t="shared" si="9"/>
        <v>307.54900000000004</v>
      </c>
      <c r="BE94" s="96">
        <f t="shared" si="10"/>
        <v>300.36977777777776</v>
      </c>
      <c r="BF94" s="89">
        <v>5.43</v>
      </c>
      <c r="BG94" s="89">
        <v>4.66</v>
      </c>
      <c r="BH94" s="88">
        <v>14.6</v>
      </c>
      <c r="BI94" s="88">
        <v>12.5</v>
      </c>
      <c r="BJ94" s="89">
        <v>46</v>
      </c>
      <c r="BK94" s="89">
        <v>38.299999999999997</v>
      </c>
      <c r="BL94" s="88">
        <v>84.7</v>
      </c>
      <c r="BM94" s="88">
        <v>82.2</v>
      </c>
      <c r="BN94" s="89">
        <v>26.9</v>
      </c>
      <c r="BO94" s="89">
        <v>26.8</v>
      </c>
      <c r="BP94" s="88">
        <v>31.7</v>
      </c>
      <c r="BQ94" s="88">
        <v>32.6</v>
      </c>
      <c r="BR94" s="89">
        <v>186</v>
      </c>
      <c r="BS94" s="89">
        <v>239</v>
      </c>
      <c r="BT94" s="88">
        <v>14.9</v>
      </c>
      <c r="BU94" s="88">
        <v>14.9</v>
      </c>
      <c r="BV94" s="97" t="s">
        <v>94</v>
      </c>
      <c r="BW94" s="89">
        <v>1.1499999999999999</v>
      </c>
      <c r="BX94" s="88">
        <v>9.42</v>
      </c>
      <c r="BY94" s="88">
        <v>10</v>
      </c>
      <c r="BZ94" s="89">
        <v>76.900000000000006</v>
      </c>
      <c r="CA94" s="89">
        <v>80.599999999999994</v>
      </c>
      <c r="CB94" s="88">
        <v>11</v>
      </c>
      <c r="CC94" s="88">
        <v>7.9</v>
      </c>
      <c r="CD94" s="97">
        <v>11.9</v>
      </c>
      <c r="CE94" s="89">
        <v>11.1</v>
      </c>
      <c r="CF94" s="88">
        <v>0</v>
      </c>
      <c r="CG94" s="88">
        <v>0.4</v>
      </c>
      <c r="CH94" s="89">
        <v>0.2</v>
      </c>
      <c r="CI94" s="89">
        <v>0</v>
      </c>
      <c r="CJ94" s="107" t="b">
        <f t="shared" si="11"/>
        <v>0</v>
      </c>
      <c r="CK94" s="7" t="b">
        <f t="shared" si="12"/>
        <v>1</v>
      </c>
      <c r="CL94" s="98">
        <f t="shared" si="13"/>
        <v>68.507199999999997</v>
      </c>
      <c r="CM94" s="98">
        <v>75.2</v>
      </c>
      <c r="CN94" s="98">
        <v>177.6</v>
      </c>
      <c r="CO94" s="86">
        <v>52.26</v>
      </c>
      <c r="CP94" s="98">
        <v>47.5</v>
      </c>
      <c r="CQ94" s="98">
        <v>46</v>
      </c>
      <c r="CR94" s="96">
        <v>8.9</v>
      </c>
    </row>
    <row r="95" spans="1:96" ht="15.75" customHeight="1">
      <c r="A95" s="50">
        <v>2018</v>
      </c>
      <c r="B95" s="50" t="s">
        <v>172</v>
      </c>
      <c r="C95" s="104">
        <v>3185</v>
      </c>
      <c r="D95" s="107">
        <v>29</v>
      </c>
      <c r="E95" s="107">
        <v>80</v>
      </c>
      <c r="F95" s="107">
        <v>1</v>
      </c>
      <c r="G95" s="60" t="s">
        <v>94</v>
      </c>
      <c r="H95" s="52" t="s">
        <v>94</v>
      </c>
      <c r="I95" s="53" t="s">
        <v>94</v>
      </c>
      <c r="J95" s="52" t="s">
        <v>94</v>
      </c>
      <c r="K95" s="53" t="s">
        <v>94</v>
      </c>
      <c r="L95" s="52" t="s">
        <v>94</v>
      </c>
      <c r="M95" s="87">
        <v>211</v>
      </c>
      <c r="N95" s="87">
        <v>809</v>
      </c>
      <c r="O95" s="88">
        <v>3</v>
      </c>
      <c r="P95" s="88">
        <v>7</v>
      </c>
      <c r="Q95" s="89" t="s">
        <v>94</v>
      </c>
      <c r="R95" s="89" t="s">
        <v>94</v>
      </c>
      <c r="S95" s="88">
        <v>672</v>
      </c>
      <c r="T95" s="88">
        <v>981</v>
      </c>
      <c r="U95" s="90">
        <v>50</v>
      </c>
      <c r="V95" s="90">
        <v>128</v>
      </c>
      <c r="W95" s="88">
        <v>5.2</v>
      </c>
      <c r="X95" s="88">
        <v>4.5999999999999996</v>
      </c>
      <c r="Y95" s="90">
        <v>54</v>
      </c>
      <c r="Z95" s="90">
        <v>152</v>
      </c>
      <c r="AA95" s="88">
        <v>44</v>
      </c>
      <c r="AB95" s="88">
        <v>50</v>
      </c>
      <c r="AC95" s="89">
        <v>5.8</v>
      </c>
      <c r="AD95" s="89">
        <v>6.3</v>
      </c>
      <c r="AE95" s="102">
        <v>92.6</v>
      </c>
      <c r="AF95" s="103">
        <v>103.8</v>
      </c>
      <c r="AG95" s="89">
        <v>44</v>
      </c>
      <c r="AH95" s="89">
        <v>45</v>
      </c>
      <c r="AI95" s="88">
        <v>1.1000000000000001</v>
      </c>
      <c r="AJ95" s="88">
        <v>1</v>
      </c>
      <c r="AK95" s="269">
        <f t="shared" si="8"/>
        <v>0</v>
      </c>
      <c r="AL95" s="89">
        <v>3.5</v>
      </c>
      <c r="AM95" s="89">
        <v>2.7</v>
      </c>
      <c r="AN95" s="88">
        <v>7.8</v>
      </c>
      <c r="AO95" s="88">
        <v>7</v>
      </c>
      <c r="AP95" s="94" t="s">
        <v>94</v>
      </c>
      <c r="AQ95" s="94" t="s">
        <v>94</v>
      </c>
      <c r="AR95" s="89">
        <v>10.199999999999999</v>
      </c>
      <c r="AS95" s="89">
        <v>9.5</v>
      </c>
      <c r="AT95" s="89">
        <v>5.8</v>
      </c>
      <c r="AU95" s="89">
        <v>4</v>
      </c>
      <c r="AV95" s="63">
        <v>98</v>
      </c>
      <c r="AW95" s="106">
        <v>90</v>
      </c>
      <c r="AX95" s="88">
        <v>143</v>
      </c>
      <c r="AY95" s="88">
        <v>146</v>
      </c>
      <c r="AZ95" s="89">
        <v>2</v>
      </c>
      <c r="BA95" s="89">
        <v>2.4</v>
      </c>
      <c r="BB95" s="88">
        <v>104</v>
      </c>
      <c r="BC95" s="88">
        <v>104</v>
      </c>
      <c r="BD95" s="96">
        <f t="shared" si="9"/>
        <v>304.36244444444446</v>
      </c>
      <c r="BE95" s="96">
        <f t="shared" si="10"/>
        <v>306.25</v>
      </c>
      <c r="BF95" s="89">
        <v>4.25</v>
      </c>
      <c r="BG95" s="89">
        <v>3.82</v>
      </c>
      <c r="BH95" s="88">
        <v>14.3</v>
      </c>
      <c r="BI95" s="88">
        <v>12.8</v>
      </c>
      <c r="BJ95" s="89">
        <v>44.7</v>
      </c>
      <c r="BK95" s="89">
        <v>38.5</v>
      </c>
      <c r="BL95" s="88">
        <v>105.2</v>
      </c>
      <c r="BM95" s="88">
        <v>100.8</v>
      </c>
      <c r="BN95" s="89">
        <v>33.6</v>
      </c>
      <c r="BO95" s="89">
        <v>33.5</v>
      </c>
      <c r="BP95" s="88">
        <v>32</v>
      </c>
      <c r="BQ95" s="88">
        <v>33.200000000000003</v>
      </c>
      <c r="BR95" s="108">
        <v>214</v>
      </c>
      <c r="BS95" s="89">
        <v>237</v>
      </c>
      <c r="BT95" s="88">
        <v>12.5</v>
      </c>
      <c r="BU95" s="88">
        <v>12.4</v>
      </c>
      <c r="BV95" s="97" t="s">
        <v>94</v>
      </c>
      <c r="BW95" s="89">
        <v>2.2599999999999998</v>
      </c>
      <c r="BX95" s="88">
        <v>9.3800000000000008</v>
      </c>
      <c r="BY95" s="88">
        <v>8.9700000000000006</v>
      </c>
      <c r="BZ95" s="89">
        <v>85.1</v>
      </c>
      <c r="CA95" s="89">
        <v>81.5</v>
      </c>
      <c r="CB95" s="88">
        <v>10.3</v>
      </c>
      <c r="CC95" s="88">
        <v>11</v>
      </c>
      <c r="CD95" s="89">
        <v>4.0999999999999996</v>
      </c>
      <c r="CE95" s="89">
        <v>6.6</v>
      </c>
      <c r="CF95" s="88">
        <v>0.3</v>
      </c>
      <c r="CG95" s="88">
        <v>0.7</v>
      </c>
      <c r="CH95" s="89">
        <v>0.2</v>
      </c>
      <c r="CI95" s="89">
        <v>0.2</v>
      </c>
      <c r="CJ95" s="107" t="b">
        <f t="shared" si="11"/>
        <v>0</v>
      </c>
      <c r="CK95" s="7" t="b">
        <f t="shared" si="12"/>
        <v>0</v>
      </c>
      <c r="CL95" s="98">
        <f t="shared" si="13"/>
        <v>66.938670000000002</v>
      </c>
      <c r="CM95" s="98">
        <v>78.3</v>
      </c>
      <c r="CN95" s="98">
        <v>174</v>
      </c>
      <c r="CO95" s="86">
        <v>52.94</v>
      </c>
      <c r="CP95" s="98">
        <v>52</v>
      </c>
      <c r="CQ95" s="98">
        <v>44.5</v>
      </c>
      <c r="CR95" s="96">
        <v>14.51</v>
      </c>
    </row>
    <row r="96" spans="1:96" ht="15.75" customHeight="1">
      <c r="A96" s="50">
        <v>2018</v>
      </c>
      <c r="B96" s="50" t="s">
        <v>172</v>
      </c>
      <c r="C96" s="104">
        <v>3186</v>
      </c>
      <c r="D96" s="107">
        <v>27</v>
      </c>
      <c r="E96" s="107">
        <v>79</v>
      </c>
      <c r="F96" s="107">
        <v>2</v>
      </c>
      <c r="G96" s="54" t="s">
        <v>82</v>
      </c>
      <c r="H96" s="55" t="s">
        <v>83</v>
      </c>
      <c r="I96" s="56" t="s">
        <v>84</v>
      </c>
      <c r="J96" s="52" t="s">
        <v>85</v>
      </c>
      <c r="K96" s="56">
        <v>25</v>
      </c>
      <c r="L96" s="55">
        <v>75</v>
      </c>
      <c r="M96" s="87">
        <v>652</v>
      </c>
      <c r="N96" s="87">
        <v>2029</v>
      </c>
      <c r="O96" s="88">
        <v>8</v>
      </c>
      <c r="P96" s="88">
        <v>27</v>
      </c>
      <c r="Q96" s="89" t="s">
        <v>94</v>
      </c>
      <c r="R96" s="89" t="s">
        <v>94</v>
      </c>
      <c r="S96" s="88">
        <v>669</v>
      </c>
      <c r="T96" s="88">
        <v>1082</v>
      </c>
      <c r="U96" s="90">
        <v>55</v>
      </c>
      <c r="V96" s="90">
        <v>126</v>
      </c>
      <c r="W96" s="88">
        <v>5</v>
      </c>
      <c r="X96" s="88">
        <v>4.5</v>
      </c>
      <c r="Y96" s="90">
        <v>44</v>
      </c>
      <c r="Z96" s="90">
        <v>112</v>
      </c>
      <c r="AA96" s="88">
        <v>29</v>
      </c>
      <c r="AB96" s="88">
        <v>25</v>
      </c>
      <c r="AC96" s="89">
        <v>4.7</v>
      </c>
      <c r="AD96" s="89">
        <v>4.7</v>
      </c>
      <c r="AE96" s="102">
        <v>93.8</v>
      </c>
      <c r="AF96" s="103">
        <v>105.1</v>
      </c>
      <c r="AG96" s="89">
        <v>39</v>
      </c>
      <c r="AH96" s="89">
        <v>43</v>
      </c>
      <c r="AI96" s="88">
        <v>1.1000000000000001</v>
      </c>
      <c r="AJ96" s="88">
        <v>1</v>
      </c>
      <c r="AK96" s="269">
        <f t="shared" si="8"/>
        <v>0</v>
      </c>
      <c r="AL96" s="89">
        <v>4.0999999999999996</v>
      </c>
      <c r="AM96" s="89">
        <v>3.4</v>
      </c>
      <c r="AN96" s="88">
        <v>8.3000000000000007</v>
      </c>
      <c r="AO96" s="88">
        <v>7.4</v>
      </c>
      <c r="AP96" s="94" t="s">
        <v>94</v>
      </c>
      <c r="AQ96" s="94" t="s">
        <v>94</v>
      </c>
      <c r="AR96" s="89">
        <v>10.6</v>
      </c>
      <c r="AS96" s="89">
        <v>9.8000000000000007</v>
      </c>
      <c r="AT96" s="89">
        <v>4.9000000000000004</v>
      </c>
      <c r="AU96" s="89">
        <v>4.4000000000000004</v>
      </c>
      <c r="AV96" s="63">
        <v>99</v>
      </c>
      <c r="AW96" s="106">
        <v>105</v>
      </c>
      <c r="AX96" s="88">
        <v>144</v>
      </c>
      <c r="AY96" s="88">
        <v>138</v>
      </c>
      <c r="AZ96" s="89">
        <v>2.1</v>
      </c>
      <c r="BA96" s="89">
        <v>2.2000000000000002</v>
      </c>
      <c r="BB96" s="88">
        <v>100</v>
      </c>
      <c r="BC96" s="88">
        <v>103</v>
      </c>
      <c r="BD96" s="96">
        <f t="shared" si="9"/>
        <v>303.779</v>
      </c>
      <c r="BE96" s="96">
        <f t="shared" si="10"/>
        <v>292.73900000000003</v>
      </c>
      <c r="BF96" s="89">
        <v>5.01</v>
      </c>
      <c r="BG96" s="89">
        <v>4.68</v>
      </c>
      <c r="BH96" s="88">
        <v>14.2</v>
      </c>
      <c r="BI96" s="88">
        <v>13.4</v>
      </c>
      <c r="BJ96" s="89">
        <v>45.5</v>
      </c>
      <c r="BK96" s="89">
        <v>41.3</v>
      </c>
      <c r="BL96" s="88">
        <v>90.8</v>
      </c>
      <c r="BM96" s="88">
        <v>88.2</v>
      </c>
      <c r="BN96" s="89">
        <v>28.3</v>
      </c>
      <c r="BO96" s="89">
        <v>28.6</v>
      </c>
      <c r="BP96" s="88">
        <v>31.2</v>
      </c>
      <c r="BQ96" s="88">
        <v>32.4</v>
      </c>
      <c r="BR96" s="89">
        <v>251</v>
      </c>
      <c r="BS96" s="89">
        <v>275</v>
      </c>
      <c r="BT96" s="88">
        <v>13.2</v>
      </c>
      <c r="BU96" s="88">
        <v>13.4</v>
      </c>
      <c r="BV96" s="97" t="s">
        <v>94</v>
      </c>
      <c r="BW96" s="89">
        <v>1.52</v>
      </c>
      <c r="BX96" s="88">
        <v>8.56</v>
      </c>
      <c r="BY96" s="88">
        <v>8.67</v>
      </c>
      <c r="BZ96" s="89">
        <v>72.8</v>
      </c>
      <c r="CA96" s="89">
        <v>71.599999999999994</v>
      </c>
      <c r="CB96" s="88">
        <v>19.5</v>
      </c>
      <c r="CC96" s="88">
        <v>18.5</v>
      </c>
      <c r="CD96" s="89">
        <v>6.8</v>
      </c>
      <c r="CE96" s="89">
        <v>7.6</v>
      </c>
      <c r="CF96" s="88">
        <v>0.7</v>
      </c>
      <c r="CG96" s="88">
        <v>1.6</v>
      </c>
      <c r="CH96" s="89">
        <v>0.2</v>
      </c>
      <c r="CI96" s="89">
        <v>0.7</v>
      </c>
      <c r="CJ96" s="107" t="b">
        <f t="shared" si="11"/>
        <v>0</v>
      </c>
      <c r="CK96" s="7" t="b">
        <f t="shared" si="12"/>
        <v>1</v>
      </c>
      <c r="CL96" s="98">
        <f t="shared" si="13"/>
        <v>73.124520000000004</v>
      </c>
      <c r="CM96" s="98">
        <v>78.900000000000006</v>
      </c>
      <c r="CN96" s="98">
        <v>181.5</v>
      </c>
      <c r="CO96" s="86">
        <v>51.65</v>
      </c>
      <c r="CP96" s="98">
        <v>47.5</v>
      </c>
      <c r="CQ96" s="98">
        <v>47.5</v>
      </c>
      <c r="CR96" s="96">
        <v>7.32</v>
      </c>
    </row>
    <row r="97" spans="1:96" ht="15.75" customHeight="1">
      <c r="A97" s="50">
        <v>2018</v>
      </c>
      <c r="B97" s="50" t="s">
        <v>172</v>
      </c>
      <c r="C97" s="104">
        <v>3187</v>
      </c>
      <c r="D97" s="101">
        <v>25</v>
      </c>
      <c r="E97" s="101">
        <v>90</v>
      </c>
      <c r="F97" s="101">
        <v>1</v>
      </c>
      <c r="G97" s="304" t="s">
        <v>89</v>
      </c>
      <c r="H97" s="52" t="s">
        <v>90</v>
      </c>
      <c r="I97" s="53" t="s">
        <v>87</v>
      </c>
      <c r="J97" s="52" t="s">
        <v>88</v>
      </c>
      <c r="K97" s="53">
        <v>25</v>
      </c>
      <c r="L97" s="52">
        <v>75</v>
      </c>
      <c r="M97" s="87">
        <v>944</v>
      </c>
      <c r="N97" s="87">
        <v>2302</v>
      </c>
      <c r="O97" s="88">
        <v>3</v>
      </c>
      <c r="P97" s="88">
        <v>33</v>
      </c>
      <c r="Q97" s="89" t="s">
        <v>94</v>
      </c>
      <c r="R97" s="89" t="s">
        <v>94</v>
      </c>
      <c r="S97" s="88">
        <v>664</v>
      </c>
      <c r="T97" s="88">
        <v>974</v>
      </c>
      <c r="U97" s="90">
        <v>57</v>
      </c>
      <c r="V97" s="90">
        <v>93</v>
      </c>
      <c r="W97" s="88">
        <v>5.0999999999999996</v>
      </c>
      <c r="X97" s="88">
        <v>4.5</v>
      </c>
      <c r="Y97" s="90">
        <v>45</v>
      </c>
      <c r="Z97" s="90">
        <v>74</v>
      </c>
      <c r="AA97" s="88">
        <v>33</v>
      </c>
      <c r="AB97" s="88">
        <v>27</v>
      </c>
      <c r="AC97" s="89" t="s">
        <v>94</v>
      </c>
      <c r="AD97" s="89">
        <v>5.3</v>
      </c>
      <c r="AE97" s="102">
        <v>85.5</v>
      </c>
      <c r="AF97" s="103">
        <v>94.9</v>
      </c>
      <c r="AG97" s="89">
        <v>42</v>
      </c>
      <c r="AH97" s="89">
        <v>41</v>
      </c>
      <c r="AI97" s="88">
        <v>1.2</v>
      </c>
      <c r="AJ97" s="88">
        <v>1.1000000000000001</v>
      </c>
      <c r="AK97" s="269">
        <f t="shared" si="8"/>
        <v>0</v>
      </c>
      <c r="AL97" s="89">
        <v>4.7</v>
      </c>
      <c r="AM97" s="89">
        <v>3.8</v>
      </c>
      <c r="AN97" s="88">
        <v>8.5</v>
      </c>
      <c r="AO97" s="88">
        <v>7.3</v>
      </c>
      <c r="AP97" s="94" t="s">
        <v>94</v>
      </c>
      <c r="AQ97" s="94" t="s">
        <v>94</v>
      </c>
      <c r="AR97" s="89">
        <v>10.4</v>
      </c>
      <c r="AS97" s="89">
        <v>9.6</v>
      </c>
      <c r="AT97" s="89">
        <v>6</v>
      </c>
      <c r="AU97" s="89">
        <v>4.2</v>
      </c>
      <c r="AV97" s="63">
        <v>100</v>
      </c>
      <c r="AW97" s="63">
        <v>93</v>
      </c>
      <c r="AX97" s="88">
        <v>144</v>
      </c>
      <c r="AY97" s="88">
        <v>142</v>
      </c>
      <c r="AZ97" s="97" t="s">
        <v>94</v>
      </c>
      <c r="BA97" s="89">
        <v>2.2000000000000002</v>
      </c>
      <c r="BB97" s="94" t="s">
        <v>94</v>
      </c>
      <c r="BC97" s="88">
        <v>103</v>
      </c>
      <c r="BD97" s="96">
        <f t="shared" si="9"/>
        <v>306.38888888888891</v>
      </c>
      <c r="BE97" s="96">
        <f t="shared" si="10"/>
        <v>298.70699999999999</v>
      </c>
      <c r="BF97" s="89">
        <v>4.84</v>
      </c>
      <c r="BG97" s="89">
        <v>4.3099999999999996</v>
      </c>
      <c r="BH97" s="88">
        <v>14.3</v>
      </c>
      <c r="BI97" s="88">
        <v>13</v>
      </c>
      <c r="BJ97" s="89">
        <v>44.1</v>
      </c>
      <c r="BK97" s="89">
        <v>37.299999999999997</v>
      </c>
      <c r="BL97" s="88">
        <v>91.1</v>
      </c>
      <c r="BM97" s="88">
        <v>86.5</v>
      </c>
      <c r="BN97" s="89">
        <v>29.5</v>
      </c>
      <c r="BO97" s="89">
        <v>30.2</v>
      </c>
      <c r="BP97" s="88">
        <v>32.4</v>
      </c>
      <c r="BQ97" s="88">
        <v>34.9</v>
      </c>
      <c r="BR97" s="89">
        <v>209</v>
      </c>
      <c r="BS97" s="89">
        <v>278</v>
      </c>
      <c r="BT97" s="88">
        <v>12.8</v>
      </c>
      <c r="BU97" s="88">
        <v>12.7</v>
      </c>
      <c r="BV97" s="97" t="s">
        <v>94</v>
      </c>
      <c r="BW97" s="89">
        <v>1.26</v>
      </c>
      <c r="BX97" s="88">
        <v>3.7</v>
      </c>
      <c r="BY97" s="88">
        <v>11.37</v>
      </c>
      <c r="BZ97" s="89">
        <v>53.8</v>
      </c>
      <c r="CA97" s="89">
        <v>73.099999999999994</v>
      </c>
      <c r="CB97" s="88">
        <v>32.700000000000003</v>
      </c>
      <c r="CC97" s="88">
        <v>17.5</v>
      </c>
      <c r="CD97" s="89">
        <v>8.6</v>
      </c>
      <c r="CE97" s="89">
        <v>5.4</v>
      </c>
      <c r="CF97" s="88">
        <v>4.0999999999999996</v>
      </c>
      <c r="CG97" s="88">
        <v>3.4</v>
      </c>
      <c r="CH97" s="89">
        <v>0.8</v>
      </c>
      <c r="CI97" s="89">
        <v>0.6</v>
      </c>
      <c r="CJ97" s="86" t="b">
        <f t="shared" si="11"/>
        <v>0</v>
      </c>
      <c r="CK97" s="2" t="b">
        <f t="shared" si="12"/>
        <v>1</v>
      </c>
      <c r="CL97" s="98">
        <f t="shared" si="13"/>
        <v>79.512460000000004</v>
      </c>
      <c r="CM97" s="98">
        <v>85.7</v>
      </c>
      <c r="CN97" s="98">
        <v>185</v>
      </c>
      <c r="CO97" s="86">
        <v>52.04</v>
      </c>
      <c r="CP97" s="98">
        <v>50</v>
      </c>
      <c r="CQ97" s="98">
        <v>50</v>
      </c>
      <c r="CR97" s="96">
        <v>7.22</v>
      </c>
    </row>
    <row r="98" spans="1:96" ht="15.75" customHeight="1">
      <c r="A98" s="50">
        <v>2018</v>
      </c>
      <c r="B98" s="50" t="s">
        <v>172</v>
      </c>
      <c r="C98" s="104">
        <v>3189</v>
      </c>
      <c r="D98" s="101">
        <v>28</v>
      </c>
      <c r="E98" s="101">
        <v>78</v>
      </c>
      <c r="F98" s="101">
        <v>2</v>
      </c>
      <c r="G98" s="304" t="s">
        <v>86</v>
      </c>
      <c r="H98" s="52" t="s">
        <v>83</v>
      </c>
      <c r="I98" s="53" t="s">
        <v>84</v>
      </c>
      <c r="J98" s="52" t="s">
        <v>88</v>
      </c>
      <c r="K98" s="53">
        <v>212.5</v>
      </c>
      <c r="L98" s="52">
        <v>-112.5</v>
      </c>
      <c r="M98" s="87">
        <v>168</v>
      </c>
      <c r="N98" s="87">
        <v>958</v>
      </c>
      <c r="O98" s="88">
        <v>8</v>
      </c>
      <c r="P98" s="88">
        <v>18</v>
      </c>
      <c r="Q98" s="89" t="s">
        <v>94</v>
      </c>
      <c r="R98" s="89" t="s">
        <v>94</v>
      </c>
      <c r="S98" s="88">
        <v>831</v>
      </c>
      <c r="T98" s="88">
        <v>1341</v>
      </c>
      <c r="U98" s="90">
        <v>60</v>
      </c>
      <c r="V98" s="90">
        <v>160</v>
      </c>
      <c r="W98" s="88">
        <v>5.2</v>
      </c>
      <c r="X98" s="88">
        <v>4.5999999999999996</v>
      </c>
      <c r="Y98" s="90">
        <v>67</v>
      </c>
      <c r="Z98" s="90">
        <v>176</v>
      </c>
      <c r="AA98" s="88">
        <v>82</v>
      </c>
      <c r="AB98" s="88">
        <v>113</v>
      </c>
      <c r="AC98" s="89">
        <v>6.9</v>
      </c>
      <c r="AD98" s="89">
        <v>5.5</v>
      </c>
      <c r="AE98" s="102">
        <v>84</v>
      </c>
      <c r="AF98" s="103">
        <v>118.6</v>
      </c>
      <c r="AG98" s="89">
        <v>42</v>
      </c>
      <c r="AH98" s="89">
        <v>42</v>
      </c>
      <c r="AI98" s="88">
        <v>1.2</v>
      </c>
      <c r="AJ98" s="88">
        <v>0.9</v>
      </c>
      <c r="AK98" s="269">
        <f t="shared" si="8"/>
        <v>0</v>
      </c>
      <c r="AL98" s="89">
        <v>5.0999999999999996</v>
      </c>
      <c r="AM98" s="89">
        <v>3.5</v>
      </c>
      <c r="AN98" s="88">
        <v>8.4</v>
      </c>
      <c r="AO98" s="88">
        <v>7.2</v>
      </c>
      <c r="AP98" s="88" t="s">
        <v>94</v>
      </c>
      <c r="AQ98" s="94" t="s">
        <v>94</v>
      </c>
      <c r="AR98" s="89">
        <v>10.3</v>
      </c>
      <c r="AS98" s="89">
        <v>9.5</v>
      </c>
      <c r="AT98" s="89">
        <v>5.9</v>
      </c>
      <c r="AU98" s="89">
        <v>4.8</v>
      </c>
      <c r="AV98" s="63">
        <v>95</v>
      </c>
      <c r="AW98" s="63">
        <v>100</v>
      </c>
      <c r="AX98" s="88">
        <v>143</v>
      </c>
      <c r="AY98" s="88">
        <v>145</v>
      </c>
      <c r="AZ98" s="89">
        <v>2.1</v>
      </c>
      <c r="BA98" s="89">
        <v>2.2999999999999998</v>
      </c>
      <c r="BB98" s="88">
        <v>101</v>
      </c>
      <c r="BC98" s="88">
        <v>106</v>
      </c>
      <c r="BD98" s="96">
        <f t="shared" si="9"/>
        <v>304.02344444444446</v>
      </c>
      <c r="BE98" s="96">
        <f t="shared" si="10"/>
        <v>306.01688888888896</v>
      </c>
      <c r="BF98" s="89">
        <v>4.9800000000000004</v>
      </c>
      <c r="BG98" s="89">
        <v>4.34</v>
      </c>
      <c r="BH98" s="88">
        <v>15.6</v>
      </c>
      <c r="BI98" s="88">
        <v>13.7</v>
      </c>
      <c r="BJ98" s="89">
        <v>48.6</v>
      </c>
      <c r="BK98" s="89">
        <v>39.9</v>
      </c>
      <c r="BL98" s="88">
        <v>97.6</v>
      </c>
      <c r="BM98" s="88">
        <v>91.9</v>
      </c>
      <c r="BN98" s="89">
        <v>31.3</v>
      </c>
      <c r="BO98" s="89">
        <v>31.6</v>
      </c>
      <c r="BP98" s="88">
        <v>32.1</v>
      </c>
      <c r="BQ98" s="88">
        <v>34.299999999999997</v>
      </c>
      <c r="BR98" s="89">
        <v>205</v>
      </c>
      <c r="BS98" s="89">
        <v>229</v>
      </c>
      <c r="BT98" s="88">
        <v>13.3</v>
      </c>
      <c r="BU98" s="88">
        <v>13</v>
      </c>
      <c r="BV98" s="97" t="s">
        <v>94</v>
      </c>
      <c r="BW98" s="89">
        <v>2.39</v>
      </c>
      <c r="BX98" s="88">
        <v>10.09</v>
      </c>
      <c r="BY98" s="88">
        <v>14.12</v>
      </c>
      <c r="BZ98" s="89">
        <v>72.900000000000006</v>
      </c>
      <c r="CA98" s="89">
        <v>82.7</v>
      </c>
      <c r="CB98" s="88">
        <v>18.3</v>
      </c>
      <c r="CC98" s="88">
        <v>9.9</v>
      </c>
      <c r="CD98" s="89">
        <v>7.4</v>
      </c>
      <c r="CE98" s="89">
        <v>6.9</v>
      </c>
      <c r="CF98" s="88">
        <v>1.2</v>
      </c>
      <c r="CG98" s="88">
        <v>0.4</v>
      </c>
      <c r="CH98" s="89">
        <v>0.2</v>
      </c>
      <c r="CI98" s="89">
        <v>0.1</v>
      </c>
      <c r="CJ98" s="86" t="b">
        <f t="shared" si="11"/>
        <v>0</v>
      </c>
      <c r="CK98" s="2" t="b">
        <f t="shared" si="12"/>
        <v>0</v>
      </c>
      <c r="CL98" s="98">
        <f t="shared" si="13"/>
        <v>70.76357999999999</v>
      </c>
      <c r="CM98" s="98">
        <v>78.599999999999994</v>
      </c>
      <c r="CN98" s="98">
        <v>179</v>
      </c>
      <c r="CO98" s="86">
        <v>53.31</v>
      </c>
      <c r="CP98" s="98">
        <v>50</v>
      </c>
      <c r="CQ98" s="98">
        <v>44</v>
      </c>
      <c r="CR98" s="96">
        <v>9.9700000000000006</v>
      </c>
    </row>
    <row r="99" spans="1:96" ht="15.75" customHeight="1">
      <c r="A99" s="50">
        <v>2018</v>
      </c>
      <c r="B99" s="50" t="s">
        <v>172</v>
      </c>
      <c r="C99" s="104">
        <v>3190</v>
      </c>
      <c r="D99" s="101">
        <v>29</v>
      </c>
      <c r="E99" s="101">
        <v>81</v>
      </c>
      <c r="F99" s="101">
        <v>1</v>
      </c>
      <c r="G99" s="304" t="s">
        <v>94</v>
      </c>
      <c r="H99" s="52" t="s">
        <v>94</v>
      </c>
      <c r="I99" s="53" t="s">
        <v>94</v>
      </c>
      <c r="J99" s="52" t="s">
        <v>94</v>
      </c>
      <c r="K99" s="53" t="s">
        <v>94</v>
      </c>
      <c r="L99" s="61" t="s">
        <v>94</v>
      </c>
      <c r="M99" s="87">
        <v>257</v>
      </c>
      <c r="N99" s="87">
        <v>3061</v>
      </c>
      <c r="O99" s="88">
        <v>17</v>
      </c>
      <c r="P99" s="88">
        <v>41</v>
      </c>
      <c r="Q99" s="89" t="s">
        <v>94</v>
      </c>
      <c r="R99" s="89" t="s">
        <v>94</v>
      </c>
      <c r="S99" s="88">
        <v>1039</v>
      </c>
      <c r="T99" s="88">
        <v>1764</v>
      </c>
      <c r="U99" s="90">
        <v>89</v>
      </c>
      <c r="V99" s="90">
        <v>154</v>
      </c>
      <c r="W99" s="88">
        <v>4.8</v>
      </c>
      <c r="X99" s="88">
        <v>3.9</v>
      </c>
      <c r="Y99" s="90">
        <v>67</v>
      </c>
      <c r="Z99" s="90">
        <v>114</v>
      </c>
      <c r="AA99" s="88">
        <v>40</v>
      </c>
      <c r="AB99" s="88">
        <v>32</v>
      </c>
      <c r="AC99" s="89">
        <v>4.5999999999999996</v>
      </c>
      <c r="AD99" s="89">
        <v>3.7</v>
      </c>
      <c r="AE99" s="102">
        <v>118.6</v>
      </c>
      <c r="AF99" s="103">
        <v>122.9</v>
      </c>
      <c r="AG99" s="89">
        <v>37</v>
      </c>
      <c r="AH99" s="89">
        <v>34</v>
      </c>
      <c r="AI99" s="88">
        <v>0.9</v>
      </c>
      <c r="AJ99" s="88">
        <v>0.8</v>
      </c>
      <c r="AK99" s="269">
        <f t="shared" si="8"/>
        <v>0</v>
      </c>
      <c r="AL99" s="89">
        <v>3.4</v>
      </c>
      <c r="AM99" s="89">
        <v>2.9</v>
      </c>
      <c r="AN99" s="88">
        <v>8</v>
      </c>
      <c r="AO99" s="88">
        <v>6.6</v>
      </c>
      <c r="AP99" s="94" t="s">
        <v>94</v>
      </c>
      <c r="AQ99" s="94" t="s">
        <v>94</v>
      </c>
      <c r="AR99" s="89">
        <v>9.6999999999999993</v>
      </c>
      <c r="AS99" s="89">
        <v>8.9</v>
      </c>
      <c r="AT99" s="89">
        <v>5.4</v>
      </c>
      <c r="AU99" s="89">
        <v>3.9</v>
      </c>
      <c r="AV99" s="63">
        <v>96</v>
      </c>
      <c r="AW99" s="63">
        <v>103</v>
      </c>
      <c r="AX99" s="88">
        <v>141</v>
      </c>
      <c r="AY99" s="88">
        <v>143</v>
      </c>
      <c r="AZ99" s="89">
        <v>2.1</v>
      </c>
      <c r="BA99" s="89">
        <v>2.1</v>
      </c>
      <c r="BB99" s="88">
        <v>102</v>
      </c>
      <c r="BC99" s="88">
        <v>104</v>
      </c>
      <c r="BD99" s="96">
        <f t="shared" si="9"/>
        <v>298.60400000000004</v>
      </c>
      <c r="BE99" s="96">
        <f t="shared" si="10"/>
        <v>299.4812222222223</v>
      </c>
      <c r="BF99" s="89">
        <v>4.34</v>
      </c>
      <c r="BG99" s="89">
        <v>3.78</v>
      </c>
      <c r="BH99" s="88">
        <v>13.2</v>
      </c>
      <c r="BI99" s="88">
        <v>11.6</v>
      </c>
      <c r="BJ99" s="89">
        <v>41.6</v>
      </c>
      <c r="BK99" s="89">
        <v>34.299999999999997</v>
      </c>
      <c r="BL99" s="88">
        <v>95.9</v>
      </c>
      <c r="BM99" s="88">
        <v>90.7</v>
      </c>
      <c r="BN99" s="89">
        <v>30.4</v>
      </c>
      <c r="BO99" s="89">
        <v>30.7</v>
      </c>
      <c r="BP99" s="88">
        <v>31.7</v>
      </c>
      <c r="BQ99" s="88">
        <v>33.799999999999997</v>
      </c>
      <c r="BR99" s="89">
        <v>268</v>
      </c>
      <c r="BS99" s="89">
        <v>266</v>
      </c>
      <c r="BT99" s="88">
        <v>13.6</v>
      </c>
      <c r="BU99" s="88">
        <v>13.7</v>
      </c>
      <c r="BV99" s="97" t="s">
        <v>94</v>
      </c>
      <c r="BW99" s="89">
        <v>1.1299999999999999</v>
      </c>
      <c r="BX99" s="88">
        <v>8.77</v>
      </c>
      <c r="BY99" s="88">
        <v>7.68</v>
      </c>
      <c r="BZ99" s="89">
        <v>81.8</v>
      </c>
      <c r="CA99" s="89">
        <v>82.6</v>
      </c>
      <c r="CB99" s="88">
        <v>12</v>
      </c>
      <c r="CC99" s="88">
        <v>12</v>
      </c>
      <c r="CD99" s="89">
        <v>5.8</v>
      </c>
      <c r="CE99" s="89">
        <v>4.9000000000000004</v>
      </c>
      <c r="CF99" s="88">
        <v>0.2</v>
      </c>
      <c r="CG99" s="88">
        <v>0.4</v>
      </c>
      <c r="CH99" s="89">
        <v>0.2</v>
      </c>
      <c r="CI99" s="89">
        <v>0.1</v>
      </c>
      <c r="CJ99" s="86" t="b">
        <f t="shared" si="11"/>
        <v>0</v>
      </c>
      <c r="CK99" s="2" t="b">
        <f t="shared" si="12"/>
        <v>1</v>
      </c>
      <c r="CL99" s="98">
        <f t="shared" si="13"/>
        <v>72.151949999999999</v>
      </c>
      <c r="CM99" s="98">
        <v>81.5</v>
      </c>
      <c r="CN99" s="98">
        <v>175</v>
      </c>
      <c r="CO99" s="86">
        <v>51.49</v>
      </c>
      <c r="CP99" s="98">
        <v>49.5</v>
      </c>
      <c r="CQ99" s="98">
        <v>41</v>
      </c>
      <c r="CR99" s="96">
        <v>11.47</v>
      </c>
    </row>
    <row r="100" spans="1:96" ht="15.75" customHeight="1">
      <c r="A100" s="50">
        <v>2018</v>
      </c>
      <c r="B100" s="50" t="s">
        <v>172</v>
      </c>
      <c r="C100" s="104">
        <v>3192</v>
      </c>
      <c r="D100" s="109">
        <v>28</v>
      </c>
      <c r="E100" s="109">
        <v>68</v>
      </c>
      <c r="F100" s="109">
        <v>2</v>
      </c>
      <c r="G100" s="305" t="s">
        <v>89</v>
      </c>
      <c r="H100" s="52" t="s">
        <v>83</v>
      </c>
      <c r="I100" s="56" t="s">
        <v>93</v>
      </c>
      <c r="J100" s="52" t="s">
        <v>85</v>
      </c>
      <c r="K100" s="57">
        <v>45.8333333333333</v>
      </c>
      <c r="L100" s="59">
        <v>54.1666666666667</v>
      </c>
      <c r="M100" s="87">
        <v>298</v>
      </c>
      <c r="N100" s="87">
        <v>2145</v>
      </c>
      <c r="O100" s="88">
        <v>25</v>
      </c>
      <c r="P100" s="88">
        <v>52</v>
      </c>
      <c r="Q100" s="89" t="s">
        <v>94</v>
      </c>
      <c r="R100" s="89" t="s">
        <v>94</v>
      </c>
      <c r="S100" s="88">
        <v>639</v>
      </c>
      <c r="T100" s="88">
        <v>2012</v>
      </c>
      <c r="U100" s="90">
        <v>67</v>
      </c>
      <c r="V100" s="90">
        <v>229</v>
      </c>
      <c r="W100" s="88">
        <v>5.0999999999999996</v>
      </c>
      <c r="X100" s="88">
        <v>4.0999999999999996</v>
      </c>
      <c r="Y100" s="90">
        <v>55</v>
      </c>
      <c r="Z100" s="90">
        <v>148</v>
      </c>
      <c r="AA100" s="88">
        <v>57</v>
      </c>
      <c r="AB100" s="88">
        <v>109</v>
      </c>
      <c r="AC100" s="89">
        <v>5.4</v>
      </c>
      <c r="AD100" s="89">
        <v>5.3</v>
      </c>
      <c r="AE100" s="110">
        <v>104.5</v>
      </c>
      <c r="AF100" s="111">
        <v>118.6</v>
      </c>
      <c r="AG100" s="89">
        <v>39</v>
      </c>
      <c r="AH100" s="89">
        <v>41</v>
      </c>
      <c r="AI100" s="88">
        <v>1</v>
      </c>
      <c r="AJ100" s="88">
        <v>0.9</v>
      </c>
      <c r="AK100" s="269">
        <f t="shared" si="8"/>
        <v>0</v>
      </c>
      <c r="AL100" s="89">
        <v>3.7</v>
      </c>
      <c r="AM100" s="89">
        <v>2.5</v>
      </c>
      <c r="AN100" s="88">
        <v>8.5</v>
      </c>
      <c r="AO100" s="88">
        <v>6.8</v>
      </c>
      <c r="AP100" s="94" t="s">
        <v>94</v>
      </c>
      <c r="AQ100" s="94" t="s">
        <v>94</v>
      </c>
      <c r="AR100" s="89">
        <v>9.4</v>
      </c>
      <c r="AS100" s="89">
        <v>8.6</v>
      </c>
      <c r="AT100" s="89">
        <v>4.7</v>
      </c>
      <c r="AU100" s="89">
        <v>4.2</v>
      </c>
      <c r="AV100" s="63" t="s">
        <v>94</v>
      </c>
      <c r="AW100" s="63">
        <v>104</v>
      </c>
      <c r="AX100" s="88">
        <v>139</v>
      </c>
      <c r="AY100" s="88">
        <v>139</v>
      </c>
      <c r="AZ100" s="89">
        <v>2.2000000000000002</v>
      </c>
      <c r="BA100" s="89">
        <v>1.9</v>
      </c>
      <c r="BB100" s="88">
        <v>98</v>
      </c>
      <c r="BC100" s="88">
        <v>99</v>
      </c>
      <c r="BD100" s="96" t="e">
        <f t="shared" si="9"/>
        <v>#VALUE!</v>
      </c>
      <c r="BE100" s="96">
        <f t="shared" si="10"/>
        <v>293.82977777777774</v>
      </c>
      <c r="BF100" s="89">
        <v>4.67</v>
      </c>
      <c r="BG100" s="89">
        <v>3.93</v>
      </c>
      <c r="BH100" s="88">
        <v>14.3</v>
      </c>
      <c r="BI100" s="88">
        <v>12.3</v>
      </c>
      <c r="BJ100" s="89">
        <v>45.6</v>
      </c>
      <c r="BK100" s="89">
        <v>36.5</v>
      </c>
      <c r="BL100" s="88">
        <v>97.6</v>
      </c>
      <c r="BM100" s="88">
        <v>92.9</v>
      </c>
      <c r="BN100" s="89">
        <v>30.6</v>
      </c>
      <c r="BO100" s="89">
        <v>31.3</v>
      </c>
      <c r="BP100" s="88">
        <v>31.4</v>
      </c>
      <c r="BQ100" s="88">
        <v>33.700000000000003</v>
      </c>
      <c r="BR100" s="89">
        <v>189</v>
      </c>
      <c r="BS100" s="89">
        <v>215</v>
      </c>
      <c r="BT100" s="88">
        <v>12.1</v>
      </c>
      <c r="BU100" s="88">
        <v>11.9</v>
      </c>
      <c r="BV100" s="97" t="s">
        <v>94</v>
      </c>
      <c r="BW100" s="89">
        <v>1.19</v>
      </c>
      <c r="BX100" s="88">
        <v>6.89</v>
      </c>
      <c r="BY100" s="88">
        <v>9.33</v>
      </c>
      <c r="BZ100" s="89">
        <v>83</v>
      </c>
      <c r="CA100" s="89">
        <v>86.6</v>
      </c>
      <c r="CB100" s="88">
        <v>9.1</v>
      </c>
      <c r="CC100" s="88">
        <v>10.4</v>
      </c>
      <c r="CD100" s="89">
        <v>7.5</v>
      </c>
      <c r="CE100" s="89">
        <v>2.8</v>
      </c>
      <c r="CF100" s="88">
        <v>0.3</v>
      </c>
      <c r="CG100" s="88">
        <v>0.1</v>
      </c>
      <c r="CH100" s="89">
        <v>0.1</v>
      </c>
      <c r="CI100" s="89">
        <v>0.1</v>
      </c>
      <c r="CJ100" s="109" t="b">
        <f t="shared" si="11"/>
        <v>0</v>
      </c>
      <c r="CK100" s="8" t="b">
        <f t="shared" si="12"/>
        <v>1</v>
      </c>
      <c r="CL100" s="98">
        <f t="shared" si="13"/>
        <v>54.321839999999995</v>
      </c>
      <c r="CM100" s="98">
        <v>64.8</v>
      </c>
      <c r="CN100" s="98">
        <v>175</v>
      </c>
      <c r="CO100" s="86">
        <v>55.46</v>
      </c>
      <c r="CP100" s="98">
        <v>50</v>
      </c>
      <c r="CQ100" s="98">
        <v>46</v>
      </c>
      <c r="CR100" s="96">
        <v>16.170000000000002</v>
      </c>
    </row>
    <row r="101" spans="1:96" ht="15.75" customHeight="1">
      <c r="A101" s="50">
        <v>2018</v>
      </c>
      <c r="B101" s="50" t="s">
        <v>172</v>
      </c>
      <c r="C101" s="104">
        <v>3193</v>
      </c>
      <c r="D101" s="101">
        <v>29</v>
      </c>
      <c r="E101" s="101">
        <v>83</v>
      </c>
      <c r="F101" s="101">
        <v>0</v>
      </c>
      <c r="G101" s="302" t="s">
        <v>94</v>
      </c>
      <c r="H101" s="62" t="s">
        <v>94</v>
      </c>
      <c r="I101" s="62" t="s">
        <v>94</v>
      </c>
      <c r="J101" s="62" t="s">
        <v>94</v>
      </c>
      <c r="K101" s="62" t="s">
        <v>94</v>
      </c>
      <c r="L101" s="62" t="s">
        <v>94</v>
      </c>
      <c r="M101" s="87">
        <v>84</v>
      </c>
      <c r="N101" s="87">
        <v>917</v>
      </c>
      <c r="O101" s="88">
        <v>3</v>
      </c>
      <c r="P101" s="88">
        <v>15</v>
      </c>
      <c r="Q101" s="89" t="s">
        <v>94</v>
      </c>
      <c r="R101" s="89" t="s">
        <v>94</v>
      </c>
      <c r="S101" s="88">
        <v>471</v>
      </c>
      <c r="T101" s="88">
        <v>757</v>
      </c>
      <c r="U101" s="90">
        <v>26</v>
      </c>
      <c r="V101" s="90">
        <v>65</v>
      </c>
      <c r="W101" s="88">
        <v>4.9000000000000004</v>
      </c>
      <c r="X101" s="88">
        <v>4.4000000000000004</v>
      </c>
      <c r="Y101" s="90">
        <v>23</v>
      </c>
      <c r="Z101" s="90">
        <v>71</v>
      </c>
      <c r="AA101" s="88">
        <v>17</v>
      </c>
      <c r="AB101" s="88">
        <v>17</v>
      </c>
      <c r="AC101" s="89">
        <v>5.6</v>
      </c>
      <c r="AD101" s="89">
        <v>5.3</v>
      </c>
      <c r="AE101" s="91">
        <v>92.6</v>
      </c>
      <c r="AF101" s="92">
        <v>103.8</v>
      </c>
      <c r="AG101" s="89">
        <v>38</v>
      </c>
      <c r="AH101" s="89">
        <v>36</v>
      </c>
      <c r="AI101" s="88">
        <v>1.1000000000000001</v>
      </c>
      <c r="AJ101" s="88">
        <v>1</v>
      </c>
      <c r="AK101" s="269">
        <f t="shared" si="8"/>
        <v>0</v>
      </c>
      <c r="AL101" s="89">
        <v>4.3</v>
      </c>
      <c r="AM101" s="89">
        <v>3.6</v>
      </c>
      <c r="AN101" s="88">
        <v>8.1999999999999993</v>
      </c>
      <c r="AO101" s="88">
        <v>7.3</v>
      </c>
      <c r="AP101" s="88" t="s">
        <v>94</v>
      </c>
      <c r="AQ101" s="94" t="s">
        <v>94</v>
      </c>
      <c r="AR101" s="89">
        <v>9.8000000000000007</v>
      </c>
      <c r="AS101" s="89">
        <v>9.5</v>
      </c>
      <c r="AT101" s="89">
        <v>6</v>
      </c>
      <c r="AU101" s="89">
        <v>5.0999999999999996</v>
      </c>
      <c r="AV101" s="63">
        <v>99</v>
      </c>
      <c r="AW101" s="63">
        <v>115</v>
      </c>
      <c r="AX101" s="88">
        <v>145</v>
      </c>
      <c r="AY101" s="88">
        <v>145</v>
      </c>
      <c r="AZ101" s="89">
        <v>2.2000000000000002</v>
      </c>
      <c r="BA101" s="89">
        <v>2.2999999999999998</v>
      </c>
      <c r="BB101" s="88">
        <v>104</v>
      </c>
      <c r="BC101" s="88">
        <v>103</v>
      </c>
      <c r="BD101" s="96">
        <f t="shared" si="9"/>
        <v>307.51833333333332</v>
      </c>
      <c r="BE101" s="96">
        <f t="shared" si="10"/>
        <v>306.53322222222221</v>
      </c>
      <c r="BF101" s="89">
        <v>4.5</v>
      </c>
      <c r="BG101" s="89">
        <v>4.1100000000000003</v>
      </c>
      <c r="BH101" s="88">
        <v>13.5</v>
      </c>
      <c r="BI101" s="88">
        <v>12.5</v>
      </c>
      <c r="BJ101" s="89">
        <v>42.4</v>
      </c>
      <c r="BK101" s="89">
        <v>37.1</v>
      </c>
      <c r="BL101" s="88">
        <v>94.2</v>
      </c>
      <c r="BM101" s="88">
        <v>90.3</v>
      </c>
      <c r="BN101" s="89">
        <v>30</v>
      </c>
      <c r="BO101" s="89">
        <v>30.4</v>
      </c>
      <c r="BP101" s="88">
        <v>31.8</v>
      </c>
      <c r="BQ101" s="88">
        <v>33.700000000000003</v>
      </c>
      <c r="BR101" s="89">
        <v>300</v>
      </c>
      <c r="BS101" s="89">
        <v>318</v>
      </c>
      <c r="BT101" s="88">
        <v>12.6</v>
      </c>
      <c r="BU101" s="88">
        <v>12.8</v>
      </c>
      <c r="BV101" s="97" t="s">
        <v>94</v>
      </c>
      <c r="BW101" s="89">
        <v>1.75</v>
      </c>
      <c r="BX101" s="88">
        <v>8.11</v>
      </c>
      <c r="BY101" s="88">
        <v>11.22</v>
      </c>
      <c r="BZ101" s="89">
        <v>73.099999999999994</v>
      </c>
      <c r="CA101" s="89">
        <v>84.4</v>
      </c>
      <c r="CB101" s="88">
        <v>18.899999999999999</v>
      </c>
      <c r="CC101" s="88">
        <v>9.8000000000000007</v>
      </c>
      <c r="CD101" s="89">
        <v>7.5</v>
      </c>
      <c r="CE101" s="89">
        <v>5.3</v>
      </c>
      <c r="CF101" s="88">
        <v>0.4</v>
      </c>
      <c r="CG101" s="88">
        <v>0.2</v>
      </c>
      <c r="CH101" s="89">
        <v>0.1</v>
      </c>
      <c r="CI101" s="89">
        <v>0.3</v>
      </c>
      <c r="CJ101" s="86" t="b">
        <f t="shared" si="11"/>
        <v>0</v>
      </c>
      <c r="CK101" s="2" t="b">
        <f t="shared" si="12"/>
        <v>0</v>
      </c>
      <c r="CL101" s="98">
        <f t="shared" si="13"/>
        <v>72.809100000000001</v>
      </c>
      <c r="CM101" s="98">
        <v>81.900000000000006</v>
      </c>
      <c r="CN101" s="98">
        <v>180.5</v>
      </c>
      <c r="CO101" s="86">
        <v>51.93</v>
      </c>
      <c r="CP101" s="98">
        <v>44.5</v>
      </c>
      <c r="CQ101" s="98">
        <v>46.5</v>
      </c>
      <c r="CR101" s="96">
        <v>11.1</v>
      </c>
    </row>
    <row r="102" spans="1:96" ht="15.75" customHeight="1">
      <c r="A102" s="50">
        <v>2018</v>
      </c>
      <c r="B102" s="50" t="s">
        <v>172</v>
      </c>
      <c r="C102" s="104">
        <v>3194</v>
      </c>
      <c r="D102" s="101">
        <v>28</v>
      </c>
      <c r="E102" s="101">
        <v>82</v>
      </c>
      <c r="F102" s="101">
        <v>1</v>
      </c>
      <c r="G102" s="302" t="s">
        <v>94</v>
      </c>
      <c r="H102" s="62" t="s">
        <v>94</v>
      </c>
      <c r="I102" s="62" t="s">
        <v>94</v>
      </c>
      <c r="J102" s="62" t="s">
        <v>94</v>
      </c>
      <c r="K102" s="62" t="s">
        <v>94</v>
      </c>
      <c r="L102" s="62" t="s">
        <v>94</v>
      </c>
      <c r="M102" s="87">
        <v>113</v>
      </c>
      <c r="N102" s="87">
        <v>1366</v>
      </c>
      <c r="O102" s="88">
        <v>3</v>
      </c>
      <c r="P102" s="88">
        <v>23</v>
      </c>
      <c r="Q102" s="89" t="s">
        <v>94</v>
      </c>
      <c r="R102" s="89" t="s">
        <v>94</v>
      </c>
      <c r="S102" s="88">
        <v>526</v>
      </c>
      <c r="T102" s="88">
        <v>1089</v>
      </c>
      <c r="U102" s="90">
        <v>38</v>
      </c>
      <c r="V102" s="90">
        <v>87</v>
      </c>
      <c r="W102" s="88">
        <v>4.8</v>
      </c>
      <c r="X102" s="88">
        <v>4.5</v>
      </c>
      <c r="Y102" s="90">
        <v>18</v>
      </c>
      <c r="Z102" s="90">
        <v>47</v>
      </c>
      <c r="AA102" s="88">
        <v>11</v>
      </c>
      <c r="AB102" s="88">
        <v>10</v>
      </c>
      <c r="AC102" s="89">
        <v>6.8</v>
      </c>
      <c r="AD102" s="89">
        <v>6.5</v>
      </c>
      <c r="AE102" s="102">
        <v>93.2</v>
      </c>
      <c r="AF102" s="103">
        <v>104.5</v>
      </c>
      <c r="AG102" s="89">
        <v>37</v>
      </c>
      <c r="AH102" s="89">
        <v>31</v>
      </c>
      <c r="AI102" s="88">
        <v>1.1000000000000001</v>
      </c>
      <c r="AJ102" s="88">
        <v>1</v>
      </c>
      <c r="AK102" s="269">
        <f t="shared" si="8"/>
        <v>0</v>
      </c>
      <c r="AL102" s="89">
        <v>3.6</v>
      </c>
      <c r="AM102" s="89">
        <v>3.6</v>
      </c>
      <c r="AN102" s="88">
        <v>8.3000000000000007</v>
      </c>
      <c r="AO102" s="88">
        <v>7.6</v>
      </c>
      <c r="AP102" s="94" t="s">
        <v>94</v>
      </c>
      <c r="AQ102" s="88" t="s">
        <v>94</v>
      </c>
      <c r="AR102" s="89">
        <v>9.6999999999999993</v>
      </c>
      <c r="AS102" s="89">
        <v>9.6</v>
      </c>
      <c r="AT102" s="89">
        <v>4.9000000000000004</v>
      </c>
      <c r="AU102" s="89">
        <v>4.9000000000000004</v>
      </c>
      <c r="AV102" s="63">
        <v>99</v>
      </c>
      <c r="AW102" s="63">
        <v>123</v>
      </c>
      <c r="AX102" s="88">
        <v>141</v>
      </c>
      <c r="AY102" s="88">
        <v>143</v>
      </c>
      <c r="AZ102" s="89">
        <v>2.2000000000000002</v>
      </c>
      <c r="BA102" s="89">
        <v>2.4</v>
      </c>
      <c r="BB102" s="88">
        <v>101</v>
      </c>
      <c r="BC102" s="88">
        <v>103</v>
      </c>
      <c r="BD102" s="96">
        <f t="shared" si="9"/>
        <v>297.8656666666667</v>
      </c>
      <c r="BE102" s="96">
        <f t="shared" si="10"/>
        <v>302.11900000000009</v>
      </c>
      <c r="BF102" s="89">
        <v>4.91</v>
      </c>
      <c r="BG102" s="89">
        <v>4.45</v>
      </c>
      <c r="BH102" s="88">
        <v>14.4</v>
      </c>
      <c r="BI102" s="88">
        <v>13</v>
      </c>
      <c r="BJ102" s="89">
        <v>45</v>
      </c>
      <c r="BK102" s="89">
        <v>38.9</v>
      </c>
      <c r="BL102" s="88">
        <v>91.6</v>
      </c>
      <c r="BM102" s="88">
        <v>87.4</v>
      </c>
      <c r="BN102" s="89">
        <v>29.3</v>
      </c>
      <c r="BO102" s="89">
        <v>29.2</v>
      </c>
      <c r="BP102" s="88">
        <v>32</v>
      </c>
      <c r="BQ102" s="88">
        <v>33.4</v>
      </c>
      <c r="BR102" s="89">
        <v>292</v>
      </c>
      <c r="BS102" s="89">
        <v>334</v>
      </c>
      <c r="BT102" s="88">
        <v>13.5</v>
      </c>
      <c r="BU102" s="88">
        <v>13.4</v>
      </c>
      <c r="BV102" s="97" t="s">
        <v>94</v>
      </c>
      <c r="BW102" s="89">
        <v>1.74</v>
      </c>
      <c r="BX102" s="88">
        <v>7.67</v>
      </c>
      <c r="BY102" s="88">
        <v>8.34</v>
      </c>
      <c r="BZ102" s="89">
        <v>76.3</v>
      </c>
      <c r="CA102" s="89">
        <v>77.8</v>
      </c>
      <c r="CB102" s="88">
        <v>15.1</v>
      </c>
      <c r="CC102" s="88">
        <v>13.3</v>
      </c>
      <c r="CD102" s="89">
        <v>8.1</v>
      </c>
      <c r="CE102" s="89">
        <v>8.1999999999999993</v>
      </c>
      <c r="CF102" s="88">
        <v>0.4</v>
      </c>
      <c r="CG102" s="88">
        <v>0.6</v>
      </c>
      <c r="CH102" s="89">
        <v>0.1</v>
      </c>
      <c r="CI102" s="89">
        <v>0.1</v>
      </c>
      <c r="CJ102" s="86" t="b">
        <f t="shared" si="11"/>
        <v>0</v>
      </c>
      <c r="CK102" s="2" t="b">
        <f t="shared" si="12"/>
        <v>1</v>
      </c>
      <c r="CL102" s="98">
        <f t="shared" si="13"/>
        <v>71.943809999999999</v>
      </c>
      <c r="CM102" s="98">
        <v>81.099999999999994</v>
      </c>
      <c r="CN102" s="98">
        <v>178</v>
      </c>
      <c r="CO102" s="86">
        <v>51.6</v>
      </c>
      <c r="CP102" s="98">
        <v>45.5</v>
      </c>
      <c r="CQ102" s="98">
        <v>43</v>
      </c>
      <c r="CR102" s="96">
        <v>11.29</v>
      </c>
    </row>
    <row r="103" spans="1:96" ht="15.75" customHeight="1">
      <c r="A103" s="50">
        <v>2018</v>
      </c>
      <c r="B103" s="50" t="s">
        <v>172</v>
      </c>
      <c r="C103" s="104">
        <v>3195</v>
      </c>
      <c r="D103" s="101">
        <v>26</v>
      </c>
      <c r="E103" s="101">
        <v>69</v>
      </c>
      <c r="F103" s="101">
        <v>1</v>
      </c>
      <c r="G103" s="302" t="s">
        <v>94</v>
      </c>
      <c r="H103" s="62" t="s">
        <v>94</v>
      </c>
      <c r="I103" s="62" t="s">
        <v>94</v>
      </c>
      <c r="J103" s="62" t="s">
        <v>94</v>
      </c>
      <c r="K103" s="62" t="s">
        <v>94</v>
      </c>
      <c r="L103" s="62" t="s">
        <v>94</v>
      </c>
      <c r="M103" s="87">
        <v>432</v>
      </c>
      <c r="N103" s="87">
        <v>912</v>
      </c>
      <c r="O103" s="88">
        <v>3</v>
      </c>
      <c r="P103" s="88">
        <v>15</v>
      </c>
      <c r="Q103" s="89" t="s">
        <v>94</v>
      </c>
      <c r="R103" s="89" t="s">
        <v>94</v>
      </c>
      <c r="S103" s="88">
        <v>531</v>
      </c>
      <c r="T103" s="88">
        <v>807</v>
      </c>
      <c r="U103" s="90">
        <v>36</v>
      </c>
      <c r="V103" s="90">
        <v>66</v>
      </c>
      <c r="W103" s="88">
        <v>5.0999999999999996</v>
      </c>
      <c r="X103" s="88">
        <v>4.7</v>
      </c>
      <c r="Y103" s="90">
        <v>34</v>
      </c>
      <c r="Z103" s="90">
        <v>65</v>
      </c>
      <c r="AA103" s="88">
        <v>20</v>
      </c>
      <c r="AB103" s="88">
        <v>18</v>
      </c>
      <c r="AC103" s="89">
        <v>4.5999999999999996</v>
      </c>
      <c r="AD103" s="89">
        <v>4.7</v>
      </c>
      <c r="AE103" s="102">
        <v>125.2</v>
      </c>
      <c r="AF103" s="103">
        <v>125.2</v>
      </c>
      <c r="AG103" s="89">
        <v>27</v>
      </c>
      <c r="AH103" s="89">
        <v>35</v>
      </c>
      <c r="AI103" s="88">
        <v>0.8</v>
      </c>
      <c r="AJ103" s="88">
        <v>0.8</v>
      </c>
      <c r="AK103" s="269">
        <f t="shared" si="8"/>
        <v>0</v>
      </c>
      <c r="AL103" s="89">
        <v>3.6</v>
      </c>
      <c r="AM103" s="89">
        <v>3.7</v>
      </c>
      <c r="AN103" s="63">
        <v>8.6999999999999993</v>
      </c>
      <c r="AO103" s="63">
        <v>7.6</v>
      </c>
      <c r="AP103" s="94" t="s">
        <v>94</v>
      </c>
      <c r="AQ103" s="94" t="s">
        <v>94</v>
      </c>
      <c r="AR103" s="89">
        <v>9.6</v>
      </c>
      <c r="AS103" s="89">
        <v>9.6</v>
      </c>
      <c r="AT103" s="89">
        <v>4.4000000000000004</v>
      </c>
      <c r="AU103" s="89">
        <v>4.3</v>
      </c>
      <c r="AV103" s="63">
        <v>98</v>
      </c>
      <c r="AW103" s="63">
        <v>166</v>
      </c>
      <c r="AX103" s="88">
        <v>145</v>
      </c>
      <c r="AY103" s="88">
        <v>145</v>
      </c>
      <c r="AZ103" s="89">
        <v>2.1</v>
      </c>
      <c r="BA103" s="89">
        <v>2.2000000000000002</v>
      </c>
      <c r="BB103" s="88">
        <v>99</v>
      </c>
      <c r="BC103" s="88">
        <v>101</v>
      </c>
      <c r="BD103" s="96">
        <f t="shared" si="9"/>
        <v>302.64511111111113</v>
      </c>
      <c r="BE103" s="96">
        <f t="shared" si="10"/>
        <v>308.1368888888889</v>
      </c>
      <c r="BF103" s="89">
        <v>4.83</v>
      </c>
      <c r="BG103" s="89">
        <v>4.5199999999999996</v>
      </c>
      <c r="BH103" s="88">
        <v>14.9</v>
      </c>
      <c r="BI103" s="88">
        <v>14.1</v>
      </c>
      <c r="BJ103" s="89">
        <v>47</v>
      </c>
      <c r="BK103" s="89">
        <v>41.5</v>
      </c>
      <c r="BL103" s="88">
        <v>97.3</v>
      </c>
      <c r="BM103" s="88">
        <v>91.8</v>
      </c>
      <c r="BN103" s="89">
        <v>30.8</v>
      </c>
      <c r="BO103" s="89">
        <v>31.2</v>
      </c>
      <c r="BP103" s="88">
        <v>31.7</v>
      </c>
      <c r="BQ103" s="88">
        <v>34</v>
      </c>
      <c r="BR103" s="89">
        <v>294</v>
      </c>
      <c r="BS103" s="89">
        <v>317</v>
      </c>
      <c r="BT103" s="88">
        <v>13.2</v>
      </c>
      <c r="BU103" s="88">
        <v>13.1</v>
      </c>
      <c r="BV103" s="97" t="s">
        <v>94</v>
      </c>
      <c r="BW103" s="89">
        <v>1.42</v>
      </c>
      <c r="BX103" s="88">
        <v>10.49</v>
      </c>
      <c r="BY103" s="88">
        <v>10.16</v>
      </c>
      <c r="BZ103" s="89">
        <v>83</v>
      </c>
      <c r="CA103" s="89">
        <v>74.7</v>
      </c>
      <c r="CB103" s="88">
        <v>9.6</v>
      </c>
      <c r="CC103" s="88">
        <v>15.8</v>
      </c>
      <c r="CD103" s="89">
        <v>7.1</v>
      </c>
      <c r="CE103" s="89">
        <v>8.5</v>
      </c>
      <c r="CF103" s="88">
        <v>0.1</v>
      </c>
      <c r="CG103" s="88">
        <v>0.8</v>
      </c>
      <c r="CH103" s="89">
        <v>0.2</v>
      </c>
      <c r="CI103" s="89">
        <v>0.2</v>
      </c>
      <c r="CJ103" s="86" t="b">
        <f t="shared" si="11"/>
        <v>0</v>
      </c>
      <c r="CK103" s="2" t="b">
        <f t="shared" si="12"/>
        <v>0</v>
      </c>
      <c r="CL103" s="98">
        <f t="shared" si="13"/>
        <v>62.5396</v>
      </c>
      <c r="CM103" s="98">
        <v>68</v>
      </c>
      <c r="CN103" s="98">
        <v>173</v>
      </c>
      <c r="CO103" s="86">
        <v>55.9</v>
      </c>
      <c r="CP103" s="98">
        <v>39</v>
      </c>
      <c r="CQ103" s="98">
        <v>39</v>
      </c>
      <c r="CR103" s="96">
        <v>8.0299999999999994</v>
      </c>
    </row>
    <row r="104" spans="1:96" ht="15.75" customHeight="1">
      <c r="A104" s="50">
        <v>2018</v>
      </c>
      <c r="B104" s="50" t="s">
        <v>172</v>
      </c>
      <c r="C104" s="104">
        <v>3196</v>
      </c>
      <c r="D104" s="101">
        <v>27</v>
      </c>
      <c r="E104" s="101">
        <v>83</v>
      </c>
      <c r="F104" s="101">
        <v>1</v>
      </c>
      <c r="G104" s="306" t="s">
        <v>94</v>
      </c>
      <c r="H104" s="62" t="s">
        <v>94</v>
      </c>
      <c r="I104" s="62" t="s">
        <v>94</v>
      </c>
      <c r="J104" s="62" t="s">
        <v>94</v>
      </c>
      <c r="K104" s="62" t="s">
        <v>94</v>
      </c>
      <c r="L104" s="62" t="s">
        <v>94</v>
      </c>
      <c r="M104" s="87">
        <v>220</v>
      </c>
      <c r="N104" s="87">
        <v>1335</v>
      </c>
      <c r="O104" s="88">
        <v>6</v>
      </c>
      <c r="P104" s="88">
        <v>18</v>
      </c>
      <c r="Q104" s="89" t="s">
        <v>94</v>
      </c>
      <c r="R104" s="89" t="s">
        <v>94</v>
      </c>
      <c r="S104" s="88">
        <v>696</v>
      </c>
      <c r="T104" s="88">
        <v>1032</v>
      </c>
      <c r="U104" s="90">
        <v>50</v>
      </c>
      <c r="V104" s="90">
        <v>56</v>
      </c>
      <c r="W104" s="88">
        <v>5.3</v>
      </c>
      <c r="X104" s="88">
        <v>4.7</v>
      </c>
      <c r="Y104" s="90">
        <v>54</v>
      </c>
      <c r="Z104" s="90">
        <v>74</v>
      </c>
      <c r="AA104" s="88">
        <v>28</v>
      </c>
      <c r="AB104" s="88">
        <v>24</v>
      </c>
      <c r="AC104" s="89">
        <v>7.3</v>
      </c>
      <c r="AD104" s="89">
        <v>6.4</v>
      </c>
      <c r="AE104" s="102">
        <v>84.5</v>
      </c>
      <c r="AF104" s="103">
        <v>93.8</v>
      </c>
      <c r="AG104" s="89">
        <v>43</v>
      </c>
      <c r="AH104" s="89">
        <v>40</v>
      </c>
      <c r="AI104" s="88">
        <v>1.2</v>
      </c>
      <c r="AJ104" s="88">
        <v>1.1000000000000001</v>
      </c>
      <c r="AK104" s="269">
        <f t="shared" si="8"/>
        <v>0</v>
      </c>
      <c r="AL104" s="89">
        <v>4</v>
      </c>
      <c r="AM104" s="89">
        <v>3.6</v>
      </c>
      <c r="AN104" s="63">
        <v>8.9</v>
      </c>
      <c r="AO104" s="63">
        <v>7.7</v>
      </c>
      <c r="AP104" s="88" t="s">
        <v>94</v>
      </c>
      <c r="AQ104" s="88" t="s">
        <v>94</v>
      </c>
      <c r="AR104" s="89">
        <v>9.9</v>
      </c>
      <c r="AS104" s="89">
        <v>9.5</v>
      </c>
      <c r="AT104" s="89">
        <v>6.1</v>
      </c>
      <c r="AU104" s="89">
        <v>4.5999999999999996</v>
      </c>
      <c r="AV104" s="63">
        <v>114</v>
      </c>
      <c r="AW104" s="63">
        <v>124</v>
      </c>
      <c r="AX104" s="88">
        <v>145</v>
      </c>
      <c r="AY104" s="88">
        <v>144</v>
      </c>
      <c r="AZ104" s="89">
        <v>2.2999999999999998</v>
      </c>
      <c r="BA104" s="89">
        <v>2.2999999999999998</v>
      </c>
      <c r="BB104" s="88">
        <v>103</v>
      </c>
      <c r="BC104" s="88">
        <v>101</v>
      </c>
      <c r="BD104" s="96">
        <f t="shared" si="9"/>
        <v>309.49600000000004</v>
      </c>
      <c r="BE104" s="96">
        <f t="shared" si="10"/>
        <v>304.98488888888892</v>
      </c>
      <c r="BF104" s="89">
        <v>5.51</v>
      </c>
      <c r="BG104" s="89">
        <v>5.16</v>
      </c>
      <c r="BH104" s="88">
        <v>15.3</v>
      </c>
      <c r="BI104" s="88">
        <v>14.4</v>
      </c>
      <c r="BJ104" s="89">
        <v>47.5</v>
      </c>
      <c r="BK104" s="89">
        <v>42.6</v>
      </c>
      <c r="BL104" s="88">
        <v>86.2</v>
      </c>
      <c r="BM104" s="88">
        <v>82.6</v>
      </c>
      <c r="BN104" s="89">
        <v>27.8</v>
      </c>
      <c r="BO104" s="89">
        <v>27.9</v>
      </c>
      <c r="BP104" s="88">
        <v>32.200000000000003</v>
      </c>
      <c r="BQ104" s="88">
        <v>33.799999999999997</v>
      </c>
      <c r="BR104" s="89">
        <v>187</v>
      </c>
      <c r="BS104" s="89">
        <v>261</v>
      </c>
      <c r="BT104" s="88">
        <v>12.5</v>
      </c>
      <c r="BU104" s="88">
        <v>12.3</v>
      </c>
      <c r="BV104" s="89" t="s">
        <v>94</v>
      </c>
      <c r="BW104" s="89">
        <v>1.1299999999999999</v>
      </c>
      <c r="BX104" s="88">
        <v>7.45</v>
      </c>
      <c r="BY104" s="88">
        <v>9.69</v>
      </c>
      <c r="BZ104" s="89">
        <v>77.5</v>
      </c>
      <c r="CA104" s="89">
        <v>76.3</v>
      </c>
      <c r="CB104" s="88">
        <v>16.8</v>
      </c>
      <c r="CC104" s="88">
        <v>16.2</v>
      </c>
      <c r="CD104" s="89">
        <v>4.7</v>
      </c>
      <c r="CE104" s="89">
        <v>6</v>
      </c>
      <c r="CF104" s="88">
        <v>0.7</v>
      </c>
      <c r="CG104" s="88">
        <v>1.3</v>
      </c>
      <c r="CH104" s="89">
        <v>0.3</v>
      </c>
      <c r="CI104" s="89">
        <v>0.2</v>
      </c>
      <c r="CJ104" s="86" t="b">
        <f t="shared" si="11"/>
        <v>0</v>
      </c>
      <c r="CK104" s="2" t="b">
        <f t="shared" si="12"/>
        <v>1</v>
      </c>
      <c r="CL104" s="98">
        <f t="shared" si="13"/>
        <v>70.30368</v>
      </c>
      <c r="CM104" s="98">
        <v>82.4</v>
      </c>
      <c r="CN104" s="98">
        <v>168</v>
      </c>
      <c r="CO104" s="86">
        <v>50.7</v>
      </c>
      <c r="CP104" s="98">
        <v>60</v>
      </c>
      <c r="CQ104" s="98">
        <v>58</v>
      </c>
      <c r="CR104" s="96">
        <v>14.68</v>
      </c>
    </row>
    <row r="105" spans="1:96" ht="15.75" customHeight="1">
      <c r="A105" s="50">
        <v>2018</v>
      </c>
      <c r="B105" s="4" t="s">
        <v>184</v>
      </c>
      <c r="C105" s="105">
        <v>3155</v>
      </c>
      <c r="D105" s="101">
        <v>26</v>
      </c>
      <c r="E105" s="94">
        <v>74</v>
      </c>
      <c r="F105" s="101">
        <v>1</v>
      </c>
      <c r="G105" s="54" t="s">
        <v>86</v>
      </c>
      <c r="H105" s="55" t="s">
        <v>83</v>
      </c>
      <c r="I105" s="56" t="s">
        <v>87</v>
      </c>
      <c r="J105" s="52" t="s">
        <v>88</v>
      </c>
      <c r="K105" s="53">
        <v>50</v>
      </c>
      <c r="L105" s="55">
        <v>50</v>
      </c>
      <c r="M105" s="87">
        <v>570</v>
      </c>
      <c r="N105" s="87">
        <v>2493</v>
      </c>
      <c r="O105" s="88">
        <v>32</v>
      </c>
      <c r="P105" s="88">
        <v>79</v>
      </c>
      <c r="Q105" s="89">
        <v>1.9</v>
      </c>
      <c r="R105" s="89">
        <v>1.9</v>
      </c>
      <c r="S105" s="88">
        <v>838</v>
      </c>
      <c r="T105" s="88">
        <v>1747</v>
      </c>
      <c r="U105" s="90">
        <v>76</v>
      </c>
      <c r="V105" s="90">
        <v>189</v>
      </c>
      <c r="W105" s="88">
        <v>4.2</v>
      </c>
      <c r="X105" s="88">
        <v>4.5</v>
      </c>
      <c r="Y105" s="90">
        <v>100</v>
      </c>
      <c r="Z105" s="90">
        <v>183</v>
      </c>
      <c r="AA105" s="88">
        <v>41</v>
      </c>
      <c r="AB105" s="88">
        <v>42</v>
      </c>
      <c r="AC105" s="89" t="s">
        <v>94</v>
      </c>
      <c r="AD105" s="89">
        <v>7.9</v>
      </c>
      <c r="AE105" s="319">
        <v>124.4</v>
      </c>
      <c r="AF105" s="334">
        <v>94.4</v>
      </c>
      <c r="AG105" s="89">
        <v>46</v>
      </c>
      <c r="AH105" s="113">
        <v>68</v>
      </c>
      <c r="AI105" s="88">
        <v>0.8</v>
      </c>
      <c r="AJ105" s="88">
        <v>1.1000000000000001</v>
      </c>
      <c r="AK105" s="269">
        <f t="shared" si="8"/>
        <v>0.30000000000000004</v>
      </c>
      <c r="AL105" s="89">
        <v>3.6</v>
      </c>
      <c r="AM105" s="89">
        <v>6.2</v>
      </c>
      <c r="AN105" s="88">
        <v>7</v>
      </c>
      <c r="AO105" s="88">
        <v>7.8</v>
      </c>
      <c r="AP105" s="88" t="s">
        <v>94</v>
      </c>
      <c r="AQ105" s="88">
        <v>88</v>
      </c>
      <c r="AR105" s="89">
        <v>9.5</v>
      </c>
      <c r="AS105" s="89">
        <v>10.1</v>
      </c>
      <c r="AT105" s="89">
        <v>4.2</v>
      </c>
      <c r="AU105" s="89">
        <v>4.5</v>
      </c>
      <c r="AV105" s="63">
        <v>81</v>
      </c>
      <c r="AW105" s="63">
        <v>60</v>
      </c>
      <c r="AX105" s="88">
        <v>138</v>
      </c>
      <c r="AY105" s="88">
        <v>146</v>
      </c>
      <c r="AZ105" s="89">
        <v>2.1</v>
      </c>
      <c r="BA105" s="89">
        <v>1.8</v>
      </c>
      <c r="BB105" s="88">
        <v>101</v>
      </c>
      <c r="BC105" s="88">
        <v>104</v>
      </c>
      <c r="BD105" s="96">
        <f t="shared" si="9"/>
        <v>291.33366666666672</v>
      </c>
      <c r="BE105" s="96">
        <f t="shared" si="10"/>
        <v>309.09666666666664</v>
      </c>
      <c r="BF105" s="89">
        <v>4.41</v>
      </c>
      <c r="BG105" s="89">
        <v>4.4000000000000004</v>
      </c>
      <c r="BH105" s="88">
        <v>13.2</v>
      </c>
      <c r="BI105" s="88">
        <v>13.2</v>
      </c>
      <c r="BJ105" s="89">
        <v>39.200000000000003</v>
      </c>
      <c r="BK105" s="89">
        <v>39.200000000000003</v>
      </c>
      <c r="BL105" s="88">
        <v>88.9</v>
      </c>
      <c r="BM105" s="88">
        <v>89.1</v>
      </c>
      <c r="BN105" s="89">
        <v>29.9</v>
      </c>
      <c r="BO105" s="89">
        <v>30</v>
      </c>
      <c r="BP105" s="88">
        <v>33.700000000000003</v>
      </c>
      <c r="BQ105" s="88">
        <v>33.700000000000003</v>
      </c>
      <c r="BR105" s="89">
        <v>348</v>
      </c>
      <c r="BS105" s="89">
        <v>421</v>
      </c>
      <c r="BT105" s="88">
        <v>14</v>
      </c>
      <c r="BU105" s="88">
        <v>14.2</v>
      </c>
      <c r="BV105" s="89">
        <v>1.92</v>
      </c>
      <c r="BW105" s="89">
        <v>1.89</v>
      </c>
      <c r="BX105" s="88">
        <v>7.21</v>
      </c>
      <c r="BY105" s="88">
        <v>12.28</v>
      </c>
      <c r="BZ105" s="89">
        <v>59.6</v>
      </c>
      <c r="CA105" s="89">
        <v>75.599999999999994</v>
      </c>
      <c r="CB105" s="88">
        <v>28.4</v>
      </c>
      <c r="CC105" s="88">
        <v>14.7</v>
      </c>
      <c r="CD105" s="89">
        <v>10.3</v>
      </c>
      <c r="CE105" s="89">
        <v>9.5</v>
      </c>
      <c r="CF105" s="88">
        <v>1.1000000000000001</v>
      </c>
      <c r="CG105" s="88">
        <v>0</v>
      </c>
      <c r="CH105" s="89">
        <v>0.6</v>
      </c>
      <c r="CI105" s="89">
        <v>0.2</v>
      </c>
      <c r="CJ105" s="86" t="b">
        <f t="shared" si="11"/>
        <v>1</v>
      </c>
      <c r="CK105" s="2" t="b">
        <f t="shared" si="12"/>
        <v>1</v>
      </c>
      <c r="CL105" s="98">
        <f t="shared" si="13"/>
        <v>71.28528</v>
      </c>
      <c r="CM105" s="98">
        <v>75.900000000000006</v>
      </c>
      <c r="CN105" s="98">
        <v>171</v>
      </c>
      <c r="CO105" s="86">
        <v>54.68</v>
      </c>
      <c r="CP105" s="98">
        <v>42</v>
      </c>
      <c r="CQ105" s="98">
        <v>43</v>
      </c>
      <c r="CR105" s="96">
        <v>6.08</v>
      </c>
    </row>
    <row r="106" spans="1:96" ht="15.75" customHeight="1">
      <c r="A106" s="50">
        <v>2018</v>
      </c>
      <c r="B106" s="4" t="s">
        <v>184</v>
      </c>
      <c r="C106" s="105">
        <v>3156</v>
      </c>
      <c r="D106" s="101">
        <v>26</v>
      </c>
      <c r="E106" s="94">
        <v>76</v>
      </c>
      <c r="F106" s="101">
        <v>1</v>
      </c>
      <c r="G106" s="54" t="s">
        <v>89</v>
      </c>
      <c r="H106" s="55" t="s">
        <v>90</v>
      </c>
      <c r="I106" s="56" t="s">
        <v>84</v>
      </c>
      <c r="J106" s="55" t="s">
        <v>91</v>
      </c>
      <c r="K106" s="53">
        <v>50</v>
      </c>
      <c r="L106" s="55">
        <v>50</v>
      </c>
      <c r="M106" s="87">
        <v>543</v>
      </c>
      <c r="N106" s="87">
        <v>1600</v>
      </c>
      <c r="O106" s="88">
        <v>31</v>
      </c>
      <c r="P106" s="88">
        <v>111</v>
      </c>
      <c r="Q106" s="89">
        <v>2.4</v>
      </c>
      <c r="R106" s="89">
        <v>2.4</v>
      </c>
      <c r="S106" s="88">
        <v>962</v>
      </c>
      <c r="T106" s="88">
        <v>1546</v>
      </c>
      <c r="U106" s="90">
        <v>57</v>
      </c>
      <c r="V106" s="90">
        <v>166</v>
      </c>
      <c r="W106" s="88">
        <v>4.5</v>
      </c>
      <c r="X106" s="88">
        <v>4.4000000000000004</v>
      </c>
      <c r="Y106" s="90">
        <v>73</v>
      </c>
      <c r="Z106" s="90">
        <v>112</v>
      </c>
      <c r="AA106" s="88">
        <v>26</v>
      </c>
      <c r="AB106" s="88">
        <v>24</v>
      </c>
      <c r="AC106" s="89" t="s">
        <v>94</v>
      </c>
      <c r="AD106" s="89">
        <v>5.4</v>
      </c>
      <c r="AE106" s="319">
        <v>105.8</v>
      </c>
      <c r="AF106" s="334">
        <v>85</v>
      </c>
      <c r="AG106" s="89">
        <v>48</v>
      </c>
      <c r="AH106" s="113">
        <v>60</v>
      </c>
      <c r="AI106" s="88">
        <v>1</v>
      </c>
      <c r="AJ106" s="88">
        <v>1.2</v>
      </c>
      <c r="AK106" s="269">
        <f t="shared" si="8"/>
        <v>0.19999999999999996</v>
      </c>
      <c r="AL106" s="89">
        <v>3.9</v>
      </c>
      <c r="AM106" s="89">
        <v>4.9000000000000004</v>
      </c>
      <c r="AN106" s="88">
        <v>7.6</v>
      </c>
      <c r="AO106" s="88">
        <v>7.9</v>
      </c>
      <c r="AP106" s="88" t="s">
        <v>94</v>
      </c>
      <c r="AQ106" s="88">
        <v>158</v>
      </c>
      <c r="AR106" s="89">
        <v>9.6999999999999993</v>
      </c>
      <c r="AS106" s="89">
        <v>9.8000000000000007</v>
      </c>
      <c r="AT106" s="89">
        <v>4.7</v>
      </c>
      <c r="AU106" s="89">
        <v>4.5</v>
      </c>
      <c r="AV106" s="63">
        <v>77</v>
      </c>
      <c r="AW106" s="63">
        <v>64</v>
      </c>
      <c r="AX106" s="88">
        <v>143</v>
      </c>
      <c r="AY106" s="88">
        <v>145</v>
      </c>
      <c r="AZ106" s="89">
        <v>2</v>
      </c>
      <c r="BA106" s="89">
        <v>1.9</v>
      </c>
      <c r="BB106" s="88">
        <v>101</v>
      </c>
      <c r="BC106" s="88">
        <v>106</v>
      </c>
      <c r="BD106" s="96">
        <f t="shared" si="9"/>
        <v>301.6414444444444</v>
      </c>
      <c r="BE106" s="96">
        <f t="shared" si="10"/>
        <v>306.1588888888889</v>
      </c>
      <c r="BF106" s="89">
        <v>5.0999999999999996</v>
      </c>
      <c r="BG106" s="89">
        <v>4.54</v>
      </c>
      <c r="BH106" s="88">
        <v>15.6</v>
      </c>
      <c r="BI106" s="88">
        <v>14</v>
      </c>
      <c r="BJ106" s="89">
        <v>46.3</v>
      </c>
      <c r="BK106" s="89">
        <v>41.1</v>
      </c>
      <c r="BL106" s="88">
        <v>90.8</v>
      </c>
      <c r="BM106" s="88">
        <v>90.5</v>
      </c>
      <c r="BN106" s="89">
        <v>30.6</v>
      </c>
      <c r="BO106" s="89">
        <v>30.8</v>
      </c>
      <c r="BP106" s="88">
        <v>33.700000000000003</v>
      </c>
      <c r="BQ106" s="88">
        <v>34.1</v>
      </c>
      <c r="BR106" s="89">
        <v>272</v>
      </c>
      <c r="BS106" s="89">
        <v>308</v>
      </c>
      <c r="BT106" s="88">
        <v>12.4</v>
      </c>
      <c r="BU106" s="88">
        <v>12.7</v>
      </c>
      <c r="BV106" s="89">
        <v>1.39</v>
      </c>
      <c r="BW106" s="89">
        <v>1.19</v>
      </c>
      <c r="BX106" s="88">
        <v>4.22</v>
      </c>
      <c r="BY106" s="88">
        <v>11.66</v>
      </c>
      <c r="BZ106" s="89">
        <v>54.6</v>
      </c>
      <c r="CA106" s="89">
        <v>76.900000000000006</v>
      </c>
      <c r="CB106" s="88">
        <v>33.9</v>
      </c>
      <c r="CC106" s="88">
        <v>16</v>
      </c>
      <c r="CD106" s="89">
        <v>8.5</v>
      </c>
      <c r="CE106" s="89">
        <v>6.9</v>
      </c>
      <c r="CF106" s="88">
        <v>2.1</v>
      </c>
      <c r="CG106" s="88">
        <v>0</v>
      </c>
      <c r="CH106" s="89">
        <v>0.9</v>
      </c>
      <c r="CI106" s="89">
        <v>0.2</v>
      </c>
      <c r="CJ106" s="86" t="b">
        <f t="shared" si="11"/>
        <v>0</v>
      </c>
      <c r="CK106" s="2" t="b">
        <f t="shared" si="12"/>
        <v>1</v>
      </c>
      <c r="CL106" s="98">
        <f t="shared" si="13"/>
        <v>72.293760000000006</v>
      </c>
      <c r="CM106" s="98">
        <v>79.2</v>
      </c>
      <c r="CN106" s="98">
        <v>174</v>
      </c>
      <c r="CO106" s="86">
        <v>53.64</v>
      </c>
      <c r="CP106" s="98">
        <v>49.5</v>
      </c>
      <c r="CQ106" s="98">
        <v>49.5</v>
      </c>
      <c r="CR106" s="96">
        <v>8.7200000000000006</v>
      </c>
    </row>
    <row r="107" spans="1:96" ht="15.75" customHeight="1">
      <c r="A107" s="50">
        <v>2018</v>
      </c>
      <c r="B107" s="4" t="s">
        <v>184</v>
      </c>
      <c r="C107" s="105">
        <v>3159</v>
      </c>
      <c r="D107" s="101">
        <v>25</v>
      </c>
      <c r="E107" s="94">
        <v>84</v>
      </c>
      <c r="F107" s="101">
        <v>1</v>
      </c>
      <c r="G107" s="51" t="s">
        <v>86</v>
      </c>
      <c r="H107" s="52" t="s">
        <v>92</v>
      </c>
      <c r="I107" s="53" t="s">
        <v>93</v>
      </c>
      <c r="J107" s="55" t="s">
        <v>88</v>
      </c>
      <c r="K107" s="64"/>
      <c r="L107" s="65"/>
      <c r="M107" s="87">
        <v>309</v>
      </c>
      <c r="N107" s="87">
        <v>1144</v>
      </c>
      <c r="O107" s="88">
        <v>25</v>
      </c>
      <c r="P107" s="88">
        <v>64</v>
      </c>
      <c r="Q107" s="89">
        <v>1.6</v>
      </c>
      <c r="R107" s="89">
        <v>2.8</v>
      </c>
      <c r="S107" s="88">
        <v>300</v>
      </c>
      <c r="T107" s="88">
        <v>594</v>
      </c>
      <c r="U107" s="90">
        <v>52</v>
      </c>
      <c r="V107" s="90">
        <v>115</v>
      </c>
      <c r="W107" s="88">
        <v>3.8</v>
      </c>
      <c r="X107" s="88">
        <v>4.5999999999999996</v>
      </c>
      <c r="Y107" s="90">
        <v>97</v>
      </c>
      <c r="Z107" s="90">
        <v>146</v>
      </c>
      <c r="AA107" s="88">
        <v>69</v>
      </c>
      <c r="AB107" s="88">
        <v>54</v>
      </c>
      <c r="AC107" s="89" t="s">
        <v>94</v>
      </c>
      <c r="AD107" s="89">
        <v>6.8</v>
      </c>
      <c r="AE107" s="319">
        <v>106.5</v>
      </c>
      <c r="AF107" s="334">
        <v>85.5</v>
      </c>
      <c r="AG107" s="89">
        <v>39</v>
      </c>
      <c r="AH107" s="113">
        <v>57</v>
      </c>
      <c r="AI107" s="88">
        <v>1</v>
      </c>
      <c r="AJ107" s="88">
        <v>1.2</v>
      </c>
      <c r="AK107" s="269">
        <f t="shared" si="8"/>
        <v>0.19999999999999996</v>
      </c>
      <c r="AL107" s="89">
        <v>3.5</v>
      </c>
      <c r="AM107" s="89">
        <v>5.3</v>
      </c>
      <c r="AN107" s="88">
        <v>6.3</v>
      </c>
      <c r="AO107" s="88">
        <v>7.9</v>
      </c>
      <c r="AP107" s="88" t="s">
        <v>94</v>
      </c>
      <c r="AQ107" s="88">
        <v>125</v>
      </c>
      <c r="AR107" s="89">
        <v>8.8000000000000007</v>
      </c>
      <c r="AS107" s="89">
        <v>10.4</v>
      </c>
      <c r="AT107" s="89">
        <v>4.5999999999999996</v>
      </c>
      <c r="AU107" s="89">
        <v>4.9000000000000004</v>
      </c>
      <c r="AV107" s="63">
        <v>82</v>
      </c>
      <c r="AW107" s="63">
        <v>72</v>
      </c>
      <c r="AX107" s="88">
        <v>142</v>
      </c>
      <c r="AY107" s="88">
        <v>141</v>
      </c>
      <c r="AZ107" s="89">
        <v>2</v>
      </c>
      <c r="BA107" s="89">
        <v>1.7</v>
      </c>
      <c r="BB107" s="88">
        <v>104</v>
      </c>
      <c r="BC107" s="88">
        <v>100</v>
      </c>
      <c r="BD107" s="96">
        <f t="shared" si="9"/>
        <v>298.41488888888887</v>
      </c>
      <c r="BE107" s="96">
        <f t="shared" si="10"/>
        <v>299.47400000000005</v>
      </c>
      <c r="BF107" s="89">
        <v>4.5999999999999996</v>
      </c>
      <c r="BG107" s="89">
        <v>4.76</v>
      </c>
      <c r="BH107" s="88">
        <v>13.1</v>
      </c>
      <c r="BI107" s="88">
        <v>13.8</v>
      </c>
      <c r="BJ107" s="89">
        <v>40.200000000000003</v>
      </c>
      <c r="BK107" s="89">
        <v>41</v>
      </c>
      <c r="BL107" s="88">
        <v>87.4</v>
      </c>
      <c r="BM107" s="88">
        <v>86.1</v>
      </c>
      <c r="BN107" s="89">
        <v>28.5</v>
      </c>
      <c r="BO107" s="89">
        <v>29</v>
      </c>
      <c r="BP107" s="88">
        <v>32.6</v>
      </c>
      <c r="BQ107" s="88">
        <v>33.700000000000003</v>
      </c>
      <c r="BR107" s="89">
        <v>281</v>
      </c>
      <c r="BS107" s="89">
        <v>307</v>
      </c>
      <c r="BT107" s="88">
        <v>12.8</v>
      </c>
      <c r="BU107" s="88">
        <v>12.7</v>
      </c>
      <c r="BV107" s="89">
        <v>1.29</v>
      </c>
      <c r="BW107" s="89">
        <v>1.25</v>
      </c>
      <c r="BX107" s="88">
        <v>4.5</v>
      </c>
      <c r="BY107" s="88">
        <v>7.33</v>
      </c>
      <c r="BZ107" s="89">
        <v>37.1</v>
      </c>
      <c r="CA107" s="89">
        <v>65.3</v>
      </c>
      <c r="CB107" s="88">
        <v>47.6</v>
      </c>
      <c r="CC107" s="88">
        <v>26.7</v>
      </c>
      <c r="CD107" s="89">
        <v>9.3000000000000007</v>
      </c>
      <c r="CE107" s="89">
        <v>7</v>
      </c>
      <c r="CF107" s="88">
        <v>4.7</v>
      </c>
      <c r="CG107" s="88">
        <v>0.3</v>
      </c>
      <c r="CH107" s="89">
        <v>1.3</v>
      </c>
      <c r="CI107" s="89">
        <v>0.7</v>
      </c>
      <c r="CJ107" s="86" t="b">
        <f t="shared" si="11"/>
        <v>0</v>
      </c>
      <c r="CK107" s="2" t="b">
        <f t="shared" si="12"/>
        <v>1</v>
      </c>
      <c r="CL107" s="98">
        <f t="shared" si="13"/>
        <v>75.355769999999993</v>
      </c>
      <c r="CM107" s="98">
        <v>84.3</v>
      </c>
      <c r="CN107" s="98">
        <v>178</v>
      </c>
      <c r="CO107" s="86">
        <v>52.69</v>
      </c>
      <c r="CP107" s="98">
        <v>60</v>
      </c>
      <c r="CQ107" s="98">
        <v>57</v>
      </c>
      <c r="CR107" s="96">
        <v>10.61</v>
      </c>
    </row>
    <row r="108" spans="1:96" ht="15.75" customHeight="1">
      <c r="A108" s="50">
        <v>2018</v>
      </c>
      <c r="B108" s="4" t="s">
        <v>184</v>
      </c>
      <c r="C108" s="105">
        <v>3165</v>
      </c>
      <c r="D108" s="101">
        <v>33</v>
      </c>
      <c r="E108" s="94">
        <v>82</v>
      </c>
      <c r="F108" s="101">
        <v>1</v>
      </c>
      <c r="G108" s="51" t="s">
        <v>86</v>
      </c>
      <c r="H108" s="52" t="s">
        <v>83</v>
      </c>
      <c r="I108" s="53" t="s">
        <v>87</v>
      </c>
      <c r="J108" s="52" t="s">
        <v>88</v>
      </c>
      <c r="K108" s="53">
        <v>50</v>
      </c>
      <c r="L108" s="52">
        <v>50</v>
      </c>
      <c r="M108" s="87">
        <v>187</v>
      </c>
      <c r="N108" s="87">
        <v>1419</v>
      </c>
      <c r="O108" s="88">
        <v>11</v>
      </c>
      <c r="P108" s="88">
        <v>56</v>
      </c>
      <c r="Q108" s="89">
        <v>2.1</v>
      </c>
      <c r="R108" s="89">
        <v>3.3</v>
      </c>
      <c r="S108" s="88">
        <v>626</v>
      </c>
      <c r="T108" s="88">
        <v>1666</v>
      </c>
      <c r="U108" s="90">
        <v>45</v>
      </c>
      <c r="V108" s="90">
        <v>113</v>
      </c>
      <c r="W108" s="88">
        <v>4</v>
      </c>
      <c r="X108" s="88">
        <v>4.0999999999999996</v>
      </c>
      <c r="Y108" s="90">
        <v>63</v>
      </c>
      <c r="Z108" s="90">
        <v>149</v>
      </c>
      <c r="AA108" s="88">
        <v>41</v>
      </c>
      <c r="AB108" s="88">
        <v>85</v>
      </c>
      <c r="AC108" s="89" t="s">
        <v>94</v>
      </c>
      <c r="AD108" s="89">
        <v>6.9</v>
      </c>
      <c r="AE108" s="319">
        <v>114.9</v>
      </c>
      <c r="AF108" s="334">
        <v>90.3</v>
      </c>
      <c r="AG108" s="89">
        <v>43</v>
      </c>
      <c r="AH108" s="113">
        <v>80</v>
      </c>
      <c r="AI108" s="88">
        <v>0.9</v>
      </c>
      <c r="AJ108" s="88">
        <v>1.1000000000000001</v>
      </c>
      <c r="AK108" s="269">
        <f t="shared" si="8"/>
        <v>0.20000000000000007</v>
      </c>
      <c r="AL108" s="89">
        <v>4.0999999999999996</v>
      </c>
      <c r="AM108" s="89">
        <v>5.2</v>
      </c>
      <c r="AN108" s="88">
        <v>6.5</v>
      </c>
      <c r="AO108" s="88">
        <v>7.4</v>
      </c>
      <c r="AP108" s="88" t="s">
        <v>94</v>
      </c>
      <c r="AQ108" s="88">
        <v>134</v>
      </c>
      <c r="AR108" s="89">
        <v>9.1</v>
      </c>
      <c r="AS108" s="89">
        <v>10.199999999999999</v>
      </c>
      <c r="AT108" s="89">
        <v>3.9</v>
      </c>
      <c r="AU108" s="89">
        <v>5.2</v>
      </c>
      <c r="AV108" s="66">
        <v>88</v>
      </c>
      <c r="AW108" s="63">
        <v>57</v>
      </c>
      <c r="AX108" s="88">
        <v>143</v>
      </c>
      <c r="AY108" s="88">
        <v>144</v>
      </c>
      <c r="AZ108" s="89">
        <v>1.9</v>
      </c>
      <c r="BA108" s="89">
        <v>1.9</v>
      </c>
      <c r="BB108" s="88">
        <v>104</v>
      </c>
      <c r="BC108" s="88">
        <v>101</v>
      </c>
      <c r="BD108" s="96">
        <f t="shared" si="9"/>
        <v>300.02288888888893</v>
      </c>
      <c r="BE108" s="96">
        <f t="shared" si="10"/>
        <v>308.48699999999997</v>
      </c>
      <c r="BF108" s="89">
        <v>4.09</v>
      </c>
      <c r="BG108" s="89">
        <v>3.96</v>
      </c>
      <c r="BH108" s="88">
        <v>12.6</v>
      </c>
      <c r="BI108" s="88">
        <v>12.3</v>
      </c>
      <c r="BJ108" s="89">
        <v>38.799999999999997</v>
      </c>
      <c r="BK108" s="89">
        <v>37.200000000000003</v>
      </c>
      <c r="BL108" s="88">
        <v>94.9</v>
      </c>
      <c r="BM108" s="88">
        <v>93.9</v>
      </c>
      <c r="BN108" s="89">
        <v>30.8</v>
      </c>
      <c r="BO108" s="89">
        <v>31.3</v>
      </c>
      <c r="BP108" s="88">
        <v>32.5</v>
      </c>
      <c r="BQ108" s="88">
        <v>33.1</v>
      </c>
      <c r="BR108" s="89">
        <v>231</v>
      </c>
      <c r="BS108" s="89">
        <v>375</v>
      </c>
      <c r="BT108" s="88">
        <v>12.4</v>
      </c>
      <c r="BU108" s="88">
        <v>12.5</v>
      </c>
      <c r="BV108" s="89">
        <v>2.89</v>
      </c>
      <c r="BW108" s="89">
        <v>2.2200000000000002</v>
      </c>
      <c r="BX108" s="88">
        <v>6.31</v>
      </c>
      <c r="BY108" s="88">
        <v>18.93</v>
      </c>
      <c r="BZ108" s="89">
        <v>55.5</v>
      </c>
      <c r="CA108" s="89">
        <v>78.8</v>
      </c>
      <c r="CB108" s="88">
        <v>32</v>
      </c>
      <c r="CC108" s="88">
        <v>11.5</v>
      </c>
      <c r="CD108" s="89">
        <v>7.4</v>
      </c>
      <c r="CE108" s="89">
        <v>9.6</v>
      </c>
      <c r="CF108" s="88">
        <v>4.5999999999999996</v>
      </c>
      <c r="CG108" s="88">
        <v>0</v>
      </c>
      <c r="CH108" s="89">
        <v>0.5</v>
      </c>
      <c r="CI108" s="89">
        <v>0.1</v>
      </c>
      <c r="CJ108" s="109" t="b">
        <f t="shared" si="11"/>
        <v>0</v>
      </c>
      <c r="CK108" s="8" t="b">
        <f t="shared" si="12"/>
        <v>1</v>
      </c>
      <c r="CL108" s="98">
        <f t="shared" si="13"/>
        <v>67.787359999999993</v>
      </c>
      <c r="CM108" s="98">
        <v>79.599999999999994</v>
      </c>
      <c r="CN108" s="98">
        <v>182</v>
      </c>
      <c r="CO108" s="86">
        <v>51.21</v>
      </c>
      <c r="CP108" s="98">
        <v>51</v>
      </c>
      <c r="CQ108" s="98">
        <v>49</v>
      </c>
      <c r="CR108" s="96">
        <v>14.84</v>
      </c>
    </row>
    <row r="109" spans="1:96" ht="15.75" customHeight="1">
      <c r="A109" s="50">
        <v>2018</v>
      </c>
      <c r="B109" s="4" t="s">
        <v>184</v>
      </c>
      <c r="C109" s="105">
        <v>3169</v>
      </c>
      <c r="D109" s="101">
        <v>31</v>
      </c>
      <c r="E109" s="94">
        <v>92</v>
      </c>
      <c r="F109" s="101">
        <v>1</v>
      </c>
      <c r="G109" s="60" t="s">
        <v>82</v>
      </c>
      <c r="H109" s="52" t="s">
        <v>83</v>
      </c>
      <c r="I109" s="53" t="s">
        <v>84</v>
      </c>
      <c r="J109" s="52" t="s">
        <v>85</v>
      </c>
      <c r="K109" s="53">
        <v>100</v>
      </c>
      <c r="L109" s="52">
        <v>0</v>
      </c>
      <c r="M109" s="87">
        <v>993</v>
      </c>
      <c r="N109" s="87">
        <v>1392</v>
      </c>
      <c r="O109" s="88">
        <v>35</v>
      </c>
      <c r="P109" s="88">
        <v>50</v>
      </c>
      <c r="Q109" s="89">
        <v>1.5</v>
      </c>
      <c r="R109" s="89">
        <v>1.8</v>
      </c>
      <c r="S109" s="88">
        <v>964</v>
      </c>
      <c r="T109" s="88">
        <v>1380</v>
      </c>
      <c r="U109" s="90">
        <v>121</v>
      </c>
      <c r="V109" s="90">
        <v>137</v>
      </c>
      <c r="W109" s="88">
        <v>3.8</v>
      </c>
      <c r="X109" s="88">
        <v>4.3</v>
      </c>
      <c r="Y109" s="90">
        <v>114</v>
      </c>
      <c r="Z109" s="90">
        <v>122</v>
      </c>
      <c r="AA109" s="88">
        <v>17</v>
      </c>
      <c r="AB109" s="88">
        <v>20</v>
      </c>
      <c r="AC109" s="89" t="s">
        <v>94</v>
      </c>
      <c r="AD109" s="89">
        <v>9.3000000000000007</v>
      </c>
      <c r="AE109" s="319">
        <v>102.6</v>
      </c>
      <c r="AF109" s="334">
        <v>91.5</v>
      </c>
      <c r="AG109" s="89">
        <v>42</v>
      </c>
      <c r="AH109" s="113">
        <v>49</v>
      </c>
      <c r="AI109" s="88">
        <v>1</v>
      </c>
      <c r="AJ109" s="88">
        <v>1.1000000000000001</v>
      </c>
      <c r="AK109" s="269">
        <f t="shared" si="8"/>
        <v>0.10000000000000009</v>
      </c>
      <c r="AL109" s="89">
        <v>3.7</v>
      </c>
      <c r="AM109" s="89">
        <v>4.7</v>
      </c>
      <c r="AN109" s="88">
        <v>6.9</v>
      </c>
      <c r="AO109" s="88">
        <v>7.9</v>
      </c>
      <c r="AP109" s="88" t="s">
        <v>94</v>
      </c>
      <c r="AQ109" s="88">
        <v>42</v>
      </c>
      <c r="AR109" s="89">
        <v>8.9</v>
      </c>
      <c r="AS109" s="89">
        <v>9.9</v>
      </c>
      <c r="AT109" s="89">
        <v>4.5999999999999996</v>
      </c>
      <c r="AU109" s="89">
        <v>4.5999999999999996</v>
      </c>
      <c r="AV109" s="67" t="s">
        <v>94</v>
      </c>
      <c r="AW109" s="63">
        <v>77</v>
      </c>
      <c r="AX109" s="88">
        <v>141</v>
      </c>
      <c r="AY109" s="88">
        <v>148</v>
      </c>
      <c r="AZ109" s="89">
        <v>1.9</v>
      </c>
      <c r="BA109" s="89">
        <v>1.8</v>
      </c>
      <c r="BB109" s="88">
        <v>107</v>
      </c>
      <c r="BC109" s="88">
        <v>105</v>
      </c>
      <c r="BD109" s="96" t="e">
        <f t="shared" si="9"/>
        <v>#VALUE!</v>
      </c>
      <c r="BE109" s="96">
        <f t="shared" si="10"/>
        <v>310.92211111111112</v>
      </c>
      <c r="BF109" s="89">
        <v>4.05</v>
      </c>
      <c r="BG109" s="89">
        <v>4.17</v>
      </c>
      <c r="BH109" s="88">
        <v>11.8</v>
      </c>
      <c r="BI109" s="88">
        <v>12.1</v>
      </c>
      <c r="BJ109" s="89">
        <v>37.1</v>
      </c>
      <c r="BK109" s="89">
        <v>38.1</v>
      </c>
      <c r="BL109" s="88">
        <v>91.6</v>
      </c>
      <c r="BM109" s="88">
        <v>91.4</v>
      </c>
      <c r="BN109" s="89">
        <v>29.1</v>
      </c>
      <c r="BO109" s="89">
        <v>29</v>
      </c>
      <c r="BP109" s="88">
        <v>31.8</v>
      </c>
      <c r="BQ109" s="88">
        <v>31.8</v>
      </c>
      <c r="BR109" s="89">
        <v>286</v>
      </c>
      <c r="BS109" s="89">
        <v>344</v>
      </c>
      <c r="BT109" s="88">
        <v>13.9</v>
      </c>
      <c r="BU109" s="88">
        <v>14.1</v>
      </c>
      <c r="BV109" s="114" t="s">
        <v>94</v>
      </c>
      <c r="BW109" s="89">
        <v>1.39</v>
      </c>
      <c r="BX109" s="88">
        <v>7.48</v>
      </c>
      <c r="BY109" s="88">
        <v>11.99</v>
      </c>
      <c r="BZ109" s="89">
        <v>64.3</v>
      </c>
      <c r="CA109" s="89">
        <v>76.8</v>
      </c>
      <c r="CB109" s="88">
        <v>19.5</v>
      </c>
      <c r="CC109" s="88">
        <v>15.3</v>
      </c>
      <c r="CD109" s="89">
        <v>13.5</v>
      </c>
      <c r="CE109" s="89">
        <v>7.3</v>
      </c>
      <c r="CF109" s="88">
        <v>2.4</v>
      </c>
      <c r="CG109" s="88">
        <v>0.3</v>
      </c>
      <c r="CH109" s="89">
        <v>0.3</v>
      </c>
      <c r="CI109" s="89">
        <v>0.3</v>
      </c>
      <c r="CJ109" s="86" t="b">
        <f t="shared" si="11"/>
        <v>0</v>
      </c>
      <c r="CK109" s="2" t="b">
        <f t="shared" si="12"/>
        <v>1</v>
      </c>
      <c r="CL109" s="98">
        <f t="shared" si="13"/>
        <v>74.95620000000001</v>
      </c>
      <c r="CM109" s="98">
        <v>90.2</v>
      </c>
      <c r="CN109" s="98">
        <v>184.5</v>
      </c>
      <c r="CO109" s="86">
        <v>48.67</v>
      </c>
      <c r="CP109" s="98">
        <v>54</v>
      </c>
      <c r="CQ109" s="98">
        <v>47</v>
      </c>
      <c r="CR109" s="96">
        <v>16.899999999999999</v>
      </c>
    </row>
    <row r="110" spans="1:96" ht="15.75" customHeight="1">
      <c r="A110" s="50">
        <v>2018</v>
      </c>
      <c r="B110" s="4" t="s">
        <v>184</v>
      </c>
      <c r="C110" s="105">
        <v>3175</v>
      </c>
      <c r="D110" s="101">
        <v>32</v>
      </c>
      <c r="E110" s="94">
        <v>96</v>
      </c>
      <c r="F110" s="101">
        <v>2</v>
      </c>
      <c r="G110" s="54" t="s">
        <v>89</v>
      </c>
      <c r="H110" s="55" t="s">
        <v>90</v>
      </c>
      <c r="I110" s="56" t="s">
        <v>84</v>
      </c>
      <c r="J110" s="55" t="s">
        <v>91</v>
      </c>
      <c r="K110" s="57">
        <v>45.8333333333333</v>
      </c>
      <c r="L110" s="58">
        <v>54.1666666666667</v>
      </c>
      <c r="M110" s="87">
        <v>1190</v>
      </c>
      <c r="N110" s="87">
        <v>2464</v>
      </c>
      <c r="O110" s="88">
        <v>48</v>
      </c>
      <c r="P110" s="88">
        <v>69</v>
      </c>
      <c r="Q110" s="89">
        <v>1.6</v>
      </c>
      <c r="R110" s="89">
        <v>2.8</v>
      </c>
      <c r="S110" s="88">
        <v>982</v>
      </c>
      <c r="T110" s="88">
        <v>1419</v>
      </c>
      <c r="U110" s="90">
        <v>95</v>
      </c>
      <c r="V110" s="90">
        <v>134</v>
      </c>
      <c r="W110" s="88">
        <v>4.3</v>
      </c>
      <c r="X110" s="88">
        <v>4.5999999999999996</v>
      </c>
      <c r="Y110" s="90">
        <v>159</v>
      </c>
      <c r="Z110" s="90">
        <v>153</v>
      </c>
      <c r="AA110" s="88">
        <v>32</v>
      </c>
      <c r="AB110" s="88">
        <v>30</v>
      </c>
      <c r="AC110" s="89" t="s">
        <v>94</v>
      </c>
      <c r="AD110" s="89">
        <v>5.2</v>
      </c>
      <c r="AE110" s="330" t="s">
        <v>96</v>
      </c>
      <c r="AF110" s="334">
        <v>91.5</v>
      </c>
      <c r="AG110" s="89">
        <v>39</v>
      </c>
      <c r="AH110" s="113">
        <v>59</v>
      </c>
      <c r="AI110" s="88">
        <v>0.9</v>
      </c>
      <c r="AJ110" s="88">
        <v>1.1000000000000001</v>
      </c>
      <c r="AK110" s="269">
        <f t="shared" si="8"/>
        <v>0.20000000000000007</v>
      </c>
      <c r="AL110" s="89">
        <v>3.7</v>
      </c>
      <c r="AM110" s="89">
        <v>5.0999999999999996</v>
      </c>
      <c r="AN110" s="88">
        <v>7.4</v>
      </c>
      <c r="AO110" s="88">
        <v>8.3000000000000007</v>
      </c>
      <c r="AP110" s="88" t="s">
        <v>94</v>
      </c>
      <c r="AQ110" s="88">
        <v>113</v>
      </c>
      <c r="AR110" s="89">
        <v>9.5</v>
      </c>
      <c r="AS110" s="89">
        <v>10.4</v>
      </c>
      <c r="AT110" s="89">
        <v>4.4000000000000004</v>
      </c>
      <c r="AU110" s="89">
        <v>4.7</v>
      </c>
      <c r="AV110" s="63">
        <v>56</v>
      </c>
      <c r="AW110" s="63">
        <v>77</v>
      </c>
      <c r="AX110" s="88">
        <v>144</v>
      </c>
      <c r="AY110" s="88">
        <v>142</v>
      </c>
      <c r="AZ110" s="89">
        <v>1.9</v>
      </c>
      <c r="BA110" s="89">
        <v>1.9</v>
      </c>
      <c r="BB110" s="88">
        <v>109</v>
      </c>
      <c r="BC110" s="88">
        <v>106</v>
      </c>
      <c r="BD110" s="96">
        <f t="shared" si="9"/>
        <v>300.10177777777778</v>
      </c>
      <c r="BE110" s="96">
        <f t="shared" si="10"/>
        <v>301.6147777777777</v>
      </c>
      <c r="BF110" s="108">
        <v>4.5599999999999996</v>
      </c>
      <c r="BG110" s="89">
        <v>4.3899999999999997</v>
      </c>
      <c r="BH110" s="95">
        <v>13.5</v>
      </c>
      <c r="BI110" s="88">
        <v>13.3</v>
      </c>
      <c r="BJ110" s="95">
        <v>41.7</v>
      </c>
      <c r="BK110" s="89">
        <v>39.5</v>
      </c>
      <c r="BL110" s="95">
        <v>91.4</v>
      </c>
      <c r="BM110" s="88">
        <v>90</v>
      </c>
      <c r="BN110" s="108">
        <v>29.6</v>
      </c>
      <c r="BO110" s="89">
        <v>30.3</v>
      </c>
      <c r="BP110" s="95">
        <v>32.4</v>
      </c>
      <c r="BQ110" s="88">
        <v>33.700000000000003</v>
      </c>
      <c r="BR110" s="108">
        <v>224</v>
      </c>
      <c r="BS110" s="89">
        <v>238</v>
      </c>
      <c r="BT110" s="95">
        <v>13.3</v>
      </c>
      <c r="BU110" s="88">
        <v>13.4</v>
      </c>
      <c r="BV110" s="108">
        <v>1.26</v>
      </c>
      <c r="BW110" s="89">
        <v>0.92</v>
      </c>
      <c r="BX110" s="95">
        <v>7.57</v>
      </c>
      <c r="BY110" s="88">
        <v>9.69</v>
      </c>
      <c r="BZ110" s="108">
        <v>57.8</v>
      </c>
      <c r="CA110" s="89">
        <v>71.5</v>
      </c>
      <c r="CB110" s="95">
        <v>32.200000000000003</v>
      </c>
      <c r="CC110" s="88">
        <v>21.4</v>
      </c>
      <c r="CD110" s="108">
        <v>7.5</v>
      </c>
      <c r="CE110" s="89">
        <v>6.6</v>
      </c>
      <c r="CF110" s="95">
        <v>2.1</v>
      </c>
      <c r="CG110" s="88">
        <v>0.3</v>
      </c>
      <c r="CH110" s="89">
        <v>0.4</v>
      </c>
      <c r="CI110" s="89">
        <v>0.2</v>
      </c>
      <c r="CJ110" s="86" t="b">
        <f t="shared" si="11"/>
        <v>0</v>
      </c>
      <c r="CK110" s="2" t="b">
        <f t="shared" si="12"/>
        <v>1</v>
      </c>
      <c r="CL110" s="98">
        <f t="shared" si="13"/>
        <v>82.029080000000008</v>
      </c>
      <c r="CM110" s="98">
        <v>90.7</v>
      </c>
      <c r="CN110" s="98">
        <v>191</v>
      </c>
      <c r="CO110" s="86">
        <v>50.01</v>
      </c>
      <c r="CP110" s="98">
        <v>56.5</v>
      </c>
      <c r="CQ110" s="98">
        <v>54.5</v>
      </c>
      <c r="CR110" s="96">
        <v>9.56</v>
      </c>
    </row>
    <row r="111" spans="1:96" ht="15.75" customHeight="1">
      <c r="A111" s="50">
        <v>2018</v>
      </c>
      <c r="B111" s="4" t="s">
        <v>184</v>
      </c>
      <c r="C111" s="105">
        <v>3180</v>
      </c>
      <c r="D111" s="101">
        <v>39</v>
      </c>
      <c r="E111" s="94">
        <v>78</v>
      </c>
      <c r="F111" s="101">
        <v>1</v>
      </c>
      <c r="G111" s="304" t="s">
        <v>89</v>
      </c>
      <c r="H111" s="52" t="s">
        <v>92</v>
      </c>
      <c r="I111" s="53" t="s">
        <v>93</v>
      </c>
      <c r="J111" s="52" t="s">
        <v>85</v>
      </c>
      <c r="K111" s="57">
        <v>54.1666666666667</v>
      </c>
      <c r="L111" s="59">
        <v>45.8333333333333</v>
      </c>
      <c r="M111" s="87">
        <v>335</v>
      </c>
      <c r="N111" s="87">
        <v>3073</v>
      </c>
      <c r="O111" s="88">
        <v>19</v>
      </c>
      <c r="P111" s="88">
        <v>59</v>
      </c>
      <c r="Q111" s="89">
        <v>1.6</v>
      </c>
      <c r="R111" s="89">
        <v>2.4</v>
      </c>
      <c r="S111" s="88">
        <v>653</v>
      </c>
      <c r="T111" s="88">
        <v>1532</v>
      </c>
      <c r="U111" s="90">
        <v>43</v>
      </c>
      <c r="V111" s="90">
        <v>194</v>
      </c>
      <c r="W111" s="88">
        <v>3.7</v>
      </c>
      <c r="X111" s="88">
        <v>4.0999999999999996</v>
      </c>
      <c r="Y111" s="90">
        <v>57</v>
      </c>
      <c r="Z111" s="90">
        <v>138</v>
      </c>
      <c r="AA111" s="88">
        <v>19</v>
      </c>
      <c r="AB111" s="88">
        <v>32</v>
      </c>
      <c r="AC111" s="89" t="s">
        <v>94</v>
      </c>
      <c r="AD111" s="89">
        <v>8.6999999999999993</v>
      </c>
      <c r="AE111" s="319">
        <v>93.8</v>
      </c>
      <c r="AF111" s="334">
        <v>84.5</v>
      </c>
      <c r="AG111" s="89">
        <v>42</v>
      </c>
      <c r="AH111" s="113">
        <v>64</v>
      </c>
      <c r="AI111" s="88">
        <v>1.1000000000000001</v>
      </c>
      <c r="AJ111" s="88">
        <v>1.2</v>
      </c>
      <c r="AK111" s="269">
        <f t="shared" si="8"/>
        <v>9.9999999999999867E-2</v>
      </c>
      <c r="AL111" s="89">
        <v>3.5</v>
      </c>
      <c r="AM111" s="89">
        <v>4.8</v>
      </c>
      <c r="AN111" s="88">
        <v>5.9</v>
      </c>
      <c r="AO111" s="88">
        <v>6.5</v>
      </c>
      <c r="AP111" s="88" t="s">
        <v>94</v>
      </c>
      <c r="AQ111" s="88">
        <v>102</v>
      </c>
      <c r="AR111" s="89">
        <v>8.6999999999999993</v>
      </c>
      <c r="AS111" s="89">
        <v>9.6999999999999993</v>
      </c>
      <c r="AT111" s="89">
        <v>4.5</v>
      </c>
      <c r="AU111" s="89">
        <v>4.8</v>
      </c>
      <c r="AV111" s="63">
        <v>83</v>
      </c>
      <c r="AW111" s="63">
        <v>96</v>
      </c>
      <c r="AX111" s="88">
        <v>143</v>
      </c>
      <c r="AY111" s="88">
        <v>148</v>
      </c>
      <c r="AZ111" s="89">
        <v>1.9</v>
      </c>
      <c r="BA111" s="89">
        <v>2.1</v>
      </c>
      <c r="BB111" s="88">
        <v>108</v>
      </c>
      <c r="BC111" s="88">
        <v>105</v>
      </c>
      <c r="BD111" s="96">
        <f t="shared" si="9"/>
        <v>300.65277777777783</v>
      </c>
      <c r="BE111" s="96">
        <f t="shared" si="10"/>
        <v>315.00800000000004</v>
      </c>
      <c r="BF111" s="108">
        <v>4.63</v>
      </c>
      <c r="BG111" s="89">
        <v>4.67</v>
      </c>
      <c r="BH111" s="88">
        <v>14.2</v>
      </c>
      <c r="BI111" s="88">
        <v>14.3</v>
      </c>
      <c r="BJ111" s="89">
        <v>43.4</v>
      </c>
      <c r="BK111" s="89">
        <v>43.5</v>
      </c>
      <c r="BL111" s="88">
        <v>93.7</v>
      </c>
      <c r="BM111" s="88">
        <v>93.1</v>
      </c>
      <c r="BN111" s="89">
        <v>30.7</v>
      </c>
      <c r="BO111" s="89">
        <v>30.6</v>
      </c>
      <c r="BP111" s="88">
        <v>32.700000000000003</v>
      </c>
      <c r="BQ111" s="88">
        <v>32.9</v>
      </c>
      <c r="BR111" s="89">
        <v>212</v>
      </c>
      <c r="BS111" s="89">
        <v>274</v>
      </c>
      <c r="BT111" s="88">
        <v>14.3</v>
      </c>
      <c r="BU111" s="88">
        <v>14.3</v>
      </c>
      <c r="BV111" s="89">
        <v>2</v>
      </c>
      <c r="BW111" s="89">
        <v>1.6</v>
      </c>
      <c r="BX111" s="88">
        <v>5.99</v>
      </c>
      <c r="BY111" s="88">
        <v>13.87</v>
      </c>
      <c r="BZ111" s="89">
        <v>51.6</v>
      </c>
      <c r="CA111" s="89">
        <v>89</v>
      </c>
      <c r="CB111" s="88">
        <v>33.200000000000003</v>
      </c>
      <c r="CC111" s="88">
        <v>7.4</v>
      </c>
      <c r="CD111" s="89">
        <v>11.4</v>
      </c>
      <c r="CE111" s="89">
        <v>3.5</v>
      </c>
      <c r="CF111" s="88">
        <v>2.8</v>
      </c>
      <c r="CG111" s="88">
        <v>0</v>
      </c>
      <c r="CH111" s="89">
        <v>1</v>
      </c>
      <c r="CI111" s="89">
        <v>0.1</v>
      </c>
      <c r="CJ111" s="109" t="b">
        <f t="shared" si="11"/>
        <v>0</v>
      </c>
      <c r="CK111" s="8" t="b">
        <f t="shared" si="12"/>
        <v>1</v>
      </c>
      <c r="CL111" s="98">
        <f t="shared" si="13"/>
        <v>67.7637</v>
      </c>
      <c r="CM111" s="98">
        <v>76.5</v>
      </c>
      <c r="CN111" s="98">
        <v>177</v>
      </c>
      <c r="CO111" s="86">
        <v>51.95</v>
      </c>
      <c r="CP111" s="98">
        <v>41</v>
      </c>
      <c r="CQ111" s="98">
        <v>38</v>
      </c>
      <c r="CR111" s="96">
        <v>11.42</v>
      </c>
    </row>
    <row r="112" spans="1:96" ht="15.75" customHeight="1">
      <c r="A112" s="50">
        <v>2018</v>
      </c>
      <c r="B112" s="4" t="s">
        <v>184</v>
      </c>
      <c r="C112" s="105">
        <v>3181</v>
      </c>
      <c r="D112" s="101">
        <v>28</v>
      </c>
      <c r="E112" s="94">
        <v>86.6</v>
      </c>
      <c r="F112" s="101">
        <v>0</v>
      </c>
      <c r="G112" s="304" t="s">
        <v>89</v>
      </c>
      <c r="H112" s="52" t="s">
        <v>83</v>
      </c>
      <c r="I112" s="53" t="s">
        <v>84</v>
      </c>
      <c r="J112" s="52" t="s">
        <v>88</v>
      </c>
      <c r="K112" s="57">
        <v>54.1666666666667</v>
      </c>
      <c r="L112" s="59">
        <v>45.8333333333333</v>
      </c>
      <c r="M112" s="87">
        <v>278</v>
      </c>
      <c r="N112" s="87">
        <v>939</v>
      </c>
      <c r="O112" s="88">
        <v>13</v>
      </c>
      <c r="P112" s="88">
        <v>46</v>
      </c>
      <c r="Q112" s="89">
        <v>2.2999999999999998</v>
      </c>
      <c r="R112" s="89">
        <v>2.5</v>
      </c>
      <c r="S112" s="88">
        <v>630</v>
      </c>
      <c r="T112" s="88">
        <v>1105</v>
      </c>
      <c r="U112" s="90">
        <v>39</v>
      </c>
      <c r="V112" s="90">
        <v>88</v>
      </c>
      <c r="W112" s="88">
        <v>4.2</v>
      </c>
      <c r="X112" s="88">
        <v>4.3</v>
      </c>
      <c r="Y112" s="90">
        <v>56</v>
      </c>
      <c r="Z112" s="90">
        <v>114</v>
      </c>
      <c r="AA112" s="88">
        <v>26</v>
      </c>
      <c r="AB112" s="88">
        <v>36</v>
      </c>
      <c r="AC112" s="89" t="s">
        <v>94</v>
      </c>
      <c r="AD112" s="89">
        <v>5.5</v>
      </c>
      <c r="AE112" s="319">
        <v>76.7</v>
      </c>
      <c r="AF112" s="334">
        <v>84.5</v>
      </c>
      <c r="AG112" s="89">
        <v>61</v>
      </c>
      <c r="AH112" s="113">
        <v>55</v>
      </c>
      <c r="AI112" s="88">
        <v>1.3</v>
      </c>
      <c r="AJ112" s="88">
        <v>1.2</v>
      </c>
      <c r="AK112" s="269">
        <f t="shared" si="8"/>
        <v>0</v>
      </c>
      <c r="AL112" s="89">
        <v>4.0999999999999996</v>
      </c>
      <c r="AM112" s="89">
        <v>5.3</v>
      </c>
      <c r="AN112" s="88">
        <v>6.8</v>
      </c>
      <c r="AO112" s="88">
        <v>7.6</v>
      </c>
      <c r="AP112" s="88" t="s">
        <v>94</v>
      </c>
      <c r="AQ112" s="88">
        <v>137</v>
      </c>
      <c r="AR112" s="89">
        <v>9.5</v>
      </c>
      <c r="AS112" s="89">
        <v>10.199999999999999</v>
      </c>
      <c r="AT112" s="89">
        <v>4.8</v>
      </c>
      <c r="AU112" s="89">
        <v>4.7</v>
      </c>
      <c r="AV112" s="63">
        <v>84</v>
      </c>
      <c r="AW112" s="63">
        <v>91</v>
      </c>
      <c r="AX112" s="88">
        <v>144</v>
      </c>
      <c r="AY112" s="88">
        <v>141</v>
      </c>
      <c r="AZ112" s="89">
        <v>1.9</v>
      </c>
      <c r="BA112" s="89">
        <v>1.9</v>
      </c>
      <c r="BB112" s="88">
        <v>106</v>
      </c>
      <c r="BC112" s="88">
        <v>100</v>
      </c>
      <c r="BD112" s="96">
        <f t="shared" si="9"/>
        <v>306.30133333333339</v>
      </c>
      <c r="BE112" s="96">
        <f t="shared" si="10"/>
        <v>299.98255555555556</v>
      </c>
      <c r="BF112" s="89">
        <v>4.92</v>
      </c>
      <c r="BG112" s="89">
        <v>4.72</v>
      </c>
      <c r="BH112" s="88">
        <v>15.2</v>
      </c>
      <c r="BI112" s="88">
        <v>14.4</v>
      </c>
      <c r="BJ112" s="89">
        <v>45.8</v>
      </c>
      <c r="BK112" s="89">
        <v>43.2</v>
      </c>
      <c r="BL112" s="88">
        <v>93.1</v>
      </c>
      <c r="BM112" s="88">
        <v>91.5</v>
      </c>
      <c r="BN112" s="89">
        <v>30.9</v>
      </c>
      <c r="BO112" s="89">
        <v>30.5</v>
      </c>
      <c r="BP112" s="88">
        <v>33.200000000000003</v>
      </c>
      <c r="BQ112" s="88">
        <v>33.299999999999997</v>
      </c>
      <c r="BR112" s="89">
        <v>287</v>
      </c>
      <c r="BS112" s="89">
        <v>331</v>
      </c>
      <c r="BT112" s="88">
        <v>13.5</v>
      </c>
      <c r="BU112" s="88">
        <v>13.3</v>
      </c>
      <c r="BV112" s="89">
        <v>1.43</v>
      </c>
      <c r="BW112" s="89">
        <v>1.19</v>
      </c>
      <c r="BX112" s="88">
        <v>7.26</v>
      </c>
      <c r="BY112" s="88">
        <v>10.35</v>
      </c>
      <c r="BZ112" s="89">
        <v>64</v>
      </c>
      <c r="CA112" s="89">
        <v>72.7</v>
      </c>
      <c r="CB112" s="88">
        <v>22.3</v>
      </c>
      <c r="CC112" s="88">
        <v>15</v>
      </c>
      <c r="CD112" s="89">
        <v>9.9</v>
      </c>
      <c r="CE112" s="89">
        <v>11.8</v>
      </c>
      <c r="CF112" s="88">
        <v>3.2</v>
      </c>
      <c r="CG112" s="88">
        <v>0.3</v>
      </c>
      <c r="CH112" s="89">
        <v>0.6</v>
      </c>
      <c r="CI112" s="89">
        <v>0.2</v>
      </c>
      <c r="CJ112" s="86" t="b">
        <f t="shared" si="11"/>
        <v>0</v>
      </c>
      <c r="CK112" s="2" t="b">
        <f t="shared" si="12"/>
        <v>0</v>
      </c>
      <c r="CL112" s="98">
        <f t="shared" si="13"/>
        <v>77.353679999999997</v>
      </c>
      <c r="CM112" s="98">
        <v>84.3</v>
      </c>
      <c r="CN112" s="98">
        <v>190</v>
      </c>
      <c r="CO112" s="86">
        <v>51.12</v>
      </c>
      <c r="CP112" s="98">
        <v>54.5</v>
      </c>
      <c r="CQ112" s="98">
        <v>50.5</v>
      </c>
      <c r="CR112" s="96">
        <v>8.24</v>
      </c>
    </row>
    <row r="113" spans="1:96" ht="15.75" customHeight="1">
      <c r="A113" s="50">
        <v>2018</v>
      </c>
      <c r="B113" s="4" t="s">
        <v>184</v>
      </c>
      <c r="C113" s="105">
        <v>3183</v>
      </c>
      <c r="D113" s="101">
        <v>26</v>
      </c>
      <c r="E113" s="94">
        <v>65</v>
      </c>
      <c r="F113" s="101">
        <v>1</v>
      </c>
      <c r="G113" s="304" t="s">
        <v>94</v>
      </c>
      <c r="H113" s="52" t="s">
        <v>94</v>
      </c>
      <c r="I113" s="53" t="s">
        <v>94</v>
      </c>
      <c r="J113" s="52" t="s">
        <v>94</v>
      </c>
      <c r="K113" s="53" t="s">
        <v>94</v>
      </c>
      <c r="L113" s="52" t="s">
        <v>94</v>
      </c>
      <c r="M113" s="87">
        <v>486</v>
      </c>
      <c r="N113" s="87">
        <v>5161</v>
      </c>
      <c r="O113" s="88">
        <v>28</v>
      </c>
      <c r="P113" s="88">
        <v>107</v>
      </c>
      <c r="Q113" s="89">
        <v>2</v>
      </c>
      <c r="R113" s="89">
        <v>3.6</v>
      </c>
      <c r="S113" s="88">
        <v>788</v>
      </c>
      <c r="T113" s="88">
        <v>1761</v>
      </c>
      <c r="U113" s="90">
        <v>52</v>
      </c>
      <c r="V113" s="90">
        <v>202</v>
      </c>
      <c r="W113" s="88">
        <v>4.5</v>
      </c>
      <c r="X113" s="88">
        <v>4.3</v>
      </c>
      <c r="Y113" s="90">
        <v>84</v>
      </c>
      <c r="Z113" s="90">
        <v>139</v>
      </c>
      <c r="AA113" s="88">
        <v>31</v>
      </c>
      <c r="AB113" s="88">
        <v>25</v>
      </c>
      <c r="AC113" s="89" t="s">
        <v>94</v>
      </c>
      <c r="AD113" s="89">
        <v>7.2</v>
      </c>
      <c r="AE113" s="319">
        <v>120</v>
      </c>
      <c r="AF113" s="334">
        <v>105.8</v>
      </c>
      <c r="AG113" s="89">
        <v>34</v>
      </c>
      <c r="AH113" s="113">
        <v>47</v>
      </c>
      <c r="AI113" s="88">
        <v>0.9</v>
      </c>
      <c r="AJ113" s="88">
        <v>1</v>
      </c>
      <c r="AK113" s="269">
        <f t="shared" si="8"/>
        <v>9.9999999999999978E-2</v>
      </c>
      <c r="AL113" s="89">
        <v>4.4000000000000004</v>
      </c>
      <c r="AM113" s="89">
        <v>4.5999999999999996</v>
      </c>
      <c r="AN113" s="88">
        <v>7.6</v>
      </c>
      <c r="AO113" s="88">
        <v>7.4</v>
      </c>
      <c r="AP113" s="88" t="s">
        <v>94</v>
      </c>
      <c r="AQ113" s="88">
        <v>48</v>
      </c>
      <c r="AR113" s="89">
        <v>9.4</v>
      </c>
      <c r="AS113" s="89">
        <v>9.5</v>
      </c>
      <c r="AT113" s="89">
        <v>4.4000000000000004</v>
      </c>
      <c r="AU113" s="89">
        <v>4.3</v>
      </c>
      <c r="AV113" s="63">
        <v>70</v>
      </c>
      <c r="AW113" s="63">
        <v>83</v>
      </c>
      <c r="AX113" s="88">
        <v>143</v>
      </c>
      <c r="AY113" s="88">
        <v>141</v>
      </c>
      <c r="AZ113" s="89">
        <v>2.1</v>
      </c>
      <c r="BA113" s="89">
        <v>1.7</v>
      </c>
      <c r="BB113" s="88">
        <v>105</v>
      </c>
      <c r="BC113" s="88">
        <v>100</v>
      </c>
      <c r="BD113" s="96">
        <f t="shared" si="9"/>
        <v>298.30288888888896</v>
      </c>
      <c r="BE113" s="96">
        <f t="shared" si="10"/>
        <v>297.39411111111116</v>
      </c>
      <c r="BF113" s="97">
        <v>4.68</v>
      </c>
      <c r="BG113" s="89">
        <v>4.26</v>
      </c>
      <c r="BH113" s="94">
        <v>13.4</v>
      </c>
      <c r="BI113" s="88">
        <v>13.8</v>
      </c>
      <c r="BJ113" s="97">
        <v>41.4</v>
      </c>
      <c r="BK113" s="89">
        <v>40.200000000000003</v>
      </c>
      <c r="BL113" s="94">
        <v>88.5</v>
      </c>
      <c r="BM113" s="88">
        <v>94.4</v>
      </c>
      <c r="BN113" s="97">
        <v>28.6</v>
      </c>
      <c r="BO113" s="89">
        <v>32.4</v>
      </c>
      <c r="BP113" s="94">
        <v>32.4</v>
      </c>
      <c r="BQ113" s="88">
        <v>34.299999999999997</v>
      </c>
      <c r="BR113" s="97">
        <v>279</v>
      </c>
      <c r="BS113" s="89">
        <v>286</v>
      </c>
      <c r="BT113" s="94">
        <v>12.9</v>
      </c>
      <c r="BU113" s="88">
        <v>14.1</v>
      </c>
      <c r="BV113" s="97">
        <v>1.55</v>
      </c>
      <c r="BW113" s="89">
        <v>2.2000000000000002</v>
      </c>
      <c r="BX113" s="94">
        <v>6.96</v>
      </c>
      <c r="BY113" s="88">
        <v>13.09</v>
      </c>
      <c r="BZ113" s="97">
        <v>52.1</v>
      </c>
      <c r="CA113" s="89">
        <v>76.5</v>
      </c>
      <c r="CB113" s="94">
        <v>31.6</v>
      </c>
      <c r="CC113" s="88">
        <v>15.1</v>
      </c>
      <c r="CD113" s="97">
        <v>9.8000000000000007</v>
      </c>
      <c r="CE113" s="89">
        <v>8.1999999999999993</v>
      </c>
      <c r="CF113" s="94">
        <v>6.2</v>
      </c>
      <c r="CG113" s="88">
        <v>0.1</v>
      </c>
      <c r="CH113" s="97">
        <v>0.3</v>
      </c>
      <c r="CI113" s="89">
        <v>0.1</v>
      </c>
      <c r="CJ113" s="86" t="b">
        <f t="shared" si="11"/>
        <v>0</v>
      </c>
      <c r="CK113" s="2" t="b">
        <f t="shared" si="12"/>
        <v>1</v>
      </c>
      <c r="CL113" s="98">
        <f t="shared" si="13"/>
        <v>82.441199999999995</v>
      </c>
      <c r="CM113" s="98">
        <v>92</v>
      </c>
      <c r="CN113" s="98">
        <v>174.4</v>
      </c>
      <c r="CO113" s="86">
        <v>49.71</v>
      </c>
      <c r="CP113" s="98">
        <v>55</v>
      </c>
      <c r="CQ113" s="98">
        <v>55.5</v>
      </c>
      <c r="CR113" s="96">
        <v>10.39</v>
      </c>
    </row>
    <row r="114" spans="1:96" ht="15.75" customHeight="1">
      <c r="A114" s="50">
        <v>2018</v>
      </c>
      <c r="B114" s="4" t="s">
        <v>184</v>
      </c>
      <c r="C114" s="105">
        <v>3184</v>
      </c>
      <c r="D114" s="101">
        <v>29</v>
      </c>
      <c r="E114" s="94">
        <v>76</v>
      </c>
      <c r="F114" s="101">
        <v>1</v>
      </c>
      <c r="G114" s="304" t="s">
        <v>86</v>
      </c>
      <c r="H114" s="52" t="s">
        <v>83</v>
      </c>
      <c r="I114" s="53" t="s">
        <v>87</v>
      </c>
      <c r="J114" s="52" t="s">
        <v>88</v>
      </c>
      <c r="K114" s="53">
        <v>51</v>
      </c>
      <c r="L114" s="52">
        <v>51</v>
      </c>
      <c r="M114" s="87">
        <v>582</v>
      </c>
      <c r="N114" s="87">
        <v>1379</v>
      </c>
      <c r="O114" s="88">
        <v>17</v>
      </c>
      <c r="P114" s="88">
        <v>42</v>
      </c>
      <c r="Q114" s="89">
        <v>1.9</v>
      </c>
      <c r="R114" s="89">
        <v>3.5</v>
      </c>
      <c r="S114" s="88">
        <v>876</v>
      </c>
      <c r="T114" s="88">
        <v>1719</v>
      </c>
      <c r="U114" s="90">
        <v>47</v>
      </c>
      <c r="V114" s="90">
        <v>89</v>
      </c>
      <c r="W114" s="88">
        <v>4</v>
      </c>
      <c r="X114" s="88">
        <v>4.3</v>
      </c>
      <c r="Y114" s="90">
        <v>60</v>
      </c>
      <c r="Z114" s="90">
        <v>103</v>
      </c>
      <c r="AA114" s="88">
        <v>119</v>
      </c>
      <c r="AB114" s="88">
        <v>106</v>
      </c>
      <c r="AC114" s="89" t="s">
        <v>94</v>
      </c>
      <c r="AD114" s="89">
        <v>8.6999999999999993</v>
      </c>
      <c r="AE114" s="325">
        <v>118.6</v>
      </c>
      <c r="AF114" s="343">
        <v>76.3</v>
      </c>
      <c r="AG114" s="89">
        <v>24</v>
      </c>
      <c r="AH114" s="113">
        <v>50</v>
      </c>
      <c r="AI114" s="88">
        <v>0.9</v>
      </c>
      <c r="AJ114" s="88">
        <v>1.3</v>
      </c>
      <c r="AK114" s="269">
        <f t="shared" si="8"/>
        <v>0.4</v>
      </c>
      <c r="AL114" s="89">
        <v>3.5</v>
      </c>
      <c r="AM114" s="89">
        <v>5.5</v>
      </c>
      <c r="AN114" s="88">
        <v>6.3</v>
      </c>
      <c r="AO114" s="88">
        <v>7.8</v>
      </c>
      <c r="AP114" s="88" t="s">
        <v>94</v>
      </c>
      <c r="AQ114" s="88">
        <v>71</v>
      </c>
      <c r="AR114" s="89">
        <v>9.3000000000000007</v>
      </c>
      <c r="AS114" s="89">
        <v>10.1</v>
      </c>
      <c r="AT114" s="89">
        <v>3.8</v>
      </c>
      <c r="AU114" s="89">
        <v>4.4000000000000004</v>
      </c>
      <c r="AV114" s="63">
        <v>60</v>
      </c>
      <c r="AW114" s="63">
        <v>71</v>
      </c>
      <c r="AX114" s="88">
        <v>142</v>
      </c>
      <c r="AY114" s="88">
        <v>146</v>
      </c>
      <c r="AZ114" s="89">
        <v>2</v>
      </c>
      <c r="BA114" s="89">
        <v>2.1</v>
      </c>
      <c r="BB114" s="88">
        <v>105</v>
      </c>
      <c r="BC114" s="88">
        <v>103</v>
      </c>
      <c r="BD114" s="96">
        <f t="shared" si="9"/>
        <v>293.02133333333336</v>
      </c>
      <c r="BE114" s="96">
        <f t="shared" si="10"/>
        <v>306.61344444444444</v>
      </c>
      <c r="BF114" s="97" t="s">
        <v>94</v>
      </c>
      <c r="BG114" s="89">
        <v>4.8499999999999996</v>
      </c>
      <c r="BH114" s="94" t="s">
        <v>94</v>
      </c>
      <c r="BI114" s="88">
        <v>13.1</v>
      </c>
      <c r="BJ114" s="97" t="s">
        <v>94</v>
      </c>
      <c r="BK114" s="89">
        <v>40.299999999999997</v>
      </c>
      <c r="BL114" s="94" t="s">
        <v>94</v>
      </c>
      <c r="BM114" s="88">
        <v>83.1</v>
      </c>
      <c r="BN114" s="97" t="s">
        <v>94</v>
      </c>
      <c r="BO114" s="89">
        <v>27</v>
      </c>
      <c r="BP114" s="94" t="s">
        <v>94</v>
      </c>
      <c r="BQ114" s="88">
        <v>32.5</v>
      </c>
      <c r="BR114" s="97" t="s">
        <v>94</v>
      </c>
      <c r="BS114" s="89">
        <v>305</v>
      </c>
      <c r="BT114" s="94" t="s">
        <v>94</v>
      </c>
      <c r="BU114" s="88">
        <v>15.1</v>
      </c>
      <c r="BV114" s="97" t="s">
        <v>94</v>
      </c>
      <c r="BW114" s="89">
        <v>1.43</v>
      </c>
      <c r="BX114" s="94" t="s">
        <v>94</v>
      </c>
      <c r="BY114" s="88">
        <v>15.71</v>
      </c>
      <c r="BZ114" s="97" t="s">
        <v>94</v>
      </c>
      <c r="CA114" s="89">
        <v>80.900000000000006</v>
      </c>
      <c r="CB114" s="94" t="s">
        <v>94</v>
      </c>
      <c r="CC114" s="88">
        <v>13.4</v>
      </c>
      <c r="CD114" s="97" t="s">
        <v>94</v>
      </c>
      <c r="CE114" s="89">
        <v>5.2</v>
      </c>
      <c r="CF114" s="94" t="s">
        <v>94</v>
      </c>
      <c r="CG114" s="88">
        <v>0.4</v>
      </c>
      <c r="CH114" s="97" t="s">
        <v>94</v>
      </c>
      <c r="CI114" s="89">
        <v>0.1</v>
      </c>
      <c r="CJ114" s="107" t="b">
        <f t="shared" si="11"/>
        <v>1</v>
      </c>
      <c r="CK114" s="7" t="b">
        <f t="shared" si="12"/>
        <v>1</v>
      </c>
      <c r="CL114" s="98">
        <f t="shared" si="13"/>
        <v>68.507199999999997</v>
      </c>
      <c r="CM114" s="98">
        <v>75.2</v>
      </c>
      <c r="CN114" s="98">
        <v>177.6</v>
      </c>
      <c r="CO114" s="86">
        <v>52.26</v>
      </c>
      <c r="CP114" s="98">
        <v>47.5</v>
      </c>
      <c r="CQ114" s="98">
        <v>46</v>
      </c>
      <c r="CR114" s="96">
        <v>8.9</v>
      </c>
    </row>
    <row r="115" spans="1:96" ht="15.75" customHeight="1">
      <c r="A115" s="50">
        <v>2018</v>
      </c>
      <c r="B115" s="4" t="s">
        <v>184</v>
      </c>
      <c r="C115" s="105">
        <v>3186</v>
      </c>
      <c r="D115" s="107">
        <v>27</v>
      </c>
      <c r="E115" s="94">
        <v>79</v>
      </c>
      <c r="F115" s="101">
        <v>2</v>
      </c>
      <c r="G115" s="54" t="s">
        <v>82</v>
      </c>
      <c r="H115" s="55" t="s">
        <v>83</v>
      </c>
      <c r="I115" s="56" t="s">
        <v>84</v>
      </c>
      <c r="J115" s="52" t="s">
        <v>85</v>
      </c>
      <c r="K115" s="56">
        <v>25</v>
      </c>
      <c r="L115" s="55">
        <v>75</v>
      </c>
      <c r="M115" s="87">
        <v>979</v>
      </c>
      <c r="N115" s="87">
        <v>2274</v>
      </c>
      <c r="O115" s="88">
        <v>28</v>
      </c>
      <c r="P115" s="88">
        <v>64</v>
      </c>
      <c r="Q115" s="89">
        <v>2.2000000000000002</v>
      </c>
      <c r="R115" s="89">
        <v>2</v>
      </c>
      <c r="S115" s="88">
        <v>903</v>
      </c>
      <c r="T115" s="88">
        <v>1752</v>
      </c>
      <c r="U115" s="90">
        <v>97</v>
      </c>
      <c r="V115" s="90">
        <v>182</v>
      </c>
      <c r="W115" s="88">
        <v>3.8</v>
      </c>
      <c r="X115" s="88">
        <v>4.5</v>
      </c>
      <c r="Y115" s="90">
        <v>87</v>
      </c>
      <c r="Z115" s="90">
        <v>172</v>
      </c>
      <c r="AA115" s="88">
        <v>21</v>
      </c>
      <c r="AB115" s="88">
        <v>28</v>
      </c>
      <c r="AC115" s="89" t="s">
        <v>94</v>
      </c>
      <c r="AD115" s="89">
        <v>6</v>
      </c>
      <c r="AE115" s="112">
        <v>120</v>
      </c>
      <c r="AF115" s="112">
        <v>120</v>
      </c>
      <c r="AG115" s="89">
        <v>47</v>
      </c>
      <c r="AH115" s="113">
        <v>55</v>
      </c>
      <c r="AI115" s="88">
        <v>0.9</v>
      </c>
      <c r="AJ115" s="88">
        <v>0.9</v>
      </c>
      <c r="AK115" s="269">
        <f t="shared" si="8"/>
        <v>0</v>
      </c>
      <c r="AL115" s="89">
        <v>4.0999999999999996</v>
      </c>
      <c r="AM115" s="89">
        <v>5</v>
      </c>
      <c r="AN115" s="88">
        <v>6.4</v>
      </c>
      <c r="AO115" s="88">
        <v>8</v>
      </c>
      <c r="AP115" s="88" t="s">
        <v>94</v>
      </c>
      <c r="AQ115" s="88">
        <v>94</v>
      </c>
      <c r="AR115" s="89">
        <v>9.3000000000000007</v>
      </c>
      <c r="AS115" s="89">
        <v>10.4</v>
      </c>
      <c r="AT115" s="89">
        <v>4.9000000000000004</v>
      </c>
      <c r="AU115" s="89">
        <v>4.5999999999999996</v>
      </c>
      <c r="AV115" s="63">
        <v>83</v>
      </c>
      <c r="AW115" s="63">
        <v>92</v>
      </c>
      <c r="AX115" s="88">
        <v>142</v>
      </c>
      <c r="AY115" s="88">
        <v>140</v>
      </c>
      <c r="AZ115" s="89">
        <v>2.1</v>
      </c>
      <c r="BA115" s="89">
        <v>2</v>
      </c>
      <c r="BB115" s="88">
        <v>102</v>
      </c>
      <c r="BC115" s="88">
        <v>98</v>
      </c>
      <c r="BD115" s="96">
        <f t="shared" si="9"/>
        <v>300.37011111111116</v>
      </c>
      <c r="BE115" s="96">
        <f t="shared" si="10"/>
        <v>298.0004444444445</v>
      </c>
      <c r="BF115" s="89">
        <v>4.45</v>
      </c>
      <c r="BG115" s="89">
        <v>4.6399999999999997</v>
      </c>
      <c r="BH115" s="88">
        <v>12.6</v>
      </c>
      <c r="BI115" s="88">
        <v>13.5</v>
      </c>
      <c r="BJ115" s="89">
        <v>40.299999999999997</v>
      </c>
      <c r="BK115" s="89">
        <v>41.6</v>
      </c>
      <c r="BL115" s="88">
        <v>90.6</v>
      </c>
      <c r="BM115" s="88">
        <v>89.7</v>
      </c>
      <c r="BN115" s="108">
        <v>28.3</v>
      </c>
      <c r="BO115" s="89">
        <v>29.1</v>
      </c>
      <c r="BP115" s="88">
        <v>31.3</v>
      </c>
      <c r="BQ115" s="88">
        <v>32.5</v>
      </c>
      <c r="BR115" s="89">
        <v>275</v>
      </c>
      <c r="BS115" s="89">
        <v>313</v>
      </c>
      <c r="BT115" s="88">
        <v>14</v>
      </c>
      <c r="BU115" s="88">
        <v>14.2</v>
      </c>
      <c r="BV115" s="89">
        <v>2</v>
      </c>
      <c r="BW115" s="89">
        <v>1.96</v>
      </c>
      <c r="BX115" s="88">
        <v>5.59</v>
      </c>
      <c r="BY115" s="88">
        <v>11.89</v>
      </c>
      <c r="BZ115" s="89">
        <v>46.9</v>
      </c>
      <c r="CA115" s="89">
        <v>89.5</v>
      </c>
      <c r="CB115" s="88">
        <v>41.7</v>
      </c>
      <c r="CC115" s="88">
        <v>5.0999999999999996</v>
      </c>
      <c r="CD115" s="89">
        <v>9.1</v>
      </c>
      <c r="CE115" s="89">
        <v>5.3</v>
      </c>
      <c r="CF115" s="88">
        <v>1.8</v>
      </c>
      <c r="CG115" s="88">
        <v>0</v>
      </c>
      <c r="CH115" s="89">
        <v>0.5</v>
      </c>
      <c r="CI115" s="89">
        <v>0.1</v>
      </c>
      <c r="CJ115" s="107" t="b">
        <f t="shared" si="11"/>
        <v>0</v>
      </c>
      <c r="CK115" s="7" t="b">
        <f t="shared" si="12"/>
        <v>1</v>
      </c>
      <c r="CL115" s="98">
        <f t="shared" si="13"/>
        <v>73.124520000000004</v>
      </c>
      <c r="CM115" s="98">
        <v>78.900000000000006</v>
      </c>
      <c r="CN115" s="98">
        <v>181.5</v>
      </c>
      <c r="CO115" s="86">
        <v>51.65</v>
      </c>
      <c r="CP115" s="98">
        <v>47.5</v>
      </c>
      <c r="CQ115" s="98">
        <v>47.5</v>
      </c>
      <c r="CR115" s="96">
        <v>7.32</v>
      </c>
    </row>
    <row r="116" spans="1:96" ht="15.75" customHeight="1">
      <c r="A116" s="50">
        <v>2018</v>
      </c>
      <c r="B116" s="4" t="s">
        <v>184</v>
      </c>
      <c r="C116" s="105">
        <v>3187</v>
      </c>
      <c r="D116" s="101">
        <v>25</v>
      </c>
      <c r="E116" s="101">
        <v>90</v>
      </c>
      <c r="F116" s="101">
        <v>1</v>
      </c>
      <c r="G116" s="51" t="s">
        <v>89</v>
      </c>
      <c r="H116" s="52" t="s">
        <v>90</v>
      </c>
      <c r="I116" s="53" t="s">
        <v>87</v>
      </c>
      <c r="J116" s="52" t="s">
        <v>88</v>
      </c>
      <c r="K116" s="53">
        <v>25</v>
      </c>
      <c r="L116" s="52">
        <v>75</v>
      </c>
      <c r="M116" s="87">
        <v>589</v>
      </c>
      <c r="N116" s="87">
        <v>1538</v>
      </c>
      <c r="O116" s="88">
        <v>26</v>
      </c>
      <c r="P116" s="88">
        <v>50</v>
      </c>
      <c r="Q116" s="89">
        <v>1.9</v>
      </c>
      <c r="R116" s="89">
        <v>2.8</v>
      </c>
      <c r="S116" s="88">
        <v>687</v>
      </c>
      <c r="T116" s="88">
        <v>1093</v>
      </c>
      <c r="U116" s="90">
        <v>64</v>
      </c>
      <c r="V116" s="90">
        <v>114</v>
      </c>
      <c r="W116" s="88">
        <v>4.0999999999999996</v>
      </c>
      <c r="X116" s="88">
        <v>4.7</v>
      </c>
      <c r="Y116" s="90">
        <v>76</v>
      </c>
      <c r="Z116" s="90">
        <v>128</v>
      </c>
      <c r="AA116" s="88">
        <v>35</v>
      </c>
      <c r="AB116" s="88">
        <v>52</v>
      </c>
      <c r="AC116" s="89" t="s">
        <v>94</v>
      </c>
      <c r="AD116" s="89">
        <v>6.8</v>
      </c>
      <c r="AE116" s="112">
        <v>107.1</v>
      </c>
      <c r="AF116" s="112">
        <v>78.2</v>
      </c>
      <c r="AG116" s="89">
        <v>43</v>
      </c>
      <c r="AH116" s="113">
        <v>58</v>
      </c>
      <c r="AI116" s="88">
        <v>1</v>
      </c>
      <c r="AJ116" s="88">
        <v>1.3</v>
      </c>
      <c r="AK116" s="269">
        <f t="shared" si="8"/>
        <v>0.30000000000000004</v>
      </c>
      <c r="AL116" s="89">
        <v>3.7</v>
      </c>
      <c r="AM116" s="89">
        <v>5.5</v>
      </c>
      <c r="AN116" s="88">
        <v>7.3</v>
      </c>
      <c r="AO116" s="88">
        <v>8.6999999999999993</v>
      </c>
      <c r="AP116" s="88" t="s">
        <v>94</v>
      </c>
      <c r="AQ116" s="88">
        <v>45</v>
      </c>
      <c r="AR116" s="89">
        <v>9.1999999999999993</v>
      </c>
      <c r="AS116" s="89">
        <v>10.6</v>
      </c>
      <c r="AT116" s="89">
        <v>4.5</v>
      </c>
      <c r="AU116" s="89">
        <v>4.5999999999999996</v>
      </c>
      <c r="AV116" s="63">
        <v>86</v>
      </c>
      <c r="AW116" s="63">
        <v>67</v>
      </c>
      <c r="AX116" s="88">
        <v>140</v>
      </c>
      <c r="AY116" s="88">
        <v>146</v>
      </c>
      <c r="AZ116" s="89">
        <v>1.9</v>
      </c>
      <c r="BA116" s="89">
        <v>2</v>
      </c>
      <c r="BB116" s="88">
        <v>105</v>
      </c>
      <c r="BC116" s="88">
        <v>104</v>
      </c>
      <c r="BD116" s="96">
        <f t="shared" si="9"/>
        <v>295.43111111111119</v>
      </c>
      <c r="BE116" s="96">
        <f t="shared" si="10"/>
        <v>308.06322222222224</v>
      </c>
      <c r="BF116" s="89">
        <v>4.34</v>
      </c>
      <c r="BG116" s="89">
        <v>4.3899999999999997</v>
      </c>
      <c r="BH116" s="88">
        <v>12.8</v>
      </c>
      <c r="BI116" s="88">
        <v>13.1</v>
      </c>
      <c r="BJ116" s="89">
        <v>38.1</v>
      </c>
      <c r="BK116" s="89">
        <v>38.4</v>
      </c>
      <c r="BL116" s="88">
        <v>87.8</v>
      </c>
      <c r="BM116" s="88">
        <v>87.5</v>
      </c>
      <c r="BN116" s="89">
        <v>29.5</v>
      </c>
      <c r="BO116" s="89">
        <v>29.8</v>
      </c>
      <c r="BP116" s="88">
        <v>33.6</v>
      </c>
      <c r="BQ116" s="88">
        <v>34.1</v>
      </c>
      <c r="BR116" s="89">
        <v>319</v>
      </c>
      <c r="BS116" s="89">
        <v>385</v>
      </c>
      <c r="BT116" s="88">
        <v>12.8</v>
      </c>
      <c r="BU116" s="88">
        <v>13.2</v>
      </c>
      <c r="BV116" s="89">
        <v>1.24</v>
      </c>
      <c r="BW116" s="89">
        <v>1.29</v>
      </c>
      <c r="BX116" s="88">
        <v>7.24</v>
      </c>
      <c r="BY116" s="88">
        <v>15.27</v>
      </c>
      <c r="BZ116" s="89">
        <v>60</v>
      </c>
      <c r="CA116" s="89">
        <v>82.4</v>
      </c>
      <c r="CB116" s="88">
        <v>26.9</v>
      </c>
      <c r="CC116" s="88">
        <v>9.1999999999999993</v>
      </c>
      <c r="CD116" s="89">
        <v>7.6</v>
      </c>
      <c r="CE116" s="89">
        <v>8.1</v>
      </c>
      <c r="CF116" s="88">
        <v>4.8</v>
      </c>
      <c r="CG116" s="88">
        <v>0.1</v>
      </c>
      <c r="CH116" s="89">
        <v>0.7</v>
      </c>
      <c r="CI116" s="89">
        <v>0.2</v>
      </c>
      <c r="CJ116" s="86" t="b">
        <f t="shared" si="11"/>
        <v>1</v>
      </c>
      <c r="CK116" s="2" t="b">
        <f t="shared" si="12"/>
        <v>1</v>
      </c>
      <c r="CL116" s="98">
        <f t="shared" si="13"/>
        <v>79.512460000000004</v>
      </c>
      <c r="CM116" s="98">
        <v>85.7</v>
      </c>
      <c r="CN116" s="98">
        <v>185</v>
      </c>
      <c r="CO116" s="86">
        <v>52.04</v>
      </c>
      <c r="CP116" s="98">
        <v>50</v>
      </c>
      <c r="CQ116" s="98">
        <v>50</v>
      </c>
      <c r="CR116" s="96">
        <v>7.22</v>
      </c>
    </row>
    <row r="117" spans="1:96" ht="15.75" customHeight="1">
      <c r="A117" s="50">
        <v>2018</v>
      </c>
      <c r="B117" s="4" t="s">
        <v>184</v>
      </c>
      <c r="C117" s="105">
        <v>3189</v>
      </c>
      <c r="D117" s="101">
        <v>28</v>
      </c>
      <c r="E117" s="101">
        <v>77</v>
      </c>
      <c r="F117" s="101">
        <v>2</v>
      </c>
      <c r="G117" s="51" t="s">
        <v>86</v>
      </c>
      <c r="H117" s="52" t="s">
        <v>83</v>
      </c>
      <c r="I117" s="53" t="s">
        <v>84</v>
      </c>
      <c r="J117" s="52" t="s">
        <v>88</v>
      </c>
      <c r="K117" s="53">
        <v>212.5</v>
      </c>
      <c r="L117" s="52">
        <v>-112.5</v>
      </c>
      <c r="M117" s="87">
        <v>316</v>
      </c>
      <c r="N117" s="87">
        <v>1048</v>
      </c>
      <c r="O117" s="95" t="s">
        <v>94</v>
      </c>
      <c r="P117" s="88">
        <v>47</v>
      </c>
      <c r="Q117" s="89">
        <v>1.2</v>
      </c>
      <c r="R117" s="89">
        <v>4</v>
      </c>
      <c r="S117" s="88">
        <v>816</v>
      </c>
      <c r="T117" s="88">
        <v>1581</v>
      </c>
      <c r="U117" s="90">
        <v>79</v>
      </c>
      <c r="V117" s="90">
        <v>102</v>
      </c>
      <c r="W117" s="88">
        <v>4.2</v>
      </c>
      <c r="X117" s="88">
        <v>4.8</v>
      </c>
      <c r="Y117" s="90">
        <v>155</v>
      </c>
      <c r="Z117" s="90">
        <v>127</v>
      </c>
      <c r="AA117" s="88">
        <v>135</v>
      </c>
      <c r="AB117" s="88">
        <v>109</v>
      </c>
      <c r="AC117" s="89" t="s">
        <v>94</v>
      </c>
      <c r="AD117" s="89">
        <v>8.3000000000000007</v>
      </c>
      <c r="AE117" s="112">
        <v>118.6</v>
      </c>
      <c r="AF117" s="112">
        <v>84</v>
      </c>
      <c r="AG117" s="89">
        <v>37</v>
      </c>
      <c r="AH117" s="113">
        <v>54</v>
      </c>
      <c r="AI117" s="88">
        <v>0.9</v>
      </c>
      <c r="AJ117" s="88">
        <v>1.2</v>
      </c>
      <c r="AK117" s="269">
        <f t="shared" si="8"/>
        <v>0.29999999999999993</v>
      </c>
      <c r="AL117" s="89">
        <v>5.0999999999999996</v>
      </c>
      <c r="AM117" s="89">
        <v>5.8</v>
      </c>
      <c r="AN117" s="63">
        <v>6.9</v>
      </c>
      <c r="AO117" s="63">
        <v>7.9</v>
      </c>
      <c r="AP117" s="88" t="s">
        <v>94</v>
      </c>
      <c r="AQ117" s="88">
        <v>156</v>
      </c>
      <c r="AR117" s="89">
        <v>9.1999999999999993</v>
      </c>
      <c r="AS117" s="89">
        <v>10.199999999999999</v>
      </c>
      <c r="AT117" s="89">
        <v>4.8</v>
      </c>
      <c r="AU117" s="89">
        <v>4.9000000000000004</v>
      </c>
      <c r="AV117" s="63">
        <v>91</v>
      </c>
      <c r="AW117" s="63">
        <v>32</v>
      </c>
      <c r="AX117" s="88">
        <v>145</v>
      </c>
      <c r="AY117" s="88">
        <v>147</v>
      </c>
      <c r="AZ117" s="89">
        <v>2.1</v>
      </c>
      <c r="BA117" s="89">
        <v>2</v>
      </c>
      <c r="BB117" s="88">
        <v>104</v>
      </c>
      <c r="BC117" s="88">
        <v>103</v>
      </c>
      <c r="BD117" s="96">
        <f t="shared" si="9"/>
        <v>304.6085555555556</v>
      </c>
      <c r="BE117" s="96">
        <f t="shared" si="10"/>
        <v>307.57844444444447</v>
      </c>
      <c r="BF117" s="89">
        <v>4.3099999999999996</v>
      </c>
      <c r="BG117" s="89">
        <v>4.32</v>
      </c>
      <c r="BH117" s="88">
        <v>13.4</v>
      </c>
      <c r="BI117" s="88">
        <v>13.8</v>
      </c>
      <c r="BJ117" s="89">
        <v>40.700000000000003</v>
      </c>
      <c r="BK117" s="89">
        <v>40.700000000000003</v>
      </c>
      <c r="BL117" s="88">
        <v>94.4</v>
      </c>
      <c r="BM117" s="88">
        <v>94.2</v>
      </c>
      <c r="BN117" s="89">
        <v>31.1</v>
      </c>
      <c r="BO117" s="89">
        <v>31.9</v>
      </c>
      <c r="BP117" s="88">
        <v>32.9</v>
      </c>
      <c r="BQ117" s="88">
        <v>33.9</v>
      </c>
      <c r="BR117" s="89">
        <v>229</v>
      </c>
      <c r="BS117" s="89">
        <v>286</v>
      </c>
      <c r="BT117" s="88">
        <v>13.8</v>
      </c>
      <c r="BU117" s="88">
        <v>14.1</v>
      </c>
      <c r="BV117" s="89">
        <v>2.16</v>
      </c>
      <c r="BW117" s="89">
        <v>2.4500000000000002</v>
      </c>
      <c r="BX117" s="88">
        <v>6.36</v>
      </c>
      <c r="BY117" s="88">
        <v>13.19</v>
      </c>
      <c r="BZ117" s="89">
        <v>57.7</v>
      </c>
      <c r="CA117" s="89">
        <v>76.8</v>
      </c>
      <c r="CB117" s="88">
        <v>29.1</v>
      </c>
      <c r="CC117" s="88">
        <v>14.9</v>
      </c>
      <c r="CD117" s="89">
        <v>11</v>
      </c>
      <c r="CE117" s="89">
        <v>8.1</v>
      </c>
      <c r="CF117" s="88">
        <v>2</v>
      </c>
      <c r="CG117" s="88">
        <v>0.1</v>
      </c>
      <c r="CH117" s="89">
        <v>0.2</v>
      </c>
      <c r="CI117" s="89">
        <v>0.1</v>
      </c>
      <c r="CJ117" s="86" t="b">
        <f t="shared" si="11"/>
        <v>1</v>
      </c>
      <c r="CK117" s="2" t="b">
        <f t="shared" si="12"/>
        <v>1</v>
      </c>
      <c r="CL117" s="98">
        <f t="shared" si="13"/>
        <v>70.76357999999999</v>
      </c>
      <c r="CM117" s="98">
        <v>78.599999999999994</v>
      </c>
      <c r="CN117" s="98">
        <v>179</v>
      </c>
      <c r="CO117" s="86">
        <v>53.31</v>
      </c>
      <c r="CP117" s="98">
        <v>50</v>
      </c>
      <c r="CQ117" s="98">
        <v>44</v>
      </c>
      <c r="CR117" s="96">
        <v>9.9700000000000006</v>
      </c>
    </row>
    <row r="118" spans="1:96" ht="15.75" customHeight="1">
      <c r="A118" s="50">
        <v>2018</v>
      </c>
      <c r="B118" s="4" t="s">
        <v>184</v>
      </c>
      <c r="C118" s="105">
        <v>3190</v>
      </c>
      <c r="D118" s="101">
        <v>29</v>
      </c>
      <c r="E118" s="101">
        <v>81</v>
      </c>
      <c r="F118" s="101">
        <v>1</v>
      </c>
      <c r="G118" s="60" t="s">
        <v>94</v>
      </c>
      <c r="H118" s="52" t="s">
        <v>94</v>
      </c>
      <c r="I118" s="53" t="s">
        <v>94</v>
      </c>
      <c r="J118" s="52" t="s">
        <v>94</v>
      </c>
      <c r="K118" s="53" t="s">
        <v>94</v>
      </c>
      <c r="L118" s="61" t="s">
        <v>94</v>
      </c>
      <c r="M118" s="87">
        <v>731</v>
      </c>
      <c r="N118" s="87">
        <v>3200</v>
      </c>
      <c r="O118" s="88">
        <v>31</v>
      </c>
      <c r="P118" s="88">
        <v>102</v>
      </c>
      <c r="Q118" s="89">
        <v>1.3</v>
      </c>
      <c r="R118" s="89">
        <v>2.2999999999999998</v>
      </c>
      <c r="S118" s="88">
        <v>1221</v>
      </c>
      <c r="T118" s="88">
        <v>2672</v>
      </c>
      <c r="U118" s="90">
        <v>96</v>
      </c>
      <c r="V118" s="90">
        <v>301</v>
      </c>
      <c r="W118" s="88">
        <v>4</v>
      </c>
      <c r="X118" s="88">
        <v>4.3</v>
      </c>
      <c r="Y118" s="90">
        <v>101</v>
      </c>
      <c r="Z118" s="90">
        <v>148</v>
      </c>
      <c r="AA118" s="88">
        <v>37</v>
      </c>
      <c r="AB118" s="88">
        <v>36</v>
      </c>
      <c r="AC118" s="89" t="s">
        <v>94</v>
      </c>
      <c r="AD118" s="89">
        <v>5.8</v>
      </c>
      <c r="AE118" s="112">
        <v>127.9</v>
      </c>
      <c r="AF118" s="112">
        <v>104.5</v>
      </c>
      <c r="AG118" s="89">
        <v>31</v>
      </c>
      <c r="AH118" s="113">
        <v>55</v>
      </c>
      <c r="AI118" s="88">
        <v>0.7</v>
      </c>
      <c r="AJ118" s="88">
        <v>1</v>
      </c>
      <c r="AK118" s="269">
        <f t="shared" si="8"/>
        <v>0.30000000000000004</v>
      </c>
      <c r="AL118" s="89">
        <v>3.4</v>
      </c>
      <c r="AM118" s="89">
        <v>5.0999999999999996</v>
      </c>
      <c r="AN118" s="63">
        <v>6.7</v>
      </c>
      <c r="AO118" s="63">
        <v>7.8</v>
      </c>
      <c r="AP118" s="88" t="s">
        <v>94</v>
      </c>
      <c r="AQ118" s="88">
        <v>39</v>
      </c>
      <c r="AR118" s="89">
        <v>8.9</v>
      </c>
      <c r="AS118" s="89">
        <v>9.6999999999999993</v>
      </c>
      <c r="AT118" s="89">
        <v>3.4</v>
      </c>
      <c r="AU118" s="89">
        <v>5.0999999999999996</v>
      </c>
      <c r="AV118" s="63">
        <v>93</v>
      </c>
      <c r="AW118" s="63">
        <v>97</v>
      </c>
      <c r="AX118" s="88">
        <v>143</v>
      </c>
      <c r="AY118" s="88">
        <v>141</v>
      </c>
      <c r="AZ118" s="89">
        <v>1.3</v>
      </c>
      <c r="BA118" s="89">
        <v>1.9</v>
      </c>
      <c r="BB118" s="88">
        <v>102</v>
      </c>
      <c r="BC118" s="88">
        <v>99</v>
      </c>
      <c r="BD118" s="96">
        <f t="shared" si="9"/>
        <v>297.41233333333338</v>
      </c>
      <c r="BE118" s="96">
        <f t="shared" si="10"/>
        <v>301.10988888888886</v>
      </c>
      <c r="BF118" s="89">
        <v>4.09</v>
      </c>
      <c r="BG118" s="89">
        <v>3.97</v>
      </c>
      <c r="BH118" s="88">
        <v>12.5</v>
      </c>
      <c r="BI118" s="88">
        <v>12.1</v>
      </c>
      <c r="BJ118" s="89">
        <v>38.4</v>
      </c>
      <c r="BK118" s="89">
        <v>36.5</v>
      </c>
      <c r="BL118" s="88">
        <v>93.9</v>
      </c>
      <c r="BM118" s="88">
        <v>91.9</v>
      </c>
      <c r="BN118" s="89">
        <v>30.6</v>
      </c>
      <c r="BO118" s="89">
        <v>30.5</v>
      </c>
      <c r="BP118" s="88">
        <v>32.6</v>
      </c>
      <c r="BQ118" s="88">
        <v>33.200000000000003</v>
      </c>
      <c r="BR118" s="89">
        <v>286</v>
      </c>
      <c r="BS118" s="89">
        <v>338</v>
      </c>
      <c r="BT118" s="88">
        <v>14.8</v>
      </c>
      <c r="BU118" s="88">
        <v>14</v>
      </c>
      <c r="BV118" s="89">
        <v>1.52</v>
      </c>
      <c r="BW118" s="89">
        <v>0.93</v>
      </c>
      <c r="BX118" s="88">
        <v>4.78</v>
      </c>
      <c r="BY118" s="88">
        <v>10.38</v>
      </c>
      <c r="BZ118" s="89">
        <v>62</v>
      </c>
      <c r="CA118" s="89">
        <v>80</v>
      </c>
      <c r="CB118" s="88">
        <v>26.4</v>
      </c>
      <c r="CC118" s="88">
        <v>11.8</v>
      </c>
      <c r="CD118" s="89">
        <v>7.9</v>
      </c>
      <c r="CE118" s="89">
        <v>8.1</v>
      </c>
      <c r="CF118" s="88">
        <v>3.3</v>
      </c>
      <c r="CG118" s="88">
        <v>0</v>
      </c>
      <c r="CH118" s="89">
        <v>0.4</v>
      </c>
      <c r="CI118" s="89">
        <v>0.1</v>
      </c>
      <c r="CJ118" s="86" t="b">
        <f t="shared" si="11"/>
        <v>1</v>
      </c>
      <c r="CK118" s="2" t="b">
        <f t="shared" si="12"/>
        <v>1</v>
      </c>
      <c r="CL118" s="98">
        <f t="shared" si="13"/>
        <v>72.151949999999999</v>
      </c>
      <c r="CM118" s="98">
        <v>81.5</v>
      </c>
      <c r="CN118" s="98">
        <v>175</v>
      </c>
      <c r="CO118" s="86">
        <v>51.49</v>
      </c>
      <c r="CP118" s="98">
        <v>49.5</v>
      </c>
      <c r="CQ118" s="98">
        <v>41</v>
      </c>
      <c r="CR118" s="96">
        <v>11.47</v>
      </c>
    </row>
    <row r="119" spans="1:96" ht="15.75" customHeight="1">
      <c r="A119" s="50">
        <v>2018</v>
      </c>
      <c r="B119" s="4" t="s">
        <v>184</v>
      </c>
      <c r="C119" s="105">
        <v>3193</v>
      </c>
      <c r="D119" s="101">
        <v>29</v>
      </c>
      <c r="E119" s="101">
        <v>83</v>
      </c>
      <c r="F119" s="101">
        <v>0</v>
      </c>
      <c r="G119" s="302" t="s">
        <v>94</v>
      </c>
      <c r="H119" s="62" t="s">
        <v>94</v>
      </c>
      <c r="I119" s="62" t="s">
        <v>94</v>
      </c>
      <c r="J119" s="62" t="s">
        <v>94</v>
      </c>
      <c r="K119" s="62" t="s">
        <v>94</v>
      </c>
      <c r="L119" s="62" t="s">
        <v>94</v>
      </c>
      <c r="M119" s="87">
        <v>261</v>
      </c>
      <c r="N119" s="87">
        <v>843</v>
      </c>
      <c r="O119" s="88">
        <v>17</v>
      </c>
      <c r="P119" s="88">
        <v>36</v>
      </c>
      <c r="Q119" s="89">
        <v>1.7</v>
      </c>
      <c r="R119" s="89">
        <v>4.3</v>
      </c>
      <c r="S119" s="88">
        <v>476</v>
      </c>
      <c r="T119" s="88">
        <v>854</v>
      </c>
      <c r="U119" s="90">
        <v>36</v>
      </c>
      <c r="V119" s="90">
        <v>65</v>
      </c>
      <c r="W119" s="88">
        <v>4.5</v>
      </c>
      <c r="X119" s="88">
        <v>4.5999999999999996</v>
      </c>
      <c r="Y119" s="90">
        <v>46</v>
      </c>
      <c r="Z119" s="90">
        <v>74</v>
      </c>
      <c r="AA119" s="88">
        <v>21</v>
      </c>
      <c r="AB119" s="88">
        <v>28</v>
      </c>
      <c r="AC119" s="89" t="s">
        <v>94</v>
      </c>
      <c r="AD119" s="89">
        <v>5</v>
      </c>
      <c r="AE119" s="112">
        <v>122.9</v>
      </c>
      <c r="AF119" s="112">
        <v>104.5</v>
      </c>
      <c r="AG119" s="89">
        <v>34</v>
      </c>
      <c r="AH119" s="113">
        <v>46</v>
      </c>
      <c r="AI119" s="88">
        <v>0.8</v>
      </c>
      <c r="AJ119" s="88">
        <v>1</v>
      </c>
      <c r="AK119" s="269">
        <f t="shared" si="8"/>
        <v>0.19999999999999996</v>
      </c>
      <c r="AL119" s="89">
        <v>3.6</v>
      </c>
      <c r="AM119" s="89">
        <v>5.2</v>
      </c>
      <c r="AN119" s="63">
        <v>7.3</v>
      </c>
      <c r="AO119" s="63">
        <v>8</v>
      </c>
      <c r="AP119" s="88" t="s">
        <v>94</v>
      </c>
      <c r="AQ119" s="88">
        <v>42</v>
      </c>
      <c r="AR119" s="89">
        <v>9.6</v>
      </c>
      <c r="AS119" s="89">
        <v>9.9</v>
      </c>
      <c r="AT119" s="89">
        <v>5</v>
      </c>
      <c r="AU119" s="89">
        <v>4.8</v>
      </c>
      <c r="AV119" s="63">
        <v>86</v>
      </c>
      <c r="AW119" s="63">
        <v>115</v>
      </c>
      <c r="AX119" s="88">
        <v>144</v>
      </c>
      <c r="AY119" s="88">
        <v>144</v>
      </c>
      <c r="AZ119" s="89">
        <v>2.2000000000000002</v>
      </c>
      <c r="BA119" s="89">
        <v>1.8</v>
      </c>
      <c r="BB119" s="88">
        <v>103</v>
      </c>
      <c r="BC119" s="88">
        <v>103</v>
      </c>
      <c r="BD119" s="96">
        <f t="shared" si="9"/>
        <v>302.30111111111114</v>
      </c>
      <c r="BE119" s="96">
        <f t="shared" si="10"/>
        <v>305.78188888888894</v>
      </c>
      <c r="BF119" s="89">
        <v>4.6100000000000003</v>
      </c>
      <c r="BG119" s="89">
        <v>4.1100000000000003</v>
      </c>
      <c r="BH119" s="88">
        <v>14.1</v>
      </c>
      <c r="BI119" s="88">
        <v>12.6</v>
      </c>
      <c r="BJ119" s="89">
        <v>42.1</v>
      </c>
      <c r="BK119" s="89">
        <v>37.5</v>
      </c>
      <c r="BL119" s="88">
        <v>91.3</v>
      </c>
      <c r="BM119" s="88">
        <v>91.2</v>
      </c>
      <c r="BN119" s="89">
        <v>30.6</v>
      </c>
      <c r="BO119" s="89">
        <v>30.7</v>
      </c>
      <c r="BP119" s="88">
        <v>33.5</v>
      </c>
      <c r="BQ119" s="88">
        <v>33.6</v>
      </c>
      <c r="BR119" s="89">
        <v>365</v>
      </c>
      <c r="BS119" s="89">
        <v>403</v>
      </c>
      <c r="BT119" s="88">
        <v>13.1</v>
      </c>
      <c r="BU119" s="88">
        <v>13.1</v>
      </c>
      <c r="BV119" s="89">
        <v>1.43</v>
      </c>
      <c r="BW119" s="89">
        <v>1.37</v>
      </c>
      <c r="BX119" s="88">
        <v>6.24</v>
      </c>
      <c r="BY119" s="88">
        <v>15.92</v>
      </c>
      <c r="BZ119" s="89">
        <v>57.3</v>
      </c>
      <c r="CA119" s="89">
        <v>78.2</v>
      </c>
      <c r="CB119" s="88">
        <v>30.6</v>
      </c>
      <c r="CC119" s="88">
        <v>12.9</v>
      </c>
      <c r="CD119" s="89">
        <v>9</v>
      </c>
      <c r="CE119" s="89">
        <v>8.6999999999999993</v>
      </c>
      <c r="CF119" s="88">
        <v>2.6</v>
      </c>
      <c r="CG119" s="88">
        <v>0</v>
      </c>
      <c r="CH119" s="89">
        <v>0.5</v>
      </c>
      <c r="CI119" s="89">
        <v>0.2</v>
      </c>
      <c r="CJ119" s="86" t="b">
        <f t="shared" si="11"/>
        <v>0</v>
      </c>
      <c r="CK119" s="2" t="b">
        <f t="shared" si="12"/>
        <v>0</v>
      </c>
      <c r="CL119" s="98">
        <f t="shared" si="13"/>
        <v>72.809100000000001</v>
      </c>
      <c r="CM119" s="98">
        <v>81.900000000000006</v>
      </c>
      <c r="CN119" s="98">
        <v>180.5</v>
      </c>
      <c r="CO119" s="86">
        <v>51.93</v>
      </c>
      <c r="CP119" s="98">
        <v>44.5</v>
      </c>
      <c r="CQ119" s="98">
        <v>46.5</v>
      </c>
      <c r="CR119" s="96">
        <v>11.1</v>
      </c>
    </row>
    <row r="120" spans="1:96" ht="15.75" customHeight="1">
      <c r="A120" s="50">
        <v>2018</v>
      </c>
      <c r="B120" s="4" t="s">
        <v>184</v>
      </c>
      <c r="C120" s="105">
        <v>3194</v>
      </c>
      <c r="D120" s="101">
        <v>28</v>
      </c>
      <c r="E120" s="101">
        <v>81</v>
      </c>
      <c r="F120" s="101">
        <v>1</v>
      </c>
      <c r="G120" s="302" t="s">
        <v>94</v>
      </c>
      <c r="H120" s="62" t="s">
        <v>94</v>
      </c>
      <c r="I120" s="62" t="s">
        <v>94</v>
      </c>
      <c r="J120" s="62" t="s">
        <v>94</v>
      </c>
      <c r="K120" s="62" t="s">
        <v>94</v>
      </c>
      <c r="L120" s="62" t="s">
        <v>94</v>
      </c>
      <c r="M120" s="87">
        <v>274</v>
      </c>
      <c r="N120" s="87">
        <v>1224</v>
      </c>
      <c r="O120" s="88">
        <v>19</v>
      </c>
      <c r="P120" s="88">
        <v>48</v>
      </c>
      <c r="Q120" s="89">
        <v>1.7</v>
      </c>
      <c r="R120" s="89">
        <v>2.4</v>
      </c>
      <c r="S120" s="88">
        <v>643</v>
      </c>
      <c r="T120" s="88">
        <v>1211</v>
      </c>
      <c r="U120" s="90">
        <v>51</v>
      </c>
      <c r="V120" s="90">
        <v>99</v>
      </c>
      <c r="W120" s="88">
        <v>4.5</v>
      </c>
      <c r="X120" s="88">
        <v>4.4000000000000004</v>
      </c>
      <c r="Y120" s="90">
        <v>37</v>
      </c>
      <c r="Z120" s="90">
        <v>55</v>
      </c>
      <c r="AA120" s="88">
        <v>12</v>
      </c>
      <c r="AB120" s="88">
        <v>15</v>
      </c>
      <c r="AC120" s="89" t="s">
        <v>94</v>
      </c>
      <c r="AD120" s="89">
        <v>7.2</v>
      </c>
      <c r="AE120" s="112">
        <v>118.6</v>
      </c>
      <c r="AF120" s="112">
        <v>93.2</v>
      </c>
      <c r="AG120" s="89">
        <v>24</v>
      </c>
      <c r="AH120" s="113">
        <v>46</v>
      </c>
      <c r="AI120" s="88">
        <v>0.9</v>
      </c>
      <c r="AJ120" s="88">
        <v>1.1000000000000001</v>
      </c>
      <c r="AK120" s="269">
        <f t="shared" si="8"/>
        <v>0.20000000000000007</v>
      </c>
      <c r="AL120" s="89">
        <v>4.2</v>
      </c>
      <c r="AM120" s="89">
        <v>4.3</v>
      </c>
      <c r="AN120" s="63">
        <v>7.5</v>
      </c>
      <c r="AO120" s="63">
        <v>8.1</v>
      </c>
      <c r="AP120" s="88" t="s">
        <v>94</v>
      </c>
      <c r="AQ120" s="88">
        <v>107</v>
      </c>
      <c r="AR120" s="89">
        <v>9.8000000000000007</v>
      </c>
      <c r="AS120" s="89">
        <v>10</v>
      </c>
      <c r="AT120" s="89">
        <v>4.5</v>
      </c>
      <c r="AU120" s="89">
        <v>4.9000000000000004</v>
      </c>
      <c r="AV120" s="63">
        <v>61</v>
      </c>
      <c r="AW120" s="63">
        <v>97</v>
      </c>
      <c r="AX120" s="88">
        <v>144</v>
      </c>
      <c r="AY120" s="88">
        <v>144</v>
      </c>
      <c r="AZ120" s="89">
        <v>2.2999999999999998</v>
      </c>
      <c r="BA120" s="89">
        <v>1.9</v>
      </c>
      <c r="BB120" s="88">
        <v>101</v>
      </c>
      <c r="BC120" s="88">
        <v>102</v>
      </c>
      <c r="BD120" s="96">
        <f t="shared" si="9"/>
        <v>298.10722222222228</v>
      </c>
      <c r="BE120" s="96">
        <f t="shared" si="10"/>
        <v>304.81788888888889</v>
      </c>
      <c r="BF120" s="108">
        <v>4.79</v>
      </c>
      <c r="BG120" s="89">
        <v>4.4000000000000004</v>
      </c>
      <c r="BH120" s="88">
        <v>13.9</v>
      </c>
      <c r="BI120" s="88">
        <v>12.9</v>
      </c>
      <c r="BJ120" s="89">
        <v>43.1</v>
      </c>
      <c r="BK120" s="89">
        <v>39</v>
      </c>
      <c r="BL120" s="88">
        <v>90</v>
      </c>
      <c r="BM120" s="88">
        <v>88.6</v>
      </c>
      <c r="BN120" s="89">
        <v>29</v>
      </c>
      <c r="BO120" s="89">
        <v>29.3</v>
      </c>
      <c r="BP120" s="88">
        <v>32.299999999999997</v>
      </c>
      <c r="BQ120" s="88">
        <v>33.1</v>
      </c>
      <c r="BR120" s="89">
        <v>331</v>
      </c>
      <c r="BS120" s="89">
        <v>377</v>
      </c>
      <c r="BT120" s="88">
        <v>13.8</v>
      </c>
      <c r="BU120" s="88">
        <v>13.8</v>
      </c>
      <c r="BV120" s="89">
        <v>1.46</v>
      </c>
      <c r="BW120" s="89">
        <v>1.18</v>
      </c>
      <c r="BX120" s="88">
        <v>4.78</v>
      </c>
      <c r="BY120" s="88">
        <v>8.25</v>
      </c>
      <c r="BZ120" s="89">
        <v>45.4</v>
      </c>
      <c r="CA120" s="89">
        <v>70.3</v>
      </c>
      <c r="CB120" s="88">
        <v>41.2</v>
      </c>
      <c r="CC120" s="88">
        <v>19.899999999999999</v>
      </c>
      <c r="CD120" s="89">
        <v>11.3</v>
      </c>
      <c r="CE120" s="89">
        <v>9.5</v>
      </c>
      <c r="CF120" s="88">
        <v>1.7</v>
      </c>
      <c r="CG120" s="88">
        <v>0.1</v>
      </c>
      <c r="CH120" s="89">
        <v>0.4</v>
      </c>
      <c r="CI120" s="89">
        <v>0.2</v>
      </c>
      <c r="CJ120" s="86" t="b">
        <f t="shared" si="11"/>
        <v>0</v>
      </c>
      <c r="CK120" s="2" t="b">
        <f t="shared" si="12"/>
        <v>1</v>
      </c>
      <c r="CL120" s="98">
        <f t="shared" si="13"/>
        <v>71.943809999999999</v>
      </c>
      <c r="CM120" s="98">
        <v>81.099999999999994</v>
      </c>
      <c r="CN120" s="98">
        <v>178</v>
      </c>
      <c r="CO120" s="86">
        <v>51.6</v>
      </c>
      <c r="CP120" s="98">
        <v>45.5</v>
      </c>
      <c r="CQ120" s="98">
        <v>43</v>
      </c>
      <c r="CR120" s="96">
        <v>11.29</v>
      </c>
    </row>
    <row r="121" spans="1:96" ht="15.75" customHeight="1">
      <c r="A121" s="50">
        <v>2018</v>
      </c>
      <c r="B121" s="4" t="s">
        <v>184</v>
      </c>
      <c r="C121" s="105">
        <v>3195</v>
      </c>
      <c r="D121" s="101">
        <v>26</v>
      </c>
      <c r="E121" s="101">
        <v>68</v>
      </c>
      <c r="F121" s="101">
        <v>1</v>
      </c>
      <c r="G121" s="302" t="s">
        <v>94</v>
      </c>
      <c r="H121" s="62" t="s">
        <v>94</v>
      </c>
      <c r="I121" s="62" t="s">
        <v>94</v>
      </c>
      <c r="J121" s="62" t="s">
        <v>94</v>
      </c>
      <c r="K121" s="62" t="s">
        <v>94</v>
      </c>
      <c r="L121" s="62" t="s">
        <v>94</v>
      </c>
      <c r="M121" s="87">
        <v>224</v>
      </c>
      <c r="N121" s="87">
        <v>592</v>
      </c>
      <c r="O121" s="88">
        <v>16</v>
      </c>
      <c r="P121" s="88">
        <v>33</v>
      </c>
      <c r="Q121" s="89">
        <v>2.5</v>
      </c>
      <c r="R121" s="89">
        <v>1.5</v>
      </c>
      <c r="S121" s="88">
        <v>569</v>
      </c>
      <c r="T121" s="88">
        <v>704</v>
      </c>
      <c r="U121" s="90">
        <v>40</v>
      </c>
      <c r="V121" s="90">
        <v>63</v>
      </c>
      <c r="W121" s="88">
        <v>4.7</v>
      </c>
      <c r="X121" s="88">
        <v>4.0999999999999996</v>
      </c>
      <c r="Y121" s="90">
        <v>51</v>
      </c>
      <c r="Z121" s="90">
        <v>63</v>
      </c>
      <c r="AA121" s="88">
        <v>21</v>
      </c>
      <c r="AB121" s="88">
        <v>22</v>
      </c>
      <c r="AC121" s="89" t="s">
        <v>94</v>
      </c>
      <c r="AD121" s="89">
        <v>4.9000000000000004</v>
      </c>
      <c r="AE121" s="112">
        <v>130.30000000000001</v>
      </c>
      <c r="AF121" s="112">
        <v>125.2</v>
      </c>
      <c r="AG121" s="89">
        <v>31</v>
      </c>
      <c r="AH121" s="113">
        <v>43</v>
      </c>
      <c r="AI121" s="88">
        <v>0.7</v>
      </c>
      <c r="AJ121" s="88">
        <v>0.8</v>
      </c>
      <c r="AK121" s="269">
        <f t="shared" si="8"/>
        <v>0.10000000000000009</v>
      </c>
      <c r="AL121" s="89">
        <v>3.5</v>
      </c>
      <c r="AM121" s="89">
        <v>4.0999999999999996</v>
      </c>
      <c r="AN121" s="88">
        <v>7.7</v>
      </c>
      <c r="AO121" s="88">
        <v>7.4</v>
      </c>
      <c r="AP121" s="88" t="s">
        <v>94</v>
      </c>
      <c r="AQ121" s="88">
        <v>38</v>
      </c>
      <c r="AR121" s="89">
        <v>9.6</v>
      </c>
      <c r="AS121" s="89">
        <v>9.8000000000000007</v>
      </c>
      <c r="AT121" s="89">
        <v>4.2</v>
      </c>
      <c r="AU121" s="89">
        <v>4.3</v>
      </c>
      <c r="AV121" s="63">
        <v>83</v>
      </c>
      <c r="AW121" s="63">
        <v>119</v>
      </c>
      <c r="AX121" s="88">
        <v>144</v>
      </c>
      <c r="AY121" s="88">
        <v>139</v>
      </c>
      <c r="AZ121" s="89">
        <v>2.1</v>
      </c>
      <c r="BA121" s="89">
        <v>1.7</v>
      </c>
      <c r="BB121" s="88">
        <v>101</v>
      </c>
      <c r="BC121" s="88">
        <v>97</v>
      </c>
      <c r="BD121" s="96">
        <f t="shared" si="9"/>
        <v>300.12144444444442</v>
      </c>
      <c r="BE121" s="96">
        <f t="shared" si="10"/>
        <v>295.30744444444446</v>
      </c>
      <c r="BF121" s="89">
        <v>4.53</v>
      </c>
      <c r="BG121" s="89">
        <v>4.3899999999999997</v>
      </c>
      <c r="BH121" s="88">
        <v>14</v>
      </c>
      <c r="BI121" s="88">
        <v>13.5</v>
      </c>
      <c r="BJ121" s="89">
        <v>42.5</v>
      </c>
      <c r="BK121" s="89">
        <v>40.299999999999997</v>
      </c>
      <c r="BL121" s="88">
        <v>93.8</v>
      </c>
      <c r="BM121" s="88">
        <v>91.8</v>
      </c>
      <c r="BN121" s="89">
        <v>30.9</v>
      </c>
      <c r="BO121" s="89">
        <v>30.8</v>
      </c>
      <c r="BP121" s="88">
        <v>32.9</v>
      </c>
      <c r="BQ121" s="88">
        <v>33.5</v>
      </c>
      <c r="BR121" s="89">
        <v>294</v>
      </c>
      <c r="BS121" s="89">
        <v>351</v>
      </c>
      <c r="BT121" s="88">
        <v>13.7</v>
      </c>
      <c r="BU121" s="88">
        <v>13.4</v>
      </c>
      <c r="BV121" s="89">
        <v>1.72</v>
      </c>
      <c r="BW121" s="89">
        <v>1.32</v>
      </c>
      <c r="BX121" s="88">
        <v>7.62</v>
      </c>
      <c r="BY121" s="88">
        <v>10.66</v>
      </c>
      <c r="BZ121" s="89">
        <v>59.7</v>
      </c>
      <c r="CA121" s="89">
        <v>76.900000000000006</v>
      </c>
      <c r="CB121" s="88">
        <v>27.3</v>
      </c>
      <c r="CC121" s="88">
        <v>12</v>
      </c>
      <c r="CD121" s="89">
        <v>9.6999999999999993</v>
      </c>
      <c r="CE121" s="89">
        <v>10.9</v>
      </c>
      <c r="CF121" s="88">
        <v>2.9</v>
      </c>
      <c r="CG121" s="88">
        <v>0</v>
      </c>
      <c r="CH121" s="89">
        <v>0.4</v>
      </c>
      <c r="CI121" s="89">
        <v>0.2</v>
      </c>
      <c r="CJ121" s="86" t="b">
        <f t="shared" si="11"/>
        <v>0</v>
      </c>
      <c r="CK121" s="2" t="b">
        <f t="shared" si="12"/>
        <v>0</v>
      </c>
      <c r="CL121" s="98">
        <f t="shared" si="13"/>
        <v>62.5396</v>
      </c>
      <c r="CM121" s="98">
        <v>68</v>
      </c>
      <c r="CN121" s="98">
        <v>173</v>
      </c>
      <c r="CO121" s="86">
        <v>55.9</v>
      </c>
      <c r="CP121" s="98">
        <v>39</v>
      </c>
      <c r="CQ121" s="98">
        <v>39</v>
      </c>
      <c r="CR121" s="96">
        <v>8.0299999999999994</v>
      </c>
    </row>
    <row r="122" spans="1:96" ht="15.75" customHeight="1">
      <c r="A122" s="50">
        <v>2018</v>
      </c>
      <c r="B122" s="4" t="s">
        <v>184</v>
      </c>
      <c r="C122" s="105">
        <v>3196</v>
      </c>
      <c r="D122" s="101">
        <v>27</v>
      </c>
      <c r="E122" s="101">
        <v>80</v>
      </c>
      <c r="F122" s="101">
        <v>1</v>
      </c>
      <c r="G122" s="302" t="s">
        <v>94</v>
      </c>
      <c r="H122" s="62" t="s">
        <v>94</v>
      </c>
      <c r="I122" s="62" t="s">
        <v>94</v>
      </c>
      <c r="J122" s="62" t="s">
        <v>94</v>
      </c>
      <c r="K122" s="62" t="s">
        <v>94</v>
      </c>
      <c r="L122" s="62" t="s">
        <v>94</v>
      </c>
      <c r="M122" s="87">
        <v>532</v>
      </c>
      <c r="N122" s="87">
        <v>2695</v>
      </c>
      <c r="O122" s="88">
        <v>20</v>
      </c>
      <c r="P122" s="88">
        <v>60</v>
      </c>
      <c r="Q122" s="89">
        <v>1.8</v>
      </c>
      <c r="R122" s="89">
        <v>2.4</v>
      </c>
      <c r="S122" s="88">
        <v>932</v>
      </c>
      <c r="T122" s="88">
        <v>1526</v>
      </c>
      <c r="U122" s="90">
        <v>39</v>
      </c>
      <c r="V122" s="90">
        <v>113</v>
      </c>
      <c r="W122" s="88">
        <v>4.3</v>
      </c>
      <c r="X122" s="88">
        <v>4.8</v>
      </c>
      <c r="Y122" s="90">
        <v>62</v>
      </c>
      <c r="Z122" s="90">
        <v>99</v>
      </c>
      <c r="AA122" s="88">
        <v>25</v>
      </c>
      <c r="AB122" s="88">
        <v>29</v>
      </c>
      <c r="AC122" s="89" t="s">
        <v>94</v>
      </c>
      <c r="AD122" s="89">
        <v>7.8</v>
      </c>
      <c r="AE122" s="112">
        <v>84.5</v>
      </c>
      <c r="AF122" s="112">
        <v>84.5</v>
      </c>
      <c r="AG122" s="89">
        <v>35</v>
      </c>
      <c r="AH122" s="113">
        <v>54</v>
      </c>
      <c r="AI122" s="88">
        <v>1.2</v>
      </c>
      <c r="AJ122" s="88">
        <v>1.2</v>
      </c>
      <c r="AK122" s="269">
        <f t="shared" si="8"/>
        <v>0</v>
      </c>
      <c r="AL122" s="89">
        <v>3.6</v>
      </c>
      <c r="AM122" s="89">
        <v>5.3</v>
      </c>
      <c r="AN122" s="88">
        <v>7</v>
      </c>
      <c r="AO122" s="88">
        <v>8.6</v>
      </c>
      <c r="AP122" s="88" t="s">
        <v>94</v>
      </c>
      <c r="AQ122" s="88">
        <v>68</v>
      </c>
      <c r="AR122" s="89">
        <v>9.1</v>
      </c>
      <c r="AS122" s="89">
        <v>10.3</v>
      </c>
      <c r="AT122" s="89">
        <v>5.9</v>
      </c>
      <c r="AU122" s="89">
        <v>4.9000000000000004</v>
      </c>
      <c r="AV122" s="63">
        <v>86</v>
      </c>
      <c r="AW122" s="63">
        <v>78</v>
      </c>
      <c r="AX122" s="88">
        <v>144</v>
      </c>
      <c r="AY122" s="88">
        <v>143</v>
      </c>
      <c r="AZ122" s="89">
        <v>2.1</v>
      </c>
      <c r="BA122" s="89">
        <v>1.9</v>
      </c>
      <c r="BB122" s="88">
        <v>102</v>
      </c>
      <c r="BC122" s="88">
        <v>99</v>
      </c>
      <c r="BD122" s="96">
        <f t="shared" si="9"/>
        <v>304.1417777777778</v>
      </c>
      <c r="BE122" s="96">
        <f t="shared" si="10"/>
        <v>303.0773333333334</v>
      </c>
      <c r="BF122" s="89">
        <v>5.0999999999999996</v>
      </c>
      <c r="BG122" s="89">
        <v>5.23</v>
      </c>
      <c r="BH122" s="88">
        <v>14.1</v>
      </c>
      <c r="BI122" s="88">
        <v>14.7</v>
      </c>
      <c r="BJ122" s="89">
        <v>42.9</v>
      </c>
      <c r="BK122" s="89">
        <v>43.4</v>
      </c>
      <c r="BL122" s="88">
        <v>84.1</v>
      </c>
      <c r="BM122" s="88">
        <v>83</v>
      </c>
      <c r="BN122" s="89">
        <v>27.6</v>
      </c>
      <c r="BO122" s="89">
        <v>28.1</v>
      </c>
      <c r="BP122" s="88">
        <v>32.9</v>
      </c>
      <c r="BQ122" s="88">
        <v>33.9</v>
      </c>
      <c r="BR122" s="89">
        <v>277</v>
      </c>
      <c r="BS122" s="89">
        <v>278</v>
      </c>
      <c r="BT122" s="88">
        <v>13</v>
      </c>
      <c r="BU122" s="88">
        <v>13.1</v>
      </c>
      <c r="BV122" s="89">
        <v>1.22</v>
      </c>
      <c r="BW122" s="89">
        <v>1.31</v>
      </c>
      <c r="BX122" s="88">
        <v>5.66</v>
      </c>
      <c r="BY122" s="88">
        <v>10.64</v>
      </c>
      <c r="BZ122" s="89">
        <v>42.4</v>
      </c>
      <c r="CA122" s="89">
        <v>69.3</v>
      </c>
      <c r="CB122" s="88">
        <v>43.5</v>
      </c>
      <c r="CC122" s="88">
        <v>21.7</v>
      </c>
      <c r="CD122" s="89">
        <v>9.5</v>
      </c>
      <c r="CE122" s="89">
        <v>7</v>
      </c>
      <c r="CF122" s="88">
        <v>4.0999999999999996</v>
      </c>
      <c r="CG122" s="88">
        <v>1.5</v>
      </c>
      <c r="CH122" s="89">
        <v>0.5</v>
      </c>
      <c r="CI122" s="89">
        <v>0.5</v>
      </c>
      <c r="CJ122" s="86" t="b">
        <f t="shared" si="11"/>
        <v>0</v>
      </c>
      <c r="CK122" s="2" t="b">
        <f t="shared" si="12"/>
        <v>1</v>
      </c>
      <c r="CL122" s="98">
        <f t="shared" si="13"/>
        <v>70.30368</v>
      </c>
      <c r="CM122" s="98">
        <v>82.4</v>
      </c>
      <c r="CN122" s="98">
        <v>168</v>
      </c>
      <c r="CO122" s="86">
        <v>50.7</v>
      </c>
      <c r="CP122" s="98">
        <v>60</v>
      </c>
      <c r="CQ122" s="98">
        <v>58</v>
      </c>
      <c r="CR122" s="96">
        <v>14.68</v>
      </c>
    </row>
    <row r="123" spans="1:96" ht="15.75" customHeight="1">
      <c r="A123" s="50">
        <v>2018</v>
      </c>
      <c r="B123" s="9" t="s">
        <v>185</v>
      </c>
      <c r="C123" s="105">
        <v>3155</v>
      </c>
      <c r="D123" s="101">
        <v>26</v>
      </c>
      <c r="E123" s="101">
        <v>70</v>
      </c>
      <c r="F123" s="101">
        <v>1</v>
      </c>
      <c r="G123" s="74" t="s">
        <v>86</v>
      </c>
      <c r="H123" s="55" t="s">
        <v>83</v>
      </c>
      <c r="I123" s="56" t="s">
        <v>87</v>
      </c>
      <c r="J123" s="52" t="s">
        <v>88</v>
      </c>
      <c r="K123" s="53">
        <v>50</v>
      </c>
      <c r="L123" s="55">
        <v>50</v>
      </c>
      <c r="M123" s="115">
        <v>258</v>
      </c>
      <c r="N123" s="115">
        <v>932</v>
      </c>
      <c r="O123" s="116">
        <v>15</v>
      </c>
      <c r="P123" s="116">
        <v>36</v>
      </c>
      <c r="Q123" s="117">
        <v>1.7</v>
      </c>
      <c r="R123" s="117">
        <v>1.8</v>
      </c>
      <c r="S123" s="116">
        <v>507</v>
      </c>
      <c r="T123" s="116">
        <v>719</v>
      </c>
      <c r="U123" s="118">
        <v>28</v>
      </c>
      <c r="V123" s="118">
        <v>67</v>
      </c>
      <c r="W123" s="119">
        <v>4.8</v>
      </c>
      <c r="X123" s="119">
        <v>4.5</v>
      </c>
      <c r="Y123" s="118">
        <v>50</v>
      </c>
      <c r="Z123" s="118">
        <v>61</v>
      </c>
      <c r="AA123" s="116">
        <v>28</v>
      </c>
      <c r="AB123" s="116">
        <v>27</v>
      </c>
      <c r="AC123" s="117">
        <v>4.4000000000000004</v>
      </c>
      <c r="AD123" s="117">
        <v>5.2</v>
      </c>
      <c r="AE123" s="320">
        <v>120</v>
      </c>
      <c r="AF123" s="320">
        <v>120</v>
      </c>
      <c r="AG123" s="120">
        <v>64</v>
      </c>
      <c r="AH123" s="120">
        <v>50</v>
      </c>
      <c r="AI123" s="119">
        <v>0.9</v>
      </c>
      <c r="AJ123" s="119">
        <v>0.9</v>
      </c>
      <c r="AK123" s="269">
        <f t="shared" si="8"/>
        <v>0</v>
      </c>
      <c r="AL123" s="117">
        <v>4.2</v>
      </c>
      <c r="AM123" s="117">
        <v>5.0999999999999996</v>
      </c>
      <c r="AN123" s="119">
        <v>7.9</v>
      </c>
      <c r="AO123" s="119">
        <v>7.6</v>
      </c>
      <c r="AP123" s="116">
        <v>103</v>
      </c>
      <c r="AQ123" s="116">
        <v>80</v>
      </c>
      <c r="AR123" s="117">
        <v>10.1</v>
      </c>
      <c r="AS123" s="117">
        <v>10</v>
      </c>
      <c r="AT123" s="117">
        <v>4.3</v>
      </c>
      <c r="AU123" s="117">
        <v>4.4000000000000004</v>
      </c>
      <c r="AV123" s="61">
        <v>116</v>
      </c>
      <c r="AW123" s="61">
        <v>96</v>
      </c>
      <c r="AX123" s="116">
        <v>145</v>
      </c>
      <c r="AY123" s="116">
        <v>144</v>
      </c>
      <c r="AZ123" s="117">
        <v>1.5</v>
      </c>
      <c r="BA123" s="117">
        <v>2</v>
      </c>
      <c r="BB123" s="116">
        <v>100</v>
      </c>
      <c r="BC123" s="116">
        <v>102</v>
      </c>
      <c r="BD123" s="96">
        <f t="shared" si="9"/>
        <v>309.77577777777782</v>
      </c>
      <c r="BE123" s="96">
        <f t="shared" si="10"/>
        <v>304.49066666666664</v>
      </c>
      <c r="BF123" s="121">
        <v>5.08</v>
      </c>
      <c r="BG123" s="121">
        <v>4.75</v>
      </c>
      <c r="BH123" s="119">
        <v>14.7</v>
      </c>
      <c r="BI123" s="122">
        <v>13.8</v>
      </c>
      <c r="BJ123" s="117">
        <v>44.6</v>
      </c>
      <c r="BK123" s="117">
        <v>42.2</v>
      </c>
      <c r="BL123" s="94" t="s">
        <v>94</v>
      </c>
      <c r="BM123" s="119">
        <v>88.8</v>
      </c>
      <c r="BN123" s="94" t="s">
        <v>94</v>
      </c>
      <c r="BO123" s="117">
        <v>29.1</v>
      </c>
      <c r="BP123" s="94" t="s">
        <v>94</v>
      </c>
      <c r="BQ123" s="119">
        <v>32.700000000000003</v>
      </c>
      <c r="BR123" s="94" t="s">
        <v>94</v>
      </c>
      <c r="BS123" s="120">
        <v>268</v>
      </c>
      <c r="BT123" s="94" t="s">
        <v>94</v>
      </c>
      <c r="BU123" s="119">
        <v>13.4</v>
      </c>
      <c r="BV123" s="121">
        <v>1.44</v>
      </c>
      <c r="BW123" s="121">
        <v>1.42</v>
      </c>
      <c r="BX123" s="122">
        <v>7.33</v>
      </c>
      <c r="BY123" s="123">
        <v>6.98</v>
      </c>
      <c r="BZ123" s="94" t="s">
        <v>94</v>
      </c>
      <c r="CA123" s="124">
        <v>71.599999999999994</v>
      </c>
      <c r="CB123" s="94" t="s">
        <v>94</v>
      </c>
      <c r="CC123" s="123">
        <v>18.5</v>
      </c>
      <c r="CD123" s="94" t="s">
        <v>94</v>
      </c>
      <c r="CE123" s="124">
        <v>8.6999999999999993</v>
      </c>
      <c r="CF123" s="94" t="s">
        <v>94</v>
      </c>
      <c r="CG123" s="123">
        <v>0.9</v>
      </c>
      <c r="CH123" s="94" t="s">
        <v>94</v>
      </c>
      <c r="CI123" s="124">
        <v>0.3</v>
      </c>
      <c r="CJ123" s="86" t="b">
        <f t="shared" si="11"/>
        <v>0</v>
      </c>
      <c r="CK123" s="2" t="b">
        <f t="shared" si="12"/>
        <v>0</v>
      </c>
      <c r="CL123" s="98">
        <f t="shared" si="13"/>
        <v>71.28528</v>
      </c>
      <c r="CM123" s="98">
        <v>75.900000000000006</v>
      </c>
      <c r="CN123" s="98">
        <v>171</v>
      </c>
      <c r="CO123" s="86">
        <v>54.68</v>
      </c>
      <c r="CP123" s="98">
        <v>42</v>
      </c>
      <c r="CQ123" s="98">
        <v>43</v>
      </c>
      <c r="CR123" s="96">
        <v>6.08</v>
      </c>
    </row>
    <row r="124" spans="1:96" ht="15.75" customHeight="1">
      <c r="A124" s="50">
        <v>2018</v>
      </c>
      <c r="B124" s="9" t="s">
        <v>185</v>
      </c>
      <c r="C124" s="105">
        <v>3156</v>
      </c>
      <c r="D124" s="101">
        <v>26</v>
      </c>
      <c r="E124" s="101">
        <v>74</v>
      </c>
      <c r="F124" s="101">
        <v>1</v>
      </c>
      <c r="G124" s="54" t="s">
        <v>89</v>
      </c>
      <c r="H124" s="55" t="s">
        <v>90</v>
      </c>
      <c r="I124" s="56" t="s">
        <v>84</v>
      </c>
      <c r="J124" s="55" t="s">
        <v>91</v>
      </c>
      <c r="K124" s="53">
        <v>50</v>
      </c>
      <c r="L124" s="55">
        <v>50</v>
      </c>
      <c r="M124" s="115">
        <v>234</v>
      </c>
      <c r="N124" s="115">
        <v>936</v>
      </c>
      <c r="O124" s="116">
        <v>15</v>
      </c>
      <c r="P124" s="116">
        <v>37</v>
      </c>
      <c r="Q124" s="117">
        <v>2.7</v>
      </c>
      <c r="R124" s="117">
        <v>2.6</v>
      </c>
      <c r="S124" s="116">
        <v>528</v>
      </c>
      <c r="T124" s="116">
        <v>672</v>
      </c>
      <c r="U124" s="118">
        <v>27</v>
      </c>
      <c r="V124" s="118">
        <v>64</v>
      </c>
      <c r="W124" s="119">
        <v>4.9000000000000004</v>
      </c>
      <c r="X124" s="119">
        <v>4.5</v>
      </c>
      <c r="Y124" s="118">
        <v>40</v>
      </c>
      <c r="Z124" s="118">
        <v>52</v>
      </c>
      <c r="AA124" s="116">
        <v>28</v>
      </c>
      <c r="AB124" s="116">
        <v>27</v>
      </c>
      <c r="AC124" s="117">
        <v>4</v>
      </c>
      <c r="AD124" s="117">
        <v>4.7</v>
      </c>
      <c r="AE124" s="320">
        <v>94.4</v>
      </c>
      <c r="AF124" s="320">
        <v>94.4</v>
      </c>
      <c r="AG124" s="120">
        <v>41</v>
      </c>
      <c r="AH124" s="120">
        <v>40</v>
      </c>
      <c r="AI124" s="119">
        <v>1.1000000000000001</v>
      </c>
      <c r="AJ124" s="119">
        <v>1.1000000000000001</v>
      </c>
      <c r="AK124" s="269">
        <f t="shared" si="8"/>
        <v>0</v>
      </c>
      <c r="AL124" s="117">
        <v>3.5</v>
      </c>
      <c r="AM124" s="117">
        <v>4.2</v>
      </c>
      <c r="AN124" s="119">
        <v>8.1</v>
      </c>
      <c r="AO124" s="119">
        <v>7.4</v>
      </c>
      <c r="AP124" s="116">
        <v>83</v>
      </c>
      <c r="AQ124" s="116">
        <v>117</v>
      </c>
      <c r="AR124" s="117">
        <v>10.199999999999999</v>
      </c>
      <c r="AS124" s="117">
        <v>9.9</v>
      </c>
      <c r="AT124" s="117">
        <v>4</v>
      </c>
      <c r="AU124" s="117">
        <v>4.7</v>
      </c>
      <c r="AV124" s="61">
        <v>108</v>
      </c>
      <c r="AW124" s="61">
        <v>116</v>
      </c>
      <c r="AX124" s="116">
        <v>147</v>
      </c>
      <c r="AY124" s="116">
        <v>147</v>
      </c>
      <c r="AZ124" s="117">
        <v>2.1</v>
      </c>
      <c r="BA124" s="117">
        <v>2.2000000000000002</v>
      </c>
      <c r="BB124" s="116">
        <v>98</v>
      </c>
      <c r="BC124" s="116">
        <v>105</v>
      </c>
      <c r="BD124" s="96">
        <f t="shared" si="9"/>
        <v>308.59333333333331</v>
      </c>
      <c r="BE124" s="96">
        <f t="shared" si="10"/>
        <v>310.23977777777776</v>
      </c>
      <c r="BF124" s="121">
        <v>5.26</v>
      </c>
      <c r="BG124" s="97">
        <v>4.96</v>
      </c>
      <c r="BH124" s="119">
        <v>15.9</v>
      </c>
      <c r="BI124" s="119">
        <v>14.9</v>
      </c>
      <c r="BJ124" s="117">
        <v>47.4</v>
      </c>
      <c r="BK124" s="117">
        <v>45</v>
      </c>
      <c r="BL124" s="94" t="s">
        <v>94</v>
      </c>
      <c r="BM124" s="119">
        <v>90.7</v>
      </c>
      <c r="BN124" s="94" t="s">
        <v>94</v>
      </c>
      <c r="BO124" s="117">
        <v>30</v>
      </c>
      <c r="BP124" s="94" t="s">
        <v>94</v>
      </c>
      <c r="BQ124" s="119">
        <v>33.1</v>
      </c>
      <c r="BR124" s="94" t="s">
        <v>94</v>
      </c>
      <c r="BS124" s="120">
        <v>220</v>
      </c>
      <c r="BT124" s="94" t="s">
        <v>94</v>
      </c>
      <c r="BU124" s="119">
        <v>12.5</v>
      </c>
      <c r="BV124" s="121">
        <v>1.7</v>
      </c>
      <c r="BW124" s="121">
        <v>1.05</v>
      </c>
      <c r="BX124" s="122">
        <v>6.3</v>
      </c>
      <c r="BY124" s="123">
        <v>5.69</v>
      </c>
      <c r="BZ124" s="94" t="s">
        <v>94</v>
      </c>
      <c r="CA124" s="124">
        <v>71.099999999999994</v>
      </c>
      <c r="CB124" s="94" t="s">
        <v>94</v>
      </c>
      <c r="CC124" s="123">
        <v>19.7</v>
      </c>
      <c r="CD124" s="94" t="s">
        <v>94</v>
      </c>
      <c r="CE124" s="124">
        <v>8.1</v>
      </c>
      <c r="CF124" s="94" t="s">
        <v>94</v>
      </c>
      <c r="CG124" s="123">
        <v>0.7</v>
      </c>
      <c r="CH124" s="94" t="s">
        <v>94</v>
      </c>
      <c r="CI124" s="124">
        <v>0.4</v>
      </c>
      <c r="CJ124" s="86" t="b">
        <f t="shared" si="11"/>
        <v>0</v>
      </c>
      <c r="CK124" s="2" t="b">
        <f t="shared" si="12"/>
        <v>0</v>
      </c>
      <c r="CL124" s="98">
        <f t="shared" si="13"/>
        <v>72.293760000000006</v>
      </c>
      <c r="CM124" s="98">
        <v>79.2</v>
      </c>
      <c r="CN124" s="98">
        <v>174</v>
      </c>
      <c r="CO124" s="86">
        <v>53.64</v>
      </c>
      <c r="CP124" s="98">
        <v>49.5</v>
      </c>
      <c r="CQ124" s="98">
        <v>49.5</v>
      </c>
      <c r="CR124" s="96">
        <v>8.7200000000000006</v>
      </c>
    </row>
    <row r="125" spans="1:96" ht="15.75" customHeight="1">
      <c r="A125" s="50">
        <v>2018</v>
      </c>
      <c r="B125" s="9" t="s">
        <v>185</v>
      </c>
      <c r="C125" s="105">
        <v>3159</v>
      </c>
      <c r="D125" s="101">
        <v>25</v>
      </c>
      <c r="E125" s="101">
        <v>84</v>
      </c>
      <c r="F125" s="101">
        <v>1</v>
      </c>
      <c r="G125" s="304" t="s">
        <v>86</v>
      </c>
      <c r="H125" s="52" t="s">
        <v>92</v>
      </c>
      <c r="I125" s="53" t="s">
        <v>93</v>
      </c>
      <c r="J125" s="55" t="s">
        <v>88</v>
      </c>
      <c r="K125" s="64" t="s">
        <v>94</v>
      </c>
      <c r="L125" s="65" t="s">
        <v>94</v>
      </c>
      <c r="M125" s="115">
        <v>230</v>
      </c>
      <c r="N125" s="115">
        <v>446</v>
      </c>
      <c r="O125" s="116">
        <v>14</v>
      </c>
      <c r="P125" s="116">
        <v>26</v>
      </c>
      <c r="Q125" s="117">
        <v>1.2</v>
      </c>
      <c r="R125" s="117">
        <v>2.5</v>
      </c>
      <c r="S125" s="116">
        <v>220</v>
      </c>
      <c r="T125" s="116">
        <v>303</v>
      </c>
      <c r="U125" s="118">
        <v>32</v>
      </c>
      <c r="V125" s="118">
        <v>44</v>
      </c>
      <c r="W125" s="119">
        <v>4.4000000000000004</v>
      </c>
      <c r="X125" s="119">
        <v>4.3</v>
      </c>
      <c r="Y125" s="118">
        <v>51</v>
      </c>
      <c r="Z125" s="118">
        <v>50</v>
      </c>
      <c r="AA125" s="116">
        <v>23</v>
      </c>
      <c r="AB125" s="116">
        <v>21</v>
      </c>
      <c r="AC125" s="117">
        <v>6.1</v>
      </c>
      <c r="AD125" s="117">
        <v>5.7</v>
      </c>
      <c r="AE125" s="320">
        <v>77.7</v>
      </c>
      <c r="AF125" s="320">
        <v>94.9</v>
      </c>
      <c r="AG125" s="120">
        <v>50</v>
      </c>
      <c r="AH125" s="120">
        <v>47</v>
      </c>
      <c r="AI125" s="119">
        <v>1.3</v>
      </c>
      <c r="AJ125" s="119">
        <v>1.1000000000000001</v>
      </c>
      <c r="AK125" s="269">
        <f t="shared" si="8"/>
        <v>0</v>
      </c>
      <c r="AL125" s="117">
        <v>4.2</v>
      </c>
      <c r="AM125" s="117">
        <v>4.5</v>
      </c>
      <c r="AN125" s="119">
        <v>7.4</v>
      </c>
      <c r="AO125" s="119">
        <v>7.2</v>
      </c>
      <c r="AP125" s="116">
        <v>65</v>
      </c>
      <c r="AQ125" s="116">
        <v>109</v>
      </c>
      <c r="AR125" s="117">
        <v>10.1</v>
      </c>
      <c r="AS125" s="117">
        <v>9.8000000000000007</v>
      </c>
      <c r="AT125" s="117">
        <v>4.0999999999999996</v>
      </c>
      <c r="AU125" s="117">
        <v>4.7</v>
      </c>
      <c r="AV125" s="61">
        <v>56</v>
      </c>
      <c r="AW125" s="61">
        <v>89</v>
      </c>
      <c r="AX125" s="116">
        <v>148</v>
      </c>
      <c r="AY125" s="116">
        <v>145</v>
      </c>
      <c r="AZ125" s="117">
        <v>2</v>
      </c>
      <c r="BA125" s="117">
        <v>1.7</v>
      </c>
      <c r="BB125" s="116">
        <v>102</v>
      </c>
      <c r="BC125" s="116">
        <v>106</v>
      </c>
      <c r="BD125" s="96">
        <f t="shared" si="9"/>
        <v>308.8171111111111</v>
      </c>
      <c r="BE125" s="96">
        <f t="shared" si="10"/>
        <v>305.96144444444445</v>
      </c>
      <c r="BF125" s="121">
        <v>5.16</v>
      </c>
      <c r="BG125" s="97">
        <v>4.8499999999999996</v>
      </c>
      <c r="BH125" s="119">
        <v>14.4</v>
      </c>
      <c r="BI125" s="119">
        <v>13.5</v>
      </c>
      <c r="BJ125" s="117">
        <v>45.3</v>
      </c>
      <c r="BK125" s="117">
        <v>42.4</v>
      </c>
      <c r="BL125" s="94" t="s">
        <v>94</v>
      </c>
      <c r="BM125" s="119">
        <v>87.4</v>
      </c>
      <c r="BN125" s="94" t="s">
        <v>94</v>
      </c>
      <c r="BO125" s="117">
        <v>27.8</v>
      </c>
      <c r="BP125" s="94" t="s">
        <v>94</v>
      </c>
      <c r="BQ125" s="119">
        <v>31.8</v>
      </c>
      <c r="BR125" s="94" t="s">
        <v>94</v>
      </c>
      <c r="BS125" s="120">
        <v>238</v>
      </c>
      <c r="BT125" s="94" t="s">
        <v>94</v>
      </c>
      <c r="BU125" s="119">
        <v>13.2</v>
      </c>
      <c r="BV125" s="121">
        <v>1.52</v>
      </c>
      <c r="BW125" s="121">
        <v>1.1399999999999999</v>
      </c>
      <c r="BX125" s="122">
        <v>4.2300000000000004</v>
      </c>
      <c r="BY125" s="123">
        <v>5.62</v>
      </c>
      <c r="BZ125" s="94" t="s">
        <v>94</v>
      </c>
      <c r="CA125" s="124">
        <v>60.6</v>
      </c>
      <c r="CB125" s="94" t="s">
        <v>94</v>
      </c>
      <c r="CC125" s="123">
        <v>25.4</v>
      </c>
      <c r="CD125" s="94" t="s">
        <v>94</v>
      </c>
      <c r="CE125" s="124">
        <v>8.5</v>
      </c>
      <c r="CF125" s="94" t="s">
        <v>94</v>
      </c>
      <c r="CG125" s="123">
        <v>4.8</v>
      </c>
      <c r="CH125" s="94" t="s">
        <v>94</v>
      </c>
      <c r="CI125" s="124">
        <v>0.7</v>
      </c>
      <c r="CJ125" s="86" t="b">
        <f t="shared" si="11"/>
        <v>0</v>
      </c>
      <c r="CK125" s="2" t="b">
        <f t="shared" si="12"/>
        <v>0</v>
      </c>
      <c r="CL125" s="98">
        <f t="shared" si="13"/>
        <v>75.355769999999993</v>
      </c>
      <c r="CM125" s="98">
        <v>84.3</v>
      </c>
      <c r="CN125" s="98">
        <v>178</v>
      </c>
      <c r="CO125" s="86">
        <v>52.69</v>
      </c>
      <c r="CP125" s="98">
        <v>60</v>
      </c>
      <c r="CQ125" s="98">
        <v>57</v>
      </c>
      <c r="CR125" s="96">
        <v>10.61</v>
      </c>
    </row>
    <row r="126" spans="1:96" ht="15.75" customHeight="1">
      <c r="A126" s="50">
        <v>2018</v>
      </c>
      <c r="B126" s="9" t="s">
        <v>185</v>
      </c>
      <c r="C126" s="105">
        <v>3165</v>
      </c>
      <c r="D126" s="109">
        <v>33</v>
      </c>
      <c r="E126" s="109">
        <v>82</v>
      </c>
      <c r="F126" s="109">
        <v>1</v>
      </c>
      <c r="G126" s="304" t="s">
        <v>86</v>
      </c>
      <c r="H126" s="52" t="s">
        <v>83</v>
      </c>
      <c r="I126" s="53" t="s">
        <v>87</v>
      </c>
      <c r="J126" s="52" t="s">
        <v>88</v>
      </c>
      <c r="K126" s="53">
        <v>50</v>
      </c>
      <c r="L126" s="52">
        <v>50</v>
      </c>
      <c r="M126" s="115">
        <v>467</v>
      </c>
      <c r="N126" s="115">
        <v>550</v>
      </c>
      <c r="O126" s="116">
        <v>4</v>
      </c>
      <c r="P126" s="116">
        <v>19</v>
      </c>
      <c r="Q126" s="117">
        <v>1.4</v>
      </c>
      <c r="R126" s="117">
        <v>2.6</v>
      </c>
      <c r="S126" s="116">
        <v>477</v>
      </c>
      <c r="T126" s="116">
        <v>599</v>
      </c>
      <c r="U126" s="118">
        <v>40</v>
      </c>
      <c r="V126" s="118">
        <v>46</v>
      </c>
      <c r="W126" s="119">
        <v>4.7</v>
      </c>
      <c r="X126" s="119">
        <v>4.4000000000000004</v>
      </c>
      <c r="Y126" s="118">
        <v>46</v>
      </c>
      <c r="Z126" s="118">
        <v>45</v>
      </c>
      <c r="AA126" s="116">
        <v>41</v>
      </c>
      <c r="AB126" s="116">
        <v>38</v>
      </c>
      <c r="AC126" s="117">
        <v>6.8</v>
      </c>
      <c r="AD126" s="117">
        <v>6.2</v>
      </c>
      <c r="AE126" s="320">
        <v>90.3</v>
      </c>
      <c r="AF126" s="320">
        <v>101.3</v>
      </c>
      <c r="AG126" s="120">
        <v>52</v>
      </c>
      <c r="AH126" s="120">
        <v>48</v>
      </c>
      <c r="AI126" s="119">
        <v>1.1000000000000001</v>
      </c>
      <c r="AJ126" s="119">
        <v>1</v>
      </c>
      <c r="AK126" s="269">
        <f t="shared" si="8"/>
        <v>0</v>
      </c>
      <c r="AL126" s="117">
        <v>4.8</v>
      </c>
      <c r="AM126" s="117">
        <v>4.0999999999999996</v>
      </c>
      <c r="AN126" s="119">
        <v>7.8</v>
      </c>
      <c r="AO126" s="119">
        <v>7.3</v>
      </c>
      <c r="AP126" s="116">
        <v>66</v>
      </c>
      <c r="AQ126" s="116">
        <v>118</v>
      </c>
      <c r="AR126" s="117">
        <v>10.1</v>
      </c>
      <c r="AS126" s="117">
        <v>9.5</v>
      </c>
      <c r="AT126" s="117">
        <v>4.5999999999999996</v>
      </c>
      <c r="AU126" s="117">
        <v>4.4000000000000004</v>
      </c>
      <c r="AV126" s="61">
        <v>97</v>
      </c>
      <c r="AW126" s="61">
        <v>118</v>
      </c>
      <c r="AX126" s="116">
        <v>147</v>
      </c>
      <c r="AY126" s="116">
        <v>147</v>
      </c>
      <c r="AZ126" s="117">
        <v>1.9</v>
      </c>
      <c r="BA126" s="117">
        <v>1.9</v>
      </c>
      <c r="BB126" s="116">
        <v>97</v>
      </c>
      <c r="BC126" s="116">
        <v>104</v>
      </c>
      <c r="BD126" s="96">
        <f t="shared" si="9"/>
        <v>310.83988888888888</v>
      </c>
      <c r="BE126" s="96">
        <f t="shared" si="10"/>
        <v>311.14288888888893</v>
      </c>
      <c r="BF126" s="121">
        <v>4.5999999999999996</v>
      </c>
      <c r="BG126" s="97">
        <v>4.1900000000000004</v>
      </c>
      <c r="BH126" s="119">
        <v>13.9</v>
      </c>
      <c r="BI126" s="119">
        <v>12.6</v>
      </c>
      <c r="BJ126" s="117">
        <v>42.9</v>
      </c>
      <c r="BK126" s="117">
        <v>38.700000000000003</v>
      </c>
      <c r="BL126" s="94" t="s">
        <v>94</v>
      </c>
      <c r="BM126" s="119">
        <v>92.4</v>
      </c>
      <c r="BN126" s="94" t="s">
        <v>94</v>
      </c>
      <c r="BO126" s="117">
        <v>30.1</v>
      </c>
      <c r="BP126" s="94" t="s">
        <v>94</v>
      </c>
      <c r="BQ126" s="119">
        <v>32.6</v>
      </c>
      <c r="BR126" s="94" t="s">
        <v>94</v>
      </c>
      <c r="BS126" s="120">
        <v>237</v>
      </c>
      <c r="BT126" s="94" t="s">
        <v>94</v>
      </c>
      <c r="BU126" s="119">
        <v>12</v>
      </c>
      <c r="BV126" s="121">
        <v>1.93</v>
      </c>
      <c r="BW126" s="121">
        <v>1.1100000000000001</v>
      </c>
      <c r="BX126" s="122">
        <v>8.66</v>
      </c>
      <c r="BY126" s="123">
        <v>8.35</v>
      </c>
      <c r="BZ126" s="94" t="s">
        <v>94</v>
      </c>
      <c r="CA126" s="124">
        <v>79.099999999999994</v>
      </c>
      <c r="CB126" s="94" t="s">
        <v>94</v>
      </c>
      <c r="CC126" s="123">
        <v>14.9</v>
      </c>
      <c r="CD126" s="94" t="s">
        <v>94</v>
      </c>
      <c r="CE126" s="124">
        <v>4.5999999999999996</v>
      </c>
      <c r="CF126" s="94" t="s">
        <v>94</v>
      </c>
      <c r="CG126" s="123">
        <v>1.2</v>
      </c>
      <c r="CH126" s="94" t="s">
        <v>94</v>
      </c>
      <c r="CI126" s="124">
        <v>0.2</v>
      </c>
      <c r="CJ126" s="109" t="b">
        <f t="shared" si="11"/>
        <v>0</v>
      </c>
      <c r="CK126" s="8" t="b">
        <f t="shared" si="12"/>
        <v>0</v>
      </c>
      <c r="CL126" s="98">
        <f t="shared" si="13"/>
        <v>67.787359999999993</v>
      </c>
      <c r="CM126" s="98">
        <v>79.599999999999994</v>
      </c>
      <c r="CN126" s="98">
        <v>182</v>
      </c>
      <c r="CO126" s="86">
        <v>51.21</v>
      </c>
      <c r="CP126" s="98">
        <v>51</v>
      </c>
      <c r="CQ126" s="98">
        <v>49</v>
      </c>
      <c r="CR126" s="96">
        <v>14.84</v>
      </c>
    </row>
    <row r="127" spans="1:96" ht="15.75" customHeight="1">
      <c r="A127" s="50">
        <v>2018</v>
      </c>
      <c r="B127" s="9" t="s">
        <v>185</v>
      </c>
      <c r="C127" s="105">
        <v>3169</v>
      </c>
      <c r="D127" s="101">
        <v>31</v>
      </c>
      <c r="E127" s="101">
        <v>79</v>
      </c>
      <c r="F127" s="101">
        <v>1</v>
      </c>
      <c r="G127" s="304" t="s">
        <v>82</v>
      </c>
      <c r="H127" s="52" t="s">
        <v>83</v>
      </c>
      <c r="I127" s="53" t="s">
        <v>84</v>
      </c>
      <c r="J127" s="52" t="s">
        <v>85</v>
      </c>
      <c r="K127" s="53">
        <v>100</v>
      </c>
      <c r="L127" s="52">
        <v>0</v>
      </c>
      <c r="M127" s="115">
        <v>261</v>
      </c>
      <c r="N127" s="115">
        <v>965</v>
      </c>
      <c r="O127" s="94">
        <v>3</v>
      </c>
      <c r="P127" s="94">
        <v>26</v>
      </c>
      <c r="Q127" s="117">
        <v>1.4</v>
      </c>
      <c r="R127" s="117">
        <v>2.4</v>
      </c>
      <c r="S127" s="116">
        <v>497</v>
      </c>
      <c r="T127" s="116">
        <v>607</v>
      </c>
      <c r="U127" s="118">
        <v>33</v>
      </c>
      <c r="V127" s="118">
        <v>75</v>
      </c>
      <c r="W127" s="119">
        <v>4.8</v>
      </c>
      <c r="X127" s="119">
        <v>4.4000000000000004</v>
      </c>
      <c r="Y127" s="118">
        <v>48</v>
      </c>
      <c r="Z127" s="118">
        <v>59</v>
      </c>
      <c r="AA127" s="116">
        <v>30</v>
      </c>
      <c r="AB127" s="116">
        <v>39</v>
      </c>
      <c r="AC127" s="117">
        <v>7.9</v>
      </c>
      <c r="AD127" s="117">
        <v>9.4</v>
      </c>
      <c r="AE127" s="320">
        <v>81.400000000000006</v>
      </c>
      <c r="AF127" s="320">
        <v>90.3</v>
      </c>
      <c r="AG127" s="120">
        <v>34</v>
      </c>
      <c r="AH127" s="120">
        <v>51</v>
      </c>
      <c r="AI127" s="119">
        <v>1.2</v>
      </c>
      <c r="AJ127" s="119">
        <v>1.1000000000000001</v>
      </c>
      <c r="AK127" s="269">
        <f t="shared" si="8"/>
        <v>0</v>
      </c>
      <c r="AL127" s="117">
        <v>3.9</v>
      </c>
      <c r="AM127" s="117">
        <v>4.9000000000000004</v>
      </c>
      <c r="AN127" s="119">
        <v>8.6</v>
      </c>
      <c r="AO127" s="119">
        <v>8.4</v>
      </c>
      <c r="AP127" s="116">
        <v>27</v>
      </c>
      <c r="AQ127" s="116">
        <v>149</v>
      </c>
      <c r="AR127" s="117">
        <v>10</v>
      </c>
      <c r="AS127" s="117">
        <v>9.4</v>
      </c>
      <c r="AT127" s="117">
        <v>4.7</v>
      </c>
      <c r="AU127" s="117">
        <v>4.4000000000000004</v>
      </c>
      <c r="AV127" s="61">
        <v>89</v>
      </c>
      <c r="AW127" s="61">
        <v>85</v>
      </c>
      <c r="AX127" s="116">
        <v>148</v>
      </c>
      <c r="AY127" s="116">
        <v>150</v>
      </c>
      <c r="AZ127" s="117">
        <v>1.9</v>
      </c>
      <c r="BA127" s="117">
        <v>2.4</v>
      </c>
      <c r="BB127" s="116">
        <v>100</v>
      </c>
      <c r="BC127" s="116">
        <v>105</v>
      </c>
      <c r="BD127" s="96">
        <f t="shared" si="9"/>
        <v>309.37477777777781</v>
      </c>
      <c r="BE127" s="96">
        <f t="shared" si="10"/>
        <v>315.11455555555557</v>
      </c>
      <c r="BF127" s="121">
        <v>5.1100000000000003</v>
      </c>
      <c r="BG127" s="97">
        <v>4.49</v>
      </c>
      <c r="BH127" s="119">
        <v>14.6</v>
      </c>
      <c r="BI127" s="119">
        <v>12.9</v>
      </c>
      <c r="BJ127" s="117">
        <v>46.1</v>
      </c>
      <c r="BK127" s="117">
        <v>40.1</v>
      </c>
      <c r="BL127" s="94" t="s">
        <v>94</v>
      </c>
      <c r="BM127" s="119">
        <v>89.3</v>
      </c>
      <c r="BN127" s="94" t="s">
        <v>94</v>
      </c>
      <c r="BO127" s="117">
        <v>28.7</v>
      </c>
      <c r="BP127" s="94" t="s">
        <v>94</v>
      </c>
      <c r="BQ127" s="119">
        <v>32.200000000000003</v>
      </c>
      <c r="BR127" s="94" t="s">
        <v>94</v>
      </c>
      <c r="BS127" s="120">
        <v>260</v>
      </c>
      <c r="BT127" s="94" t="s">
        <v>94</v>
      </c>
      <c r="BU127" s="119">
        <v>13.2</v>
      </c>
      <c r="BV127" s="121">
        <v>1.25</v>
      </c>
      <c r="BW127" s="121">
        <v>1.02</v>
      </c>
      <c r="BX127" s="122">
        <v>10.65</v>
      </c>
      <c r="BY127" s="123">
        <v>8.41</v>
      </c>
      <c r="BZ127" s="94" t="s">
        <v>94</v>
      </c>
      <c r="CA127" s="124">
        <v>72.400000000000006</v>
      </c>
      <c r="CB127" s="94" t="s">
        <v>94</v>
      </c>
      <c r="CC127" s="123">
        <v>17.100000000000001</v>
      </c>
      <c r="CD127" s="94" t="s">
        <v>94</v>
      </c>
      <c r="CE127" s="124">
        <v>9</v>
      </c>
      <c r="CF127" s="94" t="s">
        <v>94</v>
      </c>
      <c r="CG127" s="123">
        <v>1</v>
      </c>
      <c r="CH127" s="94" t="s">
        <v>94</v>
      </c>
      <c r="CI127" s="124">
        <v>0.5</v>
      </c>
      <c r="CJ127" s="86" t="b">
        <f t="shared" si="11"/>
        <v>0</v>
      </c>
      <c r="CK127" s="2" t="b">
        <f t="shared" si="12"/>
        <v>0</v>
      </c>
      <c r="CL127" s="98">
        <f t="shared" si="13"/>
        <v>74.95620000000001</v>
      </c>
      <c r="CM127" s="98">
        <v>90.2</v>
      </c>
      <c r="CN127" s="98">
        <v>184.5</v>
      </c>
      <c r="CO127" s="86">
        <v>48.67</v>
      </c>
      <c r="CP127" s="98">
        <v>54</v>
      </c>
      <c r="CQ127" s="98">
        <v>47</v>
      </c>
      <c r="CR127" s="96">
        <v>16.899999999999999</v>
      </c>
    </row>
    <row r="128" spans="1:96" ht="15.75" customHeight="1">
      <c r="A128" s="50">
        <v>2018</v>
      </c>
      <c r="B128" s="9" t="s">
        <v>185</v>
      </c>
      <c r="C128" s="105">
        <v>3175</v>
      </c>
      <c r="D128" s="101">
        <v>32</v>
      </c>
      <c r="E128" s="101">
        <v>89</v>
      </c>
      <c r="F128" s="101">
        <v>2</v>
      </c>
      <c r="G128" s="305" t="s">
        <v>89</v>
      </c>
      <c r="H128" s="55" t="s">
        <v>90</v>
      </c>
      <c r="I128" s="56" t="s">
        <v>84</v>
      </c>
      <c r="J128" s="55" t="s">
        <v>91</v>
      </c>
      <c r="K128" s="57">
        <v>45.8333333333333</v>
      </c>
      <c r="L128" s="58">
        <v>54.1666666666667</v>
      </c>
      <c r="M128" s="115">
        <v>253</v>
      </c>
      <c r="N128" s="115">
        <v>1353</v>
      </c>
      <c r="O128" s="116">
        <v>21</v>
      </c>
      <c r="P128" s="116">
        <v>41</v>
      </c>
      <c r="Q128" s="117">
        <v>1</v>
      </c>
      <c r="R128" s="117">
        <v>2.2000000000000002</v>
      </c>
      <c r="S128" s="116">
        <v>521</v>
      </c>
      <c r="T128" s="116">
        <v>745</v>
      </c>
      <c r="U128" s="118">
        <v>33</v>
      </c>
      <c r="V128" s="118">
        <v>66</v>
      </c>
      <c r="W128" s="119">
        <v>5</v>
      </c>
      <c r="X128" s="119">
        <v>4.7</v>
      </c>
      <c r="Y128" s="118">
        <v>47</v>
      </c>
      <c r="Z128" s="118">
        <v>48</v>
      </c>
      <c r="AA128" s="116">
        <v>29</v>
      </c>
      <c r="AB128" s="116">
        <v>26</v>
      </c>
      <c r="AC128" s="117">
        <v>5.6</v>
      </c>
      <c r="AD128" s="117">
        <v>5.2</v>
      </c>
      <c r="AE128" s="320">
        <v>91.5</v>
      </c>
      <c r="AF128" s="320">
        <v>102.6</v>
      </c>
      <c r="AG128" s="120">
        <v>48</v>
      </c>
      <c r="AH128" s="120">
        <v>47</v>
      </c>
      <c r="AI128" s="119">
        <v>1.1000000000000001</v>
      </c>
      <c r="AJ128" s="119">
        <v>1</v>
      </c>
      <c r="AK128" s="269">
        <f t="shared" si="8"/>
        <v>0</v>
      </c>
      <c r="AL128" s="117">
        <v>3.9</v>
      </c>
      <c r="AM128" s="117">
        <v>4.5999999999999996</v>
      </c>
      <c r="AN128" s="119">
        <v>9.1</v>
      </c>
      <c r="AO128" s="119">
        <v>8.4</v>
      </c>
      <c r="AP128" s="116">
        <v>91</v>
      </c>
      <c r="AQ128" s="116">
        <v>123</v>
      </c>
      <c r="AR128" s="117">
        <v>10.8</v>
      </c>
      <c r="AS128" s="117">
        <v>9.6999999999999993</v>
      </c>
      <c r="AT128" s="117">
        <v>4.5999999999999996</v>
      </c>
      <c r="AU128" s="117">
        <v>4.5</v>
      </c>
      <c r="AV128" s="61">
        <v>90</v>
      </c>
      <c r="AW128" s="61">
        <v>121</v>
      </c>
      <c r="AX128" s="116">
        <v>144</v>
      </c>
      <c r="AY128" s="116">
        <v>146</v>
      </c>
      <c r="AZ128" s="117">
        <v>2.1</v>
      </c>
      <c r="BA128" s="117">
        <v>1.9</v>
      </c>
      <c r="BB128" s="116">
        <v>100</v>
      </c>
      <c r="BC128" s="116">
        <v>106</v>
      </c>
      <c r="BD128" s="96">
        <f t="shared" si="9"/>
        <v>304.14600000000002</v>
      </c>
      <c r="BE128" s="96">
        <f t="shared" si="10"/>
        <v>309.49388888888888</v>
      </c>
      <c r="BF128" s="121">
        <v>5.29</v>
      </c>
      <c r="BG128" s="97">
        <v>4.8499999999999996</v>
      </c>
      <c r="BH128" s="119">
        <v>15.6</v>
      </c>
      <c r="BI128" s="119">
        <v>14.1</v>
      </c>
      <c r="BJ128" s="117">
        <v>47.4</v>
      </c>
      <c r="BK128" s="117">
        <v>43.5</v>
      </c>
      <c r="BL128" s="94" t="s">
        <v>94</v>
      </c>
      <c r="BM128" s="119">
        <v>89.7</v>
      </c>
      <c r="BN128" s="94" t="s">
        <v>94</v>
      </c>
      <c r="BO128" s="117">
        <v>29.1</v>
      </c>
      <c r="BP128" s="94" t="s">
        <v>94</v>
      </c>
      <c r="BQ128" s="119">
        <v>32.4</v>
      </c>
      <c r="BR128" s="94" t="s">
        <v>94</v>
      </c>
      <c r="BS128" s="120">
        <v>186</v>
      </c>
      <c r="BT128" s="94" t="s">
        <v>94</v>
      </c>
      <c r="BU128" s="119">
        <v>12.9</v>
      </c>
      <c r="BV128" s="121">
        <v>1.49</v>
      </c>
      <c r="BW128" s="121">
        <v>0.93</v>
      </c>
      <c r="BX128" s="122">
        <v>6.31</v>
      </c>
      <c r="BY128" s="123">
        <v>8.6300000000000008</v>
      </c>
      <c r="BZ128" s="94" t="s">
        <v>94</v>
      </c>
      <c r="CA128" s="124">
        <v>72.3</v>
      </c>
      <c r="CB128" s="94" t="s">
        <v>94</v>
      </c>
      <c r="CC128" s="123">
        <v>18.8</v>
      </c>
      <c r="CD128" s="94" t="s">
        <v>94</v>
      </c>
      <c r="CE128" s="124">
        <v>6.7</v>
      </c>
      <c r="CF128" s="94" t="s">
        <v>94</v>
      </c>
      <c r="CG128" s="123">
        <v>2</v>
      </c>
      <c r="CH128" s="94" t="s">
        <v>94</v>
      </c>
      <c r="CI128" s="124">
        <v>0.2</v>
      </c>
      <c r="CJ128" s="86" t="b">
        <f t="shared" si="11"/>
        <v>0</v>
      </c>
      <c r="CK128" s="2" t="b">
        <f t="shared" si="12"/>
        <v>1</v>
      </c>
      <c r="CL128" s="98">
        <f t="shared" si="13"/>
        <v>82.029080000000008</v>
      </c>
      <c r="CM128" s="98">
        <v>90.7</v>
      </c>
      <c r="CN128" s="98">
        <v>191</v>
      </c>
      <c r="CO128" s="86">
        <v>50.01</v>
      </c>
      <c r="CP128" s="98">
        <v>56.5</v>
      </c>
      <c r="CQ128" s="98">
        <v>54.5</v>
      </c>
      <c r="CR128" s="96">
        <v>9.56</v>
      </c>
    </row>
    <row r="129" spans="1:96" ht="15.75" customHeight="1">
      <c r="A129" s="50">
        <v>2018</v>
      </c>
      <c r="B129" s="9" t="s">
        <v>185</v>
      </c>
      <c r="C129" s="105">
        <v>3180</v>
      </c>
      <c r="D129" s="109">
        <v>30</v>
      </c>
      <c r="E129" s="109">
        <v>96</v>
      </c>
      <c r="F129" s="109">
        <v>1</v>
      </c>
      <c r="G129" s="51" t="s">
        <v>89</v>
      </c>
      <c r="H129" s="52" t="s">
        <v>92</v>
      </c>
      <c r="I129" s="53" t="s">
        <v>93</v>
      </c>
      <c r="J129" s="52" t="s">
        <v>85</v>
      </c>
      <c r="K129" s="57">
        <v>54.1666666666667</v>
      </c>
      <c r="L129" s="59">
        <v>45.8333333333333</v>
      </c>
      <c r="M129" s="115">
        <v>147</v>
      </c>
      <c r="N129" s="115">
        <v>854</v>
      </c>
      <c r="O129" s="116">
        <v>6</v>
      </c>
      <c r="P129" s="116">
        <v>35</v>
      </c>
      <c r="Q129" s="117">
        <v>1.6</v>
      </c>
      <c r="R129" s="117">
        <v>3.8</v>
      </c>
      <c r="S129" s="116">
        <v>435</v>
      </c>
      <c r="T129" s="116">
        <v>586</v>
      </c>
      <c r="U129" s="118">
        <v>24</v>
      </c>
      <c r="V129" s="118">
        <v>69</v>
      </c>
      <c r="W129" s="119">
        <v>4.2</v>
      </c>
      <c r="X129" s="119">
        <v>4.4000000000000004</v>
      </c>
      <c r="Y129" s="118">
        <v>40</v>
      </c>
      <c r="Z129" s="118">
        <v>50</v>
      </c>
      <c r="AA129" s="116">
        <v>22</v>
      </c>
      <c r="AB129" s="116">
        <v>23</v>
      </c>
      <c r="AC129" s="117">
        <v>5.3</v>
      </c>
      <c r="AD129" s="117">
        <v>5.9</v>
      </c>
      <c r="AE129" s="91">
        <v>91.5</v>
      </c>
      <c r="AF129" s="92">
        <v>91.5</v>
      </c>
      <c r="AG129" s="120">
        <v>39</v>
      </c>
      <c r="AH129" s="120">
        <v>44</v>
      </c>
      <c r="AI129" s="119">
        <v>1.1000000000000001</v>
      </c>
      <c r="AJ129" s="119">
        <v>1.1000000000000001</v>
      </c>
      <c r="AK129" s="269">
        <f t="shared" si="8"/>
        <v>0</v>
      </c>
      <c r="AL129" s="117">
        <v>3.7</v>
      </c>
      <c r="AM129" s="117">
        <v>5</v>
      </c>
      <c r="AN129" s="119">
        <v>7.3</v>
      </c>
      <c r="AO129" s="119">
        <v>7.3</v>
      </c>
      <c r="AP129" s="116">
        <v>66</v>
      </c>
      <c r="AQ129" s="116">
        <v>126</v>
      </c>
      <c r="AR129" s="117">
        <v>9.8000000000000007</v>
      </c>
      <c r="AS129" s="117">
        <v>9.9</v>
      </c>
      <c r="AT129" s="117">
        <v>3.9</v>
      </c>
      <c r="AU129" s="117">
        <v>5</v>
      </c>
      <c r="AV129" s="61">
        <v>89</v>
      </c>
      <c r="AW129" s="61">
        <v>110</v>
      </c>
      <c r="AX129" s="116">
        <v>147</v>
      </c>
      <c r="AY129" s="116">
        <v>149</v>
      </c>
      <c r="AZ129" s="117">
        <v>1.8</v>
      </c>
      <c r="BA129" s="117">
        <v>1.8</v>
      </c>
      <c r="BB129" s="116">
        <v>101</v>
      </c>
      <c r="BC129" s="116">
        <v>105</v>
      </c>
      <c r="BD129" s="96">
        <f t="shared" si="9"/>
        <v>306.86011111111117</v>
      </c>
      <c r="BE129" s="96">
        <f t="shared" si="10"/>
        <v>314.80111111111108</v>
      </c>
      <c r="BF129" s="121">
        <v>5.14</v>
      </c>
      <c r="BG129" s="97">
        <v>5.03</v>
      </c>
      <c r="BH129" s="119">
        <v>15.5</v>
      </c>
      <c r="BI129" s="119">
        <v>15</v>
      </c>
      <c r="BJ129" s="117">
        <v>46.9</v>
      </c>
      <c r="BK129" s="117">
        <v>47.1</v>
      </c>
      <c r="BL129" s="94" t="s">
        <v>94</v>
      </c>
      <c r="BM129" s="119">
        <v>93.6</v>
      </c>
      <c r="BN129" s="94" t="s">
        <v>94</v>
      </c>
      <c r="BO129" s="117">
        <v>29.8</v>
      </c>
      <c r="BP129" s="94" t="s">
        <v>94</v>
      </c>
      <c r="BQ129" s="119">
        <v>31.8</v>
      </c>
      <c r="BR129" s="94" t="s">
        <v>94</v>
      </c>
      <c r="BS129" s="120">
        <v>218</v>
      </c>
      <c r="BT129" s="94" t="s">
        <v>94</v>
      </c>
      <c r="BU129" s="119">
        <v>14.1</v>
      </c>
      <c r="BV129" s="121">
        <v>2.2000000000000002</v>
      </c>
      <c r="BW129" s="121">
        <v>1.41</v>
      </c>
      <c r="BX129" s="122">
        <v>7.9</v>
      </c>
      <c r="BY129" s="123">
        <v>10.62</v>
      </c>
      <c r="BZ129" s="94" t="s">
        <v>94</v>
      </c>
      <c r="CA129" s="124">
        <v>76.2</v>
      </c>
      <c r="CB129" s="94" t="s">
        <v>94</v>
      </c>
      <c r="CC129" s="123">
        <v>15.6</v>
      </c>
      <c r="CD129" s="94" t="s">
        <v>94</v>
      </c>
      <c r="CE129" s="124">
        <v>6.6</v>
      </c>
      <c r="CF129" s="94" t="s">
        <v>94</v>
      </c>
      <c r="CG129" s="123">
        <v>1.2</v>
      </c>
      <c r="CH129" s="94" t="s">
        <v>94</v>
      </c>
      <c r="CI129" s="124">
        <v>0.4</v>
      </c>
      <c r="CJ129" s="109" t="b">
        <f t="shared" si="11"/>
        <v>0</v>
      </c>
      <c r="CK129" s="8" t="b">
        <f t="shared" si="12"/>
        <v>0</v>
      </c>
      <c r="CL129" s="98">
        <f t="shared" si="13"/>
        <v>67.7637</v>
      </c>
      <c r="CM129" s="98">
        <v>76.5</v>
      </c>
      <c r="CN129" s="98">
        <v>177</v>
      </c>
      <c r="CO129" s="86">
        <v>51.95</v>
      </c>
      <c r="CP129" s="98">
        <v>41</v>
      </c>
      <c r="CQ129" s="98">
        <v>38</v>
      </c>
      <c r="CR129" s="99">
        <v>11.42</v>
      </c>
    </row>
    <row r="130" spans="1:96" ht="15.75" customHeight="1">
      <c r="A130" s="50">
        <v>2018</v>
      </c>
      <c r="B130" s="9" t="s">
        <v>185</v>
      </c>
      <c r="C130" s="105">
        <v>3181</v>
      </c>
      <c r="D130" s="101">
        <v>28</v>
      </c>
      <c r="E130" s="101">
        <v>82</v>
      </c>
      <c r="F130" s="101">
        <v>0</v>
      </c>
      <c r="G130" s="51" t="s">
        <v>89</v>
      </c>
      <c r="H130" s="52" t="s">
        <v>83</v>
      </c>
      <c r="I130" s="53" t="s">
        <v>84</v>
      </c>
      <c r="J130" s="52" t="s">
        <v>88</v>
      </c>
      <c r="K130" s="57">
        <v>54.1666666666667</v>
      </c>
      <c r="L130" s="59">
        <v>45.8333333333333</v>
      </c>
      <c r="M130" s="115">
        <v>254</v>
      </c>
      <c r="N130" s="115">
        <v>863</v>
      </c>
      <c r="O130" s="116">
        <v>11</v>
      </c>
      <c r="P130" s="116">
        <v>26</v>
      </c>
      <c r="Q130" s="117">
        <v>1.8</v>
      </c>
      <c r="R130" s="117">
        <v>2.8</v>
      </c>
      <c r="S130" s="116">
        <v>559</v>
      </c>
      <c r="T130" s="116">
        <v>761</v>
      </c>
      <c r="U130" s="118">
        <v>27</v>
      </c>
      <c r="V130" s="118">
        <v>60</v>
      </c>
      <c r="W130" s="119">
        <v>4.5999999999999996</v>
      </c>
      <c r="X130" s="119">
        <v>4.5999999999999996</v>
      </c>
      <c r="Y130" s="118">
        <v>42</v>
      </c>
      <c r="Z130" s="118">
        <v>45</v>
      </c>
      <c r="AA130" s="116">
        <v>27</v>
      </c>
      <c r="AB130" s="116">
        <v>27</v>
      </c>
      <c r="AC130" s="117">
        <v>5.3</v>
      </c>
      <c r="AD130" s="117">
        <v>6.1</v>
      </c>
      <c r="AE130" s="102">
        <v>76.7</v>
      </c>
      <c r="AF130" s="103">
        <v>76.7</v>
      </c>
      <c r="AG130" s="120">
        <v>44</v>
      </c>
      <c r="AH130" s="120">
        <v>58</v>
      </c>
      <c r="AI130" s="119">
        <v>1.3</v>
      </c>
      <c r="AJ130" s="119">
        <v>1.3</v>
      </c>
      <c r="AK130" s="269">
        <f t="shared" ref="AK130:AK193" si="14">IFERROR(IF((AJ130-AI130)&lt;0,0,(AJ130-AI130)),"Dados Insuficientes")</f>
        <v>0</v>
      </c>
      <c r="AL130" s="117">
        <v>4.5999999999999996</v>
      </c>
      <c r="AM130" s="117">
        <v>4.3</v>
      </c>
      <c r="AN130" s="119">
        <v>7.8</v>
      </c>
      <c r="AO130" s="119">
        <v>7.6</v>
      </c>
      <c r="AP130" s="116">
        <v>128</v>
      </c>
      <c r="AQ130" s="116">
        <v>156</v>
      </c>
      <c r="AR130" s="117">
        <v>10.1</v>
      </c>
      <c r="AS130" s="117">
        <v>10.14</v>
      </c>
      <c r="AT130" s="117">
        <v>4.4000000000000004</v>
      </c>
      <c r="AU130" s="117">
        <v>4.9000000000000004</v>
      </c>
      <c r="AV130" s="61">
        <v>135</v>
      </c>
      <c r="AW130" s="61">
        <v>106</v>
      </c>
      <c r="AX130" s="116">
        <v>146</v>
      </c>
      <c r="AY130" s="116">
        <v>147</v>
      </c>
      <c r="AZ130" s="117">
        <v>1.7</v>
      </c>
      <c r="BA130" s="117">
        <v>2</v>
      </c>
      <c r="BB130" s="116">
        <v>99</v>
      </c>
      <c r="BC130" s="116">
        <v>103</v>
      </c>
      <c r="BD130" s="96">
        <f t="shared" ref="BD130:BD193" si="15">1.86*(AX130+AT130)+1.15*(AV130/18)+(AG130/6)+14</f>
        <v>309.70233333333334</v>
      </c>
      <c r="BE130" s="96">
        <f t="shared" ref="BE130:BE193" si="16">1.86*(AY130+AU130)+1.15*(AW130/18)+(AH130/6)+14</f>
        <v>312.97288888888897</v>
      </c>
      <c r="BF130" s="121">
        <v>5.27</v>
      </c>
      <c r="BG130" s="97">
        <v>4.97</v>
      </c>
      <c r="BH130" s="119">
        <v>16</v>
      </c>
      <c r="BI130" s="119">
        <v>15</v>
      </c>
      <c r="BJ130" s="117">
        <v>47.9</v>
      </c>
      <c r="BK130" s="117">
        <v>45.5</v>
      </c>
      <c r="BL130" s="94" t="s">
        <v>94</v>
      </c>
      <c r="BM130" s="119">
        <v>91.5</v>
      </c>
      <c r="BN130" s="94" t="s">
        <v>94</v>
      </c>
      <c r="BO130" s="117">
        <v>30.2</v>
      </c>
      <c r="BP130" s="94" t="s">
        <v>94</v>
      </c>
      <c r="BQ130" s="119">
        <v>33</v>
      </c>
      <c r="BR130" s="94" t="s">
        <v>94</v>
      </c>
      <c r="BS130" s="120">
        <v>262</v>
      </c>
      <c r="BT130" s="94" t="s">
        <v>94</v>
      </c>
      <c r="BU130" s="119">
        <v>12.9</v>
      </c>
      <c r="BV130" s="121">
        <v>1.67</v>
      </c>
      <c r="BW130" s="121">
        <v>0.89</v>
      </c>
      <c r="BX130" s="122">
        <v>11.63</v>
      </c>
      <c r="BY130" s="123">
        <v>13.4</v>
      </c>
      <c r="BZ130" s="94" t="s">
        <v>94</v>
      </c>
      <c r="CA130" s="124">
        <v>10.1</v>
      </c>
      <c r="CB130" s="94" t="s">
        <v>94</v>
      </c>
      <c r="CC130" s="123">
        <v>81.2</v>
      </c>
      <c r="CD130" s="94" t="s">
        <v>94</v>
      </c>
      <c r="CE130" s="124">
        <v>10.1</v>
      </c>
      <c r="CF130" s="94" t="s">
        <v>94</v>
      </c>
      <c r="CG130" s="123">
        <v>7.8</v>
      </c>
      <c r="CH130" s="94" t="s">
        <v>94</v>
      </c>
      <c r="CI130" s="124">
        <v>0.7</v>
      </c>
      <c r="CJ130" s="86" t="b">
        <f t="shared" ref="CJ130:CJ193" si="17">(AJ130-AI130)&gt;=0.3</f>
        <v>0</v>
      </c>
      <c r="CK130" s="2" t="b">
        <f t="shared" ref="CK130:CK193" si="18">OR(N130&gt;=1000,M130&gt;=1000)</f>
        <v>0</v>
      </c>
      <c r="CL130" s="98">
        <f t="shared" si="13"/>
        <v>77.353679999999997</v>
      </c>
      <c r="CM130" s="98">
        <v>84.3</v>
      </c>
      <c r="CN130" s="98">
        <v>190</v>
      </c>
      <c r="CO130" s="86">
        <v>51.12</v>
      </c>
      <c r="CP130" s="98">
        <v>54.5</v>
      </c>
      <c r="CQ130" s="98">
        <v>50.5</v>
      </c>
      <c r="CR130" s="96">
        <v>8.24</v>
      </c>
    </row>
    <row r="131" spans="1:96" ht="15.75" customHeight="1">
      <c r="A131" s="50">
        <v>2018</v>
      </c>
      <c r="B131" s="9" t="s">
        <v>185</v>
      </c>
      <c r="C131" s="105">
        <v>3183</v>
      </c>
      <c r="D131" s="101">
        <v>26</v>
      </c>
      <c r="E131" s="101">
        <v>90</v>
      </c>
      <c r="F131" s="101">
        <v>1</v>
      </c>
      <c r="G131" s="51" t="s">
        <v>94</v>
      </c>
      <c r="H131" s="52" t="s">
        <v>94</v>
      </c>
      <c r="I131" s="53" t="s">
        <v>94</v>
      </c>
      <c r="J131" s="52" t="s">
        <v>94</v>
      </c>
      <c r="K131" s="53" t="s">
        <v>94</v>
      </c>
      <c r="L131" s="52" t="s">
        <v>94</v>
      </c>
      <c r="M131" s="115">
        <v>820</v>
      </c>
      <c r="N131" s="115">
        <v>982</v>
      </c>
      <c r="O131" s="116">
        <v>14</v>
      </c>
      <c r="P131" s="116">
        <v>26</v>
      </c>
      <c r="Q131" s="117">
        <v>2.2999999999999998</v>
      </c>
      <c r="R131" s="117">
        <v>2</v>
      </c>
      <c r="S131" s="116">
        <v>511</v>
      </c>
      <c r="T131" s="116">
        <v>604</v>
      </c>
      <c r="U131" s="118">
        <v>50</v>
      </c>
      <c r="V131" s="118">
        <v>56</v>
      </c>
      <c r="W131" s="119">
        <v>4.5999999999999996</v>
      </c>
      <c r="X131" s="119">
        <v>4.2</v>
      </c>
      <c r="Y131" s="118">
        <v>53</v>
      </c>
      <c r="Z131" s="118">
        <v>47</v>
      </c>
      <c r="AA131" s="116">
        <v>24</v>
      </c>
      <c r="AB131" s="116">
        <v>24</v>
      </c>
      <c r="AC131" s="117">
        <v>5.2</v>
      </c>
      <c r="AD131" s="117">
        <v>5.4</v>
      </c>
      <c r="AE131" s="102">
        <v>105.8</v>
      </c>
      <c r="AF131" s="103">
        <v>120</v>
      </c>
      <c r="AG131" s="120">
        <v>29</v>
      </c>
      <c r="AH131" s="120">
        <v>33</v>
      </c>
      <c r="AI131" s="119">
        <v>1</v>
      </c>
      <c r="AJ131" s="119">
        <v>0.9</v>
      </c>
      <c r="AK131" s="269">
        <f t="shared" si="14"/>
        <v>0</v>
      </c>
      <c r="AL131" s="117">
        <v>4.3</v>
      </c>
      <c r="AM131" s="117">
        <v>4.0999999999999996</v>
      </c>
      <c r="AN131" s="119">
        <v>7.9</v>
      </c>
      <c r="AO131" s="119">
        <v>7.6</v>
      </c>
      <c r="AP131" s="116">
        <v>62</v>
      </c>
      <c r="AQ131" s="116">
        <v>86</v>
      </c>
      <c r="AR131" s="117">
        <v>9.6999999999999993</v>
      </c>
      <c r="AS131" s="117">
        <v>9.4</v>
      </c>
      <c r="AT131" s="117">
        <v>2.2999999999999998</v>
      </c>
      <c r="AU131" s="117">
        <v>4.4000000000000004</v>
      </c>
      <c r="AV131" s="61">
        <v>96</v>
      </c>
      <c r="AW131" s="61">
        <v>91</v>
      </c>
      <c r="AX131" s="116">
        <v>147</v>
      </c>
      <c r="AY131" s="116">
        <v>146</v>
      </c>
      <c r="AZ131" s="117">
        <v>1.9</v>
      </c>
      <c r="BA131" s="117">
        <v>2</v>
      </c>
      <c r="BB131" s="116">
        <v>100</v>
      </c>
      <c r="BC131" s="116">
        <v>105</v>
      </c>
      <c r="BD131" s="96">
        <f t="shared" si="15"/>
        <v>302.66466666666668</v>
      </c>
      <c r="BE131" s="96">
        <f t="shared" si="16"/>
        <v>305.0578888888889</v>
      </c>
      <c r="BF131" s="121">
        <v>4.93</v>
      </c>
      <c r="BG131" s="97">
        <v>4.54</v>
      </c>
      <c r="BH131" s="119">
        <v>14.4</v>
      </c>
      <c r="BI131" s="119">
        <v>13.2</v>
      </c>
      <c r="BJ131" s="117">
        <v>43.8</v>
      </c>
      <c r="BK131" s="117">
        <v>40.200000000000003</v>
      </c>
      <c r="BL131" s="94" t="s">
        <v>94</v>
      </c>
      <c r="BM131" s="119">
        <v>88.5</v>
      </c>
      <c r="BN131" s="94" t="s">
        <v>94</v>
      </c>
      <c r="BO131" s="117">
        <v>29.1</v>
      </c>
      <c r="BP131" s="94" t="s">
        <v>94</v>
      </c>
      <c r="BQ131" s="119">
        <v>32.799999999999997</v>
      </c>
      <c r="BR131" s="94" t="s">
        <v>94</v>
      </c>
      <c r="BS131" s="120">
        <v>257</v>
      </c>
      <c r="BT131" s="94" t="s">
        <v>94</v>
      </c>
      <c r="BU131" s="119">
        <v>12.6</v>
      </c>
      <c r="BV131" s="121">
        <v>1.46</v>
      </c>
      <c r="BW131" s="121">
        <v>1.1200000000000001</v>
      </c>
      <c r="BX131" s="122">
        <v>7.34</v>
      </c>
      <c r="BY131" s="123">
        <v>8.36</v>
      </c>
      <c r="BZ131" s="94" t="s">
        <v>94</v>
      </c>
      <c r="CA131" s="124">
        <v>73.5</v>
      </c>
      <c r="CB131" s="94" t="s">
        <v>94</v>
      </c>
      <c r="CC131" s="123">
        <v>15.6</v>
      </c>
      <c r="CD131" s="94" t="s">
        <v>94</v>
      </c>
      <c r="CE131" s="124">
        <v>7.3</v>
      </c>
      <c r="CF131" s="94" t="s">
        <v>94</v>
      </c>
      <c r="CG131" s="123">
        <v>3.5</v>
      </c>
      <c r="CH131" s="94" t="s">
        <v>94</v>
      </c>
      <c r="CI131" s="124">
        <v>0.1</v>
      </c>
      <c r="CJ131" s="86" t="b">
        <f t="shared" si="17"/>
        <v>0</v>
      </c>
      <c r="CK131" s="2" t="b">
        <f t="shared" si="18"/>
        <v>0</v>
      </c>
      <c r="CL131" s="98">
        <f t="shared" si="13"/>
        <v>82.441199999999995</v>
      </c>
      <c r="CM131" s="98">
        <v>92</v>
      </c>
      <c r="CN131" s="98">
        <v>174.4</v>
      </c>
      <c r="CO131" s="86">
        <v>49.71</v>
      </c>
      <c r="CP131" s="98">
        <v>55</v>
      </c>
      <c r="CQ131" s="98">
        <v>55.5</v>
      </c>
      <c r="CR131" s="96">
        <v>10.39</v>
      </c>
    </row>
    <row r="132" spans="1:96" ht="15.75" customHeight="1">
      <c r="A132" s="50">
        <v>2018</v>
      </c>
      <c r="B132" s="9" t="s">
        <v>185</v>
      </c>
      <c r="C132" s="105">
        <v>3184</v>
      </c>
      <c r="D132" s="107">
        <v>29</v>
      </c>
      <c r="E132" s="107">
        <v>85</v>
      </c>
      <c r="F132" s="107">
        <v>1</v>
      </c>
      <c r="G132" s="51" t="s">
        <v>86</v>
      </c>
      <c r="H132" s="52" t="s">
        <v>83</v>
      </c>
      <c r="I132" s="53" t="s">
        <v>87</v>
      </c>
      <c r="J132" s="52" t="s">
        <v>88</v>
      </c>
      <c r="K132" s="53">
        <v>51</v>
      </c>
      <c r="L132" s="52">
        <v>51</v>
      </c>
      <c r="M132" s="115">
        <v>197</v>
      </c>
      <c r="N132" s="115">
        <v>911</v>
      </c>
      <c r="O132" s="116">
        <v>6</v>
      </c>
      <c r="P132" s="116">
        <v>22</v>
      </c>
      <c r="Q132" s="117">
        <v>1.8</v>
      </c>
      <c r="R132" s="117">
        <v>3</v>
      </c>
      <c r="S132" s="116">
        <v>533</v>
      </c>
      <c r="T132" s="116">
        <v>742</v>
      </c>
      <c r="U132" s="118">
        <v>27</v>
      </c>
      <c r="V132" s="118">
        <v>51</v>
      </c>
      <c r="W132" s="119">
        <v>4.7</v>
      </c>
      <c r="X132" s="119">
        <v>4.7</v>
      </c>
      <c r="Y132" s="118">
        <v>43</v>
      </c>
      <c r="Z132" s="118">
        <v>47</v>
      </c>
      <c r="AA132" s="116">
        <v>72</v>
      </c>
      <c r="AB132" s="116">
        <v>67</v>
      </c>
      <c r="AC132" s="117">
        <v>5.6</v>
      </c>
      <c r="AD132" s="117">
        <v>5.0999999999999996</v>
      </c>
      <c r="AE132" s="102">
        <v>106.5</v>
      </c>
      <c r="AF132" s="103">
        <v>106.5</v>
      </c>
      <c r="AG132" s="120">
        <v>27</v>
      </c>
      <c r="AH132" s="120">
        <v>35</v>
      </c>
      <c r="AI132" s="119">
        <v>1</v>
      </c>
      <c r="AJ132" s="119">
        <v>1</v>
      </c>
      <c r="AK132" s="269">
        <f t="shared" si="14"/>
        <v>0</v>
      </c>
      <c r="AL132" s="117">
        <v>4.2</v>
      </c>
      <c r="AM132" s="117">
        <v>4.2</v>
      </c>
      <c r="AN132" s="119">
        <v>8.5</v>
      </c>
      <c r="AO132" s="119">
        <v>8</v>
      </c>
      <c r="AP132" s="116">
        <v>87</v>
      </c>
      <c r="AQ132" s="116">
        <v>98</v>
      </c>
      <c r="AR132" s="117">
        <v>10.4</v>
      </c>
      <c r="AS132" s="117">
        <v>10</v>
      </c>
      <c r="AT132" s="117">
        <v>4.5999999999999996</v>
      </c>
      <c r="AU132" s="117">
        <v>4.8</v>
      </c>
      <c r="AV132" s="61">
        <v>93</v>
      </c>
      <c r="AW132" s="61">
        <v>92</v>
      </c>
      <c r="AX132" s="116">
        <v>149</v>
      </c>
      <c r="AY132" s="116">
        <v>148</v>
      </c>
      <c r="AZ132" s="117">
        <v>2.1</v>
      </c>
      <c r="BA132" s="117">
        <v>2.1</v>
      </c>
      <c r="BB132" s="116">
        <v>100</v>
      </c>
      <c r="BC132" s="116">
        <v>103</v>
      </c>
      <c r="BD132" s="96">
        <f t="shared" si="15"/>
        <v>310.13766666666669</v>
      </c>
      <c r="BE132" s="96">
        <f t="shared" si="16"/>
        <v>309.91911111111114</v>
      </c>
      <c r="BF132" s="121">
        <v>5.99</v>
      </c>
      <c r="BG132" s="97">
        <v>5.51</v>
      </c>
      <c r="BH132" s="119">
        <v>16.2</v>
      </c>
      <c r="BI132" s="119">
        <v>14.4</v>
      </c>
      <c r="BJ132" s="117">
        <v>49.7</v>
      </c>
      <c r="BK132" s="117">
        <v>45.9</v>
      </c>
      <c r="BL132" s="94" t="s">
        <v>94</v>
      </c>
      <c r="BM132" s="119">
        <v>83.3</v>
      </c>
      <c r="BN132" s="94" t="s">
        <v>94</v>
      </c>
      <c r="BO132" s="117">
        <v>26.1</v>
      </c>
      <c r="BP132" s="94" t="s">
        <v>94</v>
      </c>
      <c r="BQ132" s="119">
        <v>31.4</v>
      </c>
      <c r="BR132" s="94" t="s">
        <v>94</v>
      </c>
      <c r="BS132" s="120">
        <v>226</v>
      </c>
      <c r="BT132" s="94" t="s">
        <v>94</v>
      </c>
      <c r="BU132" s="119">
        <v>14.1</v>
      </c>
      <c r="BV132" s="121">
        <v>1.36</v>
      </c>
      <c r="BW132" s="121">
        <v>0.9</v>
      </c>
      <c r="BX132" s="122">
        <v>7.22</v>
      </c>
      <c r="BY132" s="123">
        <v>7.71</v>
      </c>
      <c r="BZ132" s="94" t="s">
        <v>94</v>
      </c>
      <c r="CA132" s="124">
        <v>76.099999999999994</v>
      </c>
      <c r="CB132" s="94" t="s">
        <v>94</v>
      </c>
      <c r="CC132" s="123">
        <v>14.8</v>
      </c>
      <c r="CD132" s="94" t="s">
        <v>94</v>
      </c>
      <c r="CE132" s="124">
        <v>7.1</v>
      </c>
      <c r="CF132" s="94" t="s">
        <v>94</v>
      </c>
      <c r="CG132" s="123">
        <v>1.9</v>
      </c>
      <c r="CH132" s="94" t="s">
        <v>94</v>
      </c>
      <c r="CI132" s="124">
        <v>0.1</v>
      </c>
      <c r="CJ132" s="107" t="b">
        <f t="shared" si="17"/>
        <v>0</v>
      </c>
      <c r="CK132" s="7" t="b">
        <f t="shared" si="18"/>
        <v>0</v>
      </c>
      <c r="CL132" s="98">
        <f t="shared" si="13"/>
        <v>68.507199999999997</v>
      </c>
      <c r="CM132" s="98">
        <v>75.2</v>
      </c>
      <c r="CN132" s="98">
        <v>177.6</v>
      </c>
      <c r="CO132" s="86">
        <v>52.26</v>
      </c>
      <c r="CP132" s="98">
        <v>47.5</v>
      </c>
      <c r="CQ132" s="98">
        <v>46</v>
      </c>
      <c r="CR132" s="96">
        <v>8.9</v>
      </c>
    </row>
    <row r="133" spans="1:96" ht="15.75" customHeight="1">
      <c r="A133" s="50">
        <v>2018</v>
      </c>
      <c r="B133" s="9" t="s">
        <v>185</v>
      </c>
      <c r="C133" s="105">
        <v>3187</v>
      </c>
      <c r="D133" s="101">
        <v>25</v>
      </c>
      <c r="E133" s="101">
        <v>85</v>
      </c>
      <c r="F133" s="101">
        <v>1</v>
      </c>
      <c r="G133" s="51" t="s">
        <v>89</v>
      </c>
      <c r="H133" s="52" t="s">
        <v>90</v>
      </c>
      <c r="I133" s="53" t="s">
        <v>87</v>
      </c>
      <c r="J133" s="52" t="s">
        <v>88</v>
      </c>
      <c r="K133" s="53">
        <v>25</v>
      </c>
      <c r="L133" s="52">
        <v>75</v>
      </c>
      <c r="M133" s="115">
        <v>239</v>
      </c>
      <c r="N133" s="115">
        <v>1416</v>
      </c>
      <c r="O133" s="94">
        <v>3</v>
      </c>
      <c r="P133" s="94">
        <v>31</v>
      </c>
      <c r="Q133" s="117">
        <v>1.1000000000000001</v>
      </c>
      <c r="R133" s="117">
        <v>2</v>
      </c>
      <c r="S133" s="116">
        <v>404</v>
      </c>
      <c r="T133" s="116">
        <v>593</v>
      </c>
      <c r="U133" s="118">
        <v>36</v>
      </c>
      <c r="V133" s="118">
        <v>92</v>
      </c>
      <c r="W133" s="119">
        <v>4.5</v>
      </c>
      <c r="X133" s="119">
        <v>4.5999999999999996</v>
      </c>
      <c r="Y133" s="118">
        <v>61</v>
      </c>
      <c r="Z133" s="118">
        <v>87</v>
      </c>
      <c r="AA133" s="116">
        <v>42</v>
      </c>
      <c r="AB133" s="116">
        <v>44</v>
      </c>
      <c r="AC133" s="117">
        <v>5.8</v>
      </c>
      <c r="AD133" s="117">
        <v>7.4</v>
      </c>
      <c r="AE133" s="102">
        <v>106.5</v>
      </c>
      <c r="AF133" s="103">
        <v>94.9</v>
      </c>
      <c r="AG133" s="120">
        <v>37</v>
      </c>
      <c r="AH133" s="120">
        <v>50</v>
      </c>
      <c r="AI133" s="119">
        <v>1</v>
      </c>
      <c r="AJ133" s="119">
        <v>1.1000000000000001</v>
      </c>
      <c r="AK133" s="269">
        <f t="shared" si="14"/>
        <v>0.10000000000000009</v>
      </c>
      <c r="AL133" s="117">
        <v>4.9000000000000004</v>
      </c>
      <c r="AM133" s="117">
        <v>5.4</v>
      </c>
      <c r="AN133" s="119">
        <v>8.1</v>
      </c>
      <c r="AO133" s="119">
        <v>8.1999999999999993</v>
      </c>
      <c r="AP133" s="116">
        <v>74</v>
      </c>
      <c r="AQ133" s="116">
        <v>108</v>
      </c>
      <c r="AR133" s="117">
        <v>10.199999999999999</v>
      </c>
      <c r="AS133" s="117">
        <v>9.5</v>
      </c>
      <c r="AT133" s="117">
        <v>4.5999999999999996</v>
      </c>
      <c r="AU133" s="117">
        <v>4.8</v>
      </c>
      <c r="AV133" s="61">
        <v>87</v>
      </c>
      <c r="AW133" s="61">
        <v>87</v>
      </c>
      <c r="AX133" s="116">
        <v>147</v>
      </c>
      <c r="AY133" s="116">
        <v>147</v>
      </c>
      <c r="AZ133" s="117">
        <v>2.1</v>
      </c>
      <c r="BA133" s="117">
        <v>2.2000000000000002</v>
      </c>
      <c r="BB133" s="116">
        <v>99</v>
      </c>
      <c r="BC133" s="116">
        <v>103</v>
      </c>
      <c r="BD133" s="96">
        <f t="shared" si="15"/>
        <v>307.70100000000002</v>
      </c>
      <c r="BE133" s="96">
        <f t="shared" si="16"/>
        <v>310.23966666666666</v>
      </c>
      <c r="BF133" s="121">
        <v>4.76</v>
      </c>
      <c r="BG133" s="97">
        <v>4.58</v>
      </c>
      <c r="BH133" s="119">
        <v>14.1</v>
      </c>
      <c r="BI133" s="119">
        <v>13.1</v>
      </c>
      <c r="BJ133" s="117">
        <v>41.8</v>
      </c>
      <c r="BK133" s="117">
        <v>40.5</v>
      </c>
      <c r="BL133" s="94" t="s">
        <v>94</v>
      </c>
      <c r="BM133" s="119">
        <v>88.4</v>
      </c>
      <c r="BN133" s="94" t="s">
        <v>94</v>
      </c>
      <c r="BO133" s="117">
        <v>28.6</v>
      </c>
      <c r="BP133" s="94" t="s">
        <v>94</v>
      </c>
      <c r="BQ133" s="119">
        <v>32.299999999999997</v>
      </c>
      <c r="BR133" s="94" t="s">
        <v>94</v>
      </c>
      <c r="BS133" s="120">
        <v>250</v>
      </c>
      <c r="BT133" s="94" t="s">
        <v>94</v>
      </c>
      <c r="BU133" s="119">
        <v>13.6</v>
      </c>
      <c r="BV133" s="121">
        <v>1.46</v>
      </c>
      <c r="BW133" s="121">
        <v>1.1599999999999999</v>
      </c>
      <c r="BX133" s="122">
        <v>7.35</v>
      </c>
      <c r="BY133" s="123">
        <v>7.62</v>
      </c>
      <c r="BZ133" s="94" t="s">
        <v>94</v>
      </c>
      <c r="CA133" s="124">
        <v>62</v>
      </c>
      <c r="CB133" s="94" t="s">
        <v>94</v>
      </c>
      <c r="CC133" s="123">
        <v>25.5</v>
      </c>
      <c r="CD133" s="94" t="s">
        <v>94</v>
      </c>
      <c r="CE133" s="124">
        <v>8.3000000000000007</v>
      </c>
      <c r="CF133" s="94" t="s">
        <v>94</v>
      </c>
      <c r="CG133" s="123">
        <v>3.9</v>
      </c>
      <c r="CH133" s="94" t="s">
        <v>94</v>
      </c>
      <c r="CI133" s="124">
        <v>0.3</v>
      </c>
      <c r="CJ133" s="86" t="b">
        <f t="shared" si="17"/>
        <v>0</v>
      </c>
      <c r="CK133" s="2" t="b">
        <f t="shared" si="18"/>
        <v>1</v>
      </c>
      <c r="CL133" s="98">
        <f t="shared" si="13"/>
        <v>79.512460000000004</v>
      </c>
      <c r="CM133" s="98">
        <v>85.7</v>
      </c>
      <c r="CN133" s="98">
        <v>185</v>
      </c>
      <c r="CO133" s="86">
        <v>52.04</v>
      </c>
      <c r="CP133" s="98">
        <v>50</v>
      </c>
      <c r="CQ133" s="98">
        <v>50</v>
      </c>
      <c r="CR133" s="96">
        <v>7.22</v>
      </c>
    </row>
    <row r="134" spans="1:96" ht="15.75" customHeight="1">
      <c r="A134" s="50">
        <v>2018</v>
      </c>
      <c r="B134" s="9" t="s">
        <v>185</v>
      </c>
      <c r="C134" s="105">
        <v>3189</v>
      </c>
      <c r="D134" s="101">
        <v>28</v>
      </c>
      <c r="E134" s="101">
        <v>77</v>
      </c>
      <c r="F134" s="101">
        <v>2</v>
      </c>
      <c r="G134" s="51" t="s">
        <v>86</v>
      </c>
      <c r="H134" s="52" t="s">
        <v>83</v>
      </c>
      <c r="I134" s="53" t="s">
        <v>84</v>
      </c>
      <c r="J134" s="52" t="s">
        <v>88</v>
      </c>
      <c r="K134" s="53">
        <v>212.5</v>
      </c>
      <c r="L134" s="52">
        <v>-112.5</v>
      </c>
      <c r="M134" s="115">
        <v>198</v>
      </c>
      <c r="N134" s="115">
        <v>670</v>
      </c>
      <c r="O134" s="116">
        <v>4</v>
      </c>
      <c r="P134" s="116">
        <v>269</v>
      </c>
      <c r="Q134" s="117">
        <v>1.9</v>
      </c>
      <c r="R134" s="117">
        <v>3.4</v>
      </c>
      <c r="S134" s="116">
        <v>501</v>
      </c>
      <c r="T134" s="116">
        <v>740</v>
      </c>
      <c r="U134" s="118">
        <v>32</v>
      </c>
      <c r="V134" s="118">
        <v>75</v>
      </c>
      <c r="W134" s="119">
        <v>5</v>
      </c>
      <c r="X134" s="119">
        <v>4.9000000000000004</v>
      </c>
      <c r="Y134" s="118">
        <v>40</v>
      </c>
      <c r="Z134" s="118">
        <v>66</v>
      </c>
      <c r="AA134" s="116">
        <v>44</v>
      </c>
      <c r="AB134" s="116">
        <v>61</v>
      </c>
      <c r="AC134" s="117">
        <v>7</v>
      </c>
      <c r="AD134" s="117">
        <v>7.8</v>
      </c>
      <c r="AE134" s="102">
        <v>104.5</v>
      </c>
      <c r="AF134" s="103">
        <v>118.6</v>
      </c>
      <c r="AG134" s="120">
        <v>26</v>
      </c>
      <c r="AH134" s="120">
        <v>44</v>
      </c>
      <c r="AI134" s="119">
        <v>1</v>
      </c>
      <c r="AJ134" s="119">
        <v>0.9</v>
      </c>
      <c r="AK134" s="269">
        <f t="shared" si="14"/>
        <v>0</v>
      </c>
      <c r="AL134" s="117">
        <v>4.3</v>
      </c>
      <c r="AM134" s="117">
        <v>6</v>
      </c>
      <c r="AN134" s="125">
        <v>8.4</v>
      </c>
      <c r="AO134" s="125">
        <v>7.9</v>
      </c>
      <c r="AP134" s="116">
        <v>128</v>
      </c>
      <c r="AQ134" s="116">
        <v>113</v>
      </c>
      <c r="AR134" s="117">
        <v>10.3</v>
      </c>
      <c r="AS134" s="117">
        <v>10.1</v>
      </c>
      <c r="AT134" s="117">
        <v>4.3</v>
      </c>
      <c r="AU134" s="117">
        <v>5</v>
      </c>
      <c r="AV134" s="61">
        <v>114</v>
      </c>
      <c r="AW134" s="61">
        <v>83</v>
      </c>
      <c r="AX134" s="116">
        <v>150</v>
      </c>
      <c r="AY134" s="116">
        <v>152</v>
      </c>
      <c r="AZ134" s="117">
        <v>2.1</v>
      </c>
      <c r="BA134" s="117">
        <v>2.1</v>
      </c>
      <c r="BB134" s="116">
        <v>101</v>
      </c>
      <c r="BC134" s="116">
        <v>106</v>
      </c>
      <c r="BD134" s="96">
        <f t="shared" si="15"/>
        <v>312.61466666666672</v>
      </c>
      <c r="BE134" s="96">
        <f t="shared" si="16"/>
        <v>318.6561111111111</v>
      </c>
      <c r="BF134" s="121">
        <v>5.07</v>
      </c>
      <c r="BG134" s="97">
        <v>4.74</v>
      </c>
      <c r="BH134" s="119">
        <v>15.5</v>
      </c>
      <c r="BI134" s="119">
        <v>14.6</v>
      </c>
      <c r="BJ134" s="117">
        <v>46.8</v>
      </c>
      <c r="BK134" s="117">
        <v>44.4</v>
      </c>
      <c r="BL134" s="94" t="s">
        <v>94</v>
      </c>
      <c r="BM134" s="119">
        <v>93.7</v>
      </c>
      <c r="BN134" s="94" t="s">
        <v>94</v>
      </c>
      <c r="BO134" s="117">
        <v>30.8</v>
      </c>
      <c r="BP134" s="94" t="s">
        <v>94</v>
      </c>
      <c r="BQ134" s="119">
        <v>32.9</v>
      </c>
      <c r="BR134" s="94" t="s">
        <v>94</v>
      </c>
      <c r="BS134" s="120">
        <v>208</v>
      </c>
      <c r="BT134" s="94" t="s">
        <v>94</v>
      </c>
      <c r="BU134" s="119">
        <v>13.2</v>
      </c>
      <c r="BV134" s="121">
        <v>1.88</v>
      </c>
      <c r="BW134" s="121">
        <v>1.24</v>
      </c>
      <c r="BX134" s="122">
        <v>8.51</v>
      </c>
      <c r="BY134" s="123">
        <v>11.85</v>
      </c>
      <c r="BZ134" s="94" t="s">
        <v>94</v>
      </c>
      <c r="CA134" s="124">
        <v>81.2</v>
      </c>
      <c r="CB134" s="94" t="s">
        <v>94</v>
      </c>
      <c r="CC134" s="123">
        <v>12.6</v>
      </c>
      <c r="CD134" s="94" t="s">
        <v>94</v>
      </c>
      <c r="CE134" s="124">
        <v>5.8</v>
      </c>
      <c r="CF134" s="94" t="s">
        <v>94</v>
      </c>
      <c r="CG134" s="123">
        <v>0.3</v>
      </c>
      <c r="CH134" s="94" t="s">
        <v>94</v>
      </c>
      <c r="CI134" s="124">
        <v>0.1</v>
      </c>
      <c r="CJ134" s="86" t="b">
        <f t="shared" si="17"/>
        <v>0</v>
      </c>
      <c r="CK134" s="2" t="b">
        <f t="shared" si="18"/>
        <v>0</v>
      </c>
      <c r="CL134" s="98">
        <f t="shared" si="13"/>
        <v>70.76357999999999</v>
      </c>
      <c r="CM134" s="98">
        <v>78.599999999999994</v>
      </c>
      <c r="CN134" s="98">
        <v>179</v>
      </c>
      <c r="CO134" s="86">
        <v>53.31</v>
      </c>
      <c r="CP134" s="98">
        <v>50</v>
      </c>
      <c r="CQ134" s="98">
        <v>44</v>
      </c>
      <c r="CR134" s="96">
        <v>9.9700000000000006</v>
      </c>
    </row>
    <row r="135" spans="1:96" ht="15.75" customHeight="1">
      <c r="A135" s="50">
        <v>2018</v>
      </c>
      <c r="B135" s="9" t="s">
        <v>185</v>
      </c>
      <c r="C135" s="105">
        <v>3190</v>
      </c>
      <c r="D135" s="101">
        <v>29</v>
      </c>
      <c r="E135" s="101">
        <v>80</v>
      </c>
      <c r="F135" s="101">
        <v>1</v>
      </c>
      <c r="G135" s="51" t="s">
        <v>94</v>
      </c>
      <c r="H135" s="52" t="s">
        <v>94</v>
      </c>
      <c r="I135" s="53" t="s">
        <v>94</v>
      </c>
      <c r="J135" s="52" t="s">
        <v>94</v>
      </c>
      <c r="K135" s="53" t="s">
        <v>94</v>
      </c>
      <c r="L135" s="61" t="s">
        <v>94</v>
      </c>
      <c r="M135" s="115">
        <v>402</v>
      </c>
      <c r="N135" s="115">
        <v>2045</v>
      </c>
      <c r="O135" s="116">
        <v>11</v>
      </c>
      <c r="P135" s="116">
        <v>36</v>
      </c>
      <c r="Q135" s="117">
        <v>1.4</v>
      </c>
      <c r="R135" s="117">
        <v>2.5</v>
      </c>
      <c r="S135" s="116">
        <v>598</v>
      </c>
      <c r="T135" s="116">
        <v>917</v>
      </c>
      <c r="U135" s="118">
        <v>48</v>
      </c>
      <c r="V135" s="118">
        <v>102</v>
      </c>
      <c r="W135" s="119">
        <v>4.5999999999999996</v>
      </c>
      <c r="X135" s="119">
        <v>4.5</v>
      </c>
      <c r="Y135" s="118">
        <v>46</v>
      </c>
      <c r="Z135" s="118">
        <v>52</v>
      </c>
      <c r="AA135" s="116">
        <v>31</v>
      </c>
      <c r="AB135" s="116">
        <v>29</v>
      </c>
      <c r="AC135" s="117">
        <v>4.8</v>
      </c>
      <c r="AD135" s="117">
        <v>4.8</v>
      </c>
      <c r="AE135" s="102">
        <v>118.6</v>
      </c>
      <c r="AF135" s="103">
        <v>118.6</v>
      </c>
      <c r="AG135" s="120">
        <v>33</v>
      </c>
      <c r="AH135" s="120">
        <v>41</v>
      </c>
      <c r="AI135" s="119">
        <v>0.9</v>
      </c>
      <c r="AJ135" s="119">
        <v>0.9</v>
      </c>
      <c r="AK135" s="269">
        <f t="shared" si="14"/>
        <v>0</v>
      </c>
      <c r="AL135" s="117">
        <v>4.3</v>
      </c>
      <c r="AM135" s="117">
        <v>5.3</v>
      </c>
      <c r="AN135" s="125">
        <v>8.3000000000000007</v>
      </c>
      <c r="AO135" s="125">
        <v>7.9</v>
      </c>
      <c r="AP135" s="116">
        <v>100</v>
      </c>
      <c r="AQ135" s="116">
        <v>96</v>
      </c>
      <c r="AR135" s="117">
        <v>10</v>
      </c>
      <c r="AS135" s="117">
        <v>9.4</v>
      </c>
      <c r="AT135" s="117">
        <v>4.2</v>
      </c>
      <c r="AU135" s="117">
        <v>4.8</v>
      </c>
      <c r="AV135" s="61">
        <v>86</v>
      </c>
      <c r="AW135" s="61">
        <v>99</v>
      </c>
      <c r="AX135" s="116">
        <v>145</v>
      </c>
      <c r="AY135" s="116">
        <v>149</v>
      </c>
      <c r="AZ135" s="117">
        <v>2.1</v>
      </c>
      <c r="BA135" s="117">
        <v>2</v>
      </c>
      <c r="BB135" s="116">
        <v>98</v>
      </c>
      <c r="BC135" s="116">
        <v>107</v>
      </c>
      <c r="BD135" s="96">
        <f t="shared" si="15"/>
        <v>302.50644444444447</v>
      </c>
      <c r="BE135" s="96">
        <f t="shared" si="16"/>
        <v>313.22633333333334</v>
      </c>
      <c r="BF135" s="121">
        <v>4.9000000000000004</v>
      </c>
      <c r="BG135" s="97">
        <v>4.5999999999999996</v>
      </c>
      <c r="BH135" s="119">
        <v>14.6</v>
      </c>
      <c r="BI135" s="119">
        <v>13.6</v>
      </c>
      <c r="BJ135" s="117">
        <v>45.6</v>
      </c>
      <c r="BK135" s="117">
        <v>42.3</v>
      </c>
      <c r="BL135" s="94" t="s">
        <v>94</v>
      </c>
      <c r="BM135" s="119">
        <v>92</v>
      </c>
      <c r="BN135" s="94" t="s">
        <v>94</v>
      </c>
      <c r="BO135" s="117">
        <v>29.6</v>
      </c>
      <c r="BP135" s="94" t="s">
        <v>94</v>
      </c>
      <c r="BQ135" s="119">
        <v>32.200000000000003</v>
      </c>
      <c r="BR135" s="94" t="s">
        <v>94</v>
      </c>
      <c r="BS135" s="120">
        <v>262</v>
      </c>
      <c r="BT135" s="94" t="s">
        <v>94</v>
      </c>
      <c r="BU135" s="119">
        <v>13.4</v>
      </c>
      <c r="BV135" s="121">
        <v>1.23</v>
      </c>
      <c r="BW135" s="121">
        <v>0.57999999999999996</v>
      </c>
      <c r="BX135" s="122">
        <v>5.26</v>
      </c>
      <c r="BY135" s="123">
        <v>6.25</v>
      </c>
      <c r="BZ135" s="94" t="s">
        <v>94</v>
      </c>
      <c r="CA135" s="124">
        <v>73.599999999999994</v>
      </c>
      <c r="CB135" s="94" t="s">
        <v>94</v>
      </c>
      <c r="CC135" s="123">
        <v>17.899999999999999</v>
      </c>
      <c r="CD135" s="94" t="s">
        <v>94</v>
      </c>
      <c r="CE135" s="124">
        <v>6.6</v>
      </c>
      <c r="CF135" s="94" t="s">
        <v>94</v>
      </c>
      <c r="CG135" s="123">
        <v>1.6</v>
      </c>
      <c r="CH135" s="94" t="s">
        <v>94</v>
      </c>
      <c r="CI135" s="124">
        <v>0.3</v>
      </c>
      <c r="CJ135" s="86" t="b">
        <f t="shared" si="17"/>
        <v>0</v>
      </c>
      <c r="CK135" s="2" t="b">
        <f t="shared" si="18"/>
        <v>1</v>
      </c>
      <c r="CL135" s="98">
        <f t="shared" si="13"/>
        <v>72.151949999999999</v>
      </c>
      <c r="CM135" s="98">
        <v>81.5</v>
      </c>
      <c r="CN135" s="98">
        <v>175</v>
      </c>
      <c r="CO135" s="86">
        <v>51.49</v>
      </c>
      <c r="CP135" s="98">
        <v>49.5</v>
      </c>
      <c r="CQ135" s="98">
        <v>41</v>
      </c>
      <c r="CR135" s="96">
        <v>11.47</v>
      </c>
    </row>
    <row r="136" spans="1:96" ht="15.75" customHeight="1">
      <c r="A136" s="50">
        <v>2018</v>
      </c>
      <c r="B136" s="9" t="s">
        <v>185</v>
      </c>
      <c r="C136" s="105">
        <v>3193</v>
      </c>
      <c r="D136" s="101">
        <v>29</v>
      </c>
      <c r="E136" s="101">
        <v>83</v>
      </c>
      <c r="F136" s="101">
        <v>1</v>
      </c>
      <c r="G136" s="302" t="s">
        <v>94</v>
      </c>
      <c r="H136" s="62" t="s">
        <v>94</v>
      </c>
      <c r="I136" s="62" t="s">
        <v>94</v>
      </c>
      <c r="J136" s="62" t="s">
        <v>94</v>
      </c>
      <c r="K136" s="62" t="s">
        <v>94</v>
      </c>
      <c r="L136" s="62" t="s">
        <v>94</v>
      </c>
      <c r="M136" s="115">
        <v>106</v>
      </c>
      <c r="N136" s="115">
        <v>238</v>
      </c>
      <c r="O136" s="94">
        <v>3</v>
      </c>
      <c r="P136" s="94">
        <v>15</v>
      </c>
      <c r="Q136" s="117">
        <v>2.1</v>
      </c>
      <c r="R136" s="117">
        <v>3.2</v>
      </c>
      <c r="S136" s="116">
        <v>281</v>
      </c>
      <c r="T136" s="116">
        <v>343</v>
      </c>
      <c r="U136" s="118">
        <v>21</v>
      </c>
      <c r="V136" s="118">
        <v>28</v>
      </c>
      <c r="W136" s="119">
        <v>4.5</v>
      </c>
      <c r="X136" s="119">
        <v>4.5999999999999996</v>
      </c>
      <c r="Y136" s="118">
        <v>35</v>
      </c>
      <c r="Z136" s="118">
        <v>30</v>
      </c>
      <c r="AA136" s="116">
        <v>22</v>
      </c>
      <c r="AB136" s="116">
        <v>25</v>
      </c>
      <c r="AC136" s="117">
        <v>5.3</v>
      </c>
      <c r="AD136" s="117">
        <v>5.3</v>
      </c>
      <c r="AE136" s="102">
        <v>117.8</v>
      </c>
      <c r="AF136" s="103">
        <v>117.8</v>
      </c>
      <c r="AG136" s="120">
        <v>30</v>
      </c>
      <c r="AH136" s="120">
        <v>40</v>
      </c>
      <c r="AI136" s="119">
        <v>0.9</v>
      </c>
      <c r="AJ136" s="119">
        <v>0.9</v>
      </c>
      <c r="AK136" s="269">
        <f t="shared" si="14"/>
        <v>0</v>
      </c>
      <c r="AL136" s="117">
        <v>3.7</v>
      </c>
      <c r="AM136" s="117">
        <v>4.2</v>
      </c>
      <c r="AN136" s="125">
        <v>7.8</v>
      </c>
      <c r="AO136" s="125">
        <v>7.6</v>
      </c>
      <c r="AP136" s="116">
        <v>71</v>
      </c>
      <c r="AQ136" s="116">
        <v>99</v>
      </c>
      <c r="AR136" s="117">
        <v>9.8000000000000007</v>
      </c>
      <c r="AS136" s="117">
        <v>9.8000000000000007</v>
      </c>
      <c r="AT136" s="117">
        <v>4.5</v>
      </c>
      <c r="AU136" s="117">
        <v>4.5999999999999996</v>
      </c>
      <c r="AV136" s="61">
        <v>99</v>
      </c>
      <c r="AW136" s="61">
        <v>164</v>
      </c>
      <c r="AX136" s="116">
        <v>148</v>
      </c>
      <c r="AY136" s="116">
        <v>150</v>
      </c>
      <c r="AZ136" s="117">
        <v>2</v>
      </c>
      <c r="BA136" s="117">
        <v>2.2000000000000002</v>
      </c>
      <c r="BB136" s="116">
        <v>100</v>
      </c>
      <c r="BC136" s="116">
        <v>106</v>
      </c>
      <c r="BD136" s="96">
        <f t="shared" si="15"/>
        <v>308.97500000000002</v>
      </c>
      <c r="BE136" s="96">
        <f t="shared" si="16"/>
        <v>318.70044444444443</v>
      </c>
      <c r="BF136" s="121">
        <v>4.8899999999999997</v>
      </c>
      <c r="BG136" s="97">
        <v>4.2300000000000004</v>
      </c>
      <c r="BH136" s="119">
        <v>14.6</v>
      </c>
      <c r="BI136" s="119">
        <v>12.7</v>
      </c>
      <c r="BJ136" s="117">
        <v>45.6</v>
      </c>
      <c r="BK136" s="117">
        <v>39.1</v>
      </c>
      <c r="BL136" s="94" t="s">
        <v>94</v>
      </c>
      <c r="BM136" s="119">
        <v>90.1</v>
      </c>
      <c r="BN136" s="94" t="s">
        <v>94</v>
      </c>
      <c r="BO136" s="117">
        <v>29.3</v>
      </c>
      <c r="BP136" s="94" t="s">
        <v>94</v>
      </c>
      <c r="BQ136" s="119">
        <v>32.5</v>
      </c>
      <c r="BR136" s="94" t="s">
        <v>94</v>
      </c>
      <c r="BS136" s="120">
        <v>252</v>
      </c>
      <c r="BT136" s="94" t="s">
        <v>94</v>
      </c>
      <c r="BU136" s="119">
        <v>12.7</v>
      </c>
      <c r="BV136" s="121">
        <v>1.43</v>
      </c>
      <c r="BW136" s="121">
        <v>1.07</v>
      </c>
      <c r="BX136" s="122">
        <v>7.25</v>
      </c>
      <c r="BY136" s="123">
        <v>8.2899999999999991</v>
      </c>
      <c r="BZ136" s="94" t="s">
        <v>94</v>
      </c>
      <c r="CA136" s="124">
        <v>65.900000000000006</v>
      </c>
      <c r="CB136" s="94" t="s">
        <v>94</v>
      </c>
      <c r="CC136" s="123">
        <v>23.8</v>
      </c>
      <c r="CD136" s="94" t="s">
        <v>94</v>
      </c>
      <c r="CE136" s="124">
        <v>10</v>
      </c>
      <c r="CF136" s="94" t="s">
        <v>94</v>
      </c>
      <c r="CG136" s="123">
        <v>0.2</v>
      </c>
      <c r="CH136" s="94" t="s">
        <v>94</v>
      </c>
      <c r="CI136" s="124">
        <v>0.1</v>
      </c>
      <c r="CJ136" s="86" t="b">
        <f t="shared" si="17"/>
        <v>0</v>
      </c>
      <c r="CK136" s="2" t="b">
        <f t="shared" si="18"/>
        <v>0</v>
      </c>
      <c r="CL136" s="98">
        <f t="shared" si="13"/>
        <v>72.809100000000001</v>
      </c>
      <c r="CM136" s="98">
        <v>81.900000000000006</v>
      </c>
      <c r="CN136" s="98">
        <v>180.5</v>
      </c>
      <c r="CO136" s="86">
        <v>51.93</v>
      </c>
      <c r="CP136" s="98">
        <v>44.5</v>
      </c>
      <c r="CQ136" s="98">
        <v>46.5</v>
      </c>
      <c r="CR136" s="96">
        <v>11.1</v>
      </c>
    </row>
    <row r="137" spans="1:96" ht="15.75" customHeight="1">
      <c r="A137" s="50">
        <v>2018</v>
      </c>
      <c r="B137" s="9" t="s">
        <v>185</v>
      </c>
      <c r="C137" s="105">
        <v>3194</v>
      </c>
      <c r="D137" s="101">
        <v>28</v>
      </c>
      <c r="E137" s="101">
        <v>81</v>
      </c>
      <c r="F137" s="101">
        <v>1</v>
      </c>
      <c r="G137" s="302" t="s">
        <v>94</v>
      </c>
      <c r="H137" s="62" t="s">
        <v>94</v>
      </c>
      <c r="I137" s="62" t="s">
        <v>94</v>
      </c>
      <c r="J137" s="62" t="s">
        <v>94</v>
      </c>
      <c r="K137" s="62" t="s">
        <v>94</v>
      </c>
      <c r="L137" s="62" t="s">
        <v>94</v>
      </c>
      <c r="M137" s="115">
        <v>143</v>
      </c>
      <c r="N137" s="115">
        <v>509</v>
      </c>
      <c r="O137" s="94">
        <v>3</v>
      </c>
      <c r="P137" s="94">
        <v>17</v>
      </c>
      <c r="Q137" s="117">
        <v>1.8</v>
      </c>
      <c r="R137" s="117">
        <v>2.7</v>
      </c>
      <c r="S137" s="116">
        <v>406</v>
      </c>
      <c r="T137" s="116">
        <v>583</v>
      </c>
      <c r="U137" s="118">
        <v>24</v>
      </c>
      <c r="V137" s="118">
        <v>43</v>
      </c>
      <c r="W137" s="119">
        <v>4.4000000000000004</v>
      </c>
      <c r="X137" s="119">
        <v>4.5</v>
      </c>
      <c r="Y137" s="118">
        <v>31</v>
      </c>
      <c r="Z137" s="118">
        <v>16</v>
      </c>
      <c r="AA137" s="116">
        <v>13</v>
      </c>
      <c r="AB137" s="116">
        <v>16</v>
      </c>
      <c r="AC137" s="117">
        <v>6.8</v>
      </c>
      <c r="AD137" s="117">
        <v>7.6</v>
      </c>
      <c r="AE137" s="102">
        <v>104.5</v>
      </c>
      <c r="AF137" s="103">
        <v>104.5</v>
      </c>
      <c r="AG137" s="120">
        <v>33</v>
      </c>
      <c r="AH137" s="120">
        <v>34</v>
      </c>
      <c r="AI137" s="119">
        <v>1</v>
      </c>
      <c r="AJ137" s="119">
        <v>1</v>
      </c>
      <c r="AK137" s="269">
        <f t="shared" si="14"/>
        <v>0</v>
      </c>
      <c r="AL137" s="117">
        <v>4</v>
      </c>
      <c r="AM137" s="117">
        <v>3.8</v>
      </c>
      <c r="AN137" s="125">
        <v>7.9</v>
      </c>
      <c r="AO137" s="125">
        <v>7.8</v>
      </c>
      <c r="AP137" s="116">
        <v>94</v>
      </c>
      <c r="AQ137" s="116">
        <v>137</v>
      </c>
      <c r="AR137" s="117">
        <v>9.9</v>
      </c>
      <c r="AS137" s="117">
        <v>9.8000000000000007</v>
      </c>
      <c r="AT137" s="117">
        <v>4.9000000000000004</v>
      </c>
      <c r="AU137" s="117">
        <v>4.5999999999999996</v>
      </c>
      <c r="AV137" s="61">
        <v>127</v>
      </c>
      <c r="AW137" s="61">
        <v>90</v>
      </c>
      <c r="AX137" s="116">
        <v>144</v>
      </c>
      <c r="AY137" s="116">
        <v>148</v>
      </c>
      <c r="AZ137" s="117">
        <v>2</v>
      </c>
      <c r="BA137" s="117">
        <v>2.1</v>
      </c>
      <c r="BB137" s="116">
        <v>100</v>
      </c>
      <c r="BC137" s="116">
        <v>107</v>
      </c>
      <c r="BD137" s="96">
        <f t="shared" si="15"/>
        <v>304.56788888888889</v>
      </c>
      <c r="BE137" s="96">
        <f t="shared" si="16"/>
        <v>309.2526666666667</v>
      </c>
      <c r="BF137" s="121">
        <v>4.96</v>
      </c>
      <c r="BG137" s="97">
        <v>4.84</v>
      </c>
      <c r="BH137" s="119">
        <v>14.1</v>
      </c>
      <c r="BI137" s="119">
        <v>13.7</v>
      </c>
      <c r="BJ137" s="117">
        <v>44.3</v>
      </c>
      <c r="BK137" s="117">
        <v>42.7</v>
      </c>
      <c r="BL137" s="94" t="s">
        <v>94</v>
      </c>
      <c r="BM137" s="119">
        <v>88.2</v>
      </c>
      <c r="BN137" s="94" t="s">
        <v>94</v>
      </c>
      <c r="BO137" s="117">
        <v>28.3</v>
      </c>
      <c r="BP137" s="94" t="s">
        <v>94</v>
      </c>
      <c r="BQ137" s="119">
        <v>32.1</v>
      </c>
      <c r="BR137" s="94" t="s">
        <v>94</v>
      </c>
      <c r="BS137" s="120">
        <v>283</v>
      </c>
      <c r="BT137" s="94" t="s">
        <v>94</v>
      </c>
      <c r="BU137" s="119">
        <v>13.5</v>
      </c>
      <c r="BV137" s="121">
        <v>1.95</v>
      </c>
      <c r="BW137" s="121">
        <v>1.42</v>
      </c>
      <c r="BX137" s="122">
        <v>5.43</v>
      </c>
      <c r="BY137" s="123">
        <v>6.07</v>
      </c>
      <c r="BZ137" s="94" t="s">
        <v>94</v>
      </c>
      <c r="CA137" s="124">
        <v>65.8</v>
      </c>
      <c r="CB137" s="94" t="s">
        <v>94</v>
      </c>
      <c r="CC137" s="123">
        <v>22.7</v>
      </c>
      <c r="CD137" s="94" t="s">
        <v>94</v>
      </c>
      <c r="CE137" s="124">
        <v>10</v>
      </c>
      <c r="CF137" s="94" t="s">
        <v>94</v>
      </c>
      <c r="CG137" s="123">
        <v>1.2</v>
      </c>
      <c r="CH137" s="94" t="s">
        <v>94</v>
      </c>
      <c r="CI137" s="124">
        <v>0.3</v>
      </c>
      <c r="CJ137" s="86" t="b">
        <f t="shared" si="17"/>
        <v>0</v>
      </c>
      <c r="CK137" s="2" t="b">
        <f t="shared" si="18"/>
        <v>0</v>
      </c>
      <c r="CL137" s="98">
        <f t="shared" si="13"/>
        <v>71.943809999999999</v>
      </c>
      <c r="CM137" s="98">
        <v>81.099999999999994</v>
      </c>
      <c r="CN137" s="98">
        <v>178</v>
      </c>
      <c r="CO137" s="86">
        <v>51.6</v>
      </c>
      <c r="CP137" s="98">
        <v>45.5</v>
      </c>
      <c r="CQ137" s="98">
        <v>43</v>
      </c>
      <c r="CR137" s="96">
        <v>11.29</v>
      </c>
    </row>
    <row r="138" spans="1:96" ht="15.75" customHeight="1">
      <c r="A138" s="50">
        <v>2018</v>
      </c>
      <c r="B138" s="9" t="s">
        <v>185</v>
      </c>
      <c r="C138" s="105">
        <v>3195</v>
      </c>
      <c r="D138" s="101">
        <v>26</v>
      </c>
      <c r="E138" s="101">
        <v>68</v>
      </c>
      <c r="F138" s="101">
        <v>1</v>
      </c>
      <c r="G138" s="302" t="s">
        <v>94</v>
      </c>
      <c r="H138" s="62" t="s">
        <v>94</v>
      </c>
      <c r="I138" s="62" t="s">
        <v>94</v>
      </c>
      <c r="J138" s="62" t="s">
        <v>94</v>
      </c>
      <c r="K138" s="62" t="s">
        <v>94</v>
      </c>
      <c r="L138" s="62" t="s">
        <v>94</v>
      </c>
      <c r="M138" s="115">
        <v>87</v>
      </c>
      <c r="N138" s="115">
        <v>271</v>
      </c>
      <c r="O138" s="94">
        <v>3</v>
      </c>
      <c r="P138" s="94">
        <v>20</v>
      </c>
      <c r="Q138" s="117">
        <v>1.6</v>
      </c>
      <c r="R138" s="117">
        <v>2.5</v>
      </c>
      <c r="S138" s="116">
        <v>392</v>
      </c>
      <c r="T138" s="116">
        <v>511</v>
      </c>
      <c r="U138" s="118">
        <v>31</v>
      </c>
      <c r="V138" s="118">
        <v>47</v>
      </c>
      <c r="W138" s="119">
        <v>4.9000000000000004</v>
      </c>
      <c r="X138" s="119">
        <v>5</v>
      </c>
      <c r="Y138" s="118">
        <v>59</v>
      </c>
      <c r="Z138" s="118">
        <v>80</v>
      </c>
      <c r="AA138" s="116">
        <v>23</v>
      </c>
      <c r="AB138" s="116">
        <v>25</v>
      </c>
      <c r="AC138" s="117">
        <v>4.8</v>
      </c>
      <c r="AD138" s="117">
        <v>4.9000000000000004</v>
      </c>
      <c r="AE138" s="102">
        <v>120.8</v>
      </c>
      <c r="AF138" s="103">
        <v>125.2</v>
      </c>
      <c r="AG138" s="120">
        <v>35</v>
      </c>
      <c r="AH138" s="120">
        <v>41</v>
      </c>
      <c r="AI138" s="119">
        <v>0.9</v>
      </c>
      <c r="AJ138" s="119">
        <v>0.8</v>
      </c>
      <c r="AK138" s="269">
        <f t="shared" si="14"/>
        <v>0</v>
      </c>
      <c r="AL138" s="117">
        <v>4.3</v>
      </c>
      <c r="AM138" s="117">
        <v>4.7</v>
      </c>
      <c r="AN138" s="125">
        <v>9</v>
      </c>
      <c r="AO138" s="125">
        <v>8.5</v>
      </c>
      <c r="AP138" s="116">
        <v>86</v>
      </c>
      <c r="AQ138" s="116">
        <v>150</v>
      </c>
      <c r="AR138" s="117">
        <v>10.5</v>
      </c>
      <c r="AS138" s="117">
        <v>10.4</v>
      </c>
      <c r="AT138" s="117">
        <v>4.0999999999999996</v>
      </c>
      <c r="AU138" s="117">
        <v>4.5999999999999996</v>
      </c>
      <c r="AV138" s="61">
        <v>88</v>
      </c>
      <c r="AW138" s="61">
        <v>95</v>
      </c>
      <c r="AX138" s="116">
        <v>146</v>
      </c>
      <c r="AY138" s="116">
        <v>151</v>
      </c>
      <c r="AZ138" s="117">
        <v>2.2000000000000002</v>
      </c>
      <c r="BA138" s="117">
        <v>2.1</v>
      </c>
      <c r="BB138" s="116">
        <v>95</v>
      </c>
      <c r="BC138" s="116">
        <v>103</v>
      </c>
      <c r="BD138" s="96">
        <f t="shared" si="15"/>
        <v>304.6415555555555</v>
      </c>
      <c r="BE138" s="96">
        <f t="shared" si="16"/>
        <v>316.31877777777777</v>
      </c>
      <c r="BF138" s="121">
        <v>5.07</v>
      </c>
      <c r="BG138" s="97">
        <v>4.9800000000000004</v>
      </c>
      <c r="BH138" s="119">
        <v>15.7</v>
      </c>
      <c r="BI138" s="119">
        <v>15.2</v>
      </c>
      <c r="BJ138" s="117">
        <v>43.9</v>
      </c>
      <c r="BK138" s="117">
        <v>45.8</v>
      </c>
      <c r="BL138" s="94" t="s">
        <v>94</v>
      </c>
      <c r="BM138" s="119">
        <v>92</v>
      </c>
      <c r="BN138" s="94" t="s">
        <v>94</v>
      </c>
      <c r="BO138" s="117">
        <v>30.5</v>
      </c>
      <c r="BP138" s="94" t="s">
        <v>94</v>
      </c>
      <c r="BQ138" s="119">
        <v>33.200000000000003</v>
      </c>
      <c r="BR138" s="94" t="s">
        <v>94</v>
      </c>
      <c r="BS138" s="120">
        <v>293</v>
      </c>
      <c r="BT138" s="94" t="s">
        <v>94</v>
      </c>
      <c r="BU138" s="119">
        <v>13</v>
      </c>
      <c r="BV138" s="121">
        <v>1.72</v>
      </c>
      <c r="BW138" s="121">
        <v>0.96</v>
      </c>
      <c r="BX138" s="122">
        <v>10.73</v>
      </c>
      <c r="BY138" s="123">
        <v>8.2899999999999991</v>
      </c>
      <c r="BZ138" s="94" t="s">
        <v>94</v>
      </c>
      <c r="CA138" s="124">
        <v>73.3</v>
      </c>
      <c r="CB138" s="94" t="s">
        <v>94</v>
      </c>
      <c r="CC138" s="123">
        <v>17.7</v>
      </c>
      <c r="CD138" s="94" t="s">
        <v>94</v>
      </c>
      <c r="CE138" s="124">
        <v>6.9</v>
      </c>
      <c r="CF138" s="94" t="s">
        <v>94</v>
      </c>
      <c r="CG138" s="123">
        <v>1.7</v>
      </c>
      <c r="CH138" s="94" t="s">
        <v>94</v>
      </c>
      <c r="CI138" s="124">
        <v>0.4</v>
      </c>
      <c r="CJ138" s="86" t="b">
        <f t="shared" si="17"/>
        <v>0</v>
      </c>
      <c r="CK138" s="2" t="b">
        <f t="shared" si="18"/>
        <v>0</v>
      </c>
      <c r="CL138" s="98">
        <f t="shared" si="13"/>
        <v>62.5396</v>
      </c>
      <c r="CM138" s="98">
        <v>68</v>
      </c>
      <c r="CN138" s="98">
        <v>173</v>
      </c>
      <c r="CO138" s="86">
        <v>55.9</v>
      </c>
      <c r="CP138" s="98">
        <v>39</v>
      </c>
      <c r="CQ138" s="98">
        <v>39</v>
      </c>
      <c r="CR138" s="96">
        <v>8.0299999999999994</v>
      </c>
    </row>
    <row r="139" spans="1:96" ht="15.75" customHeight="1">
      <c r="A139" s="50">
        <v>2018</v>
      </c>
      <c r="B139" s="9" t="s">
        <v>185</v>
      </c>
      <c r="C139" s="105">
        <v>3196</v>
      </c>
      <c r="D139" s="101">
        <v>27</v>
      </c>
      <c r="E139" s="101">
        <v>80</v>
      </c>
      <c r="F139" s="101">
        <v>1</v>
      </c>
      <c r="G139" s="302" t="s">
        <v>94</v>
      </c>
      <c r="H139" s="62" t="s">
        <v>94</v>
      </c>
      <c r="I139" s="62" t="s">
        <v>94</v>
      </c>
      <c r="J139" s="62" t="s">
        <v>94</v>
      </c>
      <c r="K139" s="62" t="s">
        <v>94</v>
      </c>
      <c r="L139" s="62" t="s">
        <v>94</v>
      </c>
      <c r="M139" s="115">
        <v>225</v>
      </c>
      <c r="N139" s="115">
        <v>976</v>
      </c>
      <c r="O139" s="116">
        <v>4</v>
      </c>
      <c r="P139" s="116">
        <v>23</v>
      </c>
      <c r="Q139" s="117">
        <v>1.4</v>
      </c>
      <c r="R139" s="117">
        <v>2.9</v>
      </c>
      <c r="S139" s="116">
        <v>501</v>
      </c>
      <c r="T139" s="116">
        <v>763</v>
      </c>
      <c r="U139" s="118">
        <v>29</v>
      </c>
      <c r="V139" s="118">
        <v>55</v>
      </c>
      <c r="W139" s="119">
        <v>4.5</v>
      </c>
      <c r="X139" s="119">
        <v>4.7</v>
      </c>
      <c r="Y139" s="118">
        <v>41</v>
      </c>
      <c r="Z139" s="118">
        <v>62</v>
      </c>
      <c r="AA139" s="116">
        <v>32</v>
      </c>
      <c r="AB139" s="116">
        <v>33</v>
      </c>
      <c r="AC139" s="117">
        <v>6.3</v>
      </c>
      <c r="AD139" s="117">
        <v>7.1</v>
      </c>
      <c r="AE139" s="102">
        <v>93.8</v>
      </c>
      <c r="AF139" s="103">
        <v>93.8</v>
      </c>
      <c r="AG139" s="120">
        <v>25</v>
      </c>
      <c r="AH139" s="120">
        <v>44</v>
      </c>
      <c r="AI139" s="119">
        <v>1.1000000000000001</v>
      </c>
      <c r="AJ139" s="119">
        <v>1.1000000000000001</v>
      </c>
      <c r="AK139" s="269">
        <f t="shared" si="14"/>
        <v>0</v>
      </c>
      <c r="AL139" s="117">
        <v>4.3</v>
      </c>
      <c r="AM139" s="117">
        <v>4.7</v>
      </c>
      <c r="AN139" s="125">
        <v>7.9</v>
      </c>
      <c r="AO139" s="125">
        <v>8</v>
      </c>
      <c r="AP139" s="116">
        <v>77</v>
      </c>
      <c r="AQ139" s="116">
        <v>84</v>
      </c>
      <c r="AR139" s="117">
        <v>9.6999999999999993</v>
      </c>
      <c r="AS139" s="117">
        <v>9.9</v>
      </c>
      <c r="AT139" s="117">
        <v>4.5999999999999996</v>
      </c>
      <c r="AU139" s="117">
        <v>4.8</v>
      </c>
      <c r="AV139" s="61">
        <v>123</v>
      </c>
      <c r="AW139" s="61">
        <v>119</v>
      </c>
      <c r="AX139" s="116">
        <v>147</v>
      </c>
      <c r="AY139" s="116">
        <v>149</v>
      </c>
      <c r="AZ139" s="117">
        <v>2.1</v>
      </c>
      <c r="BA139" s="117">
        <v>2.1</v>
      </c>
      <c r="BB139" s="116">
        <v>99</v>
      </c>
      <c r="BC139" s="116">
        <v>105</v>
      </c>
      <c r="BD139" s="96">
        <f t="shared" si="15"/>
        <v>308.00100000000003</v>
      </c>
      <c r="BE139" s="96">
        <f t="shared" si="16"/>
        <v>315.00411111111111</v>
      </c>
      <c r="BF139" s="121">
        <v>5.54</v>
      </c>
      <c r="BG139" s="97">
        <v>5.39</v>
      </c>
      <c r="BH139" s="119">
        <v>14.9</v>
      </c>
      <c r="BI139" s="119">
        <v>14.7</v>
      </c>
      <c r="BJ139" s="117">
        <v>47.1</v>
      </c>
      <c r="BK139" s="117">
        <v>44.7</v>
      </c>
      <c r="BL139" s="94" t="s">
        <v>94</v>
      </c>
      <c r="BM139" s="119">
        <v>82.9</v>
      </c>
      <c r="BN139" s="94" t="s">
        <v>94</v>
      </c>
      <c r="BO139" s="117">
        <v>27.3</v>
      </c>
      <c r="BP139" s="94" t="s">
        <v>94</v>
      </c>
      <c r="BQ139" s="119">
        <v>32.9</v>
      </c>
      <c r="BR139" s="94" t="s">
        <v>94</v>
      </c>
      <c r="BS139" s="120">
        <v>239</v>
      </c>
      <c r="BT139" s="94" t="s">
        <v>94</v>
      </c>
      <c r="BU139" s="119">
        <v>13</v>
      </c>
      <c r="BV139" s="121">
        <v>1.22</v>
      </c>
      <c r="BW139" s="121">
        <v>0.86</v>
      </c>
      <c r="BX139" s="122">
        <v>7.05</v>
      </c>
      <c r="BY139" s="123">
        <v>5.49</v>
      </c>
      <c r="BZ139" s="94" t="s">
        <v>94</v>
      </c>
      <c r="CA139" s="124">
        <v>60.1</v>
      </c>
      <c r="CB139" s="94" t="s">
        <v>94</v>
      </c>
      <c r="CC139" s="123">
        <v>30.1</v>
      </c>
      <c r="CD139" s="94" t="s">
        <v>94</v>
      </c>
      <c r="CE139" s="124">
        <v>7.3</v>
      </c>
      <c r="CF139" s="94" t="s">
        <v>94</v>
      </c>
      <c r="CG139" s="123">
        <v>2</v>
      </c>
      <c r="CH139" s="94" t="s">
        <v>94</v>
      </c>
      <c r="CI139" s="124">
        <v>0.5</v>
      </c>
      <c r="CJ139" s="86" t="b">
        <f t="shared" si="17"/>
        <v>0</v>
      </c>
      <c r="CK139" s="2" t="b">
        <f t="shared" si="18"/>
        <v>0</v>
      </c>
      <c r="CL139" s="98">
        <f t="shared" si="13"/>
        <v>70.30368</v>
      </c>
      <c r="CM139" s="98">
        <v>82.4</v>
      </c>
      <c r="CN139" s="98">
        <v>168</v>
      </c>
      <c r="CO139" s="86">
        <v>50.7</v>
      </c>
      <c r="CP139" s="98">
        <v>60</v>
      </c>
      <c r="CQ139" s="98">
        <v>58</v>
      </c>
      <c r="CR139" s="96">
        <v>14.68</v>
      </c>
    </row>
    <row r="140" spans="1:96" ht="15.75" customHeight="1">
      <c r="A140" s="50">
        <v>2018</v>
      </c>
      <c r="B140" s="4" t="s">
        <v>186</v>
      </c>
      <c r="C140" s="105">
        <v>3155</v>
      </c>
      <c r="D140" s="101">
        <v>26</v>
      </c>
      <c r="E140" s="101">
        <v>70</v>
      </c>
      <c r="F140" s="101">
        <v>1</v>
      </c>
      <c r="G140" s="54" t="s">
        <v>86</v>
      </c>
      <c r="H140" s="55" t="s">
        <v>83</v>
      </c>
      <c r="I140" s="56" t="s">
        <v>87</v>
      </c>
      <c r="J140" s="52" t="s">
        <v>88</v>
      </c>
      <c r="K140" s="53">
        <v>50</v>
      </c>
      <c r="L140" s="55">
        <v>50</v>
      </c>
      <c r="M140" s="126">
        <v>154</v>
      </c>
      <c r="N140" s="126">
        <v>1198</v>
      </c>
      <c r="O140" s="127">
        <v>3</v>
      </c>
      <c r="P140" s="127">
        <v>32</v>
      </c>
      <c r="Q140" s="108" t="s">
        <v>94</v>
      </c>
      <c r="R140" s="108" t="s">
        <v>94</v>
      </c>
      <c r="S140" s="127">
        <v>486</v>
      </c>
      <c r="T140" s="127">
        <v>1062</v>
      </c>
      <c r="U140" s="128">
        <v>25</v>
      </c>
      <c r="V140" s="128">
        <v>84</v>
      </c>
      <c r="W140" s="127">
        <v>4.8</v>
      </c>
      <c r="X140" s="127">
        <v>4.4000000000000004</v>
      </c>
      <c r="Y140" s="129">
        <v>38</v>
      </c>
      <c r="Z140" s="129">
        <v>26</v>
      </c>
      <c r="AA140" s="127">
        <v>23</v>
      </c>
      <c r="AB140" s="127">
        <v>25</v>
      </c>
      <c r="AC140" s="130">
        <v>4.7</v>
      </c>
      <c r="AD140" s="130">
        <v>7.8</v>
      </c>
      <c r="AE140" s="102">
        <v>56</v>
      </c>
      <c r="AF140" s="337">
        <v>94.4</v>
      </c>
      <c r="AG140" s="130">
        <v>46</v>
      </c>
      <c r="AH140" s="130">
        <v>63</v>
      </c>
      <c r="AI140" s="127">
        <v>1.7</v>
      </c>
      <c r="AJ140" s="127">
        <v>1.1000000000000001</v>
      </c>
      <c r="AK140" s="269">
        <f t="shared" si="14"/>
        <v>0</v>
      </c>
      <c r="AL140" s="130">
        <v>4.2</v>
      </c>
      <c r="AM140" s="130">
        <v>4.2</v>
      </c>
      <c r="AN140" s="131">
        <v>7.6</v>
      </c>
      <c r="AO140" s="131">
        <v>6.9</v>
      </c>
      <c r="AP140" s="127">
        <v>101</v>
      </c>
      <c r="AQ140" s="88" t="s">
        <v>94</v>
      </c>
      <c r="AR140" s="130">
        <v>9.1</v>
      </c>
      <c r="AS140" s="130">
        <v>10</v>
      </c>
      <c r="AT140" s="130">
        <v>4.3</v>
      </c>
      <c r="AU140" s="130">
        <v>4.8</v>
      </c>
      <c r="AV140" s="68">
        <v>99</v>
      </c>
      <c r="AW140" s="68">
        <v>84</v>
      </c>
      <c r="AX140" s="127">
        <v>144</v>
      </c>
      <c r="AY140" s="127">
        <v>143</v>
      </c>
      <c r="AZ140" s="130">
        <v>2</v>
      </c>
      <c r="BA140" s="130">
        <v>2.2000000000000002</v>
      </c>
      <c r="BB140" s="127">
        <v>102</v>
      </c>
      <c r="BC140" s="127">
        <v>111</v>
      </c>
      <c r="BD140" s="96">
        <f t="shared" si="15"/>
        <v>303.8296666666667</v>
      </c>
      <c r="BE140" s="96">
        <f t="shared" si="16"/>
        <v>304.77466666666669</v>
      </c>
      <c r="BF140" s="130">
        <v>5.04</v>
      </c>
      <c r="BG140" s="130">
        <v>4.16</v>
      </c>
      <c r="BH140" s="127">
        <v>14.6</v>
      </c>
      <c r="BI140" s="127">
        <v>12.8</v>
      </c>
      <c r="BJ140" s="130">
        <v>45.2</v>
      </c>
      <c r="BK140" s="130">
        <v>38.1</v>
      </c>
      <c r="BL140" s="127">
        <v>89.7</v>
      </c>
      <c r="BM140" s="127">
        <v>91.6</v>
      </c>
      <c r="BN140" s="130">
        <v>29</v>
      </c>
      <c r="BO140" s="130">
        <v>30.8</v>
      </c>
      <c r="BP140" s="127">
        <v>32.299999999999997</v>
      </c>
      <c r="BQ140" s="127">
        <v>33.6</v>
      </c>
      <c r="BR140" s="130">
        <v>295</v>
      </c>
      <c r="BS140" s="132">
        <v>242</v>
      </c>
      <c r="BT140" s="127">
        <v>12.9</v>
      </c>
      <c r="BU140" s="127">
        <v>11.8</v>
      </c>
      <c r="BV140" s="133">
        <v>0.98</v>
      </c>
      <c r="BW140" s="134" t="s">
        <v>94</v>
      </c>
      <c r="BX140" s="127">
        <v>6.62</v>
      </c>
      <c r="BY140" s="127">
        <v>7.39</v>
      </c>
      <c r="BZ140" s="130">
        <v>61.1</v>
      </c>
      <c r="CA140" s="130">
        <v>62</v>
      </c>
      <c r="CB140" s="127">
        <v>29.3</v>
      </c>
      <c r="CC140" s="127">
        <v>22</v>
      </c>
      <c r="CD140" s="130">
        <v>8.5</v>
      </c>
      <c r="CE140" s="130">
        <v>15</v>
      </c>
      <c r="CF140" s="127">
        <v>0.8</v>
      </c>
      <c r="CG140" s="127">
        <v>1</v>
      </c>
      <c r="CH140" s="130">
        <v>0.3</v>
      </c>
      <c r="CI140" s="130">
        <v>0</v>
      </c>
      <c r="CJ140" s="86" t="b">
        <f t="shared" si="17"/>
        <v>0</v>
      </c>
      <c r="CK140" s="2" t="b">
        <f t="shared" si="18"/>
        <v>1</v>
      </c>
      <c r="CL140" s="98">
        <f t="shared" si="13"/>
        <v>71.28528</v>
      </c>
      <c r="CM140" s="98">
        <v>75.900000000000006</v>
      </c>
      <c r="CN140" s="98">
        <v>171</v>
      </c>
      <c r="CO140" s="86">
        <v>54.68</v>
      </c>
      <c r="CP140" s="98">
        <v>42</v>
      </c>
      <c r="CQ140" s="98">
        <v>43</v>
      </c>
      <c r="CR140" s="96">
        <v>6.08</v>
      </c>
    </row>
    <row r="141" spans="1:96" ht="15.75" customHeight="1">
      <c r="A141" s="50">
        <v>2018</v>
      </c>
      <c r="B141" s="4" t="s">
        <v>186</v>
      </c>
      <c r="C141" s="105">
        <v>3156</v>
      </c>
      <c r="D141" s="101">
        <v>26</v>
      </c>
      <c r="E141" s="101">
        <v>74</v>
      </c>
      <c r="F141" s="101">
        <v>1</v>
      </c>
      <c r="G141" s="54" t="s">
        <v>89</v>
      </c>
      <c r="H141" s="55" t="s">
        <v>90</v>
      </c>
      <c r="I141" s="56" t="s">
        <v>84</v>
      </c>
      <c r="J141" s="55" t="s">
        <v>91</v>
      </c>
      <c r="K141" s="53">
        <v>50</v>
      </c>
      <c r="L141" s="55">
        <v>50</v>
      </c>
      <c r="M141" s="126">
        <v>289</v>
      </c>
      <c r="N141" s="126">
        <v>2259</v>
      </c>
      <c r="O141" s="127">
        <v>3</v>
      </c>
      <c r="P141" s="127">
        <v>45</v>
      </c>
      <c r="Q141" s="108" t="s">
        <v>94</v>
      </c>
      <c r="R141" s="108" t="s">
        <v>94</v>
      </c>
      <c r="S141" s="127">
        <v>632</v>
      </c>
      <c r="T141" s="127" t="s">
        <v>94</v>
      </c>
      <c r="U141" s="129">
        <v>27</v>
      </c>
      <c r="V141" s="129" t="s">
        <v>94</v>
      </c>
      <c r="W141" s="127">
        <v>4.9000000000000004</v>
      </c>
      <c r="X141" s="135" t="s">
        <v>94</v>
      </c>
      <c r="Y141" s="129">
        <v>38</v>
      </c>
      <c r="Z141" s="136" t="s">
        <v>94</v>
      </c>
      <c r="AA141" s="127">
        <v>22</v>
      </c>
      <c r="AB141" s="135" t="s">
        <v>94</v>
      </c>
      <c r="AC141" s="130">
        <v>3.9</v>
      </c>
      <c r="AD141" s="133" t="s">
        <v>94</v>
      </c>
      <c r="AE141" s="102">
        <v>49</v>
      </c>
      <c r="AF141" s="337">
        <v>94.4</v>
      </c>
      <c r="AG141" s="130">
        <v>43</v>
      </c>
      <c r="AH141" s="130">
        <v>45</v>
      </c>
      <c r="AI141" s="127">
        <v>1.9</v>
      </c>
      <c r="AJ141" s="127">
        <v>1.1000000000000001</v>
      </c>
      <c r="AK141" s="269">
        <f t="shared" si="14"/>
        <v>0</v>
      </c>
      <c r="AL141" s="130">
        <v>5</v>
      </c>
      <c r="AM141" s="130">
        <v>4.0999999999999996</v>
      </c>
      <c r="AN141" s="131">
        <v>7.5</v>
      </c>
      <c r="AO141" s="137" t="s">
        <v>94</v>
      </c>
      <c r="AP141" s="127">
        <v>140</v>
      </c>
      <c r="AQ141" s="88" t="s">
        <v>94</v>
      </c>
      <c r="AR141" s="130">
        <v>9</v>
      </c>
      <c r="AS141" s="130">
        <v>9.9</v>
      </c>
      <c r="AT141" s="130">
        <v>4.9000000000000004</v>
      </c>
      <c r="AU141" s="130">
        <v>4.3</v>
      </c>
      <c r="AV141" s="68">
        <v>96</v>
      </c>
      <c r="AW141" s="68">
        <v>89</v>
      </c>
      <c r="AX141" s="127">
        <v>146</v>
      </c>
      <c r="AY141" s="127">
        <v>146</v>
      </c>
      <c r="AZ141" s="130">
        <v>2</v>
      </c>
      <c r="BA141" s="130">
        <v>2.2999999999999998</v>
      </c>
      <c r="BB141" s="127">
        <v>101</v>
      </c>
      <c r="BC141" s="127">
        <v>104</v>
      </c>
      <c r="BD141" s="96">
        <f t="shared" si="15"/>
        <v>307.97400000000005</v>
      </c>
      <c r="BE141" s="96">
        <f t="shared" si="16"/>
        <v>306.74411111111118</v>
      </c>
      <c r="BF141" s="130">
        <v>5.0999999999999996</v>
      </c>
      <c r="BG141" s="130">
        <v>4.09</v>
      </c>
      <c r="BH141" s="127">
        <v>15.3</v>
      </c>
      <c r="BI141" s="127">
        <v>12.9</v>
      </c>
      <c r="BJ141" s="130">
        <v>46.9</v>
      </c>
      <c r="BK141" s="130">
        <v>38.6</v>
      </c>
      <c r="BL141" s="127">
        <v>92</v>
      </c>
      <c r="BM141" s="127">
        <v>94.4</v>
      </c>
      <c r="BN141" s="130">
        <v>30</v>
      </c>
      <c r="BO141" s="130">
        <v>31.5</v>
      </c>
      <c r="BP141" s="127">
        <v>32.6</v>
      </c>
      <c r="BQ141" s="127">
        <v>33.4</v>
      </c>
      <c r="BR141" s="130">
        <v>234</v>
      </c>
      <c r="BS141" s="130">
        <v>194</v>
      </c>
      <c r="BT141" s="127">
        <v>11.8</v>
      </c>
      <c r="BU141" s="127">
        <v>11.4</v>
      </c>
      <c r="BV141" s="130">
        <v>0.41</v>
      </c>
      <c r="BW141" s="134" t="s">
        <v>94</v>
      </c>
      <c r="BX141" s="127">
        <v>5.44</v>
      </c>
      <c r="BY141" s="127">
        <v>5.46</v>
      </c>
      <c r="BZ141" s="130">
        <v>59.2</v>
      </c>
      <c r="CA141" s="130">
        <v>66</v>
      </c>
      <c r="CB141" s="127">
        <v>31.6</v>
      </c>
      <c r="CC141" s="127">
        <v>22</v>
      </c>
      <c r="CD141" s="130">
        <v>6.4</v>
      </c>
      <c r="CE141" s="130">
        <v>10</v>
      </c>
      <c r="CF141" s="127">
        <v>2.2000000000000002</v>
      </c>
      <c r="CG141" s="127">
        <v>2</v>
      </c>
      <c r="CH141" s="130">
        <v>0.6</v>
      </c>
      <c r="CI141" s="130">
        <v>0</v>
      </c>
      <c r="CJ141" s="86" t="b">
        <f t="shared" si="17"/>
        <v>0</v>
      </c>
      <c r="CK141" s="2" t="b">
        <f t="shared" si="18"/>
        <v>1</v>
      </c>
      <c r="CL141" s="98">
        <f t="shared" si="13"/>
        <v>72.293760000000006</v>
      </c>
      <c r="CM141" s="98">
        <v>79.2</v>
      </c>
      <c r="CN141" s="98">
        <v>174</v>
      </c>
      <c r="CO141" s="86">
        <v>53.64</v>
      </c>
      <c r="CP141" s="98">
        <v>49.5</v>
      </c>
      <c r="CQ141" s="98">
        <v>49.5</v>
      </c>
      <c r="CR141" s="96">
        <v>8.7200000000000006</v>
      </c>
    </row>
    <row r="142" spans="1:96" ht="15.75" customHeight="1">
      <c r="A142" s="50">
        <v>2018</v>
      </c>
      <c r="B142" s="4" t="s">
        <v>186</v>
      </c>
      <c r="C142" s="105">
        <v>3159</v>
      </c>
      <c r="D142" s="101">
        <v>25</v>
      </c>
      <c r="E142" s="101">
        <v>84</v>
      </c>
      <c r="F142" s="101">
        <v>1</v>
      </c>
      <c r="G142" s="51" t="s">
        <v>86</v>
      </c>
      <c r="H142" s="52" t="s">
        <v>92</v>
      </c>
      <c r="I142" s="53" t="s">
        <v>93</v>
      </c>
      <c r="J142" s="55" t="s">
        <v>88</v>
      </c>
      <c r="K142" s="64" t="s">
        <v>94</v>
      </c>
      <c r="L142" s="65" t="s">
        <v>94</v>
      </c>
      <c r="M142" s="126">
        <v>280</v>
      </c>
      <c r="N142" s="126">
        <v>1177</v>
      </c>
      <c r="O142" s="127">
        <v>55</v>
      </c>
      <c r="P142" s="138">
        <v>45</v>
      </c>
      <c r="Q142" s="108" t="s">
        <v>94</v>
      </c>
      <c r="R142" s="108" t="s">
        <v>94</v>
      </c>
      <c r="S142" s="127">
        <v>306</v>
      </c>
      <c r="T142" s="127" t="s">
        <v>94</v>
      </c>
      <c r="U142" s="128">
        <v>49</v>
      </c>
      <c r="V142" s="129" t="s">
        <v>94</v>
      </c>
      <c r="W142" s="127">
        <v>4.5999999999999996</v>
      </c>
      <c r="X142" s="135" t="s">
        <v>94</v>
      </c>
      <c r="Y142" s="129">
        <v>58</v>
      </c>
      <c r="Z142" s="136" t="s">
        <v>94</v>
      </c>
      <c r="AA142" s="127">
        <v>15</v>
      </c>
      <c r="AB142" s="135" t="s">
        <v>94</v>
      </c>
      <c r="AC142" s="130">
        <v>5</v>
      </c>
      <c r="AD142" s="133" t="s">
        <v>94</v>
      </c>
      <c r="AE142" s="102">
        <v>85.5</v>
      </c>
      <c r="AF142" s="337">
        <v>71.099999999999994</v>
      </c>
      <c r="AG142" s="130">
        <v>36</v>
      </c>
      <c r="AH142" s="130">
        <v>56</v>
      </c>
      <c r="AI142" s="127">
        <v>1.2</v>
      </c>
      <c r="AJ142" s="127">
        <v>1.4</v>
      </c>
      <c r="AK142" s="269">
        <f t="shared" si="14"/>
        <v>0.19999999999999996</v>
      </c>
      <c r="AL142" s="130">
        <v>5.2</v>
      </c>
      <c r="AM142" s="130">
        <v>4.2</v>
      </c>
      <c r="AN142" s="131">
        <v>7.6</v>
      </c>
      <c r="AO142" s="131" t="s">
        <v>94</v>
      </c>
      <c r="AP142" s="127">
        <v>121</v>
      </c>
      <c r="AQ142" s="88" t="s">
        <v>94</v>
      </c>
      <c r="AR142" s="130">
        <v>9.1999999999999993</v>
      </c>
      <c r="AS142" s="130">
        <v>10</v>
      </c>
      <c r="AT142" s="130">
        <v>5</v>
      </c>
      <c r="AU142" s="130">
        <v>4.4000000000000004</v>
      </c>
      <c r="AV142" s="68">
        <v>102</v>
      </c>
      <c r="AW142" s="68">
        <v>107</v>
      </c>
      <c r="AX142" s="127">
        <v>146</v>
      </c>
      <c r="AY142" s="127">
        <v>143</v>
      </c>
      <c r="AZ142" s="130">
        <v>1.9</v>
      </c>
      <c r="BA142" s="130">
        <v>2</v>
      </c>
      <c r="BB142" s="127">
        <v>103</v>
      </c>
      <c r="BC142" s="127">
        <v>104</v>
      </c>
      <c r="BD142" s="96">
        <f t="shared" si="15"/>
        <v>307.37666666666667</v>
      </c>
      <c r="BE142" s="96">
        <f t="shared" si="16"/>
        <v>304.33344444444447</v>
      </c>
      <c r="BF142" s="130">
        <v>5.43</v>
      </c>
      <c r="BG142" s="130">
        <v>4.46</v>
      </c>
      <c r="BH142" s="127">
        <v>15.2</v>
      </c>
      <c r="BI142" s="127">
        <v>13.5</v>
      </c>
      <c r="BJ142" s="130">
        <v>47.6</v>
      </c>
      <c r="BK142" s="130">
        <v>39.700000000000003</v>
      </c>
      <c r="BL142" s="127">
        <v>87.7</v>
      </c>
      <c r="BM142" s="127">
        <v>89</v>
      </c>
      <c r="BN142" s="130">
        <v>28</v>
      </c>
      <c r="BO142" s="130">
        <v>30.3</v>
      </c>
      <c r="BP142" s="127">
        <v>31.9</v>
      </c>
      <c r="BQ142" s="127">
        <v>34</v>
      </c>
      <c r="BR142" s="130">
        <v>263</v>
      </c>
      <c r="BS142" s="130">
        <v>252</v>
      </c>
      <c r="BT142" s="127">
        <v>12.5</v>
      </c>
      <c r="BU142" s="127">
        <v>11.3</v>
      </c>
      <c r="BV142" s="139">
        <v>0.95</v>
      </c>
      <c r="BW142" s="134" t="s">
        <v>94</v>
      </c>
      <c r="BX142" s="127">
        <v>3.87</v>
      </c>
      <c r="BY142" s="127">
        <v>6.88</v>
      </c>
      <c r="BZ142" s="130">
        <v>38.200000000000003</v>
      </c>
      <c r="CA142" s="130">
        <v>58</v>
      </c>
      <c r="CB142" s="127">
        <v>51.2</v>
      </c>
      <c r="CC142" s="127">
        <v>30</v>
      </c>
      <c r="CD142" s="130">
        <v>7.8</v>
      </c>
      <c r="CE142" s="130">
        <v>11</v>
      </c>
      <c r="CF142" s="127">
        <v>1.8</v>
      </c>
      <c r="CG142" s="127">
        <v>1</v>
      </c>
      <c r="CH142" s="130">
        <v>1</v>
      </c>
      <c r="CI142" s="130">
        <v>0</v>
      </c>
      <c r="CJ142" s="86" t="b">
        <f t="shared" si="17"/>
        <v>0</v>
      </c>
      <c r="CK142" s="2" t="b">
        <f t="shared" si="18"/>
        <v>1</v>
      </c>
      <c r="CL142" s="98">
        <f t="shared" si="13"/>
        <v>75.355769999999993</v>
      </c>
      <c r="CM142" s="98">
        <v>84.3</v>
      </c>
      <c r="CN142" s="98">
        <v>178</v>
      </c>
      <c r="CO142" s="86">
        <v>52.69</v>
      </c>
      <c r="CP142" s="98">
        <v>60</v>
      </c>
      <c r="CQ142" s="98">
        <v>57</v>
      </c>
      <c r="CR142" s="96">
        <v>10.61</v>
      </c>
    </row>
    <row r="143" spans="1:96" ht="15.75" customHeight="1">
      <c r="A143" s="50">
        <v>2018</v>
      </c>
      <c r="B143" s="4" t="s">
        <v>186</v>
      </c>
      <c r="C143" s="105">
        <v>3165</v>
      </c>
      <c r="D143" s="109">
        <v>33</v>
      </c>
      <c r="E143" s="109">
        <v>79</v>
      </c>
      <c r="F143" s="109">
        <v>1</v>
      </c>
      <c r="G143" s="51" t="s">
        <v>86</v>
      </c>
      <c r="H143" s="52" t="s">
        <v>83</v>
      </c>
      <c r="I143" s="53" t="s">
        <v>87</v>
      </c>
      <c r="J143" s="52" t="s">
        <v>88</v>
      </c>
      <c r="K143" s="53">
        <v>50</v>
      </c>
      <c r="L143" s="52">
        <v>50</v>
      </c>
      <c r="M143" s="126">
        <v>96</v>
      </c>
      <c r="N143" s="126">
        <v>2700</v>
      </c>
      <c r="O143" s="127">
        <v>3</v>
      </c>
      <c r="P143" s="127">
        <v>40</v>
      </c>
      <c r="Q143" s="108" t="s">
        <v>94</v>
      </c>
      <c r="R143" s="108" t="s">
        <v>94</v>
      </c>
      <c r="S143" s="127">
        <v>557</v>
      </c>
      <c r="T143" s="127">
        <v>1451</v>
      </c>
      <c r="U143" s="128">
        <v>22</v>
      </c>
      <c r="V143" s="129">
        <v>96</v>
      </c>
      <c r="W143" s="127">
        <v>4.8</v>
      </c>
      <c r="X143" s="127">
        <v>4.2</v>
      </c>
      <c r="Y143" s="129">
        <v>33</v>
      </c>
      <c r="Z143" s="129">
        <v>25</v>
      </c>
      <c r="AA143" s="127">
        <v>25</v>
      </c>
      <c r="AB143" s="127">
        <v>23</v>
      </c>
      <c r="AC143" s="130">
        <v>5.5</v>
      </c>
      <c r="AD143" s="130">
        <v>7.6</v>
      </c>
      <c r="AE143" s="102">
        <v>81.400000000000006</v>
      </c>
      <c r="AF143" s="337">
        <v>73.900000000000006</v>
      </c>
      <c r="AG143" s="130">
        <v>44</v>
      </c>
      <c r="AH143" s="130">
        <v>80</v>
      </c>
      <c r="AI143" s="127">
        <v>1.2</v>
      </c>
      <c r="AJ143" s="127">
        <v>1.3</v>
      </c>
      <c r="AK143" s="269">
        <f t="shared" si="14"/>
        <v>0.10000000000000009</v>
      </c>
      <c r="AL143" s="130">
        <v>4.2</v>
      </c>
      <c r="AM143" s="130">
        <v>4.4000000000000004</v>
      </c>
      <c r="AN143" s="127">
        <v>7.6</v>
      </c>
      <c r="AO143" s="127">
        <v>6.5</v>
      </c>
      <c r="AP143" s="127">
        <v>104</v>
      </c>
      <c r="AQ143" s="88" t="s">
        <v>94</v>
      </c>
      <c r="AR143" s="130">
        <v>8.9</v>
      </c>
      <c r="AS143" s="130">
        <v>9.8000000000000007</v>
      </c>
      <c r="AT143" s="130">
        <v>4.5999999999999996</v>
      </c>
      <c r="AU143" s="130">
        <v>5.0999999999999996</v>
      </c>
      <c r="AV143" s="68">
        <v>143</v>
      </c>
      <c r="AW143" s="68">
        <v>92</v>
      </c>
      <c r="AX143" s="127">
        <v>146</v>
      </c>
      <c r="AY143" s="138">
        <v>142</v>
      </c>
      <c r="AZ143" s="130">
        <v>2</v>
      </c>
      <c r="BA143" s="130">
        <v>2.2000000000000002</v>
      </c>
      <c r="BB143" s="127">
        <v>101</v>
      </c>
      <c r="BC143" s="127">
        <v>108</v>
      </c>
      <c r="BD143" s="96">
        <f t="shared" si="15"/>
        <v>310.58544444444442</v>
      </c>
      <c r="BE143" s="96">
        <f t="shared" si="16"/>
        <v>306.8171111111111</v>
      </c>
      <c r="BF143" s="130">
        <v>4.4400000000000004</v>
      </c>
      <c r="BG143" s="130">
        <v>3.43</v>
      </c>
      <c r="BH143" s="127">
        <v>13.2</v>
      </c>
      <c r="BI143" s="127">
        <v>10.7</v>
      </c>
      <c r="BJ143" s="130">
        <v>42.1</v>
      </c>
      <c r="BK143" s="130">
        <v>32.799999999999997</v>
      </c>
      <c r="BL143" s="127">
        <v>94.8</v>
      </c>
      <c r="BM143" s="127">
        <v>95.6</v>
      </c>
      <c r="BN143" s="130">
        <v>29.7</v>
      </c>
      <c r="BO143" s="130">
        <v>31.2</v>
      </c>
      <c r="BP143" s="127">
        <v>31.4</v>
      </c>
      <c r="BQ143" s="127">
        <v>32.6</v>
      </c>
      <c r="BR143" s="130">
        <v>239</v>
      </c>
      <c r="BS143" s="130">
        <v>168</v>
      </c>
      <c r="BT143" s="127">
        <v>11.9</v>
      </c>
      <c r="BU143" s="127">
        <v>11.5</v>
      </c>
      <c r="BV143" s="133">
        <v>1.78</v>
      </c>
      <c r="BW143" s="134" t="s">
        <v>94</v>
      </c>
      <c r="BX143" s="127">
        <v>7.11</v>
      </c>
      <c r="BY143" s="127">
        <v>6.93</v>
      </c>
      <c r="BZ143" s="130">
        <v>69.900000000000006</v>
      </c>
      <c r="CA143" s="130">
        <v>60</v>
      </c>
      <c r="CB143" s="127">
        <v>22.9</v>
      </c>
      <c r="CC143" s="127">
        <v>24</v>
      </c>
      <c r="CD143" s="130">
        <v>4.0999999999999996</v>
      </c>
      <c r="CE143" s="130">
        <v>15</v>
      </c>
      <c r="CF143" s="127">
        <v>3</v>
      </c>
      <c r="CG143" s="127">
        <v>1</v>
      </c>
      <c r="CH143" s="130">
        <v>0.1</v>
      </c>
      <c r="CI143" s="130">
        <v>0</v>
      </c>
      <c r="CJ143" s="109" t="b">
        <f t="shared" si="17"/>
        <v>0</v>
      </c>
      <c r="CK143" s="8" t="b">
        <f t="shared" si="18"/>
        <v>1</v>
      </c>
      <c r="CL143" s="98">
        <f t="shared" si="13"/>
        <v>67.787359999999993</v>
      </c>
      <c r="CM143" s="98">
        <v>79.599999999999994</v>
      </c>
      <c r="CN143" s="98">
        <v>182</v>
      </c>
      <c r="CO143" s="86">
        <v>51.21</v>
      </c>
      <c r="CP143" s="98">
        <v>51</v>
      </c>
      <c r="CQ143" s="98">
        <v>49</v>
      </c>
      <c r="CR143" s="96">
        <v>14.84</v>
      </c>
    </row>
    <row r="144" spans="1:96" ht="15.75" customHeight="1">
      <c r="A144" s="50">
        <v>2018</v>
      </c>
      <c r="B144" s="4" t="s">
        <v>186</v>
      </c>
      <c r="C144" s="105">
        <v>3169</v>
      </c>
      <c r="D144" s="101">
        <v>31</v>
      </c>
      <c r="E144" s="101">
        <v>89</v>
      </c>
      <c r="F144" s="101">
        <v>1</v>
      </c>
      <c r="G144" s="51" t="s">
        <v>82</v>
      </c>
      <c r="H144" s="52" t="s">
        <v>83</v>
      </c>
      <c r="I144" s="53" t="s">
        <v>84</v>
      </c>
      <c r="J144" s="52" t="s">
        <v>85</v>
      </c>
      <c r="K144" s="53">
        <v>100</v>
      </c>
      <c r="L144" s="52">
        <v>0</v>
      </c>
      <c r="M144" s="126">
        <v>230</v>
      </c>
      <c r="N144" s="126">
        <v>1417</v>
      </c>
      <c r="O144" s="127">
        <v>3</v>
      </c>
      <c r="P144" s="127">
        <v>27</v>
      </c>
      <c r="Q144" s="108" t="s">
        <v>94</v>
      </c>
      <c r="R144" s="108" t="s">
        <v>94</v>
      </c>
      <c r="S144" s="127">
        <v>617</v>
      </c>
      <c r="T144" s="127">
        <v>1326</v>
      </c>
      <c r="U144" s="128">
        <v>32</v>
      </c>
      <c r="V144" s="129">
        <v>106</v>
      </c>
      <c r="W144" s="127">
        <v>4.5999999999999996</v>
      </c>
      <c r="X144" s="127">
        <v>4.0999999999999996</v>
      </c>
      <c r="Y144" s="129">
        <v>46</v>
      </c>
      <c r="Z144" s="129">
        <v>22</v>
      </c>
      <c r="AA144" s="127">
        <v>19</v>
      </c>
      <c r="AB144" s="127">
        <v>24</v>
      </c>
      <c r="AC144" s="130">
        <v>8</v>
      </c>
      <c r="AD144" s="130">
        <v>10.1</v>
      </c>
      <c r="AE144" s="102">
        <v>82.4</v>
      </c>
      <c r="AF144" s="337">
        <v>91.5</v>
      </c>
      <c r="AG144" s="130">
        <v>35</v>
      </c>
      <c r="AH144" s="130">
        <v>46</v>
      </c>
      <c r="AI144" s="127">
        <v>1.2</v>
      </c>
      <c r="AJ144" s="127">
        <v>1.1000000000000001</v>
      </c>
      <c r="AK144" s="269">
        <f t="shared" si="14"/>
        <v>0</v>
      </c>
      <c r="AL144" s="130">
        <v>4.9000000000000004</v>
      </c>
      <c r="AM144" s="130">
        <v>4.7</v>
      </c>
      <c r="AN144" s="131">
        <v>7.9</v>
      </c>
      <c r="AO144" s="131">
        <v>7.6</v>
      </c>
      <c r="AP144" s="127">
        <v>90</v>
      </c>
      <c r="AQ144" s="88" t="s">
        <v>94</v>
      </c>
      <c r="AR144" s="130">
        <v>8.5</v>
      </c>
      <c r="AS144" s="130">
        <v>9.5</v>
      </c>
      <c r="AT144" s="130">
        <v>4.7</v>
      </c>
      <c r="AU144" s="130">
        <v>5.2</v>
      </c>
      <c r="AV144" s="68">
        <v>98</v>
      </c>
      <c r="AW144" s="68">
        <v>90</v>
      </c>
      <c r="AX144" s="127">
        <v>148</v>
      </c>
      <c r="AY144" s="127">
        <v>140</v>
      </c>
      <c r="AZ144" s="130">
        <v>2.1</v>
      </c>
      <c r="BA144" s="130">
        <v>2.4</v>
      </c>
      <c r="BB144" s="127">
        <v>104</v>
      </c>
      <c r="BC144" s="127">
        <v>108</v>
      </c>
      <c r="BD144" s="96">
        <f t="shared" si="15"/>
        <v>310.11644444444443</v>
      </c>
      <c r="BE144" s="96">
        <f t="shared" si="16"/>
        <v>297.48866666666669</v>
      </c>
      <c r="BF144" s="130">
        <v>4.54</v>
      </c>
      <c r="BG144" s="130">
        <v>4</v>
      </c>
      <c r="BH144" s="127">
        <v>12.9</v>
      </c>
      <c r="BI144" s="127">
        <v>12.2</v>
      </c>
      <c r="BJ144" s="130">
        <v>42</v>
      </c>
      <c r="BK144" s="130">
        <v>36.1</v>
      </c>
      <c r="BL144" s="127">
        <v>92.5</v>
      </c>
      <c r="BM144" s="127">
        <v>90.3</v>
      </c>
      <c r="BN144" s="130">
        <v>28.4</v>
      </c>
      <c r="BO144" s="130">
        <v>30.5</v>
      </c>
      <c r="BP144" s="127">
        <v>30.7</v>
      </c>
      <c r="BQ144" s="127">
        <v>33.799999999999997</v>
      </c>
      <c r="BR144" s="130">
        <v>270</v>
      </c>
      <c r="BS144" s="130">
        <v>226</v>
      </c>
      <c r="BT144" s="127">
        <v>13.9</v>
      </c>
      <c r="BU144" s="127">
        <v>12.9</v>
      </c>
      <c r="BV144" s="133">
        <v>1</v>
      </c>
      <c r="BW144" s="134" t="s">
        <v>94</v>
      </c>
      <c r="BX144" s="127">
        <v>9.42</v>
      </c>
      <c r="BY144" s="127">
        <v>8.74</v>
      </c>
      <c r="BZ144" s="130">
        <v>67</v>
      </c>
      <c r="CA144" s="130">
        <v>69</v>
      </c>
      <c r="CB144" s="127">
        <v>24.2</v>
      </c>
      <c r="CC144" s="127">
        <v>20</v>
      </c>
      <c r="CD144" s="130">
        <v>7.6</v>
      </c>
      <c r="CE144" s="130">
        <v>10</v>
      </c>
      <c r="CF144" s="127">
        <v>0.8</v>
      </c>
      <c r="CG144" s="127">
        <v>1</v>
      </c>
      <c r="CH144" s="130">
        <v>0.4</v>
      </c>
      <c r="CI144" s="130">
        <v>0</v>
      </c>
      <c r="CJ144" s="86" t="b">
        <f t="shared" si="17"/>
        <v>0</v>
      </c>
      <c r="CK144" s="2" t="b">
        <f t="shared" si="18"/>
        <v>1</v>
      </c>
      <c r="CL144" s="98">
        <f t="shared" ref="CL144:CL207" si="19">$CM144-($CM144*(0.01*$CR144))</f>
        <v>74.95620000000001</v>
      </c>
      <c r="CM144" s="98">
        <v>90.2</v>
      </c>
      <c r="CN144" s="98">
        <v>184.5</v>
      </c>
      <c r="CO144" s="86">
        <v>48.67</v>
      </c>
      <c r="CP144" s="98">
        <v>54</v>
      </c>
      <c r="CQ144" s="98">
        <v>47</v>
      </c>
      <c r="CR144" s="96">
        <v>16.899999999999999</v>
      </c>
    </row>
    <row r="145" spans="1:96" ht="15.75" customHeight="1">
      <c r="A145" s="50">
        <v>2018</v>
      </c>
      <c r="B145" s="4" t="s">
        <v>186</v>
      </c>
      <c r="C145" s="105">
        <v>3175</v>
      </c>
      <c r="D145" s="101">
        <v>32</v>
      </c>
      <c r="E145" s="101">
        <v>96</v>
      </c>
      <c r="F145" s="101">
        <v>2</v>
      </c>
      <c r="G145" s="54" t="s">
        <v>89</v>
      </c>
      <c r="H145" s="55" t="s">
        <v>90</v>
      </c>
      <c r="I145" s="56" t="s">
        <v>84</v>
      </c>
      <c r="J145" s="55" t="s">
        <v>91</v>
      </c>
      <c r="K145" s="57">
        <v>45.8333333333333</v>
      </c>
      <c r="L145" s="58">
        <v>54.1666666666667</v>
      </c>
      <c r="M145" s="126">
        <v>478</v>
      </c>
      <c r="N145" s="126">
        <v>7093</v>
      </c>
      <c r="O145" s="127">
        <v>7</v>
      </c>
      <c r="P145" s="127">
        <v>61</v>
      </c>
      <c r="Q145" s="108" t="s">
        <v>94</v>
      </c>
      <c r="R145" s="108" t="s">
        <v>94</v>
      </c>
      <c r="S145" s="127">
        <v>586</v>
      </c>
      <c r="T145" s="127">
        <v>740</v>
      </c>
      <c r="U145" s="128">
        <v>34</v>
      </c>
      <c r="V145" s="129">
        <v>156</v>
      </c>
      <c r="W145" s="127">
        <v>4.5999999999999996</v>
      </c>
      <c r="X145" s="127">
        <v>4.0999999999999996</v>
      </c>
      <c r="Y145" s="129">
        <v>44</v>
      </c>
      <c r="Z145" s="129">
        <v>48</v>
      </c>
      <c r="AA145" s="127">
        <v>21</v>
      </c>
      <c r="AB145" s="127">
        <v>23</v>
      </c>
      <c r="AC145" s="130">
        <v>4.3</v>
      </c>
      <c r="AD145" s="130">
        <v>6.4</v>
      </c>
      <c r="AE145" s="102">
        <v>74.900000000000006</v>
      </c>
      <c r="AF145" s="337">
        <v>91.5</v>
      </c>
      <c r="AG145" s="130">
        <v>46</v>
      </c>
      <c r="AH145" s="130">
        <v>56</v>
      </c>
      <c r="AI145" s="127">
        <v>1.3</v>
      </c>
      <c r="AJ145" s="127">
        <v>1.1000000000000001</v>
      </c>
      <c r="AK145" s="269">
        <f t="shared" si="14"/>
        <v>0</v>
      </c>
      <c r="AL145" s="130">
        <v>4.5</v>
      </c>
      <c r="AM145" s="130">
        <v>3.8</v>
      </c>
      <c r="AN145" s="131">
        <v>8</v>
      </c>
      <c r="AO145" s="131">
        <v>7.3</v>
      </c>
      <c r="AP145" s="127">
        <v>73</v>
      </c>
      <c r="AQ145" s="140" t="s">
        <v>94</v>
      </c>
      <c r="AR145" s="130">
        <v>9.14</v>
      </c>
      <c r="AS145" s="130">
        <v>9.9</v>
      </c>
      <c r="AT145" s="130">
        <v>4.4000000000000004</v>
      </c>
      <c r="AU145" s="130">
        <v>5</v>
      </c>
      <c r="AV145" s="68">
        <v>105</v>
      </c>
      <c r="AW145" s="68">
        <v>112</v>
      </c>
      <c r="AX145" s="127">
        <v>143</v>
      </c>
      <c r="AY145" s="127">
        <v>138</v>
      </c>
      <c r="AZ145" s="130">
        <v>1.8</v>
      </c>
      <c r="BA145" s="130">
        <v>2.2999999999999998</v>
      </c>
      <c r="BB145" s="127">
        <v>104</v>
      </c>
      <c r="BC145" s="127">
        <v>109</v>
      </c>
      <c r="BD145" s="96">
        <f t="shared" si="15"/>
        <v>302.53900000000004</v>
      </c>
      <c r="BE145" s="96">
        <f t="shared" si="16"/>
        <v>296.4688888888889</v>
      </c>
      <c r="BF145" s="130">
        <v>4.92</v>
      </c>
      <c r="BG145" s="130">
        <v>4.2</v>
      </c>
      <c r="BH145" s="127">
        <v>14.4</v>
      </c>
      <c r="BI145" s="127">
        <v>12.9</v>
      </c>
      <c r="BJ145" s="130">
        <v>44.2</v>
      </c>
      <c r="BK145" s="130">
        <v>38.799999999999997</v>
      </c>
      <c r="BL145" s="127">
        <v>89.8</v>
      </c>
      <c r="BM145" s="127">
        <v>92.4</v>
      </c>
      <c r="BN145" s="130">
        <v>29.3</v>
      </c>
      <c r="BO145" s="130">
        <v>30.7</v>
      </c>
      <c r="BP145" s="127">
        <v>32.6</v>
      </c>
      <c r="BQ145" s="127">
        <v>33.200000000000003</v>
      </c>
      <c r="BR145" s="130">
        <v>175</v>
      </c>
      <c r="BS145" s="130">
        <v>149</v>
      </c>
      <c r="BT145" s="127">
        <v>12.6</v>
      </c>
      <c r="BU145" s="127">
        <v>11.6</v>
      </c>
      <c r="BV145" s="130">
        <v>0.44</v>
      </c>
      <c r="BW145" s="134" t="s">
        <v>94</v>
      </c>
      <c r="BX145" s="127">
        <v>6.13</v>
      </c>
      <c r="BY145" s="127">
        <v>7.47</v>
      </c>
      <c r="BZ145" s="130">
        <v>42.5</v>
      </c>
      <c r="CA145" s="130">
        <v>58</v>
      </c>
      <c r="CB145" s="127">
        <v>46.3</v>
      </c>
      <c r="CC145" s="138">
        <v>27</v>
      </c>
      <c r="CD145" s="130">
        <v>7.8</v>
      </c>
      <c r="CE145" s="130">
        <v>11</v>
      </c>
      <c r="CF145" s="127">
        <v>2.9</v>
      </c>
      <c r="CG145" s="127">
        <v>3</v>
      </c>
      <c r="CH145" s="130">
        <v>0.5</v>
      </c>
      <c r="CI145" s="130">
        <v>1</v>
      </c>
      <c r="CJ145" s="86" t="b">
        <f t="shared" si="17"/>
        <v>0</v>
      </c>
      <c r="CK145" s="2" t="b">
        <f t="shared" si="18"/>
        <v>1</v>
      </c>
      <c r="CL145" s="98">
        <f t="shared" si="19"/>
        <v>82.029080000000008</v>
      </c>
      <c r="CM145" s="98">
        <v>90.7</v>
      </c>
      <c r="CN145" s="98">
        <v>191</v>
      </c>
      <c r="CO145" s="86">
        <v>50.01</v>
      </c>
      <c r="CP145" s="98">
        <v>56.5</v>
      </c>
      <c r="CQ145" s="98">
        <v>54.5</v>
      </c>
      <c r="CR145" s="96">
        <v>9.56</v>
      </c>
    </row>
    <row r="146" spans="1:96" ht="15.75" customHeight="1">
      <c r="A146" s="50">
        <v>2018</v>
      </c>
      <c r="B146" s="4" t="s">
        <v>186</v>
      </c>
      <c r="C146" s="105">
        <v>3181</v>
      </c>
      <c r="D146" s="101">
        <v>28</v>
      </c>
      <c r="E146" s="101">
        <v>82</v>
      </c>
      <c r="F146" s="101">
        <v>1</v>
      </c>
      <c r="G146" s="51" t="s">
        <v>89</v>
      </c>
      <c r="H146" s="52" t="s">
        <v>83</v>
      </c>
      <c r="I146" s="53" t="s">
        <v>84</v>
      </c>
      <c r="J146" s="52" t="s">
        <v>88</v>
      </c>
      <c r="K146" s="57">
        <v>54.1666666666667</v>
      </c>
      <c r="L146" s="59">
        <v>45.8333333333333</v>
      </c>
      <c r="M146" s="126">
        <v>170</v>
      </c>
      <c r="N146" s="126">
        <v>1374</v>
      </c>
      <c r="O146" s="127">
        <v>3</v>
      </c>
      <c r="P146" s="138">
        <v>31</v>
      </c>
      <c r="Q146" s="108" t="s">
        <v>94</v>
      </c>
      <c r="R146" s="108" t="s">
        <v>94</v>
      </c>
      <c r="S146" s="127">
        <v>528</v>
      </c>
      <c r="T146" s="127">
        <v>236</v>
      </c>
      <c r="U146" s="128">
        <v>25</v>
      </c>
      <c r="V146" s="129" t="s">
        <v>94</v>
      </c>
      <c r="W146" s="127">
        <v>4.5999999999999996</v>
      </c>
      <c r="X146" s="127" t="s">
        <v>94</v>
      </c>
      <c r="Y146" s="129">
        <v>36</v>
      </c>
      <c r="Z146" s="129" t="s">
        <v>94</v>
      </c>
      <c r="AA146" s="127">
        <v>19</v>
      </c>
      <c r="AB146" s="127" t="s">
        <v>94</v>
      </c>
      <c r="AC146" s="130">
        <v>4.2</v>
      </c>
      <c r="AD146" s="130" t="s">
        <v>94</v>
      </c>
      <c r="AE146" s="102">
        <v>84.5</v>
      </c>
      <c r="AF146" s="337">
        <v>76.7</v>
      </c>
      <c r="AG146" s="130">
        <v>34</v>
      </c>
      <c r="AH146" s="130">
        <v>45</v>
      </c>
      <c r="AI146" s="127">
        <v>1.2</v>
      </c>
      <c r="AJ146" s="127">
        <v>1.3</v>
      </c>
      <c r="AK146" s="269">
        <f t="shared" si="14"/>
        <v>0.10000000000000009</v>
      </c>
      <c r="AL146" s="130">
        <v>4.8</v>
      </c>
      <c r="AM146" s="130">
        <v>3.7</v>
      </c>
      <c r="AN146" s="131">
        <v>7.4</v>
      </c>
      <c r="AO146" s="131" t="s">
        <v>94</v>
      </c>
      <c r="AP146" s="127">
        <v>102</v>
      </c>
      <c r="AQ146" s="88" t="s">
        <v>94</v>
      </c>
      <c r="AR146" s="130">
        <v>9.1</v>
      </c>
      <c r="AS146" s="130">
        <v>10</v>
      </c>
      <c r="AT146" s="130">
        <v>4.7</v>
      </c>
      <c r="AU146" s="130">
        <v>4.5</v>
      </c>
      <c r="AV146" s="68">
        <v>88</v>
      </c>
      <c r="AW146" s="68">
        <v>93</v>
      </c>
      <c r="AX146" s="127">
        <v>145</v>
      </c>
      <c r="AY146" s="127">
        <v>147</v>
      </c>
      <c r="AZ146" s="130">
        <v>2.1</v>
      </c>
      <c r="BA146" s="130">
        <v>2.1</v>
      </c>
      <c r="BB146" s="127">
        <v>101</v>
      </c>
      <c r="BC146" s="127">
        <v>104</v>
      </c>
      <c r="BD146" s="96">
        <f t="shared" si="15"/>
        <v>303.7308888888889</v>
      </c>
      <c r="BE146" s="96">
        <f t="shared" si="16"/>
        <v>309.23166666666668</v>
      </c>
      <c r="BF146" s="130">
        <v>5.09</v>
      </c>
      <c r="BG146" s="130">
        <v>4.26</v>
      </c>
      <c r="BH146" s="127">
        <v>15.7</v>
      </c>
      <c r="BI146" s="127">
        <v>13.6</v>
      </c>
      <c r="BJ146" s="130">
        <v>47.7</v>
      </c>
      <c r="BK146" s="130">
        <v>40.6</v>
      </c>
      <c r="BL146" s="127">
        <v>93.7</v>
      </c>
      <c r="BM146" s="127">
        <v>95.3</v>
      </c>
      <c r="BN146" s="130">
        <v>30.8</v>
      </c>
      <c r="BO146" s="130">
        <v>31.9</v>
      </c>
      <c r="BP146" s="127">
        <v>32.9</v>
      </c>
      <c r="BQ146" s="127">
        <v>33.5</v>
      </c>
      <c r="BR146" s="130">
        <v>261</v>
      </c>
      <c r="BS146" s="130">
        <v>187</v>
      </c>
      <c r="BT146" s="127">
        <v>12.2</v>
      </c>
      <c r="BU146" s="127">
        <v>11.2</v>
      </c>
      <c r="BV146" s="130">
        <v>0.35</v>
      </c>
      <c r="BW146" s="134" t="s">
        <v>94</v>
      </c>
      <c r="BX146" s="127">
        <v>7.22</v>
      </c>
      <c r="BY146" s="127">
        <v>7.45</v>
      </c>
      <c r="BZ146" s="130">
        <v>66.8</v>
      </c>
      <c r="CA146" s="130">
        <v>66</v>
      </c>
      <c r="CB146" s="127">
        <v>21.6</v>
      </c>
      <c r="CC146" s="127">
        <v>21</v>
      </c>
      <c r="CD146" s="130">
        <v>7.3</v>
      </c>
      <c r="CE146" s="130">
        <v>12</v>
      </c>
      <c r="CF146" s="127">
        <v>4</v>
      </c>
      <c r="CG146" s="127">
        <v>1</v>
      </c>
      <c r="CH146" s="130">
        <v>0.3</v>
      </c>
      <c r="CI146" s="130">
        <v>0</v>
      </c>
      <c r="CJ146" s="86" t="b">
        <f t="shared" si="17"/>
        <v>0</v>
      </c>
      <c r="CK146" s="2" t="b">
        <f t="shared" si="18"/>
        <v>1</v>
      </c>
      <c r="CL146" s="98">
        <f t="shared" si="19"/>
        <v>77.353679999999997</v>
      </c>
      <c r="CM146" s="98">
        <v>84.3</v>
      </c>
      <c r="CN146" s="98">
        <v>190</v>
      </c>
      <c r="CO146" s="86">
        <v>51.12</v>
      </c>
      <c r="CP146" s="98">
        <v>54.5</v>
      </c>
      <c r="CQ146" s="98">
        <v>50.5</v>
      </c>
      <c r="CR146" s="96">
        <v>8.24</v>
      </c>
    </row>
    <row r="147" spans="1:96" ht="15.75" customHeight="1">
      <c r="A147" s="50">
        <v>2018</v>
      </c>
      <c r="B147" s="4" t="s">
        <v>186</v>
      </c>
      <c r="C147" s="105">
        <v>3183</v>
      </c>
      <c r="D147" s="101">
        <v>26</v>
      </c>
      <c r="E147" s="101">
        <v>90</v>
      </c>
      <c r="F147" s="101">
        <v>1</v>
      </c>
      <c r="G147" s="51" t="s">
        <v>94</v>
      </c>
      <c r="H147" s="52" t="s">
        <v>94</v>
      </c>
      <c r="I147" s="53" t="s">
        <v>94</v>
      </c>
      <c r="J147" s="52" t="s">
        <v>94</v>
      </c>
      <c r="K147" s="53" t="s">
        <v>94</v>
      </c>
      <c r="L147" s="52" t="s">
        <v>94</v>
      </c>
      <c r="M147" s="126">
        <v>288</v>
      </c>
      <c r="N147" s="126">
        <v>3021</v>
      </c>
      <c r="O147" s="127">
        <v>3</v>
      </c>
      <c r="P147" s="127">
        <v>25</v>
      </c>
      <c r="Q147" s="108" t="s">
        <v>94</v>
      </c>
      <c r="R147" s="108" t="s">
        <v>94</v>
      </c>
      <c r="S147" s="127">
        <v>673</v>
      </c>
      <c r="T147" s="127">
        <v>784</v>
      </c>
      <c r="U147" s="128">
        <v>30</v>
      </c>
      <c r="V147" s="129">
        <v>67</v>
      </c>
      <c r="W147" s="127">
        <v>4.5</v>
      </c>
      <c r="X147" s="127">
        <v>2.9</v>
      </c>
      <c r="Y147" s="129">
        <v>46</v>
      </c>
      <c r="Z147" s="129">
        <v>40</v>
      </c>
      <c r="AA147" s="127">
        <v>21</v>
      </c>
      <c r="AB147" s="127">
        <v>17</v>
      </c>
      <c r="AC147" s="130">
        <v>4.2</v>
      </c>
      <c r="AD147" s="130">
        <v>5.2</v>
      </c>
      <c r="AE147" s="102">
        <v>105.8</v>
      </c>
      <c r="AF147" s="337">
        <v>120</v>
      </c>
      <c r="AG147" s="130">
        <v>23</v>
      </c>
      <c r="AH147" s="130">
        <v>30</v>
      </c>
      <c r="AI147" s="127">
        <v>1</v>
      </c>
      <c r="AJ147" s="127">
        <v>0.9</v>
      </c>
      <c r="AK147" s="269">
        <f t="shared" si="14"/>
        <v>0</v>
      </c>
      <c r="AL147" s="130">
        <v>4.3</v>
      </c>
      <c r="AM147" s="130">
        <v>3.5</v>
      </c>
      <c r="AN147" s="131">
        <v>7.7</v>
      </c>
      <c r="AO147" s="131">
        <v>5.5</v>
      </c>
      <c r="AP147" s="127">
        <v>111</v>
      </c>
      <c r="AQ147" s="88" t="s">
        <v>94</v>
      </c>
      <c r="AR147" s="130">
        <v>9</v>
      </c>
      <c r="AS147" s="130">
        <v>7.6</v>
      </c>
      <c r="AT147" s="130">
        <v>4.5999999999999996</v>
      </c>
      <c r="AU147" s="130">
        <v>3.8</v>
      </c>
      <c r="AV147" s="68">
        <v>100</v>
      </c>
      <c r="AW147" s="68">
        <v>86</v>
      </c>
      <c r="AX147" s="127">
        <v>144</v>
      </c>
      <c r="AY147" s="127">
        <v>125</v>
      </c>
      <c r="AZ147" s="130">
        <v>2.1</v>
      </c>
      <c r="BA147" s="130">
        <v>1.8</v>
      </c>
      <c r="BB147" s="127">
        <v>100</v>
      </c>
      <c r="BC147" s="127">
        <v>97</v>
      </c>
      <c r="BD147" s="96">
        <f t="shared" si="15"/>
        <v>300.61822222222224</v>
      </c>
      <c r="BE147" s="96">
        <f t="shared" si="16"/>
        <v>264.06244444444451</v>
      </c>
      <c r="BF147" s="130">
        <v>4.82</v>
      </c>
      <c r="BG147" s="130">
        <v>3.83</v>
      </c>
      <c r="BH147" s="127">
        <v>13.9</v>
      </c>
      <c r="BI147" s="127">
        <v>11.8</v>
      </c>
      <c r="BJ147" s="130">
        <v>43.5</v>
      </c>
      <c r="BK147" s="130">
        <v>35.1</v>
      </c>
      <c r="BL147" s="127">
        <v>90.2</v>
      </c>
      <c r="BM147" s="127">
        <v>91.6</v>
      </c>
      <c r="BN147" s="130">
        <v>28.8</v>
      </c>
      <c r="BO147" s="130">
        <v>30.8</v>
      </c>
      <c r="BP147" s="127">
        <v>32</v>
      </c>
      <c r="BQ147" s="127">
        <v>33.6</v>
      </c>
      <c r="BR147" s="130">
        <v>321</v>
      </c>
      <c r="BS147" s="130">
        <v>220</v>
      </c>
      <c r="BT147" s="127">
        <v>12.6</v>
      </c>
      <c r="BU147" s="127">
        <v>11.8</v>
      </c>
      <c r="BV147" s="130">
        <v>0.71</v>
      </c>
      <c r="BW147" s="134" t="s">
        <v>94</v>
      </c>
      <c r="BX147" s="127">
        <v>6.26</v>
      </c>
      <c r="BY147" s="127">
        <v>7.66</v>
      </c>
      <c r="BZ147" s="130">
        <v>54.4</v>
      </c>
      <c r="CA147" s="130">
        <v>62</v>
      </c>
      <c r="CB147" s="127">
        <v>31.3</v>
      </c>
      <c r="CC147" s="127">
        <v>25</v>
      </c>
      <c r="CD147" s="130">
        <v>8.5</v>
      </c>
      <c r="CE147" s="130">
        <v>11</v>
      </c>
      <c r="CF147" s="127">
        <v>5.6</v>
      </c>
      <c r="CG147" s="127">
        <v>2</v>
      </c>
      <c r="CH147" s="130">
        <v>0.2</v>
      </c>
      <c r="CI147" s="130">
        <v>0</v>
      </c>
      <c r="CJ147" s="86" t="b">
        <f t="shared" si="17"/>
        <v>0</v>
      </c>
      <c r="CK147" s="2" t="b">
        <f t="shared" si="18"/>
        <v>1</v>
      </c>
      <c r="CL147" s="98">
        <f t="shared" si="19"/>
        <v>82.441199999999995</v>
      </c>
      <c r="CM147" s="98">
        <v>92</v>
      </c>
      <c r="CN147" s="98">
        <v>174.4</v>
      </c>
      <c r="CO147" s="86">
        <v>49.71</v>
      </c>
      <c r="CP147" s="98">
        <v>55</v>
      </c>
      <c r="CQ147" s="98">
        <v>55.5</v>
      </c>
      <c r="CR147" s="96">
        <v>10.39</v>
      </c>
    </row>
    <row r="148" spans="1:96" ht="15.75" customHeight="1">
      <c r="A148" s="50">
        <v>2018</v>
      </c>
      <c r="B148" s="4" t="s">
        <v>186</v>
      </c>
      <c r="C148" s="105">
        <v>3187</v>
      </c>
      <c r="D148" s="101">
        <v>25</v>
      </c>
      <c r="E148" s="101">
        <v>85</v>
      </c>
      <c r="F148" s="101">
        <v>1</v>
      </c>
      <c r="G148" s="51" t="s">
        <v>89</v>
      </c>
      <c r="H148" s="52" t="s">
        <v>90</v>
      </c>
      <c r="I148" s="53" t="s">
        <v>87</v>
      </c>
      <c r="J148" s="52" t="s">
        <v>88</v>
      </c>
      <c r="K148" s="53">
        <v>25</v>
      </c>
      <c r="L148" s="52">
        <v>75</v>
      </c>
      <c r="M148" s="126">
        <v>206</v>
      </c>
      <c r="N148" s="126">
        <v>1593</v>
      </c>
      <c r="O148" s="127">
        <v>3</v>
      </c>
      <c r="P148" s="127">
        <v>22</v>
      </c>
      <c r="Q148" s="108" t="s">
        <v>94</v>
      </c>
      <c r="R148" s="108" t="s">
        <v>94</v>
      </c>
      <c r="S148" s="127">
        <v>396</v>
      </c>
      <c r="T148" s="127">
        <v>779</v>
      </c>
      <c r="U148" s="128">
        <v>30</v>
      </c>
      <c r="V148" s="129">
        <v>78</v>
      </c>
      <c r="W148" s="127">
        <v>4.7</v>
      </c>
      <c r="X148" s="127">
        <v>4.4000000000000004</v>
      </c>
      <c r="Y148" s="129">
        <v>48</v>
      </c>
      <c r="Z148" s="129">
        <v>29</v>
      </c>
      <c r="AA148" s="127">
        <v>32</v>
      </c>
      <c r="AB148" s="127">
        <v>39</v>
      </c>
      <c r="AC148" s="130">
        <v>4.5</v>
      </c>
      <c r="AD148" s="130">
        <v>7</v>
      </c>
      <c r="AE148" s="102">
        <v>106.5</v>
      </c>
      <c r="AF148" s="337">
        <v>94.9</v>
      </c>
      <c r="AG148" s="130">
        <v>38</v>
      </c>
      <c r="AH148" s="130">
        <v>50</v>
      </c>
      <c r="AI148" s="127">
        <v>1</v>
      </c>
      <c r="AJ148" s="127">
        <v>1.1000000000000001</v>
      </c>
      <c r="AK148" s="269">
        <f t="shared" si="14"/>
        <v>0.10000000000000009</v>
      </c>
      <c r="AL148" s="130">
        <v>4.5999999999999996</v>
      </c>
      <c r="AM148" s="130">
        <v>3.9</v>
      </c>
      <c r="AN148" s="131">
        <v>8</v>
      </c>
      <c r="AO148" s="131">
        <v>7.5</v>
      </c>
      <c r="AP148" s="127">
        <v>123</v>
      </c>
      <c r="AQ148" s="88" t="s">
        <v>94</v>
      </c>
      <c r="AR148" s="130">
        <v>9.1</v>
      </c>
      <c r="AS148" s="130">
        <v>10.4</v>
      </c>
      <c r="AT148" s="130">
        <v>4.9000000000000004</v>
      </c>
      <c r="AU148" s="130">
        <v>4.8</v>
      </c>
      <c r="AV148" s="68">
        <v>86</v>
      </c>
      <c r="AW148" s="68">
        <v>89</v>
      </c>
      <c r="AX148" s="127">
        <v>146</v>
      </c>
      <c r="AY148" s="127">
        <v>143</v>
      </c>
      <c r="AZ148" s="130">
        <v>2.1</v>
      </c>
      <c r="BA148" s="130">
        <v>2.5</v>
      </c>
      <c r="BB148" s="127">
        <v>103</v>
      </c>
      <c r="BC148" s="127">
        <v>110</v>
      </c>
      <c r="BD148" s="96">
        <f t="shared" si="15"/>
        <v>306.50177777777782</v>
      </c>
      <c r="BE148" s="96">
        <f t="shared" si="16"/>
        <v>302.92744444444446</v>
      </c>
      <c r="BF148" s="130">
        <v>4.93</v>
      </c>
      <c r="BG148" s="130">
        <v>4.34</v>
      </c>
      <c r="BH148" s="127">
        <v>14.2</v>
      </c>
      <c r="BI148" s="127">
        <v>13.1</v>
      </c>
      <c r="BJ148" s="130">
        <v>44.3</v>
      </c>
      <c r="BK148" s="130">
        <v>39.6</v>
      </c>
      <c r="BL148" s="127">
        <v>89.9</v>
      </c>
      <c r="BM148" s="127">
        <v>91.2</v>
      </c>
      <c r="BN148" s="130">
        <v>28.8</v>
      </c>
      <c r="BO148" s="130">
        <v>30.2</v>
      </c>
      <c r="BP148" s="127">
        <v>32.1</v>
      </c>
      <c r="BQ148" s="127">
        <v>33.1</v>
      </c>
      <c r="BR148" s="130">
        <v>278</v>
      </c>
      <c r="BS148" s="132">
        <v>243</v>
      </c>
      <c r="BT148" s="127">
        <v>13.1</v>
      </c>
      <c r="BU148" s="127">
        <v>12.7</v>
      </c>
      <c r="BV148" s="130">
        <v>0.31</v>
      </c>
      <c r="BW148" s="89" t="s">
        <v>94</v>
      </c>
      <c r="BX148" s="127">
        <v>6.52</v>
      </c>
      <c r="BY148" s="127">
        <v>7.54</v>
      </c>
      <c r="BZ148" s="130">
        <v>55.6</v>
      </c>
      <c r="CA148" s="130">
        <v>55</v>
      </c>
      <c r="CB148" s="127">
        <v>30.2</v>
      </c>
      <c r="CC148" s="127">
        <v>31</v>
      </c>
      <c r="CD148" s="130">
        <v>8.6999999999999993</v>
      </c>
      <c r="CE148" s="130">
        <v>9</v>
      </c>
      <c r="CF148" s="127">
        <v>5.2</v>
      </c>
      <c r="CG148" s="127">
        <v>4</v>
      </c>
      <c r="CH148" s="130">
        <v>0.3</v>
      </c>
      <c r="CI148" s="130">
        <v>1</v>
      </c>
      <c r="CJ148" s="86" t="b">
        <f t="shared" si="17"/>
        <v>0</v>
      </c>
      <c r="CK148" s="2" t="b">
        <f t="shared" si="18"/>
        <v>1</v>
      </c>
      <c r="CL148" s="98">
        <f t="shared" si="19"/>
        <v>79.512460000000004</v>
      </c>
      <c r="CM148" s="98">
        <v>85.7</v>
      </c>
      <c r="CN148" s="98">
        <v>185</v>
      </c>
      <c r="CO148" s="86">
        <v>52.04</v>
      </c>
      <c r="CP148" s="98">
        <v>50</v>
      </c>
      <c r="CQ148" s="98">
        <v>50</v>
      </c>
      <c r="CR148" s="96">
        <v>7.22</v>
      </c>
    </row>
    <row r="149" spans="1:96" ht="15.75" customHeight="1">
      <c r="A149" s="50">
        <v>2018</v>
      </c>
      <c r="B149" s="4" t="s">
        <v>186</v>
      </c>
      <c r="C149" s="105">
        <v>3189</v>
      </c>
      <c r="D149" s="101">
        <v>28</v>
      </c>
      <c r="E149" s="101">
        <v>77</v>
      </c>
      <c r="F149" s="101">
        <v>2</v>
      </c>
      <c r="G149" s="51" t="s">
        <v>86</v>
      </c>
      <c r="H149" s="52" t="s">
        <v>83</v>
      </c>
      <c r="I149" s="53" t="s">
        <v>84</v>
      </c>
      <c r="J149" s="52" t="s">
        <v>88</v>
      </c>
      <c r="K149" s="53">
        <v>212.5</v>
      </c>
      <c r="L149" s="52">
        <v>-112.5</v>
      </c>
      <c r="M149" s="126">
        <v>85</v>
      </c>
      <c r="N149" s="126">
        <v>4520</v>
      </c>
      <c r="O149" s="127">
        <v>3</v>
      </c>
      <c r="P149" s="138">
        <v>39</v>
      </c>
      <c r="Q149" s="108" t="s">
        <v>94</v>
      </c>
      <c r="R149" s="108" t="s">
        <v>94</v>
      </c>
      <c r="S149" s="127">
        <v>484</v>
      </c>
      <c r="T149" s="127">
        <v>1430</v>
      </c>
      <c r="U149" s="128">
        <v>21</v>
      </c>
      <c r="V149" s="129">
        <v>121</v>
      </c>
      <c r="W149" s="127">
        <v>4.7</v>
      </c>
      <c r="X149" s="127">
        <v>4.5999999999999996</v>
      </c>
      <c r="Y149" s="129">
        <v>38</v>
      </c>
      <c r="Z149" s="129">
        <v>33</v>
      </c>
      <c r="AA149" s="127">
        <v>30</v>
      </c>
      <c r="AB149" s="127">
        <v>37</v>
      </c>
      <c r="AC149" s="130">
        <v>6.6</v>
      </c>
      <c r="AD149" s="130">
        <v>9.1</v>
      </c>
      <c r="AE149" s="102">
        <v>93.2</v>
      </c>
      <c r="AF149" s="337">
        <v>84</v>
      </c>
      <c r="AG149" s="130">
        <v>23</v>
      </c>
      <c r="AH149" s="130">
        <v>59</v>
      </c>
      <c r="AI149" s="127">
        <v>1.1000000000000001</v>
      </c>
      <c r="AJ149" s="127">
        <v>1.2</v>
      </c>
      <c r="AK149" s="269">
        <f t="shared" si="14"/>
        <v>9.9999999999999867E-2</v>
      </c>
      <c r="AL149" s="130">
        <v>4.5</v>
      </c>
      <c r="AM149" s="130">
        <v>4.5</v>
      </c>
      <c r="AN149" s="131">
        <v>7.3</v>
      </c>
      <c r="AO149" s="131">
        <v>7.1</v>
      </c>
      <c r="AP149" s="127">
        <v>106</v>
      </c>
      <c r="AQ149" s="88" t="s">
        <v>94</v>
      </c>
      <c r="AR149" s="130">
        <v>9</v>
      </c>
      <c r="AS149" s="130">
        <v>10.4</v>
      </c>
      <c r="AT149" s="130">
        <v>4.8</v>
      </c>
      <c r="AU149" s="130">
        <v>5.3</v>
      </c>
      <c r="AV149" s="68">
        <v>105</v>
      </c>
      <c r="AW149" s="68">
        <v>75</v>
      </c>
      <c r="AX149" s="127">
        <v>145</v>
      </c>
      <c r="AY149" s="127">
        <v>145</v>
      </c>
      <c r="AZ149" s="130">
        <v>2</v>
      </c>
      <c r="BA149" s="130">
        <v>2.4</v>
      </c>
      <c r="BB149" s="127">
        <v>102</v>
      </c>
      <c r="BC149" s="127">
        <v>110</v>
      </c>
      <c r="BD149" s="96">
        <f t="shared" si="15"/>
        <v>303.16966666666667</v>
      </c>
      <c r="BE149" s="96">
        <f t="shared" si="16"/>
        <v>308.18300000000005</v>
      </c>
      <c r="BF149" s="130">
        <v>4.76</v>
      </c>
      <c r="BG149" s="130">
        <v>4.0199999999999996</v>
      </c>
      <c r="BH149" s="127">
        <v>14.6</v>
      </c>
      <c r="BI149" s="127">
        <v>13.3</v>
      </c>
      <c r="BJ149" s="130">
        <v>44.6</v>
      </c>
      <c r="BK149" s="130">
        <v>39</v>
      </c>
      <c r="BL149" s="127">
        <v>93.7</v>
      </c>
      <c r="BM149" s="127">
        <v>97</v>
      </c>
      <c r="BN149" s="130">
        <v>30.7</v>
      </c>
      <c r="BO149" s="130">
        <v>33.1</v>
      </c>
      <c r="BP149" s="127">
        <v>32.700000000000003</v>
      </c>
      <c r="BQ149" s="127">
        <v>34.1</v>
      </c>
      <c r="BR149" s="130">
        <v>200</v>
      </c>
      <c r="BS149" s="130">
        <v>153</v>
      </c>
      <c r="BT149" s="127">
        <v>12.6</v>
      </c>
      <c r="BU149" s="127">
        <v>12.3</v>
      </c>
      <c r="BV149" s="130">
        <v>0.87</v>
      </c>
      <c r="BW149" s="134" t="s">
        <v>94</v>
      </c>
      <c r="BX149" s="127">
        <v>7.02</v>
      </c>
      <c r="BY149" s="127">
        <v>7.08</v>
      </c>
      <c r="BZ149" s="130">
        <v>62.4</v>
      </c>
      <c r="CA149" s="130">
        <v>54</v>
      </c>
      <c r="CB149" s="127">
        <v>29.5</v>
      </c>
      <c r="CC149" s="127">
        <v>30</v>
      </c>
      <c r="CD149" s="130">
        <v>6.4</v>
      </c>
      <c r="CE149" s="130">
        <v>14</v>
      </c>
      <c r="CF149" s="127">
        <v>1.6</v>
      </c>
      <c r="CG149" s="127">
        <v>2</v>
      </c>
      <c r="CH149" s="130">
        <v>0.1</v>
      </c>
      <c r="CI149" s="130">
        <v>0</v>
      </c>
      <c r="CJ149" s="86" t="b">
        <f t="shared" si="17"/>
        <v>0</v>
      </c>
      <c r="CK149" s="2" t="b">
        <f t="shared" si="18"/>
        <v>1</v>
      </c>
      <c r="CL149" s="98">
        <f t="shared" si="19"/>
        <v>70.76357999999999</v>
      </c>
      <c r="CM149" s="98">
        <v>78.599999999999994</v>
      </c>
      <c r="CN149" s="98">
        <v>179</v>
      </c>
      <c r="CO149" s="86">
        <v>53.31</v>
      </c>
      <c r="CP149" s="98">
        <v>50</v>
      </c>
      <c r="CQ149" s="98">
        <v>44</v>
      </c>
      <c r="CR149" s="96">
        <v>9.9700000000000006</v>
      </c>
    </row>
    <row r="150" spans="1:96" ht="15.75" customHeight="1">
      <c r="A150" s="50">
        <v>2018</v>
      </c>
      <c r="B150" s="4" t="s">
        <v>186</v>
      </c>
      <c r="C150" s="105">
        <v>3190</v>
      </c>
      <c r="D150" s="101">
        <v>29</v>
      </c>
      <c r="E150" s="101">
        <v>80</v>
      </c>
      <c r="F150" s="101">
        <v>1</v>
      </c>
      <c r="G150" s="51" t="s">
        <v>94</v>
      </c>
      <c r="H150" s="52" t="s">
        <v>94</v>
      </c>
      <c r="I150" s="53" t="s">
        <v>94</v>
      </c>
      <c r="J150" s="52" t="s">
        <v>94</v>
      </c>
      <c r="K150" s="53" t="s">
        <v>94</v>
      </c>
      <c r="L150" s="61" t="s">
        <v>94</v>
      </c>
      <c r="M150" s="126">
        <v>603</v>
      </c>
      <c r="N150" s="126">
        <v>6580</v>
      </c>
      <c r="O150" s="127">
        <v>3</v>
      </c>
      <c r="P150" s="127">
        <v>98</v>
      </c>
      <c r="Q150" s="108" t="s">
        <v>94</v>
      </c>
      <c r="R150" s="108" t="s">
        <v>94</v>
      </c>
      <c r="S150" s="127">
        <v>796</v>
      </c>
      <c r="T150" s="127">
        <v>1866</v>
      </c>
      <c r="U150" s="128">
        <v>53</v>
      </c>
      <c r="V150" s="129">
        <v>177</v>
      </c>
      <c r="W150" s="127">
        <v>4.4000000000000004</v>
      </c>
      <c r="X150" s="127">
        <v>4.3</v>
      </c>
      <c r="Y150" s="129">
        <v>45</v>
      </c>
      <c r="Z150" s="129">
        <v>42</v>
      </c>
      <c r="AA150" s="127">
        <v>21</v>
      </c>
      <c r="AB150" s="127">
        <v>21</v>
      </c>
      <c r="AC150" s="130">
        <v>4.0999999999999996</v>
      </c>
      <c r="AD150" s="130">
        <v>6.6</v>
      </c>
      <c r="AE150" s="102">
        <v>104.5</v>
      </c>
      <c r="AF150" s="337">
        <v>104.5</v>
      </c>
      <c r="AG150" s="130">
        <v>43</v>
      </c>
      <c r="AH150" s="130">
        <v>54</v>
      </c>
      <c r="AI150" s="127">
        <v>1</v>
      </c>
      <c r="AJ150" s="127">
        <v>1</v>
      </c>
      <c r="AK150" s="269">
        <f t="shared" si="14"/>
        <v>0</v>
      </c>
      <c r="AL150" s="130">
        <v>4.3</v>
      </c>
      <c r="AM150" s="130">
        <v>5.0999999999999996</v>
      </c>
      <c r="AN150" s="131">
        <v>7.3</v>
      </c>
      <c r="AO150" s="131">
        <v>7.4</v>
      </c>
      <c r="AP150" s="127">
        <v>68</v>
      </c>
      <c r="AQ150" s="88" t="s">
        <v>94</v>
      </c>
      <c r="AR150" s="130">
        <v>8.5</v>
      </c>
      <c r="AS150" s="130">
        <v>10.1</v>
      </c>
      <c r="AT150" s="130">
        <v>4.4000000000000004</v>
      </c>
      <c r="AU150" s="130">
        <v>5.3</v>
      </c>
      <c r="AV150" s="69">
        <v>99</v>
      </c>
      <c r="AW150" s="68">
        <v>93</v>
      </c>
      <c r="AX150" s="127">
        <v>143</v>
      </c>
      <c r="AY150" s="127">
        <v>146</v>
      </c>
      <c r="AZ150" s="130">
        <v>1.9</v>
      </c>
      <c r="BA150" s="130">
        <v>2.5</v>
      </c>
      <c r="BB150" s="127">
        <v>100</v>
      </c>
      <c r="BC150" s="127">
        <v>112</v>
      </c>
      <c r="BD150" s="96">
        <f t="shared" si="15"/>
        <v>301.65566666666672</v>
      </c>
      <c r="BE150" s="96">
        <f t="shared" si="16"/>
        <v>310.35966666666673</v>
      </c>
      <c r="BF150" s="130">
        <v>4.5199999999999996</v>
      </c>
      <c r="BG150" s="130">
        <v>4.1100000000000003</v>
      </c>
      <c r="BH150" s="127">
        <v>13.2</v>
      </c>
      <c r="BI150" s="127">
        <v>12.8</v>
      </c>
      <c r="BJ150" s="130">
        <v>42.2</v>
      </c>
      <c r="BK150" s="130">
        <v>38.1</v>
      </c>
      <c r="BL150" s="127">
        <v>93.4</v>
      </c>
      <c r="BM150" s="127">
        <v>92.7</v>
      </c>
      <c r="BN150" s="130">
        <v>29.2</v>
      </c>
      <c r="BO150" s="130">
        <v>31.1</v>
      </c>
      <c r="BP150" s="127">
        <v>31.3</v>
      </c>
      <c r="BQ150" s="127">
        <v>33.6</v>
      </c>
      <c r="BR150" s="130">
        <v>244</v>
      </c>
      <c r="BS150" s="130">
        <v>201</v>
      </c>
      <c r="BT150" s="127">
        <v>13.2</v>
      </c>
      <c r="BU150" s="127">
        <v>11.3</v>
      </c>
      <c r="BV150" s="130">
        <v>0.17</v>
      </c>
      <c r="BW150" s="134" t="s">
        <v>94</v>
      </c>
      <c r="BX150" s="127">
        <v>5.81</v>
      </c>
      <c r="BY150" s="127">
        <v>5.84</v>
      </c>
      <c r="BZ150" s="130">
        <v>63.9</v>
      </c>
      <c r="CA150" s="130">
        <v>67</v>
      </c>
      <c r="CB150" s="127">
        <v>27.9</v>
      </c>
      <c r="CC150" s="127">
        <v>24</v>
      </c>
      <c r="CD150" s="130">
        <v>6.4</v>
      </c>
      <c r="CE150" s="130">
        <v>8</v>
      </c>
      <c r="CF150" s="127">
        <v>1.5</v>
      </c>
      <c r="CG150" s="127">
        <v>1</v>
      </c>
      <c r="CH150" s="130">
        <v>0.3</v>
      </c>
      <c r="CI150" s="130">
        <v>0</v>
      </c>
      <c r="CJ150" s="86" t="b">
        <f t="shared" si="17"/>
        <v>0</v>
      </c>
      <c r="CK150" s="2" t="b">
        <f t="shared" si="18"/>
        <v>1</v>
      </c>
      <c r="CL150" s="98">
        <f t="shared" si="19"/>
        <v>72.151949999999999</v>
      </c>
      <c r="CM150" s="98">
        <v>81.5</v>
      </c>
      <c r="CN150" s="98">
        <v>175</v>
      </c>
      <c r="CO150" s="86">
        <v>51.49</v>
      </c>
      <c r="CP150" s="98">
        <v>49.5</v>
      </c>
      <c r="CQ150" s="98">
        <v>41</v>
      </c>
      <c r="CR150" s="96">
        <v>11.47</v>
      </c>
    </row>
    <row r="151" spans="1:96" ht="15.75" customHeight="1">
      <c r="A151" s="50">
        <v>2018</v>
      </c>
      <c r="B151" s="4" t="s">
        <v>186</v>
      </c>
      <c r="C151" s="105">
        <v>3193</v>
      </c>
      <c r="D151" s="101">
        <v>29</v>
      </c>
      <c r="E151" s="101">
        <v>83</v>
      </c>
      <c r="F151" s="101">
        <v>0</v>
      </c>
      <c r="G151" s="302" t="s">
        <v>94</v>
      </c>
      <c r="H151" s="62" t="s">
        <v>94</v>
      </c>
      <c r="I151" s="62" t="s">
        <v>94</v>
      </c>
      <c r="J151" s="62" t="s">
        <v>94</v>
      </c>
      <c r="K151" s="62" t="s">
        <v>94</v>
      </c>
      <c r="L151" s="62" t="s">
        <v>94</v>
      </c>
      <c r="M151" s="126">
        <v>83</v>
      </c>
      <c r="N151" s="126">
        <v>916</v>
      </c>
      <c r="O151" s="127">
        <v>3</v>
      </c>
      <c r="P151" s="127">
        <v>8</v>
      </c>
      <c r="Q151" s="108" t="s">
        <v>94</v>
      </c>
      <c r="R151" s="108" t="s">
        <v>94</v>
      </c>
      <c r="S151" s="127">
        <v>334</v>
      </c>
      <c r="T151" s="127">
        <v>792</v>
      </c>
      <c r="U151" s="128">
        <v>17</v>
      </c>
      <c r="V151" s="129">
        <v>59</v>
      </c>
      <c r="W151" s="127">
        <v>4.5</v>
      </c>
      <c r="X151" s="127">
        <v>3.7</v>
      </c>
      <c r="Y151" s="129">
        <v>30</v>
      </c>
      <c r="Z151" s="129">
        <v>28</v>
      </c>
      <c r="AA151" s="127">
        <v>19</v>
      </c>
      <c r="AB151" s="127">
        <v>18</v>
      </c>
      <c r="AC151" s="130">
        <v>5.2</v>
      </c>
      <c r="AD151" s="130">
        <v>6.4</v>
      </c>
      <c r="AE151" s="110">
        <v>83.4</v>
      </c>
      <c r="AF151" s="341">
        <v>117.8</v>
      </c>
      <c r="AG151" s="130">
        <v>33</v>
      </c>
      <c r="AH151" s="130">
        <v>32</v>
      </c>
      <c r="AI151" s="127">
        <v>1.2</v>
      </c>
      <c r="AJ151" s="127">
        <v>0.9</v>
      </c>
      <c r="AK151" s="269">
        <f t="shared" si="14"/>
        <v>0</v>
      </c>
      <c r="AL151" s="130">
        <v>4.5999999999999996</v>
      </c>
      <c r="AM151" s="130">
        <v>4.5</v>
      </c>
      <c r="AN151" s="131">
        <v>7.5</v>
      </c>
      <c r="AO151" s="131">
        <v>6.6</v>
      </c>
      <c r="AP151" s="127">
        <v>108</v>
      </c>
      <c r="AQ151" s="88" t="s">
        <v>94</v>
      </c>
      <c r="AR151" s="130">
        <v>8.9</v>
      </c>
      <c r="AS151" s="130">
        <v>8.9</v>
      </c>
      <c r="AT151" s="130">
        <v>5.0999999999999996</v>
      </c>
      <c r="AU151" s="130">
        <v>4.3</v>
      </c>
      <c r="AV151" s="68">
        <v>96</v>
      </c>
      <c r="AW151" s="68">
        <v>92</v>
      </c>
      <c r="AX151" s="127">
        <v>149</v>
      </c>
      <c r="AY151" s="127">
        <v>138</v>
      </c>
      <c r="AZ151" s="130">
        <v>2.4</v>
      </c>
      <c r="BA151" s="130">
        <v>2.4</v>
      </c>
      <c r="BB151" s="127">
        <v>102</v>
      </c>
      <c r="BC151" s="127">
        <v>104</v>
      </c>
      <c r="BD151" s="96">
        <f t="shared" si="15"/>
        <v>312.2593333333333</v>
      </c>
      <c r="BE151" s="96">
        <f t="shared" si="16"/>
        <v>289.88911111111116</v>
      </c>
      <c r="BF151" s="130">
        <v>4.6399999999999997</v>
      </c>
      <c r="BG151" s="130">
        <v>3.88</v>
      </c>
      <c r="BH151" s="127">
        <v>13.7</v>
      </c>
      <c r="BI151" s="127">
        <v>12.2</v>
      </c>
      <c r="BJ151" s="130">
        <v>42.3</v>
      </c>
      <c r="BK151" s="130">
        <v>35.700000000000003</v>
      </c>
      <c r="BL151" s="127">
        <v>91.2</v>
      </c>
      <c r="BM151" s="127">
        <v>92</v>
      </c>
      <c r="BN151" s="130">
        <v>29.5</v>
      </c>
      <c r="BO151" s="130">
        <v>31.4</v>
      </c>
      <c r="BP151" s="127">
        <v>32.4</v>
      </c>
      <c r="BQ151" s="127">
        <v>34.200000000000003</v>
      </c>
      <c r="BR151" s="130">
        <v>293</v>
      </c>
      <c r="BS151" s="130">
        <v>255</v>
      </c>
      <c r="BT151" s="127">
        <v>12.6</v>
      </c>
      <c r="BU151" s="127">
        <v>11.2</v>
      </c>
      <c r="BV151" s="130">
        <v>0.19</v>
      </c>
      <c r="BW151" s="89" t="s">
        <v>94</v>
      </c>
      <c r="BX151" s="127">
        <v>6.95</v>
      </c>
      <c r="BY151" s="127">
        <v>7.4</v>
      </c>
      <c r="BZ151" s="130">
        <v>56.4</v>
      </c>
      <c r="CA151" s="130">
        <v>67</v>
      </c>
      <c r="CB151" s="127">
        <v>35.1</v>
      </c>
      <c r="CC151" s="127">
        <v>18</v>
      </c>
      <c r="CD151" s="130">
        <v>7.2</v>
      </c>
      <c r="CE151" s="130">
        <v>12</v>
      </c>
      <c r="CF151" s="127">
        <v>1</v>
      </c>
      <c r="CG151" s="127">
        <v>2</v>
      </c>
      <c r="CH151" s="130">
        <v>0.3</v>
      </c>
      <c r="CI151" s="130">
        <v>1</v>
      </c>
      <c r="CJ151" s="86" t="b">
        <f t="shared" si="17"/>
        <v>0</v>
      </c>
      <c r="CK151" s="2" t="b">
        <f t="shared" si="18"/>
        <v>0</v>
      </c>
      <c r="CL151" s="98">
        <f t="shared" si="19"/>
        <v>72.809100000000001</v>
      </c>
      <c r="CM151" s="98">
        <v>81.900000000000006</v>
      </c>
      <c r="CN151" s="98">
        <v>180.5</v>
      </c>
      <c r="CO151" s="86">
        <v>51.93</v>
      </c>
      <c r="CP151" s="98">
        <v>44.5</v>
      </c>
      <c r="CQ151" s="98">
        <v>46.5</v>
      </c>
      <c r="CR151" s="96">
        <v>11.1</v>
      </c>
    </row>
    <row r="152" spans="1:96" ht="15.75" customHeight="1">
      <c r="A152" s="50">
        <v>2018</v>
      </c>
      <c r="B152" s="4" t="s">
        <v>186</v>
      </c>
      <c r="C152" s="105">
        <v>3194</v>
      </c>
      <c r="D152" s="101">
        <v>28</v>
      </c>
      <c r="E152" s="101">
        <v>81</v>
      </c>
      <c r="F152" s="101">
        <v>1</v>
      </c>
      <c r="G152" s="302" t="s">
        <v>94</v>
      </c>
      <c r="H152" s="62" t="s">
        <v>94</v>
      </c>
      <c r="I152" s="62" t="s">
        <v>94</v>
      </c>
      <c r="J152" s="62" t="s">
        <v>94</v>
      </c>
      <c r="K152" s="62" t="s">
        <v>94</v>
      </c>
      <c r="L152" s="62" t="s">
        <v>94</v>
      </c>
      <c r="M152" s="126">
        <v>103</v>
      </c>
      <c r="N152" s="126">
        <v>2961</v>
      </c>
      <c r="O152" s="127">
        <v>3</v>
      </c>
      <c r="P152" s="127">
        <v>46</v>
      </c>
      <c r="Q152" s="108" t="s">
        <v>94</v>
      </c>
      <c r="R152" s="108" t="s">
        <v>94</v>
      </c>
      <c r="S152" s="127">
        <v>499</v>
      </c>
      <c r="T152" s="127">
        <v>1023</v>
      </c>
      <c r="U152" s="129">
        <v>21</v>
      </c>
      <c r="V152" s="129">
        <v>110</v>
      </c>
      <c r="W152" s="127">
        <v>4.7</v>
      </c>
      <c r="X152" s="127">
        <v>3.7</v>
      </c>
      <c r="Y152" s="129">
        <v>21</v>
      </c>
      <c r="Z152" s="129">
        <v>30</v>
      </c>
      <c r="AA152" s="127">
        <v>14</v>
      </c>
      <c r="AB152" s="127">
        <v>16</v>
      </c>
      <c r="AC152" s="130">
        <v>4.0999999999999996</v>
      </c>
      <c r="AD152" s="130">
        <v>6.3</v>
      </c>
      <c r="AE152" s="91">
        <v>104.5</v>
      </c>
      <c r="AF152" s="332">
        <v>118.6</v>
      </c>
      <c r="AG152" s="130">
        <v>33</v>
      </c>
      <c r="AH152" s="130">
        <v>38</v>
      </c>
      <c r="AI152" s="127">
        <v>1</v>
      </c>
      <c r="AJ152" s="127">
        <v>0.9</v>
      </c>
      <c r="AK152" s="269">
        <f t="shared" si="14"/>
        <v>0</v>
      </c>
      <c r="AL152" s="130">
        <v>4.3</v>
      </c>
      <c r="AM152" s="130">
        <v>4</v>
      </c>
      <c r="AN152" s="131">
        <v>8</v>
      </c>
      <c r="AO152" s="131">
        <v>6.8</v>
      </c>
      <c r="AP152" s="127">
        <v>99</v>
      </c>
      <c r="AQ152" s="88" t="s">
        <v>94</v>
      </c>
      <c r="AR152" s="130">
        <v>8.9</v>
      </c>
      <c r="AS152" s="130">
        <v>9.1999999999999993</v>
      </c>
      <c r="AT152" s="130">
        <v>4.8</v>
      </c>
      <c r="AU152" s="130">
        <v>4.7</v>
      </c>
      <c r="AV152" s="68">
        <v>122</v>
      </c>
      <c r="AW152" s="68">
        <v>102</v>
      </c>
      <c r="AX152" s="127">
        <v>143</v>
      </c>
      <c r="AY152" s="127">
        <v>137</v>
      </c>
      <c r="AZ152" s="130">
        <v>2</v>
      </c>
      <c r="BA152" s="130">
        <v>2.2999999999999998</v>
      </c>
      <c r="BB152" s="127">
        <v>100</v>
      </c>
      <c r="BC152" s="127">
        <v>103</v>
      </c>
      <c r="BD152" s="96">
        <f t="shared" si="15"/>
        <v>302.20244444444444</v>
      </c>
      <c r="BE152" s="96">
        <f t="shared" si="16"/>
        <v>290.41199999999998</v>
      </c>
      <c r="BF152" s="130">
        <v>5.21</v>
      </c>
      <c r="BG152" s="130">
        <v>4.08</v>
      </c>
      <c r="BH152" s="127">
        <v>15.2</v>
      </c>
      <c r="BI152" s="127">
        <v>12.1</v>
      </c>
      <c r="BJ152" s="130">
        <v>46.1</v>
      </c>
      <c r="BK152" s="130">
        <v>36.6</v>
      </c>
      <c r="BL152" s="127">
        <v>88.5</v>
      </c>
      <c r="BM152" s="127">
        <v>89.7</v>
      </c>
      <c r="BN152" s="130">
        <v>29.2</v>
      </c>
      <c r="BO152" s="130">
        <v>29.7</v>
      </c>
      <c r="BP152" s="127">
        <v>33</v>
      </c>
      <c r="BQ152" s="127">
        <v>33.1</v>
      </c>
      <c r="BR152" s="130">
        <v>236</v>
      </c>
      <c r="BS152" s="130">
        <v>319</v>
      </c>
      <c r="BT152" s="127">
        <v>12.8</v>
      </c>
      <c r="BU152" s="127">
        <v>12.7</v>
      </c>
      <c r="BV152" s="130">
        <v>0.25</v>
      </c>
      <c r="BW152" s="89" t="s">
        <v>94</v>
      </c>
      <c r="BX152" s="127">
        <v>4.97</v>
      </c>
      <c r="BY152" s="127">
        <v>4.75</v>
      </c>
      <c r="BZ152" s="130">
        <v>56.5</v>
      </c>
      <c r="CA152" s="130">
        <v>54</v>
      </c>
      <c r="CB152" s="127">
        <v>32.799999999999997</v>
      </c>
      <c r="CC152" s="127">
        <v>31</v>
      </c>
      <c r="CD152" s="130">
        <v>9.1</v>
      </c>
      <c r="CE152" s="130">
        <v>13</v>
      </c>
      <c r="CF152" s="127">
        <v>1.2</v>
      </c>
      <c r="CG152" s="127">
        <v>2</v>
      </c>
      <c r="CH152" s="130">
        <v>0.4</v>
      </c>
      <c r="CI152" s="130">
        <v>0</v>
      </c>
      <c r="CJ152" s="86" t="b">
        <f t="shared" si="17"/>
        <v>0</v>
      </c>
      <c r="CK152" s="2" t="b">
        <f t="shared" si="18"/>
        <v>1</v>
      </c>
      <c r="CL152" s="98">
        <f t="shared" si="19"/>
        <v>71.943809999999999</v>
      </c>
      <c r="CM152" s="98">
        <v>81.099999999999994</v>
      </c>
      <c r="CN152" s="98">
        <v>178</v>
      </c>
      <c r="CO152" s="86">
        <v>51.6</v>
      </c>
      <c r="CP152" s="98">
        <v>45.5</v>
      </c>
      <c r="CQ152" s="98">
        <v>43</v>
      </c>
      <c r="CR152" s="99">
        <v>11.29</v>
      </c>
    </row>
    <row r="153" spans="1:96" ht="15.75" customHeight="1">
      <c r="A153" s="50">
        <v>2018</v>
      </c>
      <c r="B153" s="4" t="s">
        <v>186</v>
      </c>
      <c r="C153" s="105">
        <v>3195</v>
      </c>
      <c r="D153" s="101">
        <v>26</v>
      </c>
      <c r="E153" s="101">
        <v>68</v>
      </c>
      <c r="F153" s="101">
        <v>1</v>
      </c>
      <c r="G153" s="302" t="s">
        <v>94</v>
      </c>
      <c r="H153" s="62" t="s">
        <v>94</v>
      </c>
      <c r="I153" s="62" t="s">
        <v>94</v>
      </c>
      <c r="J153" s="62" t="s">
        <v>94</v>
      </c>
      <c r="K153" s="62" t="s">
        <v>94</v>
      </c>
      <c r="L153" s="62" t="s">
        <v>94</v>
      </c>
      <c r="M153" s="126">
        <v>100</v>
      </c>
      <c r="N153" s="126">
        <v>1211</v>
      </c>
      <c r="O153" s="127">
        <v>3</v>
      </c>
      <c r="P153" s="127">
        <v>26</v>
      </c>
      <c r="Q153" s="108" t="s">
        <v>94</v>
      </c>
      <c r="R153" s="108" t="s">
        <v>94</v>
      </c>
      <c r="S153" s="127">
        <v>441</v>
      </c>
      <c r="T153" s="127">
        <v>1039</v>
      </c>
      <c r="U153" s="128">
        <v>23</v>
      </c>
      <c r="V153" s="129">
        <v>77</v>
      </c>
      <c r="W153" s="127">
        <v>5.0999999999999996</v>
      </c>
      <c r="X153" s="127">
        <v>4.5</v>
      </c>
      <c r="Y153" s="129">
        <v>37</v>
      </c>
      <c r="Z153" s="129">
        <v>27</v>
      </c>
      <c r="AA153" s="127">
        <v>19</v>
      </c>
      <c r="AB153" s="127">
        <v>20</v>
      </c>
      <c r="AC153" s="130">
        <v>4.2</v>
      </c>
      <c r="AD153" s="130">
        <v>6.2</v>
      </c>
      <c r="AE153" s="102">
        <v>125.2</v>
      </c>
      <c r="AF153" s="337">
        <v>125.2</v>
      </c>
      <c r="AG153" s="130">
        <v>28</v>
      </c>
      <c r="AH153" s="130">
        <v>50</v>
      </c>
      <c r="AI153" s="127">
        <v>0.8</v>
      </c>
      <c r="AJ153" s="127">
        <v>0.8</v>
      </c>
      <c r="AK153" s="269">
        <f t="shared" si="14"/>
        <v>0</v>
      </c>
      <c r="AL153" s="130">
        <v>4.5</v>
      </c>
      <c r="AM153" s="130">
        <v>4.4000000000000004</v>
      </c>
      <c r="AN153" s="131">
        <v>8.1999999999999993</v>
      </c>
      <c r="AO153" s="131">
        <v>7.6</v>
      </c>
      <c r="AP153" s="127">
        <v>110</v>
      </c>
      <c r="AQ153" s="88" t="s">
        <v>94</v>
      </c>
      <c r="AR153" s="130">
        <v>9.1999999999999993</v>
      </c>
      <c r="AS153" s="130">
        <v>9.8000000000000007</v>
      </c>
      <c r="AT153" s="130">
        <v>4.2</v>
      </c>
      <c r="AU153" s="130">
        <v>4.5999999999999996</v>
      </c>
      <c r="AV153" s="68">
        <v>90</v>
      </c>
      <c r="AW153" s="68">
        <v>93</v>
      </c>
      <c r="AX153" s="127">
        <v>145</v>
      </c>
      <c r="AY153" s="127">
        <v>138</v>
      </c>
      <c r="AZ153" s="130">
        <v>2.1</v>
      </c>
      <c r="BA153" s="130">
        <v>2.4</v>
      </c>
      <c r="BB153" s="127">
        <v>98</v>
      </c>
      <c r="BC153" s="127">
        <v>102</v>
      </c>
      <c r="BD153" s="96">
        <f t="shared" si="15"/>
        <v>301.92866666666669</v>
      </c>
      <c r="BE153" s="96">
        <f t="shared" si="16"/>
        <v>293.51099999999997</v>
      </c>
      <c r="BF153" s="130">
        <v>5.1100000000000003</v>
      </c>
      <c r="BG153" s="130">
        <v>4.22</v>
      </c>
      <c r="BH153" s="127">
        <v>15.5</v>
      </c>
      <c r="BI153" s="127">
        <v>13.8</v>
      </c>
      <c r="BJ153" s="130">
        <v>48.1</v>
      </c>
      <c r="BK153" s="130">
        <v>39.5</v>
      </c>
      <c r="BL153" s="127">
        <v>94.1</v>
      </c>
      <c r="BM153" s="127">
        <v>93.6</v>
      </c>
      <c r="BN153" s="130">
        <v>30.3</v>
      </c>
      <c r="BO153" s="130">
        <v>32.700000000000003</v>
      </c>
      <c r="BP153" s="127">
        <v>32.200000000000003</v>
      </c>
      <c r="BQ153" s="127">
        <v>34.9</v>
      </c>
      <c r="BR153" s="130">
        <v>222</v>
      </c>
      <c r="BS153" s="130">
        <v>240</v>
      </c>
      <c r="BT153" s="127">
        <v>12.7</v>
      </c>
      <c r="BU153" s="127">
        <v>13</v>
      </c>
      <c r="BV153" s="130">
        <v>0.37</v>
      </c>
      <c r="BW153" s="89" t="s">
        <v>94</v>
      </c>
      <c r="BX153" s="127">
        <v>7</v>
      </c>
      <c r="BY153" s="127">
        <v>6.99</v>
      </c>
      <c r="BZ153" s="130">
        <v>57.3</v>
      </c>
      <c r="CA153" s="130">
        <v>59</v>
      </c>
      <c r="CB153" s="127">
        <v>30.1</v>
      </c>
      <c r="CC153" s="127">
        <v>26</v>
      </c>
      <c r="CD153" s="130">
        <v>10.6</v>
      </c>
      <c r="CE153" s="130">
        <v>12</v>
      </c>
      <c r="CF153" s="127">
        <v>1.6</v>
      </c>
      <c r="CG153" s="127">
        <v>2</v>
      </c>
      <c r="CH153" s="130">
        <v>0.4</v>
      </c>
      <c r="CI153" s="130">
        <v>1</v>
      </c>
      <c r="CJ153" s="86" t="b">
        <f t="shared" si="17"/>
        <v>0</v>
      </c>
      <c r="CK153" s="2" t="b">
        <f t="shared" si="18"/>
        <v>1</v>
      </c>
      <c r="CL153" s="98">
        <f t="shared" si="19"/>
        <v>62.5396</v>
      </c>
      <c r="CM153" s="98">
        <v>68</v>
      </c>
      <c r="CN153" s="98">
        <v>173</v>
      </c>
      <c r="CO153" s="86">
        <v>55.9</v>
      </c>
      <c r="CP153" s="98">
        <v>39</v>
      </c>
      <c r="CQ153" s="98">
        <v>39</v>
      </c>
      <c r="CR153" s="96">
        <v>8.0299999999999994</v>
      </c>
    </row>
    <row r="154" spans="1:96" ht="15.75" customHeight="1">
      <c r="A154" s="50">
        <v>2018</v>
      </c>
      <c r="B154" s="4" t="s">
        <v>186</v>
      </c>
      <c r="C154" s="105">
        <v>3196</v>
      </c>
      <c r="D154" s="101">
        <v>27</v>
      </c>
      <c r="E154" s="101">
        <v>80</v>
      </c>
      <c r="F154" s="101">
        <v>1</v>
      </c>
      <c r="G154" s="302" t="s">
        <v>94</v>
      </c>
      <c r="H154" s="62" t="s">
        <v>94</v>
      </c>
      <c r="I154" s="62" t="s">
        <v>94</v>
      </c>
      <c r="J154" s="62" t="s">
        <v>94</v>
      </c>
      <c r="K154" s="62" t="s">
        <v>94</v>
      </c>
      <c r="L154" s="62" t="s">
        <v>94</v>
      </c>
      <c r="M154" s="87">
        <v>215</v>
      </c>
      <c r="N154" s="126">
        <v>6479</v>
      </c>
      <c r="O154" s="127">
        <v>3</v>
      </c>
      <c r="P154" s="127">
        <v>23</v>
      </c>
      <c r="Q154" s="108" t="s">
        <v>94</v>
      </c>
      <c r="R154" s="108" t="s">
        <v>94</v>
      </c>
      <c r="S154" s="127">
        <v>607</v>
      </c>
      <c r="T154" s="127">
        <v>862</v>
      </c>
      <c r="U154" s="128">
        <v>23</v>
      </c>
      <c r="V154" s="129">
        <v>82</v>
      </c>
      <c r="W154" s="127">
        <v>4.5999999999999996</v>
      </c>
      <c r="X154" s="127">
        <v>3.8</v>
      </c>
      <c r="Y154" s="129">
        <v>27</v>
      </c>
      <c r="Z154" s="129">
        <v>29</v>
      </c>
      <c r="AA154" s="127">
        <v>25</v>
      </c>
      <c r="AB154" s="127">
        <v>21</v>
      </c>
      <c r="AC154" s="130">
        <v>5.7</v>
      </c>
      <c r="AD154" s="130">
        <v>7.9</v>
      </c>
      <c r="AE154" s="102">
        <v>93.8</v>
      </c>
      <c r="AF154" s="337">
        <v>93.8</v>
      </c>
      <c r="AG154" s="130">
        <v>31</v>
      </c>
      <c r="AH154" s="130">
        <v>51</v>
      </c>
      <c r="AI154" s="127">
        <v>1.1000000000000001</v>
      </c>
      <c r="AJ154" s="127">
        <v>1.1000000000000001</v>
      </c>
      <c r="AK154" s="269">
        <f t="shared" si="14"/>
        <v>0</v>
      </c>
      <c r="AL154" s="130">
        <v>4.0999999999999996</v>
      </c>
      <c r="AM154" s="130">
        <v>3.9</v>
      </c>
      <c r="AN154" s="131">
        <v>7.8</v>
      </c>
      <c r="AO154" s="131">
        <v>6.8</v>
      </c>
      <c r="AP154" s="127">
        <v>82</v>
      </c>
      <c r="AQ154" s="88" t="s">
        <v>94</v>
      </c>
      <c r="AR154" s="130">
        <v>8.4</v>
      </c>
      <c r="AS154" s="130">
        <v>9.1999999999999993</v>
      </c>
      <c r="AT154" s="130">
        <v>4.5</v>
      </c>
      <c r="AU154" s="130">
        <v>4.5</v>
      </c>
      <c r="AV154" s="68">
        <v>95</v>
      </c>
      <c r="AW154" s="68">
        <v>91</v>
      </c>
      <c r="AX154" s="127">
        <v>144</v>
      </c>
      <c r="AY154" s="127">
        <v>137</v>
      </c>
      <c r="AZ154" s="130">
        <v>2.1</v>
      </c>
      <c r="BA154" s="130">
        <v>2.2000000000000002</v>
      </c>
      <c r="BB154" s="127">
        <v>101</v>
      </c>
      <c r="BC154" s="127">
        <v>103</v>
      </c>
      <c r="BD154" s="96">
        <f t="shared" si="15"/>
        <v>301.44611111111118</v>
      </c>
      <c r="BE154" s="96">
        <f t="shared" si="16"/>
        <v>291.50388888888887</v>
      </c>
      <c r="BF154" s="130">
        <v>5.43</v>
      </c>
      <c r="BG154" s="130">
        <v>4.5599999999999996</v>
      </c>
      <c r="BH154" s="127">
        <v>14.8</v>
      </c>
      <c r="BI154" s="127">
        <v>13.1</v>
      </c>
      <c r="BJ154" s="130">
        <v>45.7</v>
      </c>
      <c r="BK154" s="130">
        <v>38.9</v>
      </c>
      <c r="BL154" s="127">
        <v>84.2</v>
      </c>
      <c r="BM154" s="127">
        <v>85.3</v>
      </c>
      <c r="BN154" s="130">
        <v>27.3</v>
      </c>
      <c r="BO154" s="130">
        <v>28.7</v>
      </c>
      <c r="BP154" s="127">
        <v>32.4</v>
      </c>
      <c r="BQ154" s="127">
        <v>33.700000000000003</v>
      </c>
      <c r="BR154" s="130">
        <v>262</v>
      </c>
      <c r="BS154" s="130">
        <v>225</v>
      </c>
      <c r="BT154" s="127">
        <v>12.7</v>
      </c>
      <c r="BU154" s="127">
        <v>12.1</v>
      </c>
      <c r="BV154" s="133">
        <v>1.22</v>
      </c>
      <c r="BW154" s="134" t="s">
        <v>94</v>
      </c>
      <c r="BX154" s="127">
        <v>6.29</v>
      </c>
      <c r="BY154" s="127">
        <v>7.47</v>
      </c>
      <c r="BZ154" s="130">
        <v>49.1</v>
      </c>
      <c r="CA154" s="130">
        <v>56</v>
      </c>
      <c r="CB154" s="127">
        <v>42.6</v>
      </c>
      <c r="CC154" s="127">
        <v>34</v>
      </c>
      <c r="CD154" s="130">
        <v>5.9</v>
      </c>
      <c r="CE154" s="130">
        <v>8</v>
      </c>
      <c r="CF154" s="127">
        <v>1.9</v>
      </c>
      <c r="CG154" s="127">
        <v>2</v>
      </c>
      <c r="CH154" s="130">
        <v>0.5</v>
      </c>
      <c r="CI154" s="130">
        <v>0</v>
      </c>
      <c r="CJ154" s="86" t="b">
        <f t="shared" si="17"/>
        <v>0</v>
      </c>
      <c r="CK154" s="2" t="b">
        <f t="shared" si="18"/>
        <v>1</v>
      </c>
      <c r="CL154" s="98">
        <f t="shared" si="19"/>
        <v>70.30368</v>
      </c>
      <c r="CM154" s="98">
        <v>82.4</v>
      </c>
      <c r="CN154" s="98">
        <v>168</v>
      </c>
      <c r="CO154" s="86">
        <v>50.7</v>
      </c>
      <c r="CP154" s="98">
        <v>60</v>
      </c>
      <c r="CQ154" s="98">
        <v>58</v>
      </c>
      <c r="CR154" s="96">
        <v>14.68</v>
      </c>
    </row>
    <row r="155" spans="1:96" ht="15.75" customHeight="1">
      <c r="A155" s="50">
        <v>2018</v>
      </c>
      <c r="B155" s="4" t="s">
        <v>183</v>
      </c>
      <c r="C155" s="105">
        <v>3155</v>
      </c>
      <c r="D155" s="101">
        <v>26</v>
      </c>
      <c r="E155" s="101">
        <v>70</v>
      </c>
      <c r="F155" s="101">
        <v>1</v>
      </c>
      <c r="G155" s="54" t="s">
        <v>86</v>
      </c>
      <c r="H155" s="55" t="s">
        <v>83</v>
      </c>
      <c r="I155" s="56" t="s">
        <v>87</v>
      </c>
      <c r="J155" s="52" t="s">
        <v>88</v>
      </c>
      <c r="K155" s="53">
        <v>50</v>
      </c>
      <c r="L155" s="55">
        <v>50</v>
      </c>
      <c r="M155" s="87">
        <v>681</v>
      </c>
      <c r="N155" s="141">
        <v>429</v>
      </c>
      <c r="O155" s="94" t="s">
        <v>94</v>
      </c>
      <c r="P155" s="94" t="s">
        <v>94</v>
      </c>
      <c r="Q155" s="142" t="s">
        <v>94</v>
      </c>
      <c r="R155" s="142" t="s">
        <v>94</v>
      </c>
      <c r="S155" s="80" t="s">
        <v>94</v>
      </c>
      <c r="T155" s="80" t="s">
        <v>94</v>
      </c>
      <c r="U155" s="143" t="s">
        <v>94</v>
      </c>
      <c r="V155" s="143" t="s">
        <v>94</v>
      </c>
      <c r="W155" s="88">
        <v>3.94</v>
      </c>
      <c r="X155" s="94">
        <v>4</v>
      </c>
      <c r="Y155" s="143" t="s">
        <v>94</v>
      </c>
      <c r="Z155" s="143" t="s">
        <v>94</v>
      </c>
      <c r="AA155" s="80" t="s">
        <v>94</v>
      </c>
      <c r="AB155" s="80" t="s">
        <v>94</v>
      </c>
      <c r="AC155" s="89">
        <v>4.8</v>
      </c>
      <c r="AD155" s="97">
        <v>6.2</v>
      </c>
      <c r="AE155" s="102">
        <v>124.4</v>
      </c>
      <c r="AF155" s="335">
        <v>77.2</v>
      </c>
      <c r="AG155" s="89">
        <v>46</v>
      </c>
      <c r="AH155" s="97">
        <v>39</v>
      </c>
      <c r="AI155" s="88">
        <v>0.8</v>
      </c>
      <c r="AJ155" s="94">
        <v>1.3</v>
      </c>
      <c r="AK155" s="269">
        <f t="shared" si="14"/>
        <v>0.5</v>
      </c>
      <c r="AL155" s="89">
        <v>4.3</v>
      </c>
      <c r="AM155" s="97">
        <v>5.6</v>
      </c>
      <c r="AN155" s="61" t="s">
        <v>94</v>
      </c>
      <c r="AO155" s="61" t="s">
        <v>94</v>
      </c>
      <c r="AP155" s="80" t="s">
        <v>94</v>
      </c>
      <c r="AQ155" s="80" t="s">
        <v>94</v>
      </c>
      <c r="AR155" s="89">
        <v>9.4</v>
      </c>
      <c r="AS155" s="97">
        <v>9.5</v>
      </c>
      <c r="AT155" s="142" t="s">
        <v>94</v>
      </c>
      <c r="AU155" s="142" t="s">
        <v>94</v>
      </c>
      <c r="AV155" s="70">
        <v>102</v>
      </c>
      <c r="AW155" s="70">
        <v>107</v>
      </c>
      <c r="AX155" s="80" t="s">
        <v>94</v>
      </c>
      <c r="AY155" s="80" t="s">
        <v>94</v>
      </c>
      <c r="AZ155" s="142" t="s">
        <v>94</v>
      </c>
      <c r="BA155" s="142" t="s">
        <v>94</v>
      </c>
      <c r="BB155" s="80" t="s">
        <v>94</v>
      </c>
      <c r="BC155" s="80" t="s">
        <v>94</v>
      </c>
      <c r="BD155" s="96" t="e">
        <f t="shared" si="15"/>
        <v>#VALUE!</v>
      </c>
      <c r="BE155" s="96" t="e">
        <f t="shared" si="16"/>
        <v>#VALUE!</v>
      </c>
      <c r="BF155" s="89">
        <v>4</v>
      </c>
      <c r="BG155" s="97">
        <v>4.2</v>
      </c>
      <c r="BH155" s="88">
        <v>12</v>
      </c>
      <c r="BI155" s="94">
        <v>12.4</v>
      </c>
      <c r="BJ155" s="89">
        <v>36.6</v>
      </c>
      <c r="BK155" s="97">
        <v>37.700000000000003</v>
      </c>
      <c r="BL155" s="88">
        <v>90.4</v>
      </c>
      <c r="BM155" s="94" t="s">
        <v>94</v>
      </c>
      <c r="BN155" s="89">
        <v>29.6</v>
      </c>
      <c r="BO155" s="97" t="s">
        <v>94</v>
      </c>
      <c r="BP155" s="88">
        <v>32.799999999999997</v>
      </c>
      <c r="BQ155" s="94" t="s">
        <v>94</v>
      </c>
      <c r="BR155" s="89">
        <v>338</v>
      </c>
      <c r="BS155" s="97" t="s">
        <v>94</v>
      </c>
      <c r="BT155" s="88">
        <v>13.9</v>
      </c>
      <c r="BU155" s="94" t="s">
        <v>94</v>
      </c>
      <c r="BV155" s="97" t="s">
        <v>94</v>
      </c>
      <c r="BW155" s="97" t="s">
        <v>94</v>
      </c>
      <c r="BX155" s="88">
        <v>10.06</v>
      </c>
      <c r="BY155" s="94" t="s">
        <v>94</v>
      </c>
      <c r="BZ155" s="89">
        <v>74</v>
      </c>
      <c r="CA155" s="97" t="s">
        <v>94</v>
      </c>
      <c r="CB155" s="88">
        <v>13</v>
      </c>
      <c r="CC155" s="94" t="s">
        <v>94</v>
      </c>
      <c r="CD155" s="89">
        <v>8</v>
      </c>
      <c r="CE155" s="97" t="s">
        <v>94</v>
      </c>
      <c r="CF155" s="95">
        <v>1</v>
      </c>
      <c r="CG155" s="94" t="s">
        <v>94</v>
      </c>
      <c r="CH155" s="97">
        <v>0</v>
      </c>
      <c r="CI155" s="97" t="s">
        <v>94</v>
      </c>
      <c r="CJ155" s="86" t="b">
        <f t="shared" si="17"/>
        <v>1</v>
      </c>
      <c r="CK155" s="2" t="b">
        <f t="shared" si="18"/>
        <v>0</v>
      </c>
      <c r="CL155" s="98">
        <f t="shared" si="19"/>
        <v>71.28528</v>
      </c>
      <c r="CM155" s="98">
        <v>75.900000000000006</v>
      </c>
      <c r="CN155" s="98">
        <v>171</v>
      </c>
      <c r="CO155" s="86">
        <v>54.68</v>
      </c>
      <c r="CP155" s="98">
        <v>42</v>
      </c>
      <c r="CQ155" s="98">
        <v>43</v>
      </c>
      <c r="CR155" s="96">
        <v>6.08</v>
      </c>
    </row>
    <row r="156" spans="1:96" ht="15.75" customHeight="1">
      <c r="A156" s="50">
        <v>2018</v>
      </c>
      <c r="B156" s="4" t="s">
        <v>183</v>
      </c>
      <c r="C156" s="105">
        <v>3156</v>
      </c>
      <c r="D156" s="101">
        <v>26</v>
      </c>
      <c r="E156" s="101">
        <v>74</v>
      </c>
      <c r="F156" s="101">
        <v>1</v>
      </c>
      <c r="G156" s="54" t="s">
        <v>89</v>
      </c>
      <c r="H156" s="55" t="s">
        <v>90</v>
      </c>
      <c r="I156" s="56" t="s">
        <v>84</v>
      </c>
      <c r="J156" s="55" t="s">
        <v>91</v>
      </c>
      <c r="K156" s="53">
        <v>50</v>
      </c>
      <c r="L156" s="55">
        <v>50</v>
      </c>
      <c r="M156" s="87">
        <v>408</v>
      </c>
      <c r="N156" s="87">
        <v>356</v>
      </c>
      <c r="O156" s="94" t="s">
        <v>94</v>
      </c>
      <c r="P156" s="94" t="s">
        <v>94</v>
      </c>
      <c r="Q156" s="142" t="s">
        <v>94</v>
      </c>
      <c r="R156" s="142" t="s">
        <v>94</v>
      </c>
      <c r="S156" s="80" t="s">
        <v>94</v>
      </c>
      <c r="T156" s="80" t="s">
        <v>94</v>
      </c>
      <c r="U156" s="143" t="s">
        <v>94</v>
      </c>
      <c r="V156" s="143" t="s">
        <v>94</v>
      </c>
      <c r="W156" s="88">
        <v>4.3499999999999996</v>
      </c>
      <c r="X156" s="88">
        <v>3.7</v>
      </c>
      <c r="Y156" s="143" t="s">
        <v>94</v>
      </c>
      <c r="Z156" s="143" t="s">
        <v>94</v>
      </c>
      <c r="AA156" s="80" t="s">
        <v>94</v>
      </c>
      <c r="AB156" s="80" t="s">
        <v>94</v>
      </c>
      <c r="AC156" s="89">
        <v>4</v>
      </c>
      <c r="AD156" s="89">
        <v>3.5</v>
      </c>
      <c r="AE156" s="102">
        <v>103.3</v>
      </c>
      <c r="AF156" s="103">
        <v>77.2</v>
      </c>
      <c r="AG156" s="89">
        <v>37</v>
      </c>
      <c r="AH156" s="89">
        <v>43</v>
      </c>
      <c r="AI156" s="144">
        <v>1.02</v>
      </c>
      <c r="AJ156" s="88">
        <v>1.3</v>
      </c>
      <c r="AK156" s="269">
        <f t="shared" si="14"/>
        <v>0.28000000000000003</v>
      </c>
      <c r="AL156" s="89">
        <v>3.01</v>
      </c>
      <c r="AM156" s="89">
        <v>4.4000000000000004</v>
      </c>
      <c r="AN156" s="61" t="s">
        <v>94</v>
      </c>
      <c r="AO156" s="61" t="s">
        <v>94</v>
      </c>
      <c r="AP156" s="80" t="s">
        <v>94</v>
      </c>
      <c r="AQ156" s="80" t="s">
        <v>94</v>
      </c>
      <c r="AR156" s="89">
        <v>8.5</v>
      </c>
      <c r="AS156" s="89">
        <v>9</v>
      </c>
      <c r="AT156" s="142" t="s">
        <v>94</v>
      </c>
      <c r="AU156" s="142" t="s">
        <v>94</v>
      </c>
      <c r="AV156" s="70">
        <v>94</v>
      </c>
      <c r="AW156" s="70">
        <v>65</v>
      </c>
      <c r="AX156" s="80" t="s">
        <v>94</v>
      </c>
      <c r="AY156" s="80" t="s">
        <v>94</v>
      </c>
      <c r="AZ156" s="142" t="s">
        <v>94</v>
      </c>
      <c r="BA156" s="142" t="s">
        <v>94</v>
      </c>
      <c r="BB156" s="80" t="s">
        <v>94</v>
      </c>
      <c r="BC156" s="80" t="s">
        <v>94</v>
      </c>
      <c r="BD156" s="96" t="e">
        <f t="shared" si="15"/>
        <v>#VALUE!</v>
      </c>
      <c r="BE156" s="96" t="e">
        <f t="shared" si="16"/>
        <v>#VALUE!</v>
      </c>
      <c r="BF156" s="89">
        <v>4.5</v>
      </c>
      <c r="BG156" s="89">
        <v>4.5999999999999996</v>
      </c>
      <c r="BH156" s="88">
        <v>13.7</v>
      </c>
      <c r="BI156" s="88">
        <v>14.1</v>
      </c>
      <c r="BJ156" s="89">
        <v>41.5</v>
      </c>
      <c r="BK156" s="89">
        <v>42.2</v>
      </c>
      <c r="BL156" s="88">
        <v>92.6</v>
      </c>
      <c r="BM156" s="88">
        <v>91.5</v>
      </c>
      <c r="BN156" s="89">
        <v>30.6</v>
      </c>
      <c r="BO156" s="89">
        <v>30.6</v>
      </c>
      <c r="BP156" s="88">
        <v>33</v>
      </c>
      <c r="BQ156" s="88">
        <v>33.4</v>
      </c>
      <c r="BR156" s="89">
        <v>226</v>
      </c>
      <c r="BS156" s="89">
        <v>287</v>
      </c>
      <c r="BT156" s="88">
        <v>13.1</v>
      </c>
      <c r="BU156" s="88">
        <v>12.4</v>
      </c>
      <c r="BV156" s="97" t="s">
        <v>94</v>
      </c>
      <c r="BW156" s="97" t="s">
        <v>94</v>
      </c>
      <c r="BX156" s="88">
        <v>7.46</v>
      </c>
      <c r="BY156" s="88">
        <v>6.97</v>
      </c>
      <c r="BZ156" s="89">
        <v>76</v>
      </c>
      <c r="CA156" s="89">
        <v>69</v>
      </c>
      <c r="CB156" s="88">
        <v>15</v>
      </c>
      <c r="CC156" s="88">
        <v>23</v>
      </c>
      <c r="CD156" s="89">
        <v>8</v>
      </c>
      <c r="CE156" s="89">
        <v>7</v>
      </c>
      <c r="CF156" s="95">
        <v>1</v>
      </c>
      <c r="CG156" s="95">
        <v>1</v>
      </c>
      <c r="CH156" s="97">
        <v>0</v>
      </c>
      <c r="CI156" s="97">
        <v>0</v>
      </c>
      <c r="CJ156" s="86" t="b">
        <f t="shared" si="17"/>
        <v>0</v>
      </c>
      <c r="CK156" s="2" t="b">
        <f t="shared" si="18"/>
        <v>0</v>
      </c>
      <c r="CL156" s="98">
        <f t="shared" si="19"/>
        <v>72.293760000000006</v>
      </c>
      <c r="CM156" s="98">
        <v>79.2</v>
      </c>
      <c r="CN156" s="98">
        <v>174</v>
      </c>
      <c r="CO156" s="86">
        <v>53.64</v>
      </c>
      <c r="CP156" s="98">
        <v>49.5</v>
      </c>
      <c r="CQ156" s="98">
        <v>49.5</v>
      </c>
      <c r="CR156" s="96">
        <v>8.7200000000000006</v>
      </c>
    </row>
    <row r="157" spans="1:96" ht="15.75" customHeight="1">
      <c r="A157" s="50">
        <v>2018</v>
      </c>
      <c r="B157" s="4" t="s">
        <v>183</v>
      </c>
      <c r="C157" s="105">
        <v>3159</v>
      </c>
      <c r="D157" s="101">
        <v>25</v>
      </c>
      <c r="E157" s="101">
        <v>84</v>
      </c>
      <c r="F157" s="101">
        <v>1</v>
      </c>
      <c r="G157" s="51" t="s">
        <v>86</v>
      </c>
      <c r="H157" s="52" t="s">
        <v>92</v>
      </c>
      <c r="I157" s="53" t="s">
        <v>93</v>
      </c>
      <c r="J157" s="55" t="s">
        <v>88</v>
      </c>
      <c r="K157" s="64" t="s">
        <v>94</v>
      </c>
      <c r="L157" s="65" t="s">
        <v>94</v>
      </c>
      <c r="M157" s="87">
        <v>286</v>
      </c>
      <c r="N157" s="87">
        <v>356</v>
      </c>
      <c r="O157" s="94" t="s">
        <v>94</v>
      </c>
      <c r="P157" s="94" t="s">
        <v>94</v>
      </c>
      <c r="Q157" s="142" t="s">
        <v>94</v>
      </c>
      <c r="R157" s="142" t="s">
        <v>94</v>
      </c>
      <c r="S157" s="80" t="s">
        <v>94</v>
      </c>
      <c r="T157" s="80" t="s">
        <v>94</v>
      </c>
      <c r="U157" s="143" t="s">
        <v>94</v>
      </c>
      <c r="V157" s="143" t="s">
        <v>94</v>
      </c>
      <c r="W157" s="88">
        <v>4.1399999999999997</v>
      </c>
      <c r="X157" s="88">
        <v>4.0999999999999996</v>
      </c>
      <c r="Y157" s="143" t="s">
        <v>94</v>
      </c>
      <c r="Z157" s="143" t="s">
        <v>94</v>
      </c>
      <c r="AA157" s="80" t="s">
        <v>94</v>
      </c>
      <c r="AB157" s="80" t="s">
        <v>94</v>
      </c>
      <c r="AC157" s="89">
        <v>5.3</v>
      </c>
      <c r="AD157" s="89">
        <v>5.4</v>
      </c>
      <c r="AE157" s="102">
        <v>96</v>
      </c>
      <c r="AF157" s="103">
        <v>85.5</v>
      </c>
      <c r="AG157" s="97">
        <v>40</v>
      </c>
      <c r="AH157" s="97">
        <v>37</v>
      </c>
      <c r="AI157" s="144">
        <v>1.0900000000000001</v>
      </c>
      <c r="AJ157" s="88">
        <v>1.2</v>
      </c>
      <c r="AK157" s="269">
        <f t="shared" si="14"/>
        <v>0.10999999999999988</v>
      </c>
      <c r="AL157" s="89">
        <v>3.68</v>
      </c>
      <c r="AM157" s="89">
        <v>4.5999999999999996</v>
      </c>
      <c r="AN157" s="61" t="s">
        <v>94</v>
      </c>
      <c r="AO157" s="61" t="s">
        <v>94</v>
      </c>
      <c r="AP157" s="80" t="s">
        <v>94</v>
      </c>
      <c r="AQ157" s="80" t="s">
        <v>94</v>
      </c>
      <c r="AR157" s="89">
        <v>9.1999999999999993</v>
      </c>
      <c r="AS157" s="89">
        <v>10</v>
      </c>
      <c r="AT157" s="142" t="s">
        <v>94</v>
      </c>
      <c r="AU157" s="142" t="s">
        <v>94</v>
      </c>
      <c r="AV157" s="70" t="s">
        <v>95</v>
      </c>
      <c r="AW157" s="70">
        <v>99</v>
      </c>
      <c r="AX157" s="80" t="s">
        <v>94</v>
      </c>
      <c r="AY157" s="80" t="s">
        <v>94</v>
      </c>
      <c r="AZ157" s="142" t="s">
        <v>94</v>
      </c>
      <c r="BA157" s="142" t="s">
        <v>94</v>
      </c>
      <c r="BB157" s="80" t="s">
        <v>94</v>
      </c>
      <c r="BC157" s="80" t="s">
        <v>94</v>
      </c>
      <c r="BD157" s="96" t="e">
        <f t="shared" si="15"/>
        <v>#VALUE!</v>
      </c>
      <c r="BE157" s="96" t="e">
        <f t="shared" si="16"/>
        <v>#VALUE!</v>
      </c>
      <c r="BF157" s="89">
        <v>4.7</v>
      </c>
      <c r="BG157" s="89">
        <v>4.7</v>
      </c>
      <c r="BH157" s="88">
        <v>13.6</v>
      </c>
      <c r="BI157" s="88">
        <v>13.4</v>
      </c>
      <c r="BJ157" s="89">
        <v>41.8</v>
      </c>
      <c r="BK157" s="89">
        <v>41</v>
      </c>
      <c r="BL157" s="88">
        <v>88.2</v>
      </c>
      <c r="BM157" s="88">
        <v>87.2</v>
      </c>
      <c r="BN157" s="89">
        <v>28.7</v>
      </c>
      <c r="BO157" s="89">
        <v>28.5</v>
      </c>
      <c r="BP157" s="88">
        <v>32.5</v>
      </c>
      <c r="BQ157" s="88">
        <v>32.700000000000003</v>
      </c>
      <c r="BR157" s="89">
        <v>249</v>
      </c>
      <c r="BS157" s="89">
        <v>246</v>
      </c>
      <c r="BT157" s="88">
        <v>13.2</v>
      </c>
      <c r="BU157" s="88">
        <v>12.9</v>
      </c>
      <c r="BV157" s="89" t="s">
        <v>94</v>
      </c>
      <c r="BW157" s="89" t="s">
        <v>94</v>
      </c>
      <c r="BX157" s="88">
        <v>5.27</v>
      </c>
      <c r="BY157" s="88">
        <v>5.38</v>
      </c>
      <c r="BZ157" s="89">
        <v>58</v>
      </c>
      <c r="CA157" s="89">
        <v>55</v>
      </c>
      <c r="CB157" s="88">
        <v>32</v>
      </c>
      <c r="CC157" s="88">
        <v>36</v>
      </c>
      <c r="CD157" s="89">
        <v>7</v>
      </c>
      <c r="CE157" s="89">
        <v>7</v>
      </c>
      <c r="CF157" s="95">
        <v>2</v>
      </c>
      <c r="CG157" s="95">
        <v>2</v>
      </c>
      <c r="CH157" s="108">
        <v>1</v>
      </c>
      <c r="CI157" s="97">
        <v>0</v>
      </c>
      <c r="CJ157" s="86" t="b">
        <f t="shared" si="17"/>
        <v>0</v>
      </c>
      <c r="CK157" s="2" t="b">
        <f t="shared" si="18"/>
        <v>0</v>
      </c>
      <c r="CL157" s="98">
        <f t="shared" si="19"/>
        <v>75.355769999999993</v>
      </c>
      <c r="CM157" s="98">
        <v>84.3</v>
      </c>
      <c r="CN157" s="98">
        <v>178</v>
      </c>
      <c r="CO157" s="86">
        <v>52.69</v>
      </c>
      <c r="CP157" s="98">
        <v>60</v>
      </c>
      <c r="CQ157" s="98">
        <v>57</v>
      </c>
      <c r="CR157" s="96">
        <v>10.61</v>
      </c>
    </row>
    <row r="158" spans="1:96" ht="15.75" customHeight="1">
      <c r="A158" s="50">
        <v>2018</v>
      </c>
      <c r="B158" s="4" t="s">
        <v>183</v>
      </c>
      <c r="C158" s="105">
        <v>3165</v>
      </c>
      <c r="D158" s="109">
        <v>33</v>
      </c>
      <c r="E158" s="109">
        <v>79</v>
      </c>
      <c r="F158" s="109">
        <v>1</v>
      </c>
      <c r="G158" s="51" t="s">
        <v>86</v>
      </c>
      <c r="H158" s="52" t="s">
        <v>83</v>
      </c>
      <c r="I158" s="53" t="s">
        <v>87</v>
      </c>
      <c r="J158" s="52" t="s">
        <v>88</v>
      </c>
      <c r="K158" s="53">
        <v>50</v>
      </c>
      <c r="L158" s="52">
        <v>50</v>
      </c>
      <c r="M158" s="87">
        <v>206</v>
      </c>
      <c r="N158" s="141" t="s">
        <v>94</v>
      </c>
      <c r="O158" s="94" t="s">
        <v>94</v>
      </c>
      <c r="P158" s="94" t="s">
        <v>94</v>
      </c>
      <c r="Q158" s="142" t="s">
        <v>94</v>
      </c>
      <c r="R158" s="142" t="s">
        <v>94</v>
      </c>
      <c r="S158" s="80" t="s">
        <v>94</v>
      </c>
      <c r="T158" s="80" t="s">
        <v>94</v>
      </c>
      <c r="U158" s="143" t="s">
        <v>94</v>
      </c>
      <c r="V158" s="143" t="s">
        <v>94</v>
      </c>
      <c r="W158" s="88">
        <v>4.32</v>
      </c>
      <c r="X158" s="94" t="s">
        <v>94</v>
      </c>
      <c r="Y158" s="143" t="s">
        <v>94</v>
      </c>
      <c r="Z158" s="143" t="s">
        <v>94</v>
      </c>
      <c r="AA158" s="80" t="s">
        <v>94</v>
      </c>
      <c r="AB158" s="80" t="s">
        <v>94</v>
      </c>
      <c r="AC158" s="89">
        <v>5.2</v>
      </c>
      <c r="AD158" s="97" t="s">
        <v>94</v>
      </c>
      <c r="AE158" s="102">
        <v>110.5</v>
      </c>
      <c r="AF158" s="103">
        <v>0</v>
      </c>
      <c r="AG158" s="89">
        <v>50</v>
      </c>
      <c r="AH158" s="97" t="s">
        <v>94</v>
      </c>
      <c r="AI158" s="144">
        <v>0.93</v>
      </c>
      <c r="AJ158" s="88" t="s">
        <v>94</v>
      </c>
      <c r="AK158" s="269" t="str">
        <f t="shared" si="14"/>
        <v>Dados Insuficientes</v>
      </c>
      <c r="AL158" s="89">
        <v>3.7</v>
      </c>
      <c r="AM158" s="97" t="s">
        <v>94</v>
      </c>
      <c r="AN158" s="61" t="s">
        <v>94</v>
      </c>
      <c r="AO158" s="61" t="s">
        <v>94</v>
      </c>
      <c r="AP158" s="80" t="s">
        <v>94</v>
      </c>
      <c r="AQ158" s="80" t="s">
        <v>94</v>
      </c>
      <c r="AR158" s="89">
        <v>8.6999999999999993</v>
      </c>
      <c r="AS158" s="97" t="s">
        <v>94</v>
      </c>
      <c r="AT158" s="89" t="s">
        <v>94</v>
      </c>
      <c r="AU158" s="142" t="s">
        <v>94</v>
      </c>
      <c r="AV158" s="70">
        <v>81</v>
      </c>
      <c r="AW158" s="70" t="s">
        <v>95</v>
      </c>
      <c r="AX158" s="80" t="s">
        <v>94</v>
      </c>
      <c r="AY158" s="80" t="s">
        <v>94</v>
      </c>
      <c r="AZ158" s="142" t="s">
        <v>94</v>
      </c>
      <c r="BA158" s="142" t="s">
        <v>94</v>
      </c>
      <c r="BB158" s="80" t="s">
        <v>94</v>
      </c>
      <c r="BC158" s="80" t="s">
        <v>94</v>
      </c>
      <c r="BD158" s="96" t="e">
        <f t="shared" si="15"/>
        <v>#VALUE!</v>
      </c>
      <c r="BE158" s="96" t="e">
        <f t="shared" si="16"/>
        <v>#VALUE!</v>
      </c>
      <c r="BF158" s="89">
        <v>3.5</v>
      </c>
      <c r="BG158" s="97" t="s">
        <v>94</v>
      </c>
      <c r="BH158" s="88">
        <v>10.9</v>
      </c>
      <c r="BI158" s="94" t="s">
        <v>94</v>
      </c>
      <c r="BJ158" s="89">
        <v>34.299999999999997</v>
      </c>
      <c r="BK158" s="89" t="s">
        <v>94</v>
      </c>
      <c r="BL158" s="88">
        <v>99.1</v>
      </c>
      <c r="BM158" s="88" t="s">
        <v>94</v>
      </c>
      <c r="BN158" s="89">
        <v>31.5</v>
      </c>
      <c r="BO158" s="89" t="s">
        <v>94</v>
      </c>
      <c r="BP158" s="88">
        <v>31.8</v>
      </c>
      <c r="BQ158" s="88" t="s">
        <v>94</v>
      </c>
      <c r="BR158" s="89">
        <v>237</v>
      </c>
      <c r="BS158" s="89" t="s">
        <v>94</v>
      </c>
      <c r="BT158" s="88">
        <v>13.5</v>
      </c>
      <c r="BU158" s="88" t="s">
        <v>94</v>
      </c>
      <c r="BV158" s="89" t="s">
        <v>94</v>
      </c>
      <c r="BW158" s="89" t="s">
        <v>94</v>
      </c>
      <c r="BX158" s="88">
        <v>8.91</v>
      </c>
      <c r="BY158" s="88" t="s">
        <v>94</v>
      </c>
      <c r="BZ158" s="89">
        <v>80</v>
      </c>
      <c r="CA158" s="89" t="s">
        <v>94</v>
      </c>
      <c r="CB158" s="88">
        <v>13</v>
      </c>
      <c r="CC158" s="88" t="s">
        <v>94</v>
      </c>
      <c r="CD158" s="89">
        <v>6</v>
      </c>
      <c r="CE158" s="89" t="s">
        <v>94</v>
      </c>
      <c r="CF158" s="95">
        <v>1</v>
      </c>
      <c r="CG158" s="88" t="s">
        <v>94</v>
      </c>
      <c r="CH158" s="89" t="s">
        <v>94</v>
      </c>
      <c r="CI158" s="89" t="s">
        <v>94</v>
      </c>
      <c r="CJ158" s="109" t="e">
        <f t="shared" si="17"/>
        <v>#VALUE!</v>
      </c>
      <c r="CK158" s="8" t="b">
        <f t="shared" si="18"/>
        <v>1</v>
      </c>
      <c r="CL158" s="98">
        <f t="shared" si="19"/>
        <v>67.787359999999993</v>
      </c>
      <c r="CM158" s="98">
        <v>79.599999999999994</v>
      </c>
      <c r="CN158" s="98">
        <v>182</v>
      </c>
      <c r="CO158" s="86">
        <v>51.21</v>
      </c>
      <c r="CP158" s="98">
        <v>51</v>
      </c>
      <c r="CQ158" s="98">
        <v>49</v>
      </c>
      <c r="CR158" s="96">
        <v>14.84</v>
      </c>
    </row>
    <row r="159" spans="1:96" ht="15.75" customHeight="1">
      <c r="A159" s="50">
        <v>2018</v>
      </c>
      <c r="B159" s="4" t="s">
        <v>183</v>
      </c>
      <c r="C159" s="105">
        <v>3175</v>
      </c>
      <c r="D159" s="101">
        <v>32</v>
      </c>
      <c r="E159" s="101">
        <v>96</v>
      </c>
      <c r="F159" s="101">
        <v>2</v>
      </c>
      <c r="G159" s="54" t="s">
        <v>89</v>
      </c>
      <c r="H159" s="55" t="s">
        <v>90</v>
      </c>
      <c r="I159" s="56" t="s">
        <v>84</v>
      </c>
      <c r="J159" s="55" t="s">
        <v>91</v>
      </c>
      <c r="K159" s="57">
        <v>45.8333333333333</v>
      </c>
      <c r="L159" s="58">
        <v>54.1666666666667</v>
      </c>
      <c r="M159" s="87">
        <v>473</v>
      </c>
      <c r="N159" s="87">
        <v>1239</v>
      </c>
      <c r="O159" s="94" t="s">
        <v>94</v>
      </c>
      <c r="P159" s="94" t="s">
        <v>94</v>
      </c>
      <c r="Q159" s="142" t="s">
        <v>94</v>
      </c>
      <c r="R159" s="142" t="s">
        <v>94</v>
      </c>
      <c r="S159" s="80" t="s">
        <v>94</v>
      </c>
      <c r="T159" s="80" t="s">
        <v>94</v>
      </c>
      <c r="U159" s="143" t="s">
        <v>94</v>
      </c>
      <c r="V159" s="143" t="s">
        <v>94</v>
      </c>
      <c r="W159" s="88">
        <v>4.09</v>
      </c>
      <c r="X159" s="88">
        <v>4.2</v>
      </c>
      <c r="Y159" s="143" t="s">
        <v>94</v>
      </c>
      <c r="Z159" s="143" t="s">
        <v>94</v>
      </c>
      <c r="AA159" s="80" t="s">
        <v>94</v>
      </c>
      <c r="AB159" s="80" t="s">
        <v>94</v>
      </c>
      <c r="AC159" s="89">
        <v>4.9000000000000004</v>
      </c>
      <c r="AD159" s="89">
        <v>5.4</v>
      </c>
      <c r="AE159" s="102">
        <v>109.1</v>
      </c>
      <c r="AF159" s="103">
        <v>0</v>
      </c>
      <c r="AG159" s="89">
        <v>40</v>
      </c>
      <c r="AH159" s="89">
        <v>40</v>
      </c>
      <c r="AI159" s="144">
        <v>0.95</v>
      </c>
      <c r="AJ159" s="88" t="s">
        <v>94</v>
      </c>
      <c r="AK159" s="269" t="str">
        <f t="shared" si="14"/>
        <v>Dados Insuficientes</v>
      </c>
      <c r="AL159" s="89">
        <v>3.95</v>
      </c>
      <c r="AM159" s="89">
        <v>3.7</v>
      </c>
      <c r="AN159" s="61" t="s">
        <v>94</v>
      </c>
      <c r="AO159" s="61" t="s">
        <v>94</v>
      </c>
      <c r="AP159" s="80" t="s">
        <v>94</v>
      </c>
      <c r="AQ159" s="80" t="s">
        <v>94</v>
      </c>
      <c r="AR159" s="89">
        <v>8.8000000000000007</v>
      </c>
      <c r="AS159" s="89">
        <v>10.3</v>
      </c>
      <c r="AT159" s="142" t="s">
        <v>94</v>
      </c>
      <c r="AU159" s="142" t="s">
        <v>94</v>
      </c>
      <c r="AV159" s="70">
        <v>93</v>
      </c>
      <c r="AW159" s="70">
        <v>86</v>
      </c>
      <c r="AX159" s="80" t="s">
        <v>94</v>
      </c>
      <c r="AY159" s="80" t="s">
        <v>94</v>
      </c>
      <c r="AZ159" s="142" t="s">
        <v>94</v>
      </c>
      <c r="BA159" s="142" t="s">
        <v>94</v>
      </c>
      <c r="BB159" s="80" t="s">
        <v>94</v>
      </c>
      <c r="BC159" s="80" t="s">
        <v>94</v>
      </c>
      <c r="BD159" s="96" t="e">
        <f t="shared" si="15"/>
        <v>#VALUE!</v>
      </c>
      <c r="BE159" s="96" t="e">
        <f t="shared" si="16"/>
        <v>#VALUE!</v>
      </c>
      <c r="BF159" s="89">
        <v>4.5</v>
      </c>
      <c r="BG159" s="89">
        <v>4.4000000000000004</v>
      </c>
      <c r="BH159" s="88">
        <v>13.3</v>
      </c>
      <c r="BI159" s="88">
        <v>13.2</v>
      </c>
      <c r="BJ159" s="89">
        <v>41.4</v>
      </c>
      <c r="BK159" s="89">
        <v>40.700000000000003</v>
      </c>
      <c r="BL159" s="88">
        <v>92</v>
      </c>
      <c r="BM159" s="88">
        <v>91.7</v>
      </c>
      <c r="BN159" s="89">
        <v>29.6</v>
      </c>
      <c r="BO159" s="89">
        <v>29.7</v>
      </c>
      <c r="BP159" s="88">
        <v>32.1</v>
      </c>
      <c r="BQ159" s="88">
        <v>32.4</v>
      </c>
      <c r="BR159" s="89">
        <v>193</v>
      </c>
      <c r="BS159" s="89">
        <v>179</v>
      </c>
      <c r="BT159" s="88">
        <v>13.3</v>
      </c>
      <c r="BU159" s="88">
        <v>13</v>
      </c>
      <c r="BV159" s="97" t="s">
        <v>94</v>
      </c>
      <c r="BW159" s="97" t="s">
        <v>94</v>
      </c>
      <c r="BX159" s="88">
        <v>6.22</v>
      </c>
      <c r="BY159" s="88">
        <v>6.35</v>
      </c>
      <c r="BZ159" s="89">
        <v>60</v>
      </c>
      <c r="CA159" s="89">
        <v>52</v>
      </c>
      <c r="CB159" s="88">
        <v>29</v>
      </c>
      <c r="CC159" s="88">
        <v>37</v>
      </c>
      <c r="CD159" s="89">
        <v>8</v>
      </c>
      <c r="CE159" s="89">
        <v>8</v>
      </c>
      <c r="CF159" s="95">
        <v>3</v>
      </c>
      <c r="CG159" s="95">
        <v>3</v>
      </c>
      <c r="CH159" s="89">
        <v>0</v>
      </c>
      <c r="CI159" s="89">
        <v>0</v>
      </c>
      <c r="CJ159" s="86" t="e">
        <f t="shared" si="17"/>
        <v>#VALUE!</v>
      </c>
      <c r="CK159" s="2" t="b">
        <f t="shared" si="18"/>
        <v>1</v>
      </c>
      <c r="CL159" s="98">
        <f t="shared" si="19"/>
        <v>82.029080000000008</v>
      </c>
      <c r="CM159" s="98">
        <v>90.7</v>
      </c>
      <c r="CN159" s="98">
        <v>191</v>
      </c>
      <c r="CO159" s="86">
        <v>50.01</v>
      </c>
      <c r="CP159" s="98">
        <v>56.5</v>
      </c>
      <c r="CQ159" s="98">
        <v>54.5</v>
      </c>
      <c r="CR159" s="96">
        <v>9.56</v>
      </c>
    </row>
    <row r="160" spans="1:96" ht="15.75" customHeight="1">
      <c r="A160" s="50">
        <v>2018</v>
      </c>
      <c r="B160" s="4" t="s">
        <v>183</v>
      </c>
      <c r="C160" s="105">
        <v>3181</v>
      </c>
      <c r="D160" s="101">
        <v>28</v>
      </c>
      <c r="E160" s="101">
        <v>82</v>
      </c>
      <c r="F160" s="101">
        <v>1</v>
      </c>
      <c r="G160" s="51" t="s">
        <v>89</v>
      </c>
      <c r="H160" s="52" t="s">
        <v>83</v>
      </c>
      <c r="I160" s="53" t="s">
        <v>84</v>
      </c>
      <c r="J160" s="52" t="s">
        <v>88</v>
      </c>
      <c r="K160" s="57">
        <v>54.1666666666667</v>
      </c>
      <c r="L160" s="59">
        <v>45.8333333333333</v>
      </c>
      <c r="M160" s="87">
        <v>433</v>
      </c>
      <c r="N160" s="87">
        <v>1125</v>
      </c>
      <c r="O160" s="94" t="s">
        <v>94</v>
      </c>
      <c r="P160" s="94" t="s">
        <v>94</v>
      </c>
      <c r="Q160" s="142" t="s">
        <v>94</v>
      </c>
      <c r="R160" s="142" t="s">
        <v>94</v>
      </c>
      <c r="S160" s="80" t="s">
        <v>94</v>
      </c>
      <c r="T160" s="80" t="s">
        <v>94</v>
      </c>
      <c r="U160" s="143" t="s">
        <v>94</v>
      </c>
      <c r="V160" s="143" t="s">
        <v>94</v>
      </c>
      <c r="W160" s="88">
        <v>4.0199999999999996</v>
      </c>
      <c r="X160" s="88">
        <v>3.5</v>
      </c>
      <c r="Y160" s="143" t="s">
        <v>94</v>
      </c>
      <c r="Z160" s="143" t="s">
        <v>94</v>
      </c>
      <c r="AA160" s="80" t="s">
        <v>94</v>
      </c>
      <c r="AB160" s="80" t="s">
        <v>94</v>
      </c>
      <c r="AC160" s="89">
        <v>4.5</v>
      </c>
      <c r="AD160" s="89">
        <v>5.0999999999999996</v>
      </c>
      <c r="AE160" s="102">
        <v>100.3</v>
      </c>
      <c r="AF160" s="103">
        <v>0</v>
      </c>
      <c r="AG160" s="89">
        <v>41</v>
      </c>
      <c r="AH160" s="89">
        <v>43</v>
      </c>
      <c r="AI160" s="144">
        <v>1.04</v>
      </c>
      <c r="AJ160" s="88" t="s">
        <v>94</v>
      </c>
      <c r="AK160" s="269" t="str">
        <f t="shared" si="14"/>
        <v>Dados Insuficientes</v>
      </c>
      <c r="AL160" s="89">
        <v>4.38</v>
      </c>
      <c r="AM160" s="89">
        <v>2.6</v>
      </c>
      <c r="AN160" s="61" t="s">
        <v>94</v>
      </c>
      <c r="AO160" s="61" t="s">
        <v>94</v>
      </c>
      <c r="AP160" s="80" t="s">
        <v>94</v>
      </c>
      <c r="AQ160" s="80" t="s">
        <v>94</v>
      </c>
      <c r="AR160" s="89">
        <v>9.1999999999999993</v>
      </c>
      <c r="AS160" s="89">
        <v>10.1</v>
      </c>
      <c r="AT160" s="142" t="s">
        <v>94</v>
      </c>
      <c r="AU160" s="142" t="s">
        <v>94</v>
      </c>
      <c r="AV160" s="70">
        <v>83</v>
      </c>
      <c r="AW160" s="70">
        <v>82</v>
      </c>
      <c r="AX160" s="80" t="s">
        <v>94</v>
      </c>
      <c r="AY160" s="80" t="s">
        <v>94</v>
      </c>
      <c r="AZ160" s="142" t="s">
        <v>94</v>
      </c>
      <c r="BA160" s="142" t="s">
        <v>94</v>
      </c>
      <c r="BB160" s="80" t="s">
        <v>94</v>
      </c>
      <c r="BC160" s="80" t="s">
        <v>94</v>
      </c>
      <c r="BD160" s="96" t="e">
        <f t="shared" si="15"/>
        <v>#VALUE!</v>
      </c>
      <c r="BE160" s="96" t="e">
        <f t="shared" si="16"/>
        <v>#VALUE!</v>
      </c>
      <c r="BF160" s="89">
        <v>4.5</v>
      </c>
      <c r="BG160" s="89">
        <v>4.7</v>
      </c>
      <c r="BH160" s="63">
        <v>13.8</v>
      </c>
      <c r="BI160" s="63">
        <v>14.4</v>
      </c>
      <c r="BJ160" s="89">
        <v>41.6</v>
      </c>
      <c r="BK160" s="89">
        <v>43.6</v>
      </c>
      <c r="BL160" s="88">
        <v>93.5</v>
      </c>
      <c r="BM160" s="88">
        <v>93.6</v>
      </c>
      <c r="BN160" s="89">
        <v>31</v>
      </c>
      <c r="BO160" s="89">
        <v>30.9</v>
      </c>
      <c r="BP160" s="63">
        <v>33.200000000000003</v>
      </c>
      <c r="BQ160" s="63">
        <v>33</v>
      </c>
      <c r="BR160" s="89">
        <v>242</v>
      </c>
      <c r="BS160" s="89">
        <v>273</v>
      </c>
      <c r="BT160" s="63">
        <v>12.7</v>
      </c>
      <c r="BU160" s="63">
        <v>12.7</v>
      </c>
      <c r="BV160" s="89" t="s">
        <v>94</v>
      </c>
      <c r="BW160" s="89" t="s">
        <v>94</v>
      </c>
      <c r="BX160" s="88">
        <v>10.199999999999999</v>
      </c>
      <c r="BY160" s="88">
        <v>8.43</v>
      </c>
      <c r="BZ160" s="89">
        <v>78</v>
      </c>
      <c r="CA160" s="89">
        <v>67</v>
      </c>
      <c r="CB160" s="145">
        <v>13</v>
      </c>
      <c r="CC160" s="145">
        <v>22</v>
      </c>
      <c r="CD160" s="89">
        <v>7</v>
      </c>
      <c r="CE160" s="89">
        <v>9</v>
      </c>
      <c r="CF160" s="146">
        <v>2</v>
      </c>
      <c r="CG160" s="146">
        <v>2</v>
      </c>
      <c r="CH160" s="89">
        <v>0</v>
      </c>
      <c r="CI160" s="89">
        <v>0</v>
      </c>
      <c r="CJ160" s="86" t="e">
        <f t="shared" si="17"/>
        <v>#VALUE!</v>
      </c>
      <c r="CK160" s="2" t="b">
        <f t="shared" si="18"/>
        <v>1</v>
      </c>
      <c r="CL160" s="98">
        <f t="shared" si="19"/>
        <v>77.353679999999997</v>
      </c>
      <c r="CM160" s="98">
        <v>84.3</v>
      </c>
      <c r="CN160" s="98">
        <v>190</v>
      </c>
      <c r="CO160" s="86">
        <v>51.12</v>
      </c>
      <c r="CP160" s="98">
        <v>54.5</v>
      </c>
      <c r="CQ160" s="98">
        <v>50.5</v>
      </c>
      <c r="CR160" s="96">
        <v>8.24</v>
      </c>
    </row>
    <row r="161" spans="1:96" ht="15.75" customHeight="1">
      <c r="A161" s="50">
        <v>2018</v>
      </c>
      <c r="B161" s="4" t="s">
        <v>183</v>
      </c>
      <c r="C161" s="105">
        <v>3183</v>
      </c>
      <c r="D161" s="101">
        <v>26</v>
      </c>
      <c r="E161" s="101">
        <v>90</v>
      </c>
      <c r="F161" s="101">
        <v>1</v>
      </c>
      <c r="G161" s="51" t="s">
        <v>94</v>
      </c>
      <c r="H161" s="52" t="s">
        <v>94</v>
      </c>
      <c r="I161" s="53" t="s">
        <v>94</v>
      </c>
      <c r="J161" s="52" t="s">
        <v>94</v>
      </c>
      <c r="K161" s="53" t="s">
        <v>94</v>
      </c>
      <c r="L161" s="52" t="s">
        <v>94</v>
      </c>
      <c r="M161" s="87">
        <v>285</v>
      </c>
      <c r="N161" s="87">
        <v>971</v>
      </c>
      <c r="O161" s="94" t="s">
        <v>94</v>
      </c>
      <c r="P161" s="94" t="s">
        <v>94</v>
      </c>
      <c r="Q161" s="142" t="s">
        <v>94</v>
      </c>
      <c r="R161" s="142" t="s">
        <v>94</v>
      </c>
      <c r="S161" s="80" t="s">
        <v>94</v>
      </c>
      <c r="T161" s="80" t="s">
        <v>94</v>
      </c>
      <c r="U161" s="143" t="s">
        <v>94</v>
      </c>
      <c r="V161" s="143" t="s">
        <v>94</v>
      </c>
      <c r="W161" s="88">
        <v>4.1100000000000003</v>
      </c>
      <c r="X161" s="88">
        <v>3.7</v>
      </c>
      <c r="Y161" s="143" t="s">
        <v>94</v>
      </c>
      <c r="Z161" s="143" t="s">
        <v>94</v>
      </c>
      <c r="AA161" s="80" t="s">
        <v>94</v>
      </c>
      <c r="AB161" s="80" t="s">
        <v>94</v>
      </c>
      <c r="AC161" s="89">
        <v>5.6</v>
      </c>
      <c r="AD161" s="89">
        <v>6.1</v>
      </c>
      <c r="AE161" s="102">
        <v>120</v>
      </c>
      <c r="AF161" s="103">
        <v>124.4</v>
      </c>
      <c r="AG161" s="89">
        <v>20</v>
      </c>
      <c r="AH161" s="89">
        <v>29</v>
      </c>
      <c r="AI161" s="144">
        <v>0.9</v>
      </c>
      <c r="AJ161" s="88">
        <v>0.8</v>
      </c>
      <c r="AK161" s="269">
        <f t="shared" si="14"/>
        <v>0</v>
      </c>
      <c r="AL161" s="89">
        <v>3.98</v>
      </c>
      <c r="AM161" s="89">
        <v>5</v>
      </c>
      <c r="AN161" s="61" t="s">
        <v>94</v>
      </c>
      <c r="AO161" s="61" t="s">
        <v>94</v>
      </c>
      <c r="AP161" s="80" t="s">
        <v>94</v>
      </c>
      <c r="AQ161" s="80" t="s">
        <v>94</v>
      </c>
      <c r="AR161" s="89">
        <v>10</v>
      </c>
      <c r="AS161" s="89">
        <v>9.6</v>
      </c>
      <c r="AT161" s="142" t="s">
        <v>94</v>
      </c>
      <c r="AU161" s="142" t="s">
        <v>94</v>
      </c>
      <c r="AV161" s="70">
        <v>83</v>
      </c>
      <c r="AW161" s="70">
        <v>90</v>
      </c>
      <c r="AX161" s="80" t="s">
        <v>94</v>
      </c>
      <c r="AY161" s="80" t="s">
        <v>94</v>
      </c>
      <c r="AZ161" s="142" t="s">
        <v>94</v>
      </c>
      <c r="BA161" s="142" t="s">
        <v>94</v>
      </c>
      <c r="BB161" s="80" t="s">
        <v>94</v>
      </c>
      <c r="BC161" s="80" t="s">
        <v>94</v>
      </c>
      <c r="BD161" s="96" t="e">
        <f t="shared" si="15"/>
        <v>#VALUE!</v>
      </c>
      <c r="BE161" s="96" t="e">
        <f t="shared" si="16"/>
        <v>#VALUE!</v>
      </c>
      <c r="BF161" s="89">
        <v>4.4000000000000004</v>
      </c>
      <c r="BG161" s="89">
        <v>4.3</v>
      </c>
      <c r="BH161" s="63">
        <v>13.1</v>
      </c>
      <c r="BI161" s="63">
        <v>12.8</v>
      </c>
      <c r="BJ161" s="89">
        <v>39.6</v>
      </c>
      <c r="BK161" s="89">
        <v>38.4</v>
      </c>
      <c r="BL161" s="63">
        <v>89.8</v>
      </c>
      <c r="BM161" s="63">
        <v>89.1</v>
      </c>
      <c r="BN161" s="89">
        <v>29.7</v>
      </c>
      <c r="BO161" s="89">
        <v>29.7</v>
      </c>
      <c r="BP161" s="63">
        <v>33.1</v>
      </c>
      <c r="BQ161" s="63">
        <v>33.299999999999997</v>
      </c>
      <c r="BR161" s="89">
        <v>316</v>
      </c>
      <c r="BS161" s="89">
        <v>329</v>
      </c>
      <c r="BT161" s="63">
        <v>13.5</v>
      </c>
      <c r="BU161" s="63">
        <v>13.3</v>
      </c>
      <c r="BV161" s="97" t="s">
        <v>94</v>
      </c>
      <c r="BW161" s="97" t="s">
        <v>94</v>
      </c>
      <c r="BX161" s="145">
        <v>10.26</v>
      </c>
      <c r="BY161" s="145">
        <v>61</v>
      </c>
      <c r="BZ161" s="89">
        <v>66</v>
      </c>
      <c r="CA161" s="89">
        <v>28</v>
      </c>
      <c r="CB161" s="145">
        <v>19</v>
      </c>
      <c r="CC161" s="146">
        <v>28</v>
      </c>
      <c r="CD161" s="89">
        <v>7</v>
      </c>
      <c r="CE161" s="108">
        <v>8</v>
      </c>
      <c r="CF161" s="146">
        <v>5</v>
      </c>
      <c r="CG161" s="146">
        <v>3</v>
      </c>
      <c r="CH161" s="89">
        <v>0</v>
      </c>
      <c r="CI161" s="89">
        <v>0</v>
      </c>
      <c r="CJ161" s="86" t="b">
        <f t="shared" si="17"/>
        <v>0</v>
      </c>
      <c r="CK161" s="2" t="b">
        <f t="shared" si="18"/>
        <v>0</v>
      </c>
      <c r="CL161" s="98">
        <f t="shared" si="19"/>
        <v>82.441199999999995</v>
      </c>
      <c r="CM161" s="98">
        <v>92</v>
      </c>
      <c r="CN161" s="98">
        <v>174.4</v>
      </c>
      <c r="CO161" s="86">
        <v>49.71</v>
      </c>
      <c r="CP161" s="98">
        <v>55</v>
      </c>
      <c r="CQ161" s="98">
        <v>55.5</v>
      </c>
      <c r="CR161" s="96">
        <v>10.39</v>
      </c>
    </row>
    <row r="162" spans="1:96" ht="15.75" customHeight="1">
      <c r="A162" s="50">
        <v>2018</v>
      </c>
      <c r="B162" s="4" t="s">
        <v>183</v>
      </c>
      <c r="C162" s="105">
        <v>3187</v>
      </c>
      <c r="D162" s="101">
        <v>25</v>
      </c>
      <c r="E162" s="101">
        <v>85</v>
      </c>
      <c r="F162" s="101">
        <v>1</v>
      </c>
      <c r="G162" s="51" t="s">
        <v>89</v>
      </c>
      <c r="H162" s="52" t="s">
        <v>90</v>
      </c>
      <c r="I162" s="53" t="s">
        <v>87</v>
      </c>
      <c r="J162" s="52" t="s">
        <v>88</v>
      </c>
      <c r="K162" s="53">
        <v>25</v>
      </c>
      <c r="L162" s="52">
        <v>75</v>
      </c>
      <c r="M162" s="87">
        <v>348</v>
      </c>
      <c r="N162" s="87">
        <v>3538</v>
      </c>
      <c r="O162" s="94" t="s">
        <v>94</v>
      </c>
      <c r="P162" s="94" t="s">
        <v>94</v>
      </c>
      <c r="Q162" s="142" t="s">
        <v>94</v>
      </c>
      <c r="R162" s="142" t="s">
        <v>94</v>
      </c>
      <c r="S162" s="80" t="s">
        <v>94</v>
      </c>
      <c r="T162" s="80" t="s">
        <v>94</v>
      </c>
      <c r="U162" s="143" t="s">
        <v>94</v>
      </c>
      <c r="V162" s="143" t="s">
        <v>94</v>
      </c>
      <c r="W162" s="88">
        <v>3.97</v>
      </c>
      <c r="X162" s="88">
        <v>4.0999999999999996</v>
      </c>
      <c r="Y162" s="143" t="s">
        <v>94</v>
      </c>
      <c r="Z162" s="143" t="s">
        <v>94</v>
      </c>
      <c r="AA162" s="80" t="s">
        <v>94</v>
      </c>
      <c r="AB162" s="80" t="s">
        <v>94</v>
      </c>
      <c r="AC162" s="89">
        <v>5.0999999999999996</v>
      </c>
      <c r="AD162" s="89">
        <v>6.6</v>
      </c>
      <c r="AE162" s="102">
        <v>123.3</v>
      </c>
      <c r="AF162" s="103">
        <v>106.5</v>
      </c>
      <c r="AG162" s="89">
        <v>39</v>
      </c>
      <c r="AH162" s="89">
        <v>37</v>
      </c>
      <c r="AI162" s="144">
        <v>0.84</v>
      </c>
      <c r="AJ162" s="88">
        <v>1</v>
      </c>
      <c r="AK162" s="269">
        <f t="shared" si="14"/>
        <v>0.16000000000000003</v>
      </c>
      <c r="AL162" s="89">
        <v>4.13</v>
      </c>
      <c r="AM162" s="89">
        <v>2.8</v>
      </c>
      <c r="AN162" s="61" t="s">
        <v>94</v>
      </c>
      <c r="AO162" s="61" t="s">
        <v>94</v>
      </c>
      <c r="AP162" s="80" t="s">
        <v>94</v>
      </c>
      <c r="AQ162" s="80" t="s">
        <v>94</v>
      </c>
      <c r="AR162" s="89">
        <v>10</v>
      </c>
      <c r="AS162" s="89">
        <v>9.6</v>
      </c>
      <c r="AT162" s="142" t="s">
        <v>94</v>
      </c>
      <c r="AU162" s="142" t="s">
        <v>94</v>
      </c>
      <c r="AV162" s="70">
        <v>91</v>
      </c>
      <c r="AW162" s="70">
        <v>83</v>
      </c>
      <c r="AX162" s="80" t="s">
        <v>94</v>
      </c>
      <c r="AY162" s="80" t="s">
        <v>94</v>
      </c>
      <c r="AZ162" s="142" t="s">
        <v>94</v>
      </c>
      <c r="BA162" s="142" t="s">
        <v>94</v>
      </c>
      <c r="BB162" s="80" t="s">
        <v>94</v>
      </c>
      <c r="BC162" s="80" t="s">
        <v>94</v>
      </c>
      <c r="BD162" s="96" t="e">
        <f t="shared" si="15"/>
        <v>#VALUE!</v>
      </c>
      <c r="BE162" s="96" t="e">
        <f t="shared" si="16"/>
        <v>#VALUE!</v>
      </c>
      <c r="BF162" s="89">
        <v>4.0999999999999996</v>
      </c>
      <c r="BG162" s="89">
        <v>4.0999999999999996</v>
      </c>
      <c r="BH162" s="63">
        <v>12.3</v>
      </c>
      <c r="BI162" s="63">
        <v>12</v>
      </c>
      <c r="BJ162" s="89">
        <v>37</v>
      </c>
      <c r="BK162" s="89">
        <v>36.299999999999997</v>
      </c>
      <c r="BL162" s="63">
        <v>89.4</v>
      </c>
      <c r="BM162" s="63">
        <v>88.8</v>
      </c>
      <c r="BN162" s="89">
        <v>29.7</v>
      </c>
      <c r="BO162" s="89">
        <v>29.3</v>
      </c>
      <c r="BP162" s="63">
        <v>33.200000000000003</v>
      </c>
      <c r="BQ162" s="63">
        <v>33.1</v>
      </c>
      <c r="BR162" s="89">
        <v>229</v>
      </c>
      <c r="BS162" s="89">
        <v>250</v>
      </c>
      <c r="BT162" s="63">
        <v>13.4</v>
      </c>
      <c r="BU162" s="63">
        <v>13.4</v>
      </c>
      <c r="BV162" s="97" t="s">
        <v>94</v>
      </c>
      <c r="BW162" s="97" t="s">
        <v>94</v>
      </c>
      <c r="BX162" s="145">
        <v>7.26</v>
      </c>
      <c r="BY162" s="145">
        <v>7.67</v>
      </c>
      <c r="BZ162" s="89">
        <v>67</v>
      </c>
      <c r="CA162" s="89">
        <v>64</v>
      </c>
      <c r="CB162" s="145">
        <v>20</v>
      </c>
      <c r="CC162" s="145">
        <v>23</v>
      </c>
      <c r="CD162" s="89">
        <v>8</v>
      </c>
      <c r="CE162" s="89">
        <v>7</v>
      </c>
      <c r="CF162" s="146">
        <v>5</v>
      </c>
      <c r="CG162" s="145">
        <v>3</v>
      </c>
      <c r="CH162" s="89">
        <v>0</v>
      </c>
      <c r="CI162" s="89">
        <v>0</v>
      </c>
      <c r="CJ162" s="86" t="b">
        <f t="shared" si="17"/>
        <v>0</v>
      </c>
      <c r="CK162" s="2" t="b">
        <f t="shared" si="18"/>
        <v>1</v>
      </c>
      <c r="CL162" s="98">
        <f t="shared" si="19"/>
        <v>79.512460000000004</v>
      </c>
      <c r="CM162" s="98">
        <v>85.7</v>
      </c>
      <c r="CN162" s="98">
        <v>185</v>
      </c>
      <c r="CO162" s="86">
        <v>52.04</v>
      </c>
      <c r="CP162" s="98">
        <v>50</v>
      </c>
      <c r="CQ162" s="98">
        <v>50</v>
      </c>
      <c r="CR162" s="96">
        <v>7.22</v>
      </c>
    </row>
    <row r="163" spans="1:96" ht="15.75" customHeight="1">
      <c r="A163" s="50">
        <v>2018</v>
      </c>
      <c r="B163" s="4" t="s">
        <v>183</v>
      </c>
      <c r="C163" s="105">
        <v>3189</v>
      </c>
      <c r="D163" s="101">
        <v>28</v>
      </c>
      <c r="E163" s="101">
        <v>77</v>
      </c>
      <c r="F163" s="101">
        <v>2</v>
      </c>
      <c r="G163" s="51" t="s">
        <v>86</v>
      </c>
      <c r="H163" s="52" t="s">
        <v>83</v>
      </c>
      <c r="I163" s="53" t="s">
        <v>84</v>
      </c>
      <c r="J163" s="52" t="s">
        <v>88</v>
      </c>
      <c r="K163" s="53">
        <v>212.5</v>
      </c>
      <c r="L163" s="52">
        <v>-112.5</v>
      </c>
      <c r="M163" s="87">
        <v>239</v>
      </c>
      <c r="N163" s="87">
        <v>275</v>
      </c>
      <c r="O163" s="94" t="s">
        <v>94</v>
      </c>
      <c r="P163" s="94" t="s">
        <v>94</v>
      </c>
      <c r="Q163" s="142" t="s">
        <v>94</v>
      </c>
      <c r="R163" s="142" t="s">
        <v>94</v>
      </c>
      <c r="S163" s="80" t="s">
        <v>94</v>
      </c>
      <c r="T163" s="80" t="s">
        <v>94</v>
      </c>
      <c r="U163" s="143" t="s">
        <v>94</v>
      </c>
      <c r="V163" s="143" t="s">
        <v>94</v>
      </c>
      <c r="W163" s="88">
        <v>5.05</v>
      </c>
      <c r="X163" s="88">
        <v>4</v>
      </c>
      <c r="Y163" s="143" t="s">
        <v>94</v>
      </c>
      <c r="Z163" s="143" t="s">
        <v>94</v>
      </c>
      <c r="AA163" s="80" t="s">
        <v>94</v>
      </c>
      <c r="AB163" s="80" t="s">
        <v>94</v>
      </c>
      <c r="AC163" s="89">
        <v>5.9</v>
      </c>
      <c r="AD163" s="89">
        <v>7.3</v>
      </c>
      <c r="AE163" s="102">
        <v>119.8</v>
      </c>
      <c r="AF163" s="103">
        <v>93.2</v>
      </c>
      <c r="AG163" s="89">
        <v>36</v>
      </c>
      <c r="AH163" s="89">
        <v>37</v>
      </c>
      <c r="AI163" s="144">
        <v>0.87</v>
      </c>
      <c r="AJ163" s="88">
        <v>1.1000000000000001</v>
      </c>
      <c r="AK163" s="269">
        <f t="shared" si="14"/>
        <v>0.23000000000000009</v>
      </c>
      <c r="AL163" s="89">
        <v>4.54</v>
      </c>
      <c r="AM163" s="89">
        <v>4.4000000000000004</v>
      </c>
      <c r="AN163" s="61" t="s">
        <v>94</v>
      </c>
      <c r="AO163" s="61" t="s">
        <v>94</v>
      </c>
      <c r="AP163" s="80" t="s">
        <v>94</v>
      </c>
      <c r="AQ163" s="80" t="s">
        <v>94</v>
      </c>
      <c r="AR163" s="89">
        <v>10.4</v>
      </c>
      <c r="AS163" s="89">
        <v>10</v>
      </c>
      <c r="AT163" s="142" t="s">
        <v>94</v>
      </c>
      <c r="AU163" s="142" t="s">
        <v>94</v>
      </c>
      <c r="AV163" s="70">
        <v>88</v>
      </c>
      <c r="AW163" s="70">
        <v>132</v>
      </c>
      <c r="AX163" s="80" t="s">
        <v>94</v>
      </c>
      <c r="AY163" s="80" t="s">
        <v>94</v>
      </c>
      <c r="AZ163" s="142" t="s">
        <v>94</v>
      </c>
      <c r="BA163" s="142" t="s">
        <v>94</v>
      </c>
      <c r="BB163" s="80" t="s">
        <v>94</v>
      </c>
      <c r="BC163" s="80" t="s">
        <v>94</v>
      </c>
      <c r="BD163" s="96" t="e">
        <f t="shared" si="15"/>
        <v>#VALUE!</v>
      </c>
      <c r="BE163" s="96" t="e">
        <f t="shared" si="16"/>
        <v>#VALUE!</v>
      </c>
      <c r="BF163" s="89">
        <v>4.5999999999999996</v>
      </c>
      <c r="BG163" s="89">
        <v>4.5</v>
      </c>
      <c r="BH163" s="63">
        <v>14.5</v>
      </c>
      <c r="BI163" s="63">
        <v>14.3</v>
      </c>
      <c r="BJ163" s="89">
        <v>43.2</v>
      </c>
      <c r="BK163" s="89">
        <v>42.4</v>
      </c>
      <c r="BL163" s="63">
        <v>94.1</v>
      </c>
      <c r="BM163" s="63">
        <v>93.6</v>
      </c>
      <c r="BN163" s="89">
        <v>31.6</v>
      </c>
      <c r="BO163" s="89">
        <v>31.6</v>
      </c>
      <c r="BP163" s="63">
        <v>33.6</v>
      </c>
      <c r="BQ163" s="63">
        <v>33.700000000000003</v>
      </c>
      <c r="BR163" s="89">
        <v>187</v>
      </c>
      <c r="BS163" s="89">
        <v>192</v>
      </c>
      <c r="BT163" s="63">
        <v>13.8</v>
      </c>
      <c r="BU163" s="63">
        <v>13.7</v>
      </c>
      <c r="BV163" s="97" t="s">
        <v>94</v>
      </c>
      <c r="BW163" s="97" t="s">
        <v>94</v>
      </c>
      <c r="BX163" s="145">
        <v>17.809999999999999</v>
      </c>
      <c r="BY163" s="145">
        <v>9.15</v>
      </c>
      <c r="BZ163" s="89">
        <v>89</v>
      </c>
      <c r="CA163" s="89">
        <v>73</v>
      </c>
      <c r="CB163" s="145">
        <v>2</v>
      </c>
      <c r="CC163" s="145">
        <v>18</v>
      </c>
      <c r="CD163" s="89">
        <v>4</v>
      </c>
      <c r="CE163" s="89">
        <v>8</v>
      </c>
      <c r="CF163" s="145">
        <v>0</v>
      </c>
      <c r="CG163" s="146">
        <v>1</v>
      </c>
      <c r="CH163" s="89">
        <v>0</v>
      </c>
      <c r="CI163" s="89">
        <v>0</v>
      </c>
      <c r="CJ163" s="86" t="b">
        <f t="shared" si="17"/>
        <v>0</v>
      </c>
      <c r="CK163" s="2" t="b">
        <f t="shared" si="18"/>
        <v>0</v>
      </c>
      <c r="CL163" s="98">
        <f t="shared" si="19"/>
        <v>70.76357999999999</v>
      </c>
      <c r="CM163" s="98">
        <v>78.599999999999994</v>
      </c>
      <c r="CN163" s="98">
        <v>179</v>
      </c>
      <c r="CO163" s="86">
        <v>53.31</v>
      </c>
      <c r="CP163" s="98">
        <v>50</v>
      </c>
      <c r="CQ163" s="98">
        <v>44</v>
      </c>
      <c r="CR163" s="96">
        <v>9.9700000000000006</v>
      </c>
    </row>
    <row r="164" spans="1:96" ht="15.75" customHeight="1">
      <c r="A164" s="50">
        <v>2018</v>
      </c>
      <c r="B164" s="4" t="s">
        <v>183</v>
      </c>
      <c r="C164" s="105">
        <v>3190</v>
      </c>
      <c r="D164" s="101">
        <v>29</v>
      </c>
      <c r="E164" s="101">
        <v>80</v>
      </c>
      <c r="F164" s="101">
        <v>1</v>
      </c>
      <c r="G164" s="51" t="s">
        <v>94</v>
      </c>
      <c r="H164" s="52" t="s">
        <v>94</v>
      </c>
      <c r="I164" s="53" t="s">
        <v>94</v>
      </c>
      <c r="J164" s="52" t="s">
        <v>94</v>
      </c>
      <c r="K164" s="53" t="s">
        <v>94</v>
      </c>
      <c r="L164" s="61" t="s">
        <v>94</v>
      </c>
      <c r="M164" s="87">
        <v>594</v>
      </c>
      <c r="N164" s="87">
        <v>752</v>
      </c>
      <c r="O164" s="94" t="s">
        <v>94</v>
      </c>
      <c r="P164" s="94" t="s">
        <v>94</v>
      </c>
      <c r="Q164" s="142" t="s">
        <v>94</v>
      </c>
      <c r="R164" s="142" t="s">
        <v>94</v>
      </c>
      <c r="S164" s="80" t="s">
        <v>94</v>
      </c>
      <c r="T164" s="80" t="s">
        <v>94</v>
      </c>
      <c r="U164" s="143" t="s">
        <v>94</v>
      </c>
      <c r="V164" s="143" t="s">
        <v>94</v>
      </c>
      <c r="W164" s="88">
        <v>4.1900000000000004</v>
      </c>
      <c r="X164" s="88">
        <v>3.9</v>
      </c>
      <c r="Y164" s="143" t="s">
        <v>94</v>
      </c>
      <c r="Z164" s="143" t="s">
        <v>94</v>
      </c>
      <c r="AA164" s="80" t="s">
        <v>94</v>
      </c>
      <c r="AB164" s="80" t="s">
        <v>94</v>
      </c>
      <c r="AC164" s="89">
        <v>4.5</v>
      </c>
      <c r="AD164" s="89">
        <v>5.7</v>
      </c>
      <c r="AE164" s="102">
        <v>124.3</v>
      </c>
      <c r="AF164" s="103">
        <v>0</v>
      </c>
      <c r="AG164" s="89">
        <v>36</v>
      </c>
      <c r="AH164" s="89">
        <v>39</v>
      </c>
      <c r="AI164" s="144">
        <v>0.77</v>
      </c>
      <c r="AJ164" s="88" t="s">
        <v>94</v>
      </c>
      <c r="AK164" s="269" t="str">
        <f t="shared" si="14"/>
        <v>Dados Insuficientes</v>
      </c>
      <c r="AL164" s="89">
        <v>3.46</v>
      </c>
      <c r="AM164" s="89">
        <v>3.4</v>
      </c>
      <c r="AN164" s="61" t="s">
        <v>94</v>
      </c>
      <c r="AO164" s="61" t="s">
        <v>94</v>
      </c>
      <c r="AP164" s="80" t="s">
        <v>94</v>
      </c>
      <c r="AQ164" s="80" t="s">
        <v>94</v>
      </c>
      <c r="AR164" s="89">
        <v>8.6</v>
      </c>
      <c r="AS164" s="89">
        <v>10.199999999999999</v>
      </c>
      <c r="AT164" s="142" t="s">
        <v>94</v>
      </c>
      <c r="AU164" s="142" t="s">
        <v>94</v>
      </c>
      <c r="AV164" s="70">
        <v>90</v>
      </c>
      <c r="AW164" s="70">
        <v>78</v>
      </c>
      <c r="AX164" s="80" t="s">
        <v>94</v>
      </c>
      <c r="AY164" s="80" t="s">
        <v>94</v>
      </c>
      <c r="AZ164" s="142" t="s">
        <v>94</v>
      </c>
      <c r="BA164" s="142" t="s">
        <v>94</v>
      </c>
      <c r="BB164" s="80" t="s">
        <v>94</v>
      </c>
      <c r="BC164" s="80" t="s">
        <v>94</v>
      </c>
      <c r="BD164" s="96" t="e">
        <f t="shared" si="15"/>
        <v>#VALUE!</v>
      </c>
      <c r="BE164" s="96" t="e">
        <f t="shared" si="16"/>
        <v>#VALUE!</v>
      </c>
      <c r="BF164" s="89">
        <v>4.3</v>
      </c>
      <c r="BG164" s="89">
        <v>4.2</v>
      </c>
      <c r="BH164" s="63">
        <v>13</v>
      </c>
      <c r="BI164" s="63">
        <v>12.5</v>
      </c>
      <c r="BJ164" s="89">
        <v>40.5</v>
      </c>
      <c r="BK164" s="89">
        <v>38.9</v>
      </c>
      <c r="BL164" s="63">
        <v>94.2</v>
      </c>
      <c r="BM164" s="63">
        <v>93.5</v>
      </c>
      <c r="BN164" s="89">
        <v>30.2</v>
      </c>
      <c r="BO164" s="89">
        <v>30</v>
      </c>
      <c r="BP164" s="63">
        <v>32.1</v>
      </c>
      <c r="BQ164" s="63">
        <v>32.1</v>
      </c>
      <c r="BR164" s="89">
        <v>236</v>
      </c>
      <c r="BS164" s="89">
        <v>241</v>
      </c>
      <c r="BT164" s="63">
        <v>14.4</v>
      </c>
      <c r="BU164" s="63">
        <v>14</v>
      </c>
      <c r="BV164" s="97" t="s">
        <v>94</v>
      </c>
      <c r="BW164" s="97" t="s">
        <v>94</v>
      </c>
      <c r="BX164" s="145">
        <v>5.45</v>
      </c>
      <c r="BY164" s="145">
        <v>6.33</v>
      </c>
      <c r="BZ164" s="89">
        <v>73</v>
      </c>
      <c r="CA164" s="89">
        <v>69</v>
      </c>
      <c r="CB164" s="145">
        <v>18</v>
      </c>
      <c r="CC164" s="145">
        <v>24</v>
      </c>
      <c r="CD164" s="89">
        <v>7</v>
      </c>
      <c r="CE164" s="89">
        <v>6</v>
      </c>
      <c r="CF164" s="146">
        <v>1</v>
      </c>
      <c r="CG164" s="146">
        <v>1</v>
      </c>
      <c r="CH164" s="89">
        <v>0</v>
      </c>
      <c r="CI164" s="89">
        <v>0</v>
      </c>
      <c r="CJ164" s="86" t="e">
        <f t="shared" si="17"/>
        <v>#VALUE!</v>
      </c>
      <c r="CK164" s="2" t="b">
        <f t="shared" si="18"/>
        <v>0</v>
      </c>
      <c r="CL164" s="98">
        <f t="shared" si="19"/>
        <v>72.151949999999999</v>
      </c>
      <c r="CM164" s="98">
        <v>81.5</v>
      </c>
      <c r="CN164" s="98">
        <v>175</v>
      </c>
      <c r="CO164" s="86">
        <v>51.49</v>
      </c>
      <c r="CP164" s="98">
        <v>49.5</v>
      </c>
      <c r="CQ164" s="98">
        <v>41</v>
      </c>
      <c r="CR164" s="96">
        <v>11.47</v>
      </c>
    </row>
    <row r="165" spans="1:96" ht="15.75" customHeight="1">
      <c r="A165" s="50">
        <v>2018</v>
      </c>
      <c r="B165" s="4" t="s">
        <v>183</v>
      </c>
      <c r="C165" s="105">
        <v>3193</v>
      </c>
      <c r="D165" s="101">
        <v>29</v>
      </c>
      <c r="E165" s="101">
        <v>83</v>
      </c>
      <c r="F165" s="101">
        <v>0</v>
      </c>
      <c r="G165" s="302" t="s">
        <v>94</v>
      </c>
      <c r="H165" s="62" t="s">
        <v>94</v>
      </c>
      <c r="I165" s="62" t="s">
        <v>94</v>
      </c>
      <c r="J165" s="62" t="s">
        <v>94</v>
      </c>
      <c r="K165" s="62" t="s">
        <v>94</v>
      </c>
      <c r="L165" s="62" t="s">
        <v>94</v>
      </c>
      <c r="M165" s="87">
        <v>189</v>
      </c>
      <c r="N165" s="87">
        <v>242</v>
      </c>
      <c r="O165" s="94" t="s">
        <v>94</v>
      </c>
      <c r="P165" s="94" t="s">
        <v>94</v>
      </c>
      <c r="Q165" s="142" t="s">
        <v>94</v>
      </c>
      <c r="R165" s="142" t="s">
        <v>94</v>
      </c>
      <c r="S165" s="80" t="s">
        <v>94</v>
      </c>
      <c r="T165" s="80" t="s">
        <v>94</v>
      </c>
      <c r="U165" s="143" t="s">
        <v>94</v>
      </c>
      <c r="V165" s="143" t="s">
        <v>94</v>
      </c>
      <c r="W165" s="88">
        <v>4.0599999999999996</v>
      </c>
      <c r="X165" s="88">
        <v>3.8</v>
      </c>
      <c r="Y165" s="143" t="s">
        <v>94</v>
      </c>
      <c r="Z165" s="143" t="s">
        <v>94</v>
      </c>
      <c r="AA165" s="80" t="s">
        <v>94</v>
      </c>
      <c r="AB165" s="80" t="s">
        <v>94</v>
      </c>
      <c r="AC165" s="89">
        <v>5.3</v>
      </c>
      <c r="AD165" s="89">
        <v>6</v>
      </c>
      <c r="AE165" s="102">
        <v>121.2</v>
      </c>
      <c r="AF165" s="103">
        <v>83.4</v>
      </c>
      <c r="AG165" s="89">
        <v>32</v>
      </c>
      <c r="AH165" s="89">
        <v>38</v>
      </c>
      <c r="AI165" s="144">
        <v>0.82</v>
      </c>
      <c r="AJ165" s="88">
        <v>1.2</v>
      </c>
      <c r="AK165" s="269">
        <f t="shared" si="14"/>
        <v>0.38</v>
      </c>
      <c r="AL165" s="89">
        <v>2.5099999999999998</v>
      </c>
      <c r="AM165" s="89">
        <v>5</v>
      </c>
      <c r="AN165" s="61" t="s">
        <v>94</v>
      </c>
      <c r="AO165" s="61" t="s">
        <v>94</v>
      </c>
      <c r="AP165" s="80" t="s">
        <v>94</v>
      </c>
      <c r="AQ165" s="80" t="s">
        <v>94</v>
      </c>
      <c r="AR165" s="89">
        <v>8.6999999999999993</v>
      </c>
      <c r="AS165" s="89">
        <v>9.5</v>
      </c>
      <c r="AT165" s="142" t="s">
        <v>94</v>
      </c>
      <c r="AU165" s="142" t="s">
        <v>94</v>
      </c>
      <c r="AV165" s="70">
        <v>93</v>
      </c>
      <c r="AW165" s="70">
        <v>111</v>
      </c>
      <c r="AX165" s="80" t="s">
        <v>94</v>
      </c>
      <c r="AY165" s="80" t="s">
        <v>94</v>
      </c>
      <c r="AZ165" s="142" t="s">
        <v>94</v>
      </c>
      <c r="BA165" s="142" t="s">
        <v>94</v>
      </c>
      <c r="BB165" s="80" t="s">
        <v>94</v>
      </c>
      <c r="BC165" s="80" t="s">
        <v>94</v>
      </c>
      <c r="BD165" s="96" t="e">
        <f t="shared" si="15"/>
        <v>#VALUE!</v>
      </c>
      <c r="BE165" s="96" t="e">
        <f t="shared" si="16"/>
        <v>#VALUE!</v>
      </c>
      <c r="BF165" s="89">
        <v>4.0999999999999996</v>
      </c>
      <c r="BG165" s="89">
        <v>4.0999999999999996</v>
      </c>
      <c r="BH165" s="63">
        <v>12.2</v>
      </c>
      <c r="BI165" s="63">
        <v>12.5</v>
      </c>
      <c r="BJ165" s="89">
        <v>37.200000000000003</v>
      </c>
      <c r="BK165" s="89">
        <v>37.4</v>
      </c>
      <c r="BL165" s="63">
        <v>91.4</v>
      </c>
      <c r="BM165" s="63">
        <v>90.8</v>
      </c>
      <c r="BN165" s="89">
        <v>30</v>
      </c>
      <c r="BO165" s="89">
        <v>30.3</v>
      </c>
      <c r="BP165" s="63">
        <v>32.799999999999997</v>
      </c>
      <c r="BQ165" s="63">
        <v>33.4</v>
      </c>
      <c r="BR165" s="89">
        <v>296</v>
      </c>
      <c r="BS165" s="89">
        <v>279</v>
      </c>
      <c r="BT165" s="63">
        <v>13.3</v>
      </c>
      <c r="BU165" s="63">
        <v>13.2</v>
      </c>
      <c r="BV165" s="97" t="s">
        <v>94</v>
      </c>
      <c r="BW165" s="97" t="s">
        <v>94</v>
      </c>
      <c r="BX165" s="145">
        <v>8.66</v>
      </c>
      <c r="BY165" s="145">
        <v>8.0299999999999994</v>
      </c>
      <c r="BZ165" s="89">
        <v>72</v>
      </c>
      <c r="CA165" s="89">
        <v>72</v>
      </c>
      <c r="CB165" s="145">
        <v>19</v>
      </c>
      <c r="CC165" s="145">
        <v>20</v>
      </c>
      <c r="CD165" s="89">
        <v>7</v>
      </c>
      <c r="CE165" s="89">
        <v>7</v>
      </c>
      <c r="CF165" s="146">
        <v>2</v>
      </c>
      <c r="CG165" s="146">
        <v>1</v>
      </c>
      <c r="CH165" s="89">
        <v>0</v>
      </c>
      <c r="CI165" s="89">
        <v>0</v>
      </c>
      <c r="CJ165" s="86" t="b">
        <f t="shared" si="17"/>
        <v>1</v>
      </c>
      <c r="CK165" s="2" t="b">
        <f t="shared" si="18"/>
        <v>0</v>
      </c>
      <c r="CL165" s="98">
        <f t="shared" si="19"/>
        <v>72.809100000000001</v>
      </c>
      <c r="CM165" s="98">
        <v>81.900000000000006</v>
      </c>
      <c r="CN165" s="98">
        <v>180.5</v>
      </c>
      <c r="CO165" s="86">
        <v>51.93</v>
      </c>
      <c r="CP165" s="98">
        <v>44.5</v>
      </c>
      <c r="CQ165" s="98">
        <v>46.5</v>
      </c>
      <c r="CR165" s="96">
        <v>11.1</v>
      </c>
    </row>
    <row r="166" spans="1:96" ht="15.75" customHeight="1">
      <c r="A166" s="50">
        <v>2018</v>
      </c>
      <c r="B166" s="4" t="s">
        <v>183</v>
      </c>
      <c r="C166" s="105">
        <v>3194</v>
      </c>
      <c r="D166" s="101">
        <v>28</v>
      </c>
      <c r="E166" s="101">
        <v>81</v>
      </c>
      <c r="F166" s="101">
        <v>1</v>
      </c>
      <c r="G166" s="302" t="s">
        <v>94</v>
      </c>
      <c r="H166" s="62" t="s">
        <v>94</v>
      </c>
      <c r="I166" s="62" t="s">
        <v>94</v>
      </c>
      <c r="J166" s="62" t="s">
        <v>94</v>
      </c>
      <c r="K166" s="62" t="s">
        <v>94</v>
      </c>
      <c r="L166" s="62" t="s">
        <v>94</v>
      </c>
      <c r="M166" s="87">
        <v>363</v>
      </c>
      <c r="N166" s="87">
        <v>396</v>
      </c>
      <c r="O166" s="94" t="s">
        <v>94</v>
      </c>
      <c r="P166" s="94" t="s">
        <v>94</v>
      </c>
      <c r="Q166" s="142" t="s">
        <v>94</v>
      </c>
      <c r="R166" s="142" t="s">
        <v>94</v>
      </c>
      <c r="S166" s="80" t="s">
        <v>94</v>
      </c>
      <c r="T166" s="80" t="s">
        <v>94</v>
      </c>
      <c r="U166" s="143" t="s">
        <v>94</v>
      </c>
      <c r="V166" s="143" t="s">
        <v>94</v>
      </c>
      <c r="W166" s="88">
        <v>4.8499999999999996</v>
      </c>
      <c r="X166" s="88">
        <v>3.5</v>
      </c>
      <c r="Y166" s="143" t="s">
        <v>94</v>
      </c>
      <c r="Z166" s="143" t="s">
        <v>94</v>
      </c>
      <c r="AA166" s="80" t="s">
        <v>94</v>
      </c>
      <c r="AB166" s="80" t="s">
        <v>94</v>
      </c>
      <c r="AC166" s="89">
        <v>4.3</v>
      </c>
      <c r="AD166" s="89">
        <v>6.5</v>
      </c>
      <c r="AE166" s="102">
        <v>128.5</v>
      </c>
      <c r="AF166" s="103">
        <v>122.9</v>
      </c>
      <c r="AG166" s="89">
        <v>30</v>
      </c>
      <c r="AH166" s="89">
        <v>25</v>
      </c>
      <c r="AI166" s="144">
        <v>0.69</v>
      </c>
      <c r="AJ166" s="88">
        <v>0.8</v>
      </c>
      <c r="AK166" s="269">
        <f t="shared" si="14"/>
        <v>0.1100000000000001</v>
      </c>
      <c r="AL166" s="89">
        <v>3.35</v>
      </c>
      <c r="AM166" s="89">
        <v>10.5</v>
      </c>
      <c r="AN166" s="61" t="s">
        <v>94</v>
      </c>
      <c r="AO166" s="61" t="s">
        <v>94</v>
      </c>
      <c r="AP166" s="80" t="s">
        <v>94</v>
      </c>
      <c r="AQ166" s="80" t="s">
        <v>94</v>
      </c>
      <c r="AR166" s="89">
        <v>10.1</v>
      </c>
      <c r="AS166" s="89">
        <v>10</v>
      </c>
      <c r="AT166" s="142" t="s">
        <v>94</v>
      </c>
      <c r="AU166" s="142" t="s">
        <v>94</v>
      </c>
      <c r="AV166" s="70">
        <v>105</v>
      </c>
      <c r="AW166" s="70">
        <v>100</v>
      </c>
      <c r="AX166" s="80" t="s">
        <v>94</v>
      </c>
      <c r="AY166" s="80" t="s">
        <v>94</v>
      </c>
      <c r="AZ166" s="142" t="s">
        <v>94</v>
      </c>
      <c r="BA166" s="142" t="s">
        <v>94</v>
      </c>
      <c r="BB166" s="80" t="s">
        <v>94</v>
      </c>
      <c r="BC166" s="80" t="s">
        <v>94</v>
      </c>
      <c r="BD166" s="96" t="e">
        <f t="shared" si="15"/>
        <v>#VALUE!</v>
      </c>
      <c r="BE166" s="96" t="e">
        <f t="shared" si="16"/>
        <v>#VALUE!</v>
      </c>
      <c r="BF166" s="89">
        <v>4.5</v>
      </c>
      <c r="BG166" s="89">
        <v>4.0999999999999996</v>
      </c>
      <c r="BH166" s="63">
        <v>14.2</v>
      </c>
      <c r="BI166" s="63">
        <v>11.9</v>
      </c>
      <c r="BJ166" s="89">
        <v>43.7</v>
      </c>
      <c r="BK166" s="89">
        <v>36.700000000000003</v>
      </c>
      <c r="BL166" s="63">
        <v>96.3</v>
      </c>
      <c r="BM166" s="63">
        <v>90</v>
      </c>
      <c r="BN166" s="89">
        <v>31.3</v>
      </c>
      <c r="BO166" s="89">
        <v>29.2</v>
      </c>
      <c r="BP166" s="63">
        <v>32.5</v>
      </c>
      <c r="BQ166" s="63">
        <v>32.4</v>
      </c>
      <c r="BR166" s="89">
        <v>272</v>
      </c>
      <c r="BS166" s="89">
        <v>273</v>
      </c>
      <c r="BT166" s="63">
        <v>13.4</v>
      </c>
      <c r="BU166" s="63">
        <v>13.9</v>
      </c>
      <c r="BV166" s="97" t="s">
        <v>94</v>
      </c>
      <c r="BW166" s="97" t="s">
        <v>94</v>
      </c>
      <c r="BX166" s="145">
        <v>8.64</v>
      </c>
      <c r="BY166" s="145">
        <v>5.82</v>
      </c>
      <c r="BZ166" s="89">
        <v>73</v>
      </c>
      <c r="CA166" s="89">
        <v>65</v>
      </c>
      <c r="CB166" s="145">
        <v>17</v>
      </c>
      <c r="CC166" s="145">
        <v>25</v>
      </c>
      <c r="CD166" s="89">
        <v>8</v>
      </c>
      <c r="CE166" s="89">
        <v>9</v>
      </c>
      <c r="CF166" s="146">
        <v>2</v>
      </c>
      <c r="CG166" s="146">
        <v>1</v>
      </c>
      <c r="CH166" s="89">
        <v>0</v>
      </c>
      <c r="CI166" s="89">
        <v>0</v>
      </c>
      <c r="CJ166" s="86" t="b">
        <f t="shared" si="17"/>
        <v>0</v>
      </c>
      <c r="CK166" s="2" t="b">
        <f t="shared" si="18"/>
        <v>0</v>
      </c>
      <c r="CL166" s="98">
        <f t="shared" si="19"/>
        <v>71.943809999999999</v>
      </c>
      <c r="CM166" s="98">
        <v>81.099999999999994</v>
      </c>
      <c r="CN166" s="98">
        <v>178</v>
      </c>
      <c r="CO166" s="86">
        <v>51.6</v>
      </c>
      <c r="CP166" s="98">
        <v>45.5</v>
      </c>
      <c r="CQ166" s="98">
        <v>43</v>
      </c>
      <c r="CR166" s="96">
        <v>11.29</v>
      </c>
    </row>
    <row r="167" spans="1:96" ht="15.75" customHeight="1">
      <c r="A167" s="50">
        <v>2018</v>
      </c>
      <c r="B167" s="4" t="s">
        <v>183</v>
      </c>
      <c r="C167" s="105">
        <v>3195</v>
      </c>
      <c r="D167" s="101">
        <v>26</v>
      </c>
      <c r="E167" s="101">
        <v>68</v>
      </c>
      <c r="F167" s="101">
        <v>1</v>
      </c>
      <c r="G167" s="302" t="s">
        <v>94</v>
      </c>
      <c r="H167" s="62" t="s">
        <v>94</v>
      </c>
      <c r="I167" s="62" t="s">
        <v>94</v>
      </c>
      <c r="J167" s="62" t="s">
        <v>94</v>
      </c>
      <c r="K167" s="62" t="s">
        <v>94</v>
      </c>
      <c r="L167" s="62" t="s">
        <v>94</v>
      </c>
      <c r="M167" s="87">
        <v>300</v>
      </c>
      <c r="N167" s="87">
        <v>291</v>
      </c>
      <c r="O167" s="94" t="s">
        <v>94</v>
      </c>
      <c r="P167" s="94" t="s">
        <v>94</v>
      </c>
      <c r="Q167" s="142" t="s">
        <v>94</v>
      </c>
      <c r="R167" s="142" t="s">
        <v>94</v>
      </c>
      <c r="S167" s="80" t="s">
        <v>94</v>
      </c>
      <c r="T167" s="80" t="s">
        <v>94</v>
      </c>
      <c r="U167" s="143" t="s">
        <v>94</v>
      </c>
      <c r="V167" s="143" t="s">
        <v>94</v>
      </c>
      <c r="W167" s="88">
        <v>4.17</v>
      </c>
      <c r="X167" s="88">
        <v>4.8</v>
      </c>
      <c r="Y167" s="143" t="s">
        <v>94</v>
      </c>
      <c r="Z167" s="143" t="s">
        <v>94</v>
      </c>
      <c r="AA167" s="80" t="s">
        <v>94</v>
      </c>
      <c r="AB167" s="80" t="s">
        <v>94</v>
      </c>
      <c r="AC167" s="89">
        <v>5.6</v>
      </c>
      <c r="AD167" s="89">
        <v>6.2</v>
      </c>
      <c r="AE167" s="102">
        <v>121.2</v>
      </c>
      <c r="AF167" s="103">
        <v>85.5</v>
      </c>
      <c r="AG167" s="89">
        <v>27</v>
      </c>
      <c r="AH167" s="89">
        <v>46</v>
      </c>
      <c r="AI167" s="144">
        <v>0.89</v>
      </c>
      <c r="AJ167" s="88">
        <v>1.2</v>
      </c>
      <c r="AK167" s="269">
        <f t="shared" si="14"/>
        <v>0.30999999999999994</v>
      </c>
      <c r="AL167" s="89">
        <v>2.9</v>
      </c>
      <c r="AM167" s="89">
        <v>3.8</v>
      </c>
      <c r="AN167" s="61" t="s">
        <v>94</v>
      </c>
      <c r="AO167" s="61" t="s">
        <v>94</v>
      </c>
      <c r="AP167" s="80" t="s">
        <v>94</v>
      </c>
      <c r="AQ167" s="80" t="s">
        <v>94</v>
      </c>
      <c r="AR167" s="89">
        <v>9.1</v>
      </c>
      <c r="AS167" s="89">
        <v>10.3</v>
      </c>
      <c r="AT167" s="142" t="s">
        <v>94</v>
      </c>
      <c r="AU167" s="142" t="s">
        <v>94</v>
      </c>
      <c r="AV167" s="70">
        <v>91</v>
      </c>
      <c r="AW167" s="70">
        <v>85</v>
      </c>
      <c r="AX167" s="80" t="s">
        <v>94</v>
      </c>
      <c r="AY167" s="80" t="s">
        <v>94</v>
      </c>
      <c r="AZ167" s="142" t="s">
        <v>94</v>
      </c>
      <c r="BA167" s="142" t="s">
        <v>94</v>
      </c>
      <c r="BB167" s="80" t="s">
        <v>94</v>
      </c>
      <c r="BC167" s="80" t="s">
        <v>94</v>
      </c>
      <c r="BD167" s="96" t="e">
        <f t="shared" si="15"/>
        <v>#VALUE!</v>
      </c>
      <c r="BE167" s="96" t="e">
        <f t="shared" si="16"/>
        <v>#VALUE!</v>
      </c>
      <c r="BF167" s="89">
        <v>4.3</v>
      </c>
      <c r="BG167" s="89">
        <v>4.5999999999999996</v>
      </c>
      <c r="BH167" s="63">
        <v>12.6</v>
      </c>
      <c r="BI167" s="63">
        <v>14.3</v>
      </c>
      <c r="BJ167" s="89">
        <v>39.200000000000003</v>
      </c>
      <c r="BK167" s="89">
        <v>43.4</v>
      </c>
      <c r="BL167" s="63">
        <v>90.5</v>
      </c>
      <c r="BM167" s="63">
        <v>95.2</v>
      </c>
      <c r="BN167" s="89">
        <v>29.1</v>
      </c>
      <c r="BO167" s="89">
        <v>31.4</v>
      </c>
      <c r="BP167" s="63">
        <v>32.1</v>
      </c>
      <c r="BQ167" s="63">
        <v>32.9</v>
      </c>
      <c r="BR167" s="89">
        <v>355</v>
      </c>
      <c r="BS167" s="89">
        <v>279</v>
      </c>
      <c r="BT167" s="63">
        <v>14.2</v>
      </c>
      <c r="BU167" s="63">
        <v>13.3</v>
      </c>
      <c r="BV167" s="97" t="s">
        <v>94</v>
      </c>
      <c r="BW167" s="97" t="s">
        <v>94</v>
      </c>
      <c r="BX167" s="145">
        <v>6.4</v>
      </c>
      <c r="BY167" s="145">
        <v>8.52</v>
      </c>
      <c r="BZ167" s="89">
        <v>70</v>
      </c>
      <c r="CA167" s="89">
        <v>72</v>
      </c>
      <c r="CB167" s="145">
        <v>20</v>
      </c>
      <c r="CC167" s="145">
        <v>19</v>
      </c>
      <c r="CD167" s="89">
        <v>10</v>
      </c>
      <c r="CE167" s="89">
        <v>8</v>
      </c>
      <c r="CF167" s="145">
        <v>0</v>
      </c>
      <c r="CG167" s="146">
        <v>1</v>
      </c>
      <c r="CH167" s="89">
        <v>0</v>
      </c>
      <c r="CI167" s="89">
        <v>0</v>
      </c>
      <c r="CJ167" s="86" t="b">
        <f t="shared" si="17"/>
        <v>1</v>
      </c>
      <c r="CK167" s="2" t="b">
        <f t="shared" si="18"/>
        <v>0</v>
      </c>
      <c r="CL167" s="98">
        <f t="shared" si="19"/>
        <v>62.5396</v>
      </c>
      <c r="CM167" s="98">
        <v>68</v>
      </c>
      <c r="CN167" s="98">
        <v>173</v>
      </c>
      <c r="CO167" s="86">
        <v>55.9</v>
      </c>
      <c r="CP167" s="98">
        <v>39</v>
      </c>
      <c r="CQ167" s="98">
        <v>39</v>
      </c>
      <c r="CR167" s="96">
        <v>8.0299999999999994</v>
      </c>
    </row>
    <row r="168" spans="1:96" ht="15.75" customHeight="1">
      <c r="A168" s="50">
        <v>2018</v>
      </c>
      <c r="B168" s="4" t="s">
        <v>183</v>
      </c>
      <c r="C168" s="105">
        <v>3196</v>
      </c>
      <c r="D168" s="101">
        <v>27</v>
      </c>
      <c r="E168" s="101">
        <v>80</v>
      </c>
      <c r="F168" s="101">
        <v>1</v>
      </c>
      <c r="G168" s="302" t="s">
        <v>94</v>
      </c>
      <c r="H168" s="62" t="s">
        <v>94</v>
      </c>
      <c r="I168" s="62" t="s">
        <v>94</v>
      </c>
      <c r="J168" s="62" t="s">
        <v>94</v>
      </c>
      <c r="K168" s="62" t="s">
        <v>94</v>
      </c>
      <c r="L168" s="62" t="s">
        <v>94</v>
      </c>
      <c r="M168" s="87">
        <v>723</v>
      </c>
      <c r="N168" s="87">
        <v>542</v>
      </c>
      <c r="O168" s="94" t="s">
        <v>94</v>
      </c>
      <c r="P168" s="94" t="s">
        <v>94</v>
      </c>
      <c r="Q168" s="142" t="s">
        <v>94</v>
      </c>
      <c r="R168" s="142" t="s">
        <v>94</v>
      </c>
      <c r="S168" s="80" t="s">
        <v>94</v>
      </c>
      <c r="T168" s="80" t="s">
        <v>94</v>
      </c>
      <c r="U168" s="143" t="s">
        <v>94</v>
      </c>
      <c r="V168" s="143" t="s">
        <v>94</v>
      </c>
      <c r="W168" s="88">
        <v>4.2</v>
      </c>
      <c r="X168" s="88">
        <v>3.5</v>
      </c>
      <c r="Y168" s="143" t="s">
        <v>94</v>
      </c>
      <c r="Z168" s="143" t="s">
        <v>94</v>
      </c>
      <c r="AA168" s="80" t="s">
        <v>94</v>
      </c>
      <c r="AB168" s="80" t="s">
        <v>94</v>
      </c>
      <c r="AC168" s="89">
        <v>8</v>
      </c>
      <c r="AD168" s="89">
        <v>8</v>
      </c>
      <c r="AE168" s="102">
        <v>109</v>
      </c>
      <c r="AF168" s="103">
        <v>93.8</v>
      </c>
      <c r="AG168" s="89">
        <v>36</v>
      </c>
      <c r="AH168" s="89">
        <v>40</v>
      </c>
      <c r="AI168" s="144">
        <v>0.97</v>
      </c>
      <c r="AJ168" s="88">
        <v>1.1000000000000001</v>
      </c>
      <c r="AK168" s="269">
        <f t="shared" si="14"/>
        <v>0.13000000000000012</v>
      </c>
      <c r="AL168" s="89">
        <v>3.53</v>
      </c>
      <c r="AM168" s="89">
        <v>2.6</v>
      </c>
      <c r="AN168" s="61" t="s">
        <v>94</v>
      </c>
      <c r="AO168" s="61" t="s">
        <v>94</v>
      </c>
      <c r="AP168" s="80" t="s">
        <v>94</v>
      </c>
      <c r="AQ168" s="80" t="s">
        <v>94</v>
      </c>
      <c r="AR168" s="89">
        <v>9</v>
      </c>
      <c r="AS168" s="89">
        <v>9.1</v>
      </c>
      <c r="AT168" s="142" t="s">
        <v>94</v>
      </c>
      <c r="AU168" s="142" t="s">
        <v>94</v>
      </c>
      <c r="AV168" s="70">
        <v>102</v>
      </c>
      <c r="AW168" s="71">
        <v>95</v>
      </c>
      <c r="AX168" s="80" t="s">
        <v>94</v>
      </c>
      <c r="AY168" s="80" t="s">
        <v>94</v>
      </c>
      <c r="AZ168" s="142" t="s">
        <v>94</v>
      </c>
      <c r="BA168" s="142" t="s">
        <v>94</v>
      </c>
      <c r="BB168" s="80" t="s">
        <v>94</v>
      </c>
      <c r="BC168" s="80" t="s">
        <v>94</v>
      </c>
      <c r="BD168" s="96" t="e">
        <f t="shared" si="15"/>
        <v>#VALUE!</v>
      </c>
      <c r="BE168" s="96" t="e">
        <f t="shared" si="16"/>
        <v>#VALUE!</v>
      </c>
      <c r="BF168" s="89">
        <v>4.2</v>
      </c>
      <c r="BG168" s="89">
        <v>5</v>
      </c>
      <c r="BH168" s="63">
        <v>12.3</v>
      </c>
      <c r="BI168" s="63">
        <v>13.8</v>
      </c>
      <c r="BJ168" s="89">
        <v>38.700000000000003</v>
      </c>
      <c r="BK168" s="89">
        <v>41.1</v>
      </c>
      <c r="BL168" s="63">
        <v>91.5</v>
      </c>
      <c r="BM168" s="63">
        <v>82.4</v>
      </c>
      <c r="BN168" s="89">
        <v>29.1</v>
      </c>
      <c r="BO168" s="89">
        <v>27.7</v>
      </c>
      <c r="BP168" s="63">
        <v>31.8</v>
      </c>
      <c r="BQ168" s="63">
        <v>33.6</v>
      </c>
      <c r="BR168" s="89">
        <v>262</v>
      </c>
      <c r="BS168" s="89">
        <v>110</v>
      </c>
      <c r="BT168" s="63">
        <v>14.5</v>
      </c>
      <c r="BU168" s="63">
        <v>13.5</v>
      </c>
      <c r="BV168" s="97" t="s">
        <v>94</v>
      </c>
      <c r="BW168" s="97" t="s">
        <v>94</v>
      </c>
      <c r="BX168" s="145">
        <v>8.74</v>
      </c>
      <c r="BY168" s="145">
        <v>7.15</v>
      </c>
      <c r="BZ168" s="89">
        <v>73</v>
      </c>
      <c r="CA168" s="89">
        <v>67</v>
      </c>
      <c r="CB168" s="145">
        <v>14</v>
      </c>
      <c r="CC168" s="145">
        <v>26</v>
      </c>
      <c r="CD168" s="89">
        <v>10</v>
      </c>
      <c r="CE168" s="89">
        <v>6</v>
      </c>
      <c r="CF168" s="146">
        <v>2</v>
      </c>
      <c r="CG168" s="146">
        <v>1</v>
      </c>
      <c r="CH168" s="97">
        <v>0</v>
      </c>
      <c r="CI168" s="97">
        <v>0</v>
      </c>
      <c r="CJ168" s="86" t="b">
        <f t="shared" si="17"/>
        <v>0</v>
      </c>
      <c r="CK168" s="2" t="b">
        <f t="shared" si="18"/>
        <v>0</v>
      </c>
      <c r="CL168" s="98">
        <f t="shared" si="19"/>
        <v>70.30368</v>
      </c>
      <c r="CM168" s="98">
        <v>82.4</v>
      </c>
      <c r="CN168" s="98">
        <v>168</v>
      </c>
      <c r="CO168" s="86">
        <v>50.7</v>
      </c>
      <c r="CP168" s="98">
        <v>60</v>
      </c>
      <c r="CQ168" s="98">
        <v>58</v>
      </c>
      <c r="CR168" s="96">
        <v>14.68</v>
      </c>
    </row>
    <row r="169" spans="1:96" ht="15.75" customHeight="1">
      <c r="A169" s="50">
        <v>2018</v>
      </c>
      <c r="B169" s="4" t="s">
        <v>181</v>
      </c>
      <c r="C169" s="105">
        <v>3155</v>
      </c>
      <c r="D169" s="101">
        <v>26</v>
      </c>
      <c r="E169" s="101">
        <v>70</v>
      </c>
      <c r="F169" s="101">
        <v>1</v>
      </c>
      <c r="G169" s="54" t="s">
        <v>86</v>
      </c>
      <c r="H169" s="55" t="s">
        <v>83</v>
      </c>
      <c r="I169" s="56" t="s">
        <v>87</v>
      </c>
      <c r="J169" s="52" t="s">
        <v>88</v>
      </c>
      <c r="K169" s="53">
        <v>50</v>
      </c>
      <c r="L169" s="55">
        <v>50</v>
      </c>
      <c r="M169" s="87">
        <v>103</v>
      </c>
      <c r="N169" s="87">
        <v>117</v>
      </c>
      <c r="O169" s="88">
        <v>4</v>
      </c>
      <c r="P169" s="88">
        <v>3</v>
      </c>
      <c r="Q169" s="142" t="s">
        <v>94</v>
      </c>
      <c r="R169" s="142" t="s">
        <v>94</v>
      </c>
      <c r="S169" s="88">
        <v>549</v>
      </c>
      <c r="T169" s="88">
        <v>486</v>
      </c>
      <c r="U169" s="90">
        <v>25</v>
      </c>
      <c r="V169" s="90">
        <v>24</v>
      </c>
      <c r="W169" s="88">
        <v>4.5999999999999996</v>
      </c>
      <c r="X169" s="88">
        <v>4.3</v>
      </c>
      <c r="Y169" s="90">
        <v>41</v>
      </c>
      <c r="Z169" s="90">
        <v>37</v>
      </c>
      <c r="AA169" s="88">
        <v>29</v>
      </c>
      <c r="AB169" s="88">
        <v>35</v>
      </c>
      <c r="AC169" s="89">
        <v>4.5999999999999996</v>
      </c>
      <c r="AD169" s="89">
        <v>5.0999999999999996</v>
      </c>
      <c r="AE169" s="102">
        <v>120</v>
      </c>
      <c r="AF169" s="103">
        <v>105.8</v>
      </c>
      <c r="AG169" s="89">
        <v>43</v>
      </c>
      <c r="AH169" s="89">
        <v>47</v>
      </c>
      <c r="AI169" s="144">
        <v>0.9</v>
      </c>
      <c r="AJ169" s="88">
        <v>1</v>
      </c>
      <c r="AK169" s="269">
        <f t="shared" si="14"/>
        <v>9.9999999999999978E-2</v>
      </c>
      <c r="AL169" s="89">
        <v>5.6</v>
      </c>
      <c r="AM169" s="89">
        <v>5.4</v>
      </c>
      <c r="AN169" s="63">
        <v>7.9</v>
      </c>
      <c r="AO169" s="63">
        <v>7.8</v>
      </c>
      <c r="AP169" s="88">
        <v>72</v>
      </c>
      <c r="AQ169" s="88">
        <v>90</v>
      </c>
      <c r="AR169" s="89">
        <v>10.5</v>
      </c>
      <c r="AS169" s="89">
        <v>10.3</v>
      </c>
      <c r="AT169" s="89">
        <v>5.0999999999999996</v>
      </c>
      <c r="AU169" s="89">
        <v>4.4000000000000004</v>
      </c>
      <c r="AV169" s="61">
        <v>98</v>
      </c>
      <c r="AW169" s="52">
        <v>90</v>
      </c>
      <c r="AX169" s="63">
        <v>140</v>
      </c>
      <c r="AY169" s="63">
        <v>139</v>
      </c>
      <c r="AZ169" s="89">
        <v>2.5</v>
      </c>
      <c r="BA169" s="89">
        <v>2.2000000000000002</v>
      </c>
      <c r="BB169" s="88">
        <v>104</v>
      </c>
      <c r="BC169" s="88">
        <v>101</v>
      </c>
      <c r="BD169" s="96">
        <f t="shared" si="15"/>
        <v>297.31377777777783</v>
      </c>
      <c r="BE169" s="96">
        <f t="shared" si="16"/>
        <v>294.30733333333336</v>
      </c>
      <c r="BF169" s="108">
        <v>4.62</v>
      </c>
      <c r="BG169" s="89">
        <v>4.68</v>
      </c>
      <c r="BH169" s="93">
        <v>13.3</v>
      </c>
      <c r="BI169" s="63">
        <v>13.2</v>
      </c>
      <c r="BJ169" s="108">
        <v>40.6</v>
      </c>
      <c r="BK169" s="89">
        <v>41.7</v>
      </c>
      <c r="BL169" s="63">
        <v>87.9</v>
      </c>
      <c r="BM169" s="63">
        <v>89.1</v>
      </c>
      <c r="BN169" s="89">
        <v>28.8</v>
      </c>
      <c r="BO169" s="89">
        <v>28.2</v>
      </c>
      <c r="BP169" s="63">
        <v>32.799999999999997</v>
      </c>
      <c r="BQ169" s="63">
        <v>31.7</v>
      </c>
      <c r="BR169" s="89">
        <v>362</v>
      </c>
      <c r="BS169" s="89">
        <v>285</v>
      </c>
      <c r="BT169" s="63">
        <v>13.4</v>
      </c>
      <c r="BU169" s="63">
        <v>13.7</v>
      </c>
      <c r="BV169" s="89">
        <v>1.66</v>
      </c>
      <c r="BW169" s="89">
        <v>1.68</v>
      </c>
      <c r="BX169" s="145">
        <v>7.11</v>
      </c>
      <c r="BY169" s="63">
        <v>7.55</v>
      </c>
      <c r="BZ169" s="89">
        <v>61.1</v>
      </c>
      <c r="CA169" s="89">
        <v>57.7</v>
      </c>
      <c r="CB169" s="145">
        <v>27.7</v>
      </c>
      <c r="CC169" s="63">
        <v>31.9</v>
      </c>
      <c r="CD169" s="89">
        <v>9.8000000000000007</v>
      </c>
      <c r="CE169" s="89">
        <v>9.1</v>
      </c>
      <c r="CF169" s="145">
        <v>1.1000000000000001</v>
      </c>
      <c r="CG169" s="63">
        <v>1.2</v>
      </c>
      <c r="CH169" s="89">
        <v>0.3</v>
      </c>
      <c r="CI169" s="89">
        <v>0.1</v>
      </c>
      <c r="CJ169" s="86" t="b">
        <f t="shared" si="17"/>
        <v>0</v>
      </c>
      <c r="CK169" s="2" t="b">
        <f t="shared" si="18"/>
        <v>0</v>
      </c>
      <c r="CL169" s="98">
        <f t="shared" si="19"/>
        <v>71.28528</v>
      </c>
      <c r="CM169" s="98">
        <v>75.900000000000006</v>
      </c>
      <c r="CN169" s="98">
        <v>171</v>
      </c>
      <c r="CO169" s="86">
        <v>54.68</v>
      </c>
      <c r="CP169" s="98">
        <v>42</v>
      </c>
      <c r="CQ169" s="98">
        <v>43</v>
      </c>
      <c r="CR169" s="96">
        <v>6.08</v>
      </c>
    </row>
    <row r="170" spans="1:96" ht="15.75" customHeight="1">
      <c r="A170" s="50">
        <v>2018</v>
      </c>
      <c r="B170" s="4" t="s">
        <v>181</v>
      </c>
      <c r="C170" s="105">
        <v>3156</v>
      </c>
      <c r="D170" s="101">
        <v>26</v>
      </c>
      <c r="E170" s="101">
        <v>74</v>
      </c>
      <c r="F170" s="101">
        <v>1</v>
      </c>
      <c r="G170" s="54" t="s">
        <v>89</v>
      </c>
      <c r="H170" s="55" t="s">
        <v>90</v>
      </c>
      <c r="I170" s="56" t="s">
        <v>84</v>
      </c>
      <c r="J170" s="55" t="s">
        <v>91</v>
      </c>
      <c r="K170" s="53">
        <v>50</v>
      </c>
      <c r="L170" s="55">
        <v>50</v>
      </c>
      <c r="M170" s="87">
        <v>129</v>
      </c>
      <c r="N170" s="141" t="s">
        <v>94</v>
      </c>
      <c r="O170" s="88">
        <v>4</v>
      </c>
      <c r="P170" s="94" t="s">
        <v>94</v>
      </c>
      <c r="Q170" s="142" t="s">
        <v>94</v>
      </c>
      <c r="R170" s="142" t="s">
        <v>94</v>
      </c>
      <c r="S170" s="88">
        <v>497</v>
      </c>
      <c r="T170" s="94" t="s">
        <v>94</v>
      </c>
      <c r="U170" s="90">
        <v>23</v>
      </c>
      <c r="V170" s="147" t="s">
        <v>94</v>
      </c>
      <c r="W170" s="88">
        <v>4.4000000000000004</v>
      </c>
      <c r="X170" s="94" t="s">
        <v>94</v>
      </c>
      <c r="Y170" s="90">
        <v>33</v>
      </c>
      <c r="Z170" s="147" t="s">
        <v>94</v>
      </c>
      <c r="AA170" s="88">
        <v>24</v>
      </c>
      <c r="AB170" s="94" t="s">
        <v>94</v>
      </c>
      <c r="AC170" s="89">
        <v>4.5</v>
      </c>
      <c r="AD170" s="97" t="s">
        <v>94</v>
      </c>
      <c r="AE170" s="102">
        <v>94.4</v>
      </c>
      <c r="AF170" s="103">
        <v>0</v>
      </c>
      <c r="AG170" s="89">
        <v>40</v>
      </c>
      <c r="AH170" s="97" t="s">
        <v>94</v>
      </c>
      <c r="AI170" s="88">
        <v>1.1000000000000001</v>
      </c>
      <c r="AJ170" s="94" t="s">
        <v>94</v>
      </c>
      <c r="AK170" s="269" t="str">
        <f t="shared" si="14"/>
        <v>Dados Insuficientes</v>
      </c>
      <c r="AL170" s="89">
        <v>5.4</v>
      </c>
      <c r="AM170" s="97" t="s">
        <v>94</v>
      </c>
      <c r="AN170" s="63">
        <v>7.2</v>
      </c>
      <c r="AO170" s="86" t="s">
        <v>94</v>
      </c>
      <c r="AP170" s="88">
        <v>112</v>
      </c>
      <c r="AQ170" s="94" t="s">
        <v>94</v>
      </c>
      <c r="AR170" s="89">
        <v>10.5</v>
      </c>
      <c r="AS170" s="97" t="s">
        <v>94</v>
      </c>
      <c r="AT170" s="89">
        <v>4.5</v>
      </c>
      <c r="AU170" s="97" t="s">
        <v>94</v>
      </c>
      <c r="AV170" s="61">
        <v>63</v>
      </c>
      <c r="AW170" s="52">
        <v>82</v>
      </c>
      <c r="AX170" s="63">
        <v>140</v>
      </c>
      <c r="AY170" s="86" t="s">
        <v>94</v>
      </c>
      <c r="AZ170" s="89">
        <v>2.2000000000000002</v>
      </c>
      <c r="BA170" s="97" t="s">
        <v>94</v>
      </c>
      <c r="BB170" s="88">
        <v>100</v>
      </c>
      <c r="BC170" s="94" t="s">
        <v>94</v>
      </c>
      <c r="BD170" s="96">
        <f t="shared" si="15"/>
        <v>293.4616666666667</v>
      </c>
      <c r="BE170" s="96" t="e">
        <f t="shared" si="16"/>
        <v>#VALUE!</v>
      </c>
      <c r="BF170" s="89">
        <v>5.15</v>
      </c>
      <c r="BG170" s="89">
        <v>5.19</v>
      </c>
      <c r="BH170" s="63">
        <v>15.2</v>
      </c>
      <c r="BI170" s="63">
        <v>15.4</v>
      </c>
      <c r="BJ170" s="89">
        <v>46.2</v>
      </c>
      <c r="BK170" s="89">
        <v>47.6</v>
      </c>
      <c r="BL170" s="63">
        <v>89.7</v>
      </c>
      <c r="BM170" s="63">
        <v>91.7</v>
      </c>
      <c r="BN170" s="89">
        <v>29.5</v>
      </c>
      <c r="BO170" s="89">
        <v>29.7</v>
      </c>
      <c r="BP170" s="63">
        <v>32.9</v>
      </c>
      <c r="BQ170" s="63">
        <v>32.4</v>
      </c>
      <c r="BR170" s="89">
        <v>272</v>
      </c>
      <c r="BS170" s="89">
        <v>248</v>
      </c>
      <c r="BT170" s="63">
        <v>12.1</v>
      </c>
      <c r="BU170" s="63">
        <v>11.9</v>
      </c>
      <c r="BV170" s="89">
        <v>1.65</v>
      </c>
      <c r="BW170" s="89" t="s">
        <v>94</v>
      </c>
      <c r="BX170" s="145">
        <v>6.02</v>
      </c>
      <c r="BY170" s="63">
        <v>5.71</v>
      </c>
      <c r="BZ170" s="89">
        <v>62.6</v>
      </c>
      <c r="CA170" s="89">
        <v>51.6</v>
      </c>
      <c r="CB170" s="145">
        <v>29.7</v>
      </c>
      <c r="CC170" s="63">
        <v>37.799999999999997</v>
      </c>
      <c r="CD170" s="89">
        <v>6</v>
      </c>
      <c r="CE170" s="89">
        <v>7.9</v>
      </c>
      <c r="CF170" s="145">
        <v>1.2</v>
      </c>
      <c r="CG170" s="63">
        <v>2.2999999999999998</v>
      </c>
      <c r="CH170" s="89">
        <v>0.5</v>
      </c>
      <c r="CI170" s="89">
        <v>0.4</v>
      </c>
      <c r="CJ170" s="86" t="e">
        <f t="shared" si="17"/>
        <v>#VALUE!</v>
      </c>
      <c r="CK170" s="2" t="b">
        <f t="shared" si="18"/>
        <v>1</v>
      </c>
      <c r="CL170" s="98">
        <f t="shared" si="19"/>
        <v>72.293760000000006</v>
      </c>
      <c r="CM170" s="98">
        <v>79.2</v>
      </c>
      <c r="CN170" s="98">
        <v>174</v>
      </c>
      <c r="CO170" s="86">
        <v>53.64</v>
      </c>
      <c r="CP170" s="98">
        <v>49.5</v>
      </c>
      <c r="CQ170" s="98">
        <v>49.5</v>
      </c>
      <c r="CR170" s="96">
        <v>8.7200000000000006</v>
      </c>
    </row>
    <row r="171" spans="1:96" ht="15.75" customHeight="1">
      <c r="A171" s="50">
        <v>2018</v>
      </c>
      <c r="B171" s="4" t="s">
        <v>181</v>
      </c>
      <c r="C171" s="105">
        <v>3159</v>
      </c>
      <c r="D171" s="101">
        <v>25</v>
      </c>
      <c r="E171" s="101">
        <v>84</v>
      </c>
      <c r="F171" s="101">
        <v>1</v>
      </c>
      <c r="G171" s="51" t="s">
        <v>86</v>
      </c>
      <c r="H171" s="52" t="s">
        <v>92</v>
      </c>
      <c r="I171" s="53" t="s">
        <v>93</v>
      </c>
      <c r="J171" s="55" t="s">
        <v>88</v>
      </c>
      <c r="K171" s="53" t="s">
        <v>94</v>
      </c>
      <c r="L171" s="52" t="s">
        <v>94</v>
      </c>
      <c r="M171" s="87">
        <v>130</v>
      </c>
      <c r="N171" s="87">
        <v>148</v>
      </c>
      <c r="O171" s="88">
        <v>3</v>
      </c>
      <c r="P171" s="88">
        <v>4</v>
      </c>
      <c r="Q171" s="142" t="s">
        <v>94</v>
      </c>
      <c r="R171" s="142" t="s">
        <v>94</v>
      </c>
      <c r="S171" s="88">
        <v>342</v>
      </c>
      <c r="T171" s="88">
        <v>203</v>
      </c>
      <c r="U171" s="90">
        <v>32</v>
      </c>
      <c r="V171" s="90">
        <v>30</v>
      </c>
      <c r="W171" s="88">
        <v>4.3</v>
      </c>
      <c r="X171" s="88">
        <v>4.2</v>
      </c>
      <c r="Y171" s="90">
        <v>30</v>
      </c>
      <c r="Z171" s="90">
        <v>37</v>
      </c>
      <c r="AA171" s="88">
        <v>18</v>
      </c>
      <c r="AB171" s="88">
        <v>18</v>
      </c>
      <c r="AC171" s="89">
        <v>5.0999999999999996</v>
      </c>
      <c r="AD171" s="89">
        <v>5.4</v>
      </c>
      <c r="AE171" s="102">
        <v>106.5</v>
      </c>
      <c r="AF171" s="103">
        <v>94.9</v>
      </c>
      <c r="AG171" s="89">
        <v>41</v>
      </c>
      <c r="AH171" s="89">
        <v>41</v>
      </c>
      <c r="AI171" s="88">
        <v>1</v>
      </c>
      <c r="AJ171" s="88">
        <v>1.1000000000000001</v>
      </c>
      <c r="AK171" s="269">
        <f t="shared" si="14"/>
        <v>0.10000000000000009</v>
      </c>
      <c r="AL171" s="89">
        <v>5</v>
      </c>
      <c r="AM171" s="89">
        <v>4.8</v>
      </c>
      <c r="AN171" s="63">
        <v>7.4</v>
      </c>
      <c r="AO171" s="63">
        <v>7.3</v>
      </c>
      <c r="AP171" s="88">
        <v>87</v>
      </c>
      <c r="AQ171" s="88">
        <v>96</v>
      </c>
      <c r="AR171" s="89">
        <v>10.1</v>
      </c>
      <c r="AS171" s="89">
        <v>10</v>
      </c>
      <c r="AT171" s="89">
        <v>6</v>
      </c>
      <c r="AU171" s="89">
        <v>4.5</v>
      </c>
      <c r="AV171" s="61">
        <v>93</v>
      </c>
      <c r="AW171" s="52">
        <v>88</v>
      </c>
      <c r="AX171" s="63">
        <v>138</v>
      </c>
      <c r="AY171" s="63">
        <v>139</v>
      </c>
      <c r="AZ171" s="89">
        <v>2</v>
      </c>
      <c r="BA171" s="89">
        <v>2.1</v>
      </c>
      <c r="BB171" s="88">
        <v>104</v>
      </c>
      <c r="BC171" s="88">
        <v>104</v>
      </c>
      <c r="BD171" s="96">
        <f t="shared" si="15"/>
        <v>294.61500000000001</v>
      </c>
      <c r="BE171" s="96">
        <f t="shared" si="16"/>
        <v>293.36555555555555</v>
      </c>
      <c r="BF171" s="89">
        <v>5.12</v>
      </c>
      <c r="BG171" s="89">
        <v>5.1100000000000003</v>
      </c>
      <c r="BH171" s="63">
        <v>14.2</v>
      </c>
      <c r="BI171" s="63">
        <v>14.3</v>
      </c>
      <c r="BJ171" s="89">
        <v>44.2</v>
      </c>
      <c r="BK171" s="89">
        <v>45.2</v>
      </c>
      <c r="BL171" s="63">
        <v>86.3</v>
      </c>
      <c r="BM171" s="63">
        <v>88.5</v>
      </c>
      <c r="BN171" s="89">
        <v>27.7</v>
      </c>
      <c r="BO171" s="89">
        <v>28</v>
      </c>
      <c r="BP171" s="63">
        <v>32.1</v>
      </c>
      <c r="BQ171" s="63">
        <v>31.6</v>
      </c>
      <c r="BR171" s="89">
        <v>245</v>
      </c>
      <c r="BS171" s="89">
        <v>246</v>
      </c>
      <c r="BT171" s="63">
        <v>12.5</v>
      </c>
      <c r="BU171" s="63">
        <v>12.6</v>
      </c>
      <c r="BV171" s="89">
        <v>1.48</v>
      </c>
      <c r="BW171" s="89" t="s">
        <v>94</v>
      </c>
      <c r="BX171" s="145">
        <v>5.15</v>
      </c>
      <c r="BY171" s="63">
        <v>5.48</v>
      </c>
      <c r="BZ171" s="89">
        <v>45.5</v>
      </c>
      <c r="CA171" s="89">
        <v>34.200000000000003</v>
      </c>
      <c r="CB171" s="145">
        <v>43.3</v>
      </c>
      <c r="CC171" s="63">
        <v>51.8</v>
      </c>
      <c r="CD171" s="89">
        <v>8.3000000000000007</v>
      </c>
      <c r="CE171" s="89">
        <v>9.1</v>
      </c>
      <c r="CF171" s="145">
        <v>1.9</v>
      </c>
      <c r="CG171" s="63">
        <v>3.6</v>
      </c>
      <c r="CH171" s="89">
        <v>1</v>
      </c>
      <c r="CI171" s="89">
        <v>1.3</v>
      </c>
      <c r="CJ171" s="86" t="b">
        <f t="shared" si="17"/>
        <v>0</v>
      </c>
      <c r="CK171" s="2" t="b">
        <f t="shared" si="18"/>
        <v>0</v>
      </c>
      <c r="CL171" s="98">
        <f t="shared" si="19"/>
        <v>75.355769999999993</v>
      </c>
      <c r="CM171" s="98">
        <v>84.3</v>
      </c>
      <c r="CN171" s="98">
        <v>178</v>
      </c>
      <c r="CO171" s="86">
        <v>52.69</v>
      </c>
      <c r="CP171" s="98">
        <v>60</v>
      </c>
      <c r="CQ171" s="98">
        <v>57</v>
      </c>
      <c r="CR171" s="96">
        <v>10.61</v>
      </c>
    </row>
    <row r="172" spans="1:96" ht="15.75" customHeight="1">
      <c r="A172" s="50">
        <v>2018</v>
      </c>
      <c r="B172" s="4" t="s">
        <v>181</v>
      </c>
      <c r="C172" s="105">
        <v>3169</v>
      </c>
      <c r="D172" s="101">
        <v>31</v>
      </c>
      <c r="E172" s="101">
        <v>89</v>
      </c>
      <c r="F172" s="101">
        <v>1</v>
      </c>
      <c r="G172" s="51" t="s">
        <v>82</v>
      </c>
      <c r="H172" s="52" t="s">
        <v>83</v>
      </c>
      <c r="I172" s="53" t="s">
        <v>84</v>
      </c>
      <c r="J172" s="52" t="s">
        <v>85</v>
      </c>
      <c r="K172" s="53">
        <v>100</v>
      </c>
      <c r="L172" s="52">
        <v>0</v>
      </c>
      <c r="M172" s="87">
        <v>202</v>
      </c>
      <c r="N172" s="87">
        <v>181</v>
      </c>
      <c r="O172" s="88">
        <v>3</v>
      </c>
      <c r="P172" s="88">
        <v>3</v>
      </c>
      <c r="Q172" s="142" t="s">
        <v>94</v>
      </c>
      <c r="R172" s="142" t="s">
        <v>94</v>
      </c>
      <c r="S172" s="88">
        <v>485</v>
      </c>
      <c r="T172" s="88">
        <v>510</v>
      </c>
      <c r="U172" s="90">
        <v>29</v>
      </c>
      <c r="V172" s="90">
        <v>37</v>
      </c>
      <c r="W172" s="88">
        <v>4.2</v>
      </c>
      <c r="X172" s="88">
        <v>4.4000000000000004</v>
      </c>
      <c r="Y172" s="90">
        <v>30</v>
      </c>
      <c r="Z172" s="90">
        <v>43</v>
      </c>
      <c r="AA172" s="88">
        <v>19</v>
      </c>
      <c r="AB172" s="88">
        <v>20</v>
      </c>
      <c r="AC172" s="89">
        <v>8.1</v>
      </c>
      <c r="AD172" s="89">
        <v>7.4</v>
      </c>
      <c r="AE172" s="102">
        <v>102.6</v>
      </c>
      <c r="AF172" s="103">
        <v>116.4</v>
      </c>
      <c r="AG172" s="89">
        <v>42</v>
      </c>
      <c r="AH172" s="89">
        <v>42</v>
      </c>
      <c r="AI172" s="88">
        <v>1</v>
      </c>
      <c r="AJ172" s="88">
        <v>0.9</v>
      </c>
      <c r="AK172" s="269">
        <f t="shared" si="14"/>
        <v>0</v>
      </c>
      <c r="AL172" s="89">
        <v>5.4</v>
      </c>
      <c r="AM172" s="89">
        <v>5.6</v>
      </c>
      <c r="AN172" s="63">
        <v>8</v>
      </c>
      <c r="AO172" s="63">
        <v>8.3000000000000007</v>
      </c>
      <c r="AP172" s="88">
        <v>76</v>
      </c>
      <c r="AQ172" s="88">
        <v>94</v>
      </c>
      <c r="AR172" s="89">
        <v>10</v>
      </c>
      <c r="AS172" s="89">
        <v>9.9</v>
      </c>
      <c r="AT172" s="89">
        <v>4.9000000000000004</v>
      </c>
      <c r="AU172" s="89">
        <v>4.7</v>
      </c>
      <c r="AV172" s="61">
        <v>57</v>
      </c>
      <c r="AW172" s="52">
        <v>91</v>
      </c>
      <c r="AX172" s="63">
        <v>141</v>
      </c>
      <c r="AY172" s="63">
        <v>142</v>
      </c>
      <c r="AZ172" s="89">
        <v>2.2000000000000002</v>
      </c>
      <c r="BA172" s="89">
        <v>2.2000000000000002</v>
      </c>
      <c r="BB172" s="88">
        <v>101</v>
      </c>
      <c r="BC172" s="88">
        <v>103</v>
      </c>
      <c r="BD172" s="96">
        <f t="shared" si="15"/>
        <v>296.01566666666668</v>
      </c>
      <c r="BE172" s="96">
        <f t="shared" si="16"/>
        <v>299.67588888888884</v>
      </c>
      <c r="BF172" s="89">
        <v>4.7</v>
      </c>
      <c r="BG172" s="89">
        <v>4.75</v>
      </c>
      <c r="BH172" s="63">
        <v>13.1</v>
      </c>
      <c r="BI172" s="63">
        <v>13.3</v>
      </c>
      <c r="BJ172" s="89">
        <v>42.4</v>
      </c>
      <c r="BK172" s="89">
        <v>43.7</v>
      </c>
      <c r="BL172" s="63">
        <v>90.2</v>
      </c>
      <c r="BM172" s="63">
        <v>92</v>
      </c>
      <c r="BN172" s="89">
        <v>27.9</v>
      </c>
      <c r="BO172" s="89">
        <v>28</v>
      </c>
      <c r="BP172" s="63">
        <v>30.9</v>
      </c>
      <c r="BQ172" s="63">
        <v>30.4</v>
      </c>
      <c r="BR172" s="89">
        <v>272</v>
      </c>
      <c r="BS172" s="89">
        <v>279</v>
      </c>
      <c r="BT172" s="63">
        <v>13.7</v>
      </c>
      <c r="BU172" s="63">
        <v>13.7</v>
      </c>
      <c r="BV172" s="89">
        <v>1.22</v>
      </c>
      <c r="BW172" s="89" t="s">
        <v>94</v>
      </c>
      <c r="BX172" s="146">
        <v>10.32</v>
      </c>
      <c r="BY172" s="63">
        <v>9.77</v>
      </c>
      <c r="BZ172" s="89">
        <v>69.400000000000006</v>
      </c>
      <c r="CA172" s="89">
        <v>63.5</v>
      </c>
      <c r="CB172" s="145">
        <v>20.6</v>
      </c>
      <c r="CC172" s="63">
        <v>24.9</v>
      </c>
      <c r="CD172" s="89">
        <v>8.3000000000000007</v>
      </c>
      <c r="CE172" s="89">
        <v>9.6</v>
      </c>
      <c r="CF172" s="145">
        <v>1.3</v>
      </c>
      <c r="CG172" s="63">
        <v>1.3</v>
      </c>
      <c r="CH172" s="89">
        <v>0.4</v>
      </c>
      <c r="CI172" s="89">
        <v>0.7</v>
      </c>
      <c r="CJ172" s="86" t="b">
        <f t="shared" si="17"/>
        <v>0</v>
      </c>
      <c r="CK172" s="2" t="b">
        <f t="shared" si="18"/>
        <v>0</v>
      </c>
      <c r="CL172" s="98">
        <f t="shared" si="19"/>
        <v>74.95620000000001</v>
      </c>
      <c r="CM172" s="98">
        <v>90.2</v>
      </c>
      <c r="CN172" s="98">
        <v>184.5</v>
      </c>
      <c r="CO172" s="86">
        <v>48.67</v>
      </c>
      <c r="CP172" s="98">
        <v>54</v>
      </c>
      <c r="CQ172" s="98">
        <v>47</v>
      </c>
      <c r="CR172" s="96">
        <v>16.899999999999999</v>
      </c>
    </row>
    <row r="173" spans="1:96" ht="15.75" customHeight="1">
      <c r="A173" s="50">
        <v>2018</v>
      </c>
      <c r="B173" s="4" t="s">
        <v>181</v>
      </c>
      <c r="C173" s="105">
        <v>3175</v>
      </c>
      <c r="D173" s="101">
        <v>32</v>
      </c>
      <c r="E173" s="101">
        <v>96</v>
      </c>
      <c r="F173" s="101">
        <v>2</v>
      </c>
      <c r="G173" s="54" t="s">
        <v>89</v>
      </c>
      <c r="H173" s="55" t="s">
        <v>90</v>
      </c>
      <c r="I173" s="56" t="s">
        <v>84</v>
      </c>
      <c r="J173" s="55" t="s">
        <v>91</v>
      </c>
      <c r="K173" s="57">
        <v>45.8333333333333</v>
      </c>
      <c r="L173" s="58">
        <v>54.1666666666667</v>
      </c>
      <c r="M173" s="87">
        <v>226</v>
      </c>
      <c r="N173" s="87">
        <v>514</v>
      </c>
      <c r="O173" s="88">
        <v>3</v>
      </c>
      <c r="P173" s="88">
        <v>10</v>
      </c>
      <c r="Q173" s="142" t="s">
        <v>94</v>
      </c>
      <c r="R173" s="142" t="s">
        <v>94</v>
      </c>
      <c r="S173" s="88">
        <v>523</v>
      </c>
      <c r="T173" s="88">
        <v>534</v>
      </c>
      <c r="U173" s="90">
        <v>29</v>
      </c>
      <c r="V173" s="90">
        <v>42</v>
      </c>
      <c r="W173" s="88">
        <v>4.5999999999999996</v>
      </c>
      <c r="X173" s="88">
        <v>4.3</v>
      </c>
      <c r="Y173" s="90">
        <v>39</v>
      </c>
      <c r="Z173" s="90">
        <v>51</v>
      </c>
      <c r="AA173" s="88">
        <v>22</v>
      </c>
      <c r="AB173" s="88">
        <v>23</v>
      </c>
      <c r="AC173" s="89">
        <v>4.5999999999999996</v>
      </c>
      <c r="AD173" s="89">
        <v>4.2</v>
      </c>
      <c r="AE173" s="110">
        <v>102.6</v>
      </c>
      <c r="AF173" s="111">
        <v>102.6</v>
      </c>
      <c r="AG173" s="89">
        <v>44</v>
      </c>
      <c r="AH173" s="89">
        <v>38</v>
      </c>
      <c r="AI173" s="88">
        <v>1</v>
      </c>
      <c r="AJ173" s="88">
        <v>1</v>
      </c>
      <c r="AK173" s="269">
        <f t="shared" si="14"/>
        <v>0</v>
      </c>
      <c r="AL173" s="89">
        <v>4.5</v>
      </c>
      <c r="AM173" s="89">
        <v>5.3</v>
      </c>
      <c r="AN173" s="63">
        <v>8.5</v>
      </c>
      <c r="AO173" s="148">
        <v>7.8</v>
      </c>
      <c r="AP173" s="88">
        <v>83</v>
      </c>
      <c r="AQ173" s="88">
        <v>106</v>
      </c>
      <c r="AR173" s="89">
        <v>10.7</v>
      </c>
      <c r="AS173" s="89">
        <v>10.3</v>
      </c>
      <c r="AT173" s="89">
        <v>5.6</v>
      </c>
      <c r="AU173" s="89">
        <v>4.3</v>
      </c>
      <c r="AV173" s="61">
        <v>84</v>
      </c>
      <c r="AW173" s="52">
        <v>87</v>
      </c>
      <c r="AX173" s="63">
        <v>139</v>
      </c>
      <c r="AY173" s="63">
        <v>138</v>
      </c>
      <c r="AZ173" s="89">
        <v>2</v>
      </c>
      <c r="BA173" s="89">
        <v>1.8</v>
      </c>
      <c r="BB173" s="88">
        <v>102</v>
      </c>
      <c r="BC173" s="88">
        <v>103</v>
      </c>
      <c r="BD173" s="96">
        <f t="shared" si="15"/>
        <v>295.65600000000001</v>
      </c>
      <c r="BE173" s="96">
        <f t="shared" si="16"/>
        <v>290.56966666666671</v>
      </c>
      <c r="BF173" s="89">
        <v>5.04</v>
      </c>
      <c r="BG173" s="89">
        <v>4.9000000000000004</v>
      </c>
      <c r="BH173" s="63">
        <v>14.4</v>
      </c>
      <c r="BI173" s="63">
        <v>14</v>
      </c>
      <c r="BJ173" s="89">
        <v>45.4</v>
      </c>
      <c r="BK173" s="89">
        <v>44.3</v>
      </c>
      <c r="BL173" s="63">
        <v>90.1</v>
      </c>
      <c r="BM173" s="63">
        <v>90.4</v>
      </c>
      <c r="BN173" s="89">
        <v>28.6</v>
      </c>
      <c r="BO173" s="89">
        <v>28.6</v>
      </c>
      <c r="BP173" s="63">
        <v>31.7</v>
      </c>
      <c r="BQ173" s="63">
        <v>31.6</v>
      </c>
      <c r="BR173" s="89">
        <v>192</v>
      </c>
      <c r="BS173" s="89">
        <v>191</v>
      </c>
      <c r="BT173" s="63">
        <v>12.8</v>
      </c>
      <c r="BU173" s="63">
        <v>12.6</v>
      </c>
      <c r="BV173" s="89">
        <v>1.2</v>
      </c>
      <c r="BW173" s="89" t="s">
        <v>94</v>
      </c>
      <c r="BX173" s="145">
        <v>6.11</v>
      </c>
      <c r="BY173" s="63">
        <v>8.1</v>
      </c>
      <c r="BZ173" s="89">
        <v>41.3</v>
      </c>
      <c r="CA173" s="89">
        <v>40</v>
      </c>
      <c r="CB173" s="145">
        <v>46.8</v>
      </c>
      <c r="CC173" s="63">
        <v>50.5</v>
      </c>
      <c r="CD173" s="89">
        <v>6.9</v>
      </c>
      <c r="CE173" s="89">
        <v>6.9</v>
      </c>
      <c r="CF173" s="145">
        <v>4.3</v>
      </c>
      <c r="CG173" s="63">
        <v>2.2000000000000002</v>
      </c>
      <c r="CH173" s="108">
        <v>0.7</v>
      </c>
      <c r="CI173" s="89">
        <v>0.4</v>
      </c>
      <c r="CJ173" s="86" t="b">
        <f t="shared" si="17"/>
        <v>0</v>
      </c>
      <c r="CK173" s="2" t="b">
        <f t="shared" si="18"/>
        <v>0</v>
      </c>
      <c r="CL173" s="98">
        <f t="shared" si="19"/>
        <v>82.029080000000008</v>
      </c>
      <c r="CM173" s="98">
        <v>90.7</v>
      </c>
      <c r="CN173" s="98">
        <v>191</v>
      </c>
      <c r="CO173" s="86">
        <v>50.01</v>
      </c>
      <c r="CP173" s="98">
        <v>56.5</v>
      </c>
      <c r="CQ173" s="98">
        <v>54.5</v>
      </c>
      <c r="CR173" s="96">
        <v>9.56</v>
      </c>
    </row>
    <row r="174" spans="1:96" ht="15.75" customHeight="1">
      <c r="A174" s="50">
        <v>2018</v>
      </c>
      <c r="B174" s="4" t="s">
        <v>181</v>
      </c>
      <c r="C174" s="105">
        <v>3181</v>
      </c>
      <c r="D174" s="101">
        <v>28</v>
      </c>
      <c r="E174" s="101">
        <v>82</v>
      </c>
      <c r="F174" s="101">
        <v>0</v>
      </c>
      <c r="G174" s="51" t="s">
        <v>89</v>
      </c>
      <c r="H174" s="52" t="s">
        <v>83</v>
      </c>
      <c r="I174" s="53" t="s">
        <v>84</v>
      </c>
      <c r="J174" s="52" t="s">
        <v>88</v>
      </c>
      <c r="K174" s="57">
        <v>54.1666666666667</v>
      </c>
      <c r="L174" s="59">
        <v>45.8333333333333</v>
      </c>
      <c r="M174" s="87">
        <v>135</v>
      </c>
      <c r="N174" s="87">
        <v>188</v>
      </c>
      <c r="O174" s="88">
        <v>3</v>
      </c>
      <c r="P174" s="88">
        <v>3</v>
      </c>
      <c r="Q174" s="142" t="s">
        <v>94</v>
      </c>
      <c r="R174" s="142" t="s">
        <v>94</v>
      </c>
      <c r="S174" s="88">
        <v>456</v>
      </c>
      <c r="T174" s="88">
        <v>462</v>
      </c>
      <c r="U174" s="90">
        <v>26</v>
      </c>
      <c r="V174" s="90">
        <v>28</v>
      </c>
      <c r="W174" s="88">
        <v>4.3</v>
      </c>
      <c r="X174" s="88">
        <v>4.0999999999999996</v>
      </c>
      <c r="Y174" s="90">
        <v>37</v>
      </c>
      <c r="Z174" s="90">
        <v>35</v>
      </c>
      <c r="AA174" s="88">
        <v>19</v>
      </c>
      <c r="AB174" s="88">
        <v>20</v>
      </c>
      <c r="AC174" s="89">
        <v>4.4000000000000004</v>
      </c>
      <c r="AD174" s="89">
        <v>4.3</v>
      </c>
      <c r="AE174" s="91">
        <v>105.1</v>
      </c>
      <c r="AF174" s="92">
        <v>93.8</v>
      </c>
      <c r="AG174" s="89">
        <v>49</v>
      </c>
      <c r="AH174" s="89">
        <v>53</v>
      </c>
      <c r="AI174" s="88">
        <v>1</v>
      </c>
      <c r="AJ174" s="88">
        <v>1.1000000000000001</v>
      </c>
      <c r="AK174" s="269">
        <f t="shared" si="14"/>
        <v>0.10000000000000009</v>
      </c>
      <c r="AL174" s="89">
        <v>5.4</v>
      </c>
      <c r="AM174" s="89">
        <v>4.4000000000000004</v>
      </c>
      <c r="AN174" s="63">
        <v>7.2</v>
      </c>
      <c r="AO174" s="148">
        <v>7.2</v>
      </c>
      <c r="AP174" s="88">
        <v>74</v>
      </c>
      <c r="AQ174" s="88">
        <v>126</v>
      </c>
      <c r="AR174" s="89">
        <v>10.1</v>
      </c>
      <c r="AS174" s="89">
        <v>10.1</v>
      </c>
      <c r="AT174" s="89">
        <v>5.3</v>
      </c>
      <c r="AU174" s="89">
        <v>4.7</v>
      </c>
      <c r="AV174" s="61">
        <v>105</v>
      </c>
      <c r="AW174" s="52">
        <v>94</v>
      </c>
      <c r="AX174" s="63">
        <v>138</v>
      </c>
      <c r="AY174" s="63">
        <v>139</v>
      </c>
      <c r="AZ174" s="89">
        <v>2</v>
      </c>
      <c r="BA174" s="89">
        <v>1.8</v>
      </c>
      <c r="BB174" s="88">
        <v>102</v>
      </c>
      <c r="BC174" s="88">
        <v>102</v>
      </c>
      <c r="BD174" s="96">
        <f t="shared" si="15"/>
        <v>295.41300000000001</v>
      </c>
      <c r="BE174" s="96">
        <f t="shared" si="16"/>
        <v>296.12088888888883</v>
      </c>
      <c r="BF174" s="89">
        <v>4.9000000000000004</v>
      </c>
      <c r="BG174" s="89">
        <v>5.0199999999999996</v>
      </c>
      <c r="BH174" s="63">
        <v>14.7</v>
      </c>
      <c r="BI174" s="63">
        <v>15</v>
      </c>
      <c r="BJ174" s="89">
        <v>44.9</v>
      </c>
      <c r="BK174" s="89">
        <v>47</v>
      </c>
      <c r="BL174" s="63">
        <v>91.6</v>
      </c>
      <c r="BM174" s="63">
        <v>93.6</v>
      </c>
      <c r="BN174" s="89">
        <v>30</v>
      </c>
      <c r="BO174" s="89">
        <v>29.9</v>
      </c>
      <c r="BP174" s="63">
        <v>32.700000000000003</v>
      </c>
      <c r="BQ174" s="63">
        <v>31.9</v>
      </c>
      <c r="BR174" s="89">
        <v>253</v>
      </c>
      <c r="BS174" s="89">
        <v>236</v>
      </c>
      <c r="BT174" s="63">
        <v>12.4</v>
      </c>
      <c r="BU174" s="63">
        <v>12.5</v>
      </c>
      <c r="BV174" s="89">
        <v>1.34</v>
      </c>
      <c r="BW174" s="89">
        <v>1.21</v>
      </c>
      <c r="BX174" s="145">
        <v>6.7</v>
      </c>
      <c r="BY174" s="63">
        <v>6.37</v>
      </c>
      <c r="BZ174" s="89">
        <v>67.2</v>
      </c>
      <c r="CA174" s="89">
        <v>50.8</v>
      </c>
      <c r="CB174" s="145">
        <v>22.2</v>
      </c>
      <c r="CC174" s="63">
        <v>33</v>
      </c>
      <c r="CD174" s="89">
        <v>7.8</v>
      </c>
      <c r="CE174" s="89">
        <v>11.9</v>
      </c>
      <c r="CF174" s="145">
        <v>2.5</v>
      </c>
      <c r="CG174" s="63">
        <v>3.8</v>
      </c>
      <c r="CH174" s="89">
        <v>0.3</v>
      </c>
      <c r="CI174" s="89">
        <v>0.5</v>
      </c>
      <c r="CJ174" s="86" t="b">
        <f t="shared" si="17"/>
        <v>0</v>
      </c>
      <c r="CK174" s="2" t="b">
        <f t="shared" si="18"/>
        <v>0</v>
      </c>
      <c r="CL174" s="98">
        <f t="shared" si="19"/>
        <v>77.353679999999997</v>
      </c>
      <c r="CM174" s="98">
        <v>84.3</v>
      </c>
      <c r="CN174" s="98">
        <v>190</v>
      </c>
      <c r="CO174" s="86">
        <v>51.12</v>
      </c>
      <c r="CP174" s="98">
        <v>54.5</v>
      </c>
      <c r="CQ174" s="98">
        <v>50.5</v>
      </c>
      <c r="CR174" s="99">
        <v>8.24</v>
      </c>
    </row>
    <row r="175" spans="1:96" ht="15.75" customHeight="1">
      <c r="A175" s="50">
        <v>2018</v>
      </c>
      <c r="B175" s="4" t="s">
        <v>181</v>
      </c>
      <c r="C175" s="105">
        <v>3183</v>
      </c>
      <c r="D175" s="101">
        <v>26</v>
      </c>
      <c r="E175" s="101">
        <v>90</v>
      </c>
      <c r="F175" s="101">
        <v>1</v>
      </c>
      <c r="G175" s="51" t="s">
        <v>94</v>
      </c>
      <c r="H175" s="52" t="s">
        <v>94</v>
      </c>
      <c r="I175" s="53" t="s">
        <v>94</v>
      </c>
      <c r="J175" s="52" t="s">
        <v>94</v>
      </c>
      <c r="K175" s="53" t="s">
        <v>94</v>
      </c>
      <c r="L175" s="52" t="s">
        <v>94</v>
      </c>
      <c r="M175" s="87">
        <v>114</v>
      </c>
      <c r="N175" s="87">
        <v>151</v>
      </c>
      <c r="O175" s="88">
        <v>3</v>
      </c>
      <c r="P175" s="88">
        <v>9</v>
      </c>
      <c r="Q175" s="142" t="s">
        <v>94</v>
      </c>
      <c r="R175" s="142" t="s">
        <v>94</v>
      </c>
      <c r="S175" s="88">
        <v>390</v>
      </c>
      <c r="T175" s="88">
        <v>466</v>
      </c>
      <c r="U175" s="90">
        <v>21</v>
      </c>
      <c r="V175" s="90">
        <v>23</v>
      </c>
      <c r="W175" s="88">
        <v>3.9</v>
      </c>
      <c r="X175" s="88">
        <v>4.2</v>
      </c>
      <c r="Y175" s="90">
        <v>29</v>
      </c>
      <c r="Z175" s="90">
        <v>34</v>
      </c>
      <c r="AA175" s="88">
        <v>17</v>
      </c>
      <c r="AB175" s="88">
        <v>21</v>
      </c>
      <c r="AC175" s="89">
        <v>4.4000000000000004</v>
      </c>
      <c r="AD175" s="89">
        <v>4.5999999999999996</v>
      </c>
      <c r="AE175" s="102">
        <v>124.4</v>
      </c>
      <c r="AF175" s="103">
        <v>124.4</v>
      </c>
      <c r="AG175" s="89">
        <v>34</v>
      </c>
      <c r="AH175" s="89">
        <v>29</v>
      </c>
      <c r="AI175" s="88">
        <v>0.8</v>
      </c>
      <c r="AJ175" s="88">
        <v>0.8</v>
      </c>
      <c r="AK175" s="269">
        <f t="shared" si="14"/>
        <v>0</v>
      </c>
      <c r="AL175" s="89">
        <v>5.0999999999999996</v>
      </c>
      <c r="AM175" s="89">
        <v>5.8</v>
      </c>
      <c r="AN175" s="63">
        <v>7.1</v>
      </c>
      <c r="AO175" s="63">
        <v>7.5</v>
      </c>
      <c r="AP175" s="88">
        <v>66</v>
      </c>
      <c r="AQ175" s="88">
        <v>97</v>
      </c>
      <c r="AR175" s="89">
        <v>9.6</v>
      </c>
      <c r="AS175" s="89">
        <v>9.6999999999999993</v>
      </c>
      <c r="AT175" s="89">
        <v>4.4000000000000004</v>
      </c>
      <c r="AU175" s="89">
        <v>4.4000000000000004</v>
      </c>
      <c r="AV175" s="61">
        <v>72</v>
      </c>
      <c r="AW175" s="52">
        <v>84</v>
      </c>
      <c r="AX175" s="63">
        <v>140</v>
      </c>
      <c r="AY175" s="63">
        <v>140</v>
      </c>
      <c r="AZ175" s="89">
        <v>1.9</v>
      </c>
      <c r="BA175" s="89">
        <v>2.1</v>
      </c>
      <c r="BB175" s="88">
        <v>103</v>
      </c>
      <c r="BC175" s="88">
        <v>104</v>
      </c>
      <c r="BD175" s="96">
        <f t="shared" si="15"/>
        <v>292.85066666666671</v>
      </c>
      <c r="BE175" s="96">
        <f t="shared" si="16"/>
        <v>292.78399999999999</v>
      </c>
      <c r="BF175" s="89">
        <v>4.68</v>
      </c>
      <c r="BG175" s="89">
        <v>4.8499999999999996</v>
      </c>
      <c r="BH175" s="63">
        <v>13.4</v>
      </c>
      <c r="BI175" s="63">
        <v>14</v>
      </c>
      <c r="BJ175" s="89">
        <v>41.4</v>
      </c>
      <c r="BK175" s="89">
        <v>43.5</v>
      </c>
      <c r="BL175" s="63">
        <v>88.5</v>
      </c>
      <c r="BM175" s="63">
        <v>89.7</v>
      </c>
      <c r="BN175" s="89">
        <v>28.6</v>
      </c>
      <c r="BO175" s="89">
        <v>28.9</v>
      </c>
      <c r="BP175" s="63">
        <v>32.4</v>
      </c>
      <c r="BQ175" s="63">
        <v>32.200000000000003</v>
      </c>
      <c r="BR175" s="89">
        <v>279</v>
      </c>
      <c r="BS175" s="89">
        <v>255</v>
      </c>
      <c r="BT175" s="63">
        <v>12.9</v>
      </c>
      <c r="BU175" s="63">
        <v>12.9</v>
      </c>
      <c r="BV175" s="89">
        <v>1.55</v>
      </c>
      <c r="BW175" s="89">
        <v>1.58</v>
      </c>
      <c r="BX175" s="145">
        <v>6.96</v>
      </c>
      <c r="BY175" s="63">
        <v>7.41</v>
      </c>
      <c r="BZ175" s="89">
        <v>52.1</v>
      </c>
      <c r="CA175" s="89">
        <v>44.6</v>
      </c>
      <c r="CB175" s="145">
        <v>31.6</v>
      </c>
      <c r="CC175" s="63">
        <v>36.200000000000003</v>
      </c>
      <c r="CD175" s="89">
        <v>9.8000000000000007</v>
      </c>
      <c r="CE175" s="89">
        <v>10.8</v>
      </c>
      <c r="CF175" s="145">
        <v>6.2</v>
      </c>
      <c r="CG175" s="63">
        <v>8</v>
      </c>
      <c r="CH175" s="89">
        <v>0.3</v>
      </c>
      <c r="CI175" s="89">
        <v>0.4</v>
      </c>
      <c r="CJ175" s="86" t="b">
        <f t="shared" si="17"/>
        <v>0</v>
      </c>
      <c r="CK175" s="2" t="b">
        <f t="shared" si="18"/>
        <v>0</v>
      </c>
      <c r="CL175" s="98">
        <f t="shared" si="19"/>
        <v>82.441199999999995</v>
      </c>
      <c r="CM175" s="98">
        <v>92</v>
      </c>
      <c r="CN175" s="98">
        <v>174.4</v>
      </c>
      <c r="CO175" s="86">
        <v>49.71</v>
      </c>
      <c r="CP175" s="98">
        <v>55</v>
      </c>
      <c r="CQ175" s="98">
        <v>55.5</v>
      </c>
      <c r="CR175" s="96">
        <v>10.39</v>
      </c>
    </row>
    <row r="176" spans="1:96" ht="15.75" customHeight="1">
      <c r="A176" s="50">
        <v>2018</v>
      </c>
      <c r="B176" s="4" t="s">
        <v>181</v>
      </c>
      <c r="C176" s="105">
        <v>3187</v>
      </c>
      <c r="D176" s="101">
        <v>25</v>
      </c>
      <c r="E176" s="101">
        <v>85</v>
      </c>
      <c r="F176" s="101">
        <v>1</v>
      </c>
      <c r="G176" s="51" t="s">
        <v>89</v>
      </c>
      <c r="H176" s="52" t="s">
        <v>90</v>
      </c>
      <c r="I176" s="53" t="s">
        <v>87</v>
      </c>
      <c r="J176" s="52" t="s">
        <v>88</v>
      </c>
      <c r="K176" s="53">
        <v>25</v>
      </c>
      <c r="L176" s="52">
        <v>75</v>
      </c>
      <c r="M176" s="87">
        <v>145</v>
      </c>
      <c r="N176" s="87">
        <v>116</v>
      </c>
      <c r="O176" s="88">
        <v>3</v>
      </c>
      <c r="P176" s="88">
        <v>3</v>
      </c>
      <c r="Q176" s="142" t="s">
        <v>94</v>
      </c>
      <c r="R176" s="142" t="s">
        <v>94</v>
      </c>
      <c r="S176" s="88">
        <v>442</v>
      </c>
      <c r="T176" s="88">
        <v>360</v>
      </c>
      <c r="U176" s="90">
        <v>40</v>
      </c>
      <c r="V176" s="90">
        <v>29</v>
      </c>
      <c r="W176" s="88">
        <v>4.8</v>
      </c>
      <c r="X176" s="88">
        <v>4.0999999999999996</v>
      </c>
      <c r="Y176" s="90">
        <v>55</v>
      </c>
      <c r="Z176" s="90">
        <v>41</v>
      </c>
      <c r="AA176" s="88">
        <v>32</v>
      </c>
      <c r="AB176" s="88">
        <v>29</v>
      </c>
      <c r="AC176" s="89">
        <v>5.0999999999999996</v>
      </c>
      <c r="AD176" s="89">
        <v>4.8</v>
      </c>
      <c r="AE176" s="102">
        <v>106.5</v>
      </c>
      <c r="AF176" s="103">
        <v>106.5</v>
      </c>
      <c r="AG176" s="89">
        <v>36</v>
      </c>
      <c r="AH176" s="89">
        <v>30</v>
      </c>
      <c r="AI176" s="88">
        <v>1</v>
      </c>
      <c r="AJ176" s="88">
        <v>1</v>
      </c>
      <c r="AK176" s="269">
        <f t="shared" si="14"/>
        <v>0</v>
      </c>
      <c r="AL176" s="89">
        <v>5.3</v>
      </c>
      <c r="AM176" s="89">
        <v>5</v>
      </c>
      <c r="AN176" s="63">
        <v>8.3000000000000007</v>
      </c>
      <c r="AO176" s="148">
        <v>7.4</v>
      </c>
      <c r="AP176" s="95">
        <v>94</v>
      </c>
      <c r="AQ176" s="88">
        <v>54</v>
      </c>
      <c r="AR176" s="89">
        <v>10.4</v>
      </c>
      <c r="AS176" s="89">
        <v>9.9</v>
      </c>
      <c r="AT176" s="89">
        <v>4.4000000000000004</v>
      </c>
      <c r="AU176" s="89">
        <v>4.5</v>
      </c>
      <c r="AV176" s="61">
        <v>59</v>
      </c>
      <c r="AW176" s="52">
        <v>90</v>
      </c>
      <c r="AX176" s="63">
        <v>141</v>
      </c>
      <c r="AY176" s="63">
        <v>140</v>
      </c>
      <c r="AZ176" s="89">
        <v>2.2000000000000002</v>
      </c>
      <c r="BA176" s="89">
        <v>2.2000000000000002</v>
      </c>
      <c r="BB176" s="88">
        <v>103</v>
      </c>
      <c r="BC176" s="88">
        <v>101</v>
      </c>
      <c r="BD176" s="96">
        <f t="shared" si="15"/>
        <v>294.21344444444446</v>
      </c>
      <c r="BE176" s="96">
        <f t="shared" si="16"/>
        <v>293.52000000000004</v>
      </c>
      <c r="BF176" s="89">
        <v>4.93</v>
      </c>
      <c r="BG176" s="89">
        <v>4.62</v>
      </c>
      <c r="BH176" s="63">
        <v>14</v>
      </c>
      <c r="BI176" s="63">
        <v>13.3</v>
      </c>
      <c r="BJ176" s="89">
        <v>42.5</v>
      </c>
      <c r="BK176" s="89">
        <v>40.5</v>
      </c>
      <c r="BL176" s="63">
        <v>86.2</v>
      </c>
      <c r="BM176" s="63">
        <v>87.7</v>
      </c>
      <c r="BN176" s="89">
        <v>28.4</v>
      </c>
      <c r="BO176" s="89">
        <v>28.8</v>
      </c>
      <c r="BP176" s="63">
        <v>32.9</v>
      </c>
      <c r="BQ176" s="63">
        <v>32.799999999999997</v>
      </c>
      <c r="BR176" s="89">
        <v>289</v>
      </c>
      <c r="BS176" s="89">
        <v>293</v>
      </c>
      <c r="BT176" s="63">
        <v>12.9</v>
      </c>
      <c r="BU176" s="63">
        <v>12.8</v>
      </c>
      <c r="BV176" s="89">
        <v>1.35</v>
      </c>
      <c r="BW176" s="89">
        <v>1.25</v>
      </c>
      <c r="BX176" s="145">
        <v>6.56</v>
      </c>
      <c r="BY176" s="63">
        <v>8.9</v>
      </c>
      <c r="BZ176" s="89">
        <v>58.3</v>
      </c>
      <c r="CA176" s="89">
        <v>59.8</v>
      </c>
      <c r="CB176" s="145">
        <v>26.2</v>
      </c>
      <c r="CC176" s="63">
        <v>29.7</v>
      </c>
      <c r="CD176" s="89">
        <v>8.6999999999999993</v>
      </c>
      <c r="CE176" s="89">
        <v>6.7</v>
      </c>
      <c r="CF176" s="145">
        <v>6.3</v>
      </c>
      <c r="CG176" s="63">
        <v>3.6</v>
      </c>
      <c r="CH176" s="89">
        <v>0.5</v>
      </c>
      <c r="CI176" s="89">
        <v>0.2</v>
      </c>
      <c r="CJ176" s="86" t="b">
        <f t="shared" si="17"/>
        <v>0</v>
      </c>
      <c r="CK176" s="2" t="b">
        <f t="shared" si="18"/>
        <v>0</v>
      </c>
      <c r="CL176" s="98">
        <f t="shared" si="19"/>
        <v>79.512460000000004</v>
      </c>
      <c r="CM176" s="98">
        <v>85.7</v>
      </c>
      <c r="CN176" s="98">
        <v>185</v>
      </c>
      <c r="CO176" s="86">
        <v>52.04</v>
      </c>
      <c r="CP176" s="98">
        <v>50</v>
      </c>
      <c r="CQ176" s="98">
        <v>50</v>
      </c>
      <c r="CR176" s="96">
        <v>7.22</v>
      </c>
    </row>
    <row r="177" spans="1:96" ht="15.75" customHeight="1">
      <c r="A177" s="50">
        <v>2018</v>
      </c>
      <c r="B177" s="4" t="s">
        <v>181</v>
      </c>
      <c r="C177" s="105">
        <v>3189</v>
      </c>
      <c r="D177" s="101">
        <v>28</v>
      </c>
      <c r="E177" s="101">
        <v>77</v>
      </c>
      <c r="F177" s="101">
        <v>2</v>
      </c>
      <c r="G177" s="51" t="s">
        <v>86</v>
      </c>
      <c r="H177" s="52" t="s">
        <v>83</v>
      </c>
      <c r="I177" s="53" t="s">
        <v>84</v>
      </c>
      <c r="J177" s="52" t="s">
        <v>88</v>
      </c>
      <c r="K177" s="53">
        <v>212.5</v>
      </c>
      <c r="L177" s="52">
        <v>-112.5</v>
      </c>
      <c r="M177" s="87">
        <v>51</v>
      </c>
      <c r="N177" s="87">
        <v>113</v>
      </c>
      <c r="O177" s="88">
        <v>3</v>
      </c>
      <c r="P177" s="88">
        <v>3</v>
      </c>
      <c r="Q177" s="142" t="s">
        <v>94</v>
      </c>
      <c r="R177" s="142" t="s">
        <v>94</v>
      </c>
      <c r="S177" s="88">
        <v>382</v>
      </c>
      <c r="T177" s="88">
        <v>415</v>
      </c>
      <c r="U177" s="90">
        <v>21</v>
      </c>
      <c r="V177" s="90">
        <v>32</v>
      </c>
      <c r="W177" s="88">
        <v>4.0999999999999996</v>
      </c>
      <c r="X177" s="88">
        <v>4.2</v>
      </c>
      <c r="Y177" s="90">
        <v>33</v>
      </c>
      <c r="Z177" s="90">
        <v>49</v>
      </c>
      <c r="AA177" s="88">
        <v>38</v>
      </c>
      <c r="AB177" s="88">
        <v>52</v>
      </c>
      <c r="AC177" s="89">
        <v>6.3</v>
      </c>
      <c r="AD177" s="89">
        <v>5</v>
      </c>
      <c r="AE177" s="102">
        <v>118.6</v>
      </c>
      <c r="AF177" s="103">
        <v>122.9</v>
      </c>
      <c r="AG177" s="89">
        <v>35</v>
      </c>
      <c r="AH177" s="89">
        <v>45</v>
      </c>
      <c r="AI177" s="88">
        <v>0.9</v>
      </c>
      <c r="AJ177" s="88">
        <v>0.8</v>
      </c>
      <c r="AK177" s="269">
        <f t="shared" si="14"/>
        <v>0</v>
      </c>
      <c r="AL177" s="89">
        <v>5.0999999999999996</v>
      </c>
      <c r="AM177" s="89">
        <v>4.4000000000000004</v>
      </c>
      <c r="AN177" s="63">
        <v>7.1</v>
      </c>
      <c r="AO177" s="63">
        <v>7.1</v>
      </c>
      <c r="AP177" s="88">
        <v>85</v>
      </c>
      <c r="AQ177" s="88">
        <v>150</v>
      </c>
      <c r="AR177" s="89">
        <v>9.9</v>
      </c>
      <c r="AS177" s="89">
        <v>10.199999999999999</v>
      </c>
      <c r="AT177" s="89">
        <v>4.5</v>
      </c>
      <c r="AU177" s="89">
        <v>4.4000000000000004</v>
      </c>
      <c r="AV177" s="61">
        <v>91</v>
      </c>
      <c r="AW177" s="52">
        <v>99</v>
      </c>
      <c r="AX177" s="63">
        <v>140</v>
      </c>
      <c r="AY177" s="63">
        <v>140</v>
      </c>
      <c r="AZ177" s="89">
        <v>2</v>
      </c>
      <c r="BA177" s="89">
        <v>1.9</v>
      </c>
      <c r="BB177" s="88">
        <v>103</v>
      </c>
      <c r="BC177" s="88">
        <v>104</v>
      </c>
      <c r="BD177" s="96">
        <f t="shared" si="15"/>
        <v>294.41722222222222</v>
      </c>
      <c r="BE177" s="96">
        <f t="shared" si="16"/>
        <v>296.40899999999999</v>
      </c>
      <c r="BF177" s="89">
        <v>4.55</v>
      </c>
      <c r="BG177" s="89">
        <v>4.5</v>
      </c>
      <c r="BH177" s="63">
        <v>13.9</v>
      </c>
      <c r="BI177" s="63">
        <v>13.6</v>
      </c>
      <c r="BJ177" s="89">
        <v>41.9</v>
      </c>
      <c r="BK177" s="89">
        <v>42</v>
      </c>
      <c r="BL177" s="63">
        <v>92.1</v>
      </c>
      <c r="BM177" s="63">
        <v>93.3</v>
      </c>
      <c r="BN177" s="89">
        <v>30.5</v>
      </c>
      <c r="BO177" s="89">
        <v>30.2</v>
      </c>
      <c r="BP177" s="63">
        <v>33.200000000000003</v>
      </c>
      <c r="BQ177" s="63">
        <v>32.4</v>
      </c>
      <c r="BR177" s="89">
        <v>196</v>
      </c>
      <c r="BS177" s="89">
        <v>197</v>
      </c>
      <c r="BT177" s="63">
        <v>13</v>
      </c>
      <c r="BU177" s="63">
        <v>12.9</v>
      </c>
      <c r="BV177" s="89">
        <v>1.86</v>
      </c>
      <c r="BW177" s="89">
        <v>1.58</v>
      </c>
      <c r="BX177" s="145">
        <v>8.1199999999999992</v>
      </c>
      <c r="BY177" s="63">
        <v>15.11</v>
      </c>
      <c r="BZ177" s="89">
        <v>65.099999999999994</v>
      </c>
      <c r="CA177" s="89">
        <v>77.3</v>
      </c>
      <c r="CB177" s="145">
        <v>26</v>
      </c>
      <c r="CC177" s="63">
        <v>15.1</v>
      </c>
      <c r="CD177" s="89">
        <v>7.8</v>
      </c>
      <c r="CE177" s="89">
        <v>7.4</v>
      </c>
      <c r="CF177" s="145">
        <v>1</v>
      </c>
      <c r="CG177" s="63">
        <v>0.1</v>
      </c>
      <c r="CH177" s="89">
        <v>0.1</v>
      </c>
      <c r="CI177" s="89">
        <v>0.1</v>
      </c>
      <c r="CJ177" s="86" t="b">
        <f t="shared" si="17"/>
        <v>0</v>
      </c>
      <c r="CK177" s="2" t="b">
        <f t="shared" si="18"/>
        <v>0</v>
      </c>
      <c r="CL177" s="98">
        <f t="shared" si="19"/>
        <v>70.76357999999999</v>
      </c>
      <c r="CM177" s="98">
        <v>78.599999999999994</v>
      </c>
      <c r="CN177" s="98">
        <v>179</v>
      </c>
      <c r="CO177" s="86">
        <v>53.31</v>
      </c>
      <c r="CP177" s="98">
        <v>50</v>
      </c>
      <c r="CQ177" s="98">
        <v>44</v>
      </c>
      <c r="CR177" s="96">
        <v>9.9700000000000006</v>
      </c>
    </row>
    <row r="178" spans="1:96" ht="15.75" customHeight="1">
      <c r="A178" s="50">
        <v>2018</v>
      </c>
      <c r="B178" s="4" t="s">
        <v>181</v>
      </c>
      <c r="C178" s="105">
        <v>3190</v>
      </c>
      <c r="D178" s="101">
        <v>29</v>
      </c>
      <c r="E178" s="101">
        <v>80</v>
      </c>
      <c r="F178" s="101">
        <v>1</v>
      </c>
      <c r="G178" s="51" t="s">
        <v>94</v>
      </c>
      <c r="H178" s="52" t="s">
        <v>94</v>
      </c>
      <c r="I178" s="53" t="s">
        <v>94</v>
      </c>
      <c r="J178" s="52" t="s">
        <v>94</v>
      </c>
      <c r="K178" s="53" t="s">
        <v>94</v>
      </c>
      <c r="L178" s="61" t="s">
        <v>94</v>
      </c>
      <c r="M178" s="87">
        <v>186</v>
      </c>
      <c r="N178" s="87">
        <v>195</v>
      </c>
      <c r="O178" s="88">
        <v>3</v>
      </c>
      <c r="P178" s="88">
        <v>3</v>
      </c>
      <c r="Q178" s="142" t="s">
        <v>94</v>
      </c>
      <c r="R178" s="142" t="s">
        <v>94</v>
      </c>
      <c r="S178" s="88">
        <v>634</v>
      </c>
      <c r="T178" s="88">
        <v>552</v>
      </c>
      <c r="U178" s="90">
        <v>32</v>
      </c>
      <c r="V178" s="90">
        <v>34</v>
      </c>
      <c r="W178" s="95">
        <v>4.2</v>
      </c>
      <c r="X178" s="88">
        <v>4.2</v>
      </c>
      <c r="Y178" s="90">
        <v>26</v>
      </c>
      <c r="Z178" s="90">
        <v>30</v>
      </c>
      <c r="AA178" s="88">
        <v>21</v>
      </c>
      <c r="AB178" s="88">
        <v>21</v>
      </c>
      <c r="AC178" s="89">
        <v>3.8</v>
      </c>
      <c r="AD178" s="89">
        <v>4.5999999999999996</v>
      </c>
      <c r="AE178" s="102">
        <v>122.9</v>
      </c>
      <c r="AF178" s="103">
        <v>118.6</v>
      </c>
      <c r="AG178" s="89">
        <v>33</v>
      </c>
      <c r="AH178" s="89">
        <v>43</v>
      </c>
      <c r="AI178" s="88">
        <v>0.8</v>
      </c>
      <c r="AJ178" s="88">
        <v>0.9</v>
      </c>
      <c r="AK178" s="269">
        <f t="shared" si="14"/>
        <v>9.9999999999999978E-2</v>
      </c>
      <c r="AL178" s="89">
        <v>4.7</v>
      </c>
      <c r="AM178" s="89">
        <v>4.5</v>
      </c>
      <c r="AN178" s="63">
        <v>7.2</v>
      </c>
      <c r="AO178" s="63">
        <v>7.2</v>
      </c>
      <c r="AP178" s="88">
        <v>54</v>
      </c>
      <c r="AQ178" s="88">
        <v>98</v>
      </c>
      <c r="AR178" s="89">
        <v>9.6999999999999993</v>
      </c>
      <c r="AS178" s="89">
        <v>9.8000000000000007</v>
      </c>
      <c r="AT178" s="89">
        <v>4.5999999999999996</v>
      </c>
      <c r="AU178" s="89">
        <v>4.0999999999999996</v>
      </c>
      <c r="AV178" s="61">
        <v>71</v>
      </c>
      <c r="AW178" s="52">
        <v>91</v>
      </c>
      <c r="AX178" s="63">
        <v>139</v>
      </c>
      <c r="AY178" s="63">
        <v>139</v>
      </c>
      <c r="AZ178" s="89">
        <v>2.1</v>
      </c>
      <c r="BA178" s="89">
        <v>2</v>
      </c>
      <c r="BB178" s="88">
        <v>100</v>
      </c>
      <c r="BC178" s="88">
        <v>101</v>
      </c>
      <c r="BD178" s="96">
        <f t="shared" si="15"/>
        <v>291.1321111111111</v>
      </c>
      <c r="BE178" s="96">
        <f t="shared" si="16"/>
        <v>293.14655555555555</v>
      </c>
      <c r="BF178" s="89">
        <v>4.6900000000000004</v>
      </c>
      <c r="BG178" s="89">
        <v>4.63</v>
      </c>
      <c r="BH178" s="63">
        <v>13.7</v>
      </c>
      <c r="BI178" s="63">
        <v>13.5</v>
      </c>
      <c r="BJ178" s="89">
        <v>42.9</v>
      </c>
      <c r="BK178" s="89">
        <v>43.4</v>
      </c>
      <c r="BL178" s="63">
        <v>91.5</v>
      </c>
      <c r="BM178" s="63">
        <v>93.7</v>
      </c>
      <c r="BN178" s="89">
        <v>29.2</v>
      </c>
      <c r="BO178" s="89">
        <v>29.2</v>
      </c>
      <c r="BP178" s="63">
        <v>31.9</v>
      </c>
      <c r="BQ178" s="63">
        <v>31.1</v>
      </c>
      <c r="BR178" s="89">
        <v>258</v>
      </c>
      <c r="BS178" s="89">
        <v>250</v>
      </c>
      <c r="BT178" s="63">
        <v>13.6</v>
      </c>
      <c r="BU178" s="63">
        <v>13.6</v>
      </c>
      <c r="BV178" s="89">
        <v>1</v>
      </c>
      <c r="BW178" s="89">
        <v>0.91</v>
      </c>
      <c r="BX178" s="145">
        <v>7.23</v>
      </c>
      <c r="BY178" s="63">
        <v>6.62</v>
      </c>
      <c r="BZ178" s="89">
        <v>66.400000000000006</v>
      </c>
      <c r="CA178" s="89">
        <v>63.5</v>
      </c>
      <c r="CB178" s="145">
        <v>26</v>
      </c>
      <c r="CC178" s="63">
        <v>26.4</v>
      </c>
      <c r="CD178" s="89">
        <v>6.2</v>
      </c>
      <c r="CE178" s="89">
        <v>8</v>
      </c>
      <c r="CF178" s="145">
        <v>1</v>
      </c>
      <c r="CG178" s="63">
        <v>1.8</v>
      </c>
      <c r="CH178" s="89">
        <v>0.4</v>
      </c>
      <c r="CI178" s="89">
        <v>0.3</v>
      </c>
      <c r="CJ178" s="86" t="b">
        <f t="shared" si="17"/>
        <v>0</v>
      </c>
      <c r="CK178" s="2" t="b">
        <f t="shared" si="18"/>
        <v>0</v>
      </c>
      <c r="CL178" s="98">
        <f t="shared" si="19"/>
        <v>72.151949999999999</v>
      </c>
      <c r="CM178" s="98">
        <v>81.5</v>
      </c>
      <c r="CN178" s="98">
        <v>175</v>
      </c>
      <c r="CO178" s="86">
        <v>51.49</v>
      </c>
      <c r="CP178" s="98">
        <v>49.5</v>
      </c>
      <c r="CQ178" s="98">
        <v>41</v>
      </c>
      <c r="CR178" s="96">
        <v>11.47</v>
      </c>
    </row>
    <row r="179" spans="1:96" ht="15.75" customHeight="1">
      <c r="A179" s="50">
        <v>2018</v>
      </c>
      <c r="B179" s="4" t="s">
        <v>181</v>
      </c>
      <c r="C179" s="105">
        <v>3193</v>
      </c>
      <c r="D179" s="101">
        <v>29</v>
      </c>
      <c r="E179" s="101">
        <v>83</v>
      </c>
      <c r="F179" s="101">
        <v>0</v>
      </c>
      <c r="G179" s="302" t="s">
        <v>94</v>
      </c>
      <c r="H179" s="62" t="s">
        <v>94</v>
      </c>
      <c r="I179" s="62" t="s">
        <v>94</v>
      </c>
      <c r="J179" s="62" t="s">
        <v>94</v>
      </c>
      <c r="K179" s="62" t="s">
        <v>94</v>
      </c>
      <c r="L179" s="62" t="s">
        <v>94</v>
      </c>
      <c r="M179" s="87">
        <v>53</v>
      </c>
      <c r="N179" s="87">
        <v>82</v>
      </c>
      <c r="O179" s="88">
        <v>3</v>
      </c>
      <c r="P179" s="88">
        <v>3</v>
      </c>
      <c r="Q179" s="142" t="s">
        <v>94</v>
      </c>
      <c r="R179" s="142" t="s">
        <v>94</v>
      </c>
      <c r="S179" s="88">
        <v>276</v>
      </c>
      <c r="T179" s="88">
        <v>318</v>
      </c>
      <c r="U179" s="90">
        <v>17</v>
      </c>
      <c r="V179" s="90">
        <v>18</v>
      </c>
      <c r="W179" s="88">
        <v>4.3</v>
      </c>
      <c r="X179" s="88">
        <v>4.3</v>
      </c>
      <c r="Y179" s="90">
        <v>27</v>
      </c>
      <c r="Z179" s="90">
        <v>28</v>
      </c>
      <c r="AA179" s="88">
        <v>19</v>
      </c>
      <c r="AB179" s="88">
        <v>24</v>
      </c>
      <c r="AC179" s="89">
        <v>5.2</v>
      </c>
      <c r="AD179" s="89">
        <v>5.0999999999999996</v>
      </c>
      <c r="AE179" s="102">
        <v>117.8</v>
      </c>
      <c r="AF179" s="103">
        <v>117.8</v>
      </c>
      <c r="AG179" s="89">
        <v>32</v>
      </c>
      <c r="AH179" s="89">
        <v>38</v>
      </c>
      <c r="AI179" s="88">
        <v>0.9</v>
      </c>
      <c r="AJ179" s="88">
        <v>0.9</v>
      </c>
      <c r="AK179" s="269">
        <f t="shared" si="14"/>
        <v>0</v>
      </c>
      <c r="AL179" s="89">
        <v>5.8</v>
      </c>
      <c r="AM179" s="89">
        <v>5.3</v>
      </c>
      <c r="AN179" s="63">
        <v>7.3</v>
      </c>
      <c r="AO179" s="63">
        <v>7.6</v>
      </c>
      <c r="AP179" s="88">
        <v>78</v>
      </c>
      <c r="AQ179" s="88">
        <v>119</v>
      </c>
      <c r="AR179" s="89">
        <v>9.6</v>
      </c>
      <c r="AS179" s="89">
        <v>10.3</v>
      </c>
      <c r="AT179" s="89">
        <v>4.4000000000000004</v>
      </c>
      <c r="AU179" s="89">
        <v>4.9000000000000004</v>
      </c>
      <c r="AV179" s="61">
        <v>95</v>
      </c>
      <c r="AW179" s="52">
        <v>90</v>
      </c>
      <c r="AX179" s="63">
        <v>140</v>
      </c>
      <c r="AY179" s="63">
        <v>141</v>
      </c>
      <c r="AZ179" s="89">
        <v>2.1</v>
      </c>
      <c r="BA179" s="89">
        <v>2.2000000000000002</v>
      </c>
      <c r="BB179" s="88">
        <v>103</v>
      </c>
      <c r="BC179" s="88">
        <v>101</v>
      </c>
      <c r="BD179" s="96">
        <f t="shared" si="15"/>
        <v>293.98677777777777</v>
      </c>
      <c r="BE179" s="96">
        <f t="shared" si="16"/>
        <v>297.45733333333334</v>
      </c>
      <c r="BF179" s="89">
        <v>4.51</v>
      </c>
      <c r="BG179" s="89">
        <v>4.76</v>
      </c>
      <c r="BH179" s="63">
        <v>13.1</v>
      </c>
      <c r="BI179" s="63">
        <v>13.9</v>
      </c>
      <c r="BJ179" s="89">
        <v>40.700000000000003</v>
      </c>
      <c r="BK179" s="89">
        <v>43.1</v>
      </c>
      <c r="BL179" s="63">
        <v>90.2</v>
      </c>
      <c r="BM179" s="63">
        <v>90.5</v>
      </c>
      <c r="BN179" s="89">
        <v>29</v>
      </c>
      <c r="BO179" s="89">
        <v>29.2</v>
      </c>
      <c r="BP179" s="63">
        <v>32.200000000000003</v>
      </c>
      <c r="BQ179" s="63">
        <v>32.299999999999997</v>
      </c>
      <c r="BR179" s="89">
        <v>278</v>
      </c>
      <c r="BS179" s="89">
        <v>303</v>
      </c>
      <c r="BT179" s="63">
        <v>12.9</v>
      </c>
      <c r="BU179" s="63">
        <v>12.6</v>
      </c>
      <c r="BV179" s="89">
        <v>1.19</v>
      </c>
      <c r="BW179" s="89">
        <v>1.1599999999999999</v>
      </c>
      <c r="BX179" s="145">
        <v>7.82</v>
      </c>
      <c r="BY179" s="63">
        <v>8.4</v>
      </c>
      <c r="BZ179" s="89">
        <v>60.1</v>
      </c>
      <c r="CA179" s="89">
        <v>54.5</v>
      </c>
      <c r="CB179" s="145">
        <v>26.9</v>
      </c>
      <c r="CC179" s="63">
        <v>35.1</v>
      </c>
      <c r="CD179" s="89">
        <v>10.4</v>
      </c>
      <c r="CE179" s="89">
        <v>8.3000000000000007</v>
      </c>
      <c r="CF179" s="145">
        <v>2.2000000000000002</v>
      </c>
      <c r="CG179" s="63">
        <v>1.7</v>
      </c>
      <c r="CH179" s="89">
        <v>0.4</v>
      </c>
      <c r="CI179" s="89">
        <v>0.4</v>
      </c>
      <c r="CJ179" s="86" t="b">
        <f t="shared" si="17"/>
        <v>0</v>
      </c>
      <c r="CK179" s="2" t="b">
        <f t="shared" si="18"/>
        <v>0</v>
      </c>
      <c r="CL179" s="98">
        <f t="shared" si="19"/>
        <v>72.809100000000001</v>
      </c>
      <c r="CM179" s="98">
        <v>81.900000000000006</v>
      </c>
      <c r="CN179" s="98">
        <v>180.5</v>
      </c>
      <c r="CO179" s="86">
        <v>51.93</v>
      </c>
      <c r="CP179" s="98">
        <v>44.5</v>
      </c>
      <c r="CQ179" s="98">
        <v>46.5</v>
      </c>
      <c r="CR179" s="96">
        <v>11.1</v>
      </c>
    </row>
    <row r="180" spans="1:96" ht="15.75" customHeight="1">
      <c r="A180" s="50">
        <v>2018</v>
      </c>
      <c r="B180" s="4" t="s">
        <v>181</v>
      </c>
      <c r="C180" s="105">
        <v>3194</v>
      </c>
      <c r="D180" s="101">
        <v>28</v>
      </c>
      <c r="E180" s="101">
        <v>81</v>
      </c>
      <c r="F180" s="101">
        <v>1</v>
      </c>
      <c r="G180" s="302" t="s">
        <v>94</v>
      </c>
      <c r="H180" s="62" t="s">
        <v>94</v>
      </c>
      <c r="I180" s="62" t="s">
        <v>94</v>
      </c>
      <c r="J180" s="62" t="s">
        <v>94</v>
      </c>
      <c r="K180" s="62" t="s">
        <v>94</v>
      </c>
      <c r="L180" s="62" t="s">
        <v>94</v>
      </c>
      <c r="M180" s="87">
        <v>53</v>
      </c>
      <c r="N180" s="87">
        <v>110</v>
      </c>
      <c r="O180" s="88">
        <v>3</v>
      </c>
      <c r="P180" s="88">
        <v>3</v>
      </c>
      <c r="Q180" s="142" t="s">
        <v>94</v>
      </c>
      <c r="R180" s="142" t="s">
        <v>94</v>
      </c>
      <c r="S180" s="88">
        <v>367</v>
      </c>
      <c r="T180" s="88">
        <v>437</v>
      </c>
      <c r="U180" s="90">
        <v>20</v>
      </c>
      <c r="V180" s="90">
        <v>27</v>
      </c>
      <c r="W180" s="88">
        <v>4.2</v>
      </c>
      <c r="X180" s="88">
        <v>4.2</v>
      </c>
      <c r="Y180" s="90">
        <v>16</v>
      </c>
      <c r="Z180" s="90">
        <v>22</v>
      </c>
      <c r="AA180" s="88">
        <v>11</v>
      </c>
      <c r="AB180" s="88">
        <v>16</v>
      </c>
      <c r="AC180" s="89">
        <v>6.3</v>
      </c>
      <c r="AD180" s="89">
        <v>6.6</v>
      </c>
      <c r="AE180" s="102">
        <v>104.5</v>
      </c>
      <c r="AF180" s="103">
        <v>104.5</v>
      </c>
      <c r="AG180" s="89">
        <v>25</v>
      </c>
      <c r="AH180" s="89">
        <v>42</v>
      </c>
      <c r="AI180" s="88">
        <v>1</v>
      </c>
      <c r="AJ180" s="88">
        <v>1</v>
      </c>
      <c r="AK180" s="269">
        <f t="shared" si="14"/>
        <v>0</v>
      </c>
      <c r="AL180" s="89">
        <v>4.3</v>
      </c>
      <c r="AM180" s="89">
        <v>4.5</v>
      </c>
      <c r="AN180" s="63">
        <v>7.6</v>
      </c>
      <c r="AO180" s="63">
        <v>7.9</v>
      </c>
      <c r="AP180" s="88">
        <v>90</v>
      </c>
      <c r="AQ180" s="88">
        <v>107</v>
      </c>
      <c r="AR180" s="89">
        <v>9.6999999999999993</v>
      </c>
      <c r="AS180" s="89">
        <v>10</v>
      </c>
      <c r="AT180" s="89">
        <v>4.9000000000000004</v>
      </c>
      <c r="AU180" s="89">
        <v>4.5999999999999996</v>
      </c>
      <c r="AV180" s="61">
        <v>76</v>
      </c>
      <c r="AW180" s="52">
        <v>95</v>
      </c>
      <c r="AX180" s="63">
        <v>140</v>
      </c>
      <c r="AY180" s="63">
        <v>140</v>
      </c>
      <c r="AZ180" s="89">
        <v>2.1</v>
      </c>
      <c r="BA180" s="89">
        <v>2.2000000000000002</v>
      </c>
      <c r="BB180" s="88">
        <v>102</v>
      </c>
      <c r="BC180" s="88">
        <v>102</v>
      </c>
      <c r="BD180" s="96">
        <f t="shared" si="15"/>
        <v>292.53622222222225</v>
      </c>
      <c r="BE180" s="96">
        <f t="shared" si="16"/>
        <v>296.02544444444447</v>
      </c>
      <c r="BF180" s="89">
        <v>4.6399999999999997</v>
      </c>
      <c r="BG180" s="89">
        <v>4.76</v>
      </c>
      <c r="BH180" s="63">
        <v>13</v>
      </c>
      <c r="BI180" s="63">
        <v>13.4</v>
      </c>
      <c r="BJ180" s="89">
        <v>41</v>
      </c>
      <c r="BK180" s="89">
        <v>42.7</v>
      </c>
      <c r="BL180" s="63">
        <v>88.4</v>
      </c>
      <c r="BM180" s="63">
        <v>89.7</v>
      </c>
      <c r="BN180" s="89">
        <v>28</v>
      </c>
      <c r="BO180" s="89">
        <v>28.2</v>
      </c>
      <c r="BP180" s="63">
        <v>31.7</v>
      </c>
      <c r="BQ180" s="63">
        <v>31.4</v>
      </c>
      <c r="BR180" s="89">
        <v>246</v>
      </c>
      <c r="BS180" s="89">
        <v>283</v>
      </c>
      <c r="BT180" s="63">
        <v>13.9</v>
      </c>
      <c r="BU180" s="63">
        <v>13.8</v>
      </c>
      <c r="BV180" s="89">
        <v>1.68</v>
      </c>
      <c r="BW180" s="89">
        <v>1.37</v>
      </c>
      <c r="BX180" s="145">
        <v>5.09</v>
      </c>
      <c r="BY180" s="63">
        <v>7.39</v>
      </c>
      <c r="BZ180" s="89">
        <v>56.4</v>
      </c>
      <c r="CA180" s="89">
        <v>59.2</v>
      </c>
      <c r="CB180" s="145">
        <v>32</v>
      </c>
      <c r="CC180" s="63">
        <v>30.9</v>
      </c>
      <c r="CD180" s="89">
        <v>9.6</v>
      </c>
      <c r="CE180" s="89">
        <v>8.4</v>
      </c>
      <c r="CF180" s="145">
        <v>1.6</v>
      </c>
      <c r="CG180" s="63">
        <v>1.2</v>
      </c>
      <c r="CH180" s="89">
        <v>0.4</v>
      </c>
      <c r="CI180" s="89">
        <v>0.3</v>
      </c>
      <c r="CJ180" s="86" t="b">
        <f t="shared" si="17"/>
        <v>0</v>
      </c>
      <c r="CK180" s="2" t="b">
        <f t="shared" si="18"/>
        <v>0</v>
      </c>
      <c r="CL180" s="98">
        <f t="shared" si="19"/>
        <v>71.943809999999999</v>
      </c>
      <c r="CM180" s="98">
        <v>81.099999999999994</v>
      </c>
      <c r="CN180" s="98">
        <v>178</v>
      </c>
      <c r="CO180" s="86">
        <v>51.6</v>
      </c>
      <c r="CP180" s="98">
        <v>45.5</v>
      </c>
      <c r="CQ180" s="98">
        <v>43</v>
      </c>
      <c r="CR180" s="96">
        <v>11.29</v>
      </c>
    </row>
    <row r="181" spans="1:96" ht="15.75" customHeight="1">
      <c r="A181" s="50">
        <v>2018</v>
      </c>
      <c r="B181" s="4" t="s">
        <v>181</v>
      </c>
      <c r="C181" s="105">
        <v>3195</v>
      </c>
      <c r="D181" s="101">
        <v>26</v>
      </c>
      <c r="E181" s="101">
        <v>68</v>
      </c>
      <c r="F181" s="101">
        <v>1</v>
      </c>
      <c r="G181" s="302" t="s">
        <v>94</v>
      </c>
      <c r="H181" s="62" t="s">
        <v>94</v>
      </c>
      <c r="I181" s="62" t="s">
        <v>94</v>
      </c>
      <c r="J181" s="62" t="s">
        <v>94</v>
      </c>
      <c r="K181" s="62" t="s">
        <v>94</v>
      </c>
      <c r="L181" s="62" t="s">
        <v>94</v>
      </c>
      <c r="M181" s="87">
        <v>53</v>
      </c>
      <c r="N181" s="87">
        <v>312</v>
      </c>
      <c r="O181" s="88">
        <v>3</v>
      </c>
      <c r="P181" s="88">
        <v>3</v>
      </c>
      <c r="Q181" s="142" t="s">
        <v>94</v>
      </c>
      <c r="R181" s="142" t="s">
        <v>94</v>
      </c>
      <c r="S181" s="88">
        <v>406</v>
      </c>
      <c r="T181" s="88">
        <v>421</v>
      </c>
      <c r="U181" s="90">
        <v>28</v>
      </c>
      <c r="V181" s="90">
        <v>39</v>
      </c>
      <c r="W181" s="88">
        <v>4.9000000000000004</v>
      </c>
      <c r="X181" s="88">
        <v>4.5999999999999996</v>
      </c>
      <c r="Y181" s="90">
        <v>45</v>
      </c>
      <c r="Z181" s="90">
        <v>49</v>
      </c>
      <c r="AA181" s="88">
        <v>17</v>
      </c>
      <c r="AB181" s="88">
        <v>19</v>
      </c>
      <c r="AC181" s="89">
        <v>4.8</v>
      </c>
      <c r="AD181" s="149">
        <v>5</v>
      </c>
      <c r="AE181" s="102">
        <v>125.2</v>
      </c>
      <c r="AF181" s="103">
        <v>120.8</v>
      </c>
      <c r="AG181" s="89">
        <v>33</v>
      </c>
      <c r="AH181" s="89">
        <v>40</v>
      </c>
      <c r="AI181" s="88">
        <v>0.8</v>
      </c>
      <c r="AJ181" s="88">
        <v>0.9</v>
      </c>
      <c r="AK181" s="269">
        <f t="shared" si="14"/>
        <v>9.9999999999999978E-2</v>
      </c>
      <c r="AL181" s="89">
        <v>5.5</v>
      </c>
      <c r="AM181" s="89">
        <v>5.6</v>
      </c>
      <c r="AN181" s="63">
        <v>8</v>
      </c>
      <c r="AO181" s="63">
        <v>8.1</v>
      </c>
      <c r="AP181" s="88">
        <v>109</v>
      </c>
      <c r="AQ181" s="88">
        <v>105</v>
      </c>
      <c r="AR181" s="89">
        <v>10</v>
      </c>
      <c r="AS181" s="89">
        <v>10.3</v>
      </c>
      <c r="AT181" s="89">
        <v>4.5999999999999996</v>
      </c>
      <c r="AU181" s="89">
        <v>4.5999999999999996</v>
      </c>
      <c r="AV181" s="61">
        <v>59</v>
      </c>
      <c r="AW181" s="52">
        <v>98</v>
      </c>
      <c r="AX181" s="63">
        <v>139</v>
      </c>
      <c r="AY181" s="63">
        <v>141</v>
      </c>
      <c r="AZ181" s="89">
        <v>1.9</v>
      </c>
      <c r="BA181" s="89">
        <v>2.1</v>
      </c>
      <c r="BB181" s="88">
        <v>99</v>
      </c>
      <c r="BC181" s="88">
        <v>100</v>
      </c>
      <c r="BD181" s="96">
        <f t="shared" si="15"/>
        <v>290.36544444444445</v>
      </c>
      <c r="BE181" s="96">
        <f t="shared" si="16"/>
        <v>297.74377777777784</v>
      </c>
      <c r="BF181" s="89">
        <v>4.75</v>
      </c>
      <c r="BG181" s="89">
        <v>4.75</v>
      </c>
      <c r="BH181" s="63">
        <v>14.6</v>
      </c>
      <c r="BI181" s="63">
        <v>14.5</v>
      </c>
      <c r="BJ181" s="89">
        <v>44.2</v>
      </c>
      <c r="BK181" s="89">
        <v>45.1</v>
      </c>
      <c r="BL181" s="63">
        <v>93.1</v>
      </c>
      <c r="BM181" s="63">
        <v>94.9</v>
      </c>
      <c r="BN181" s="89">
        <v>30.7</v>
      </c>
      <c r="BO181" s="89">
        <v>30.5</v>
      </c>
      <c r="BP181" s="63">
        <v>33</v>
      </c>
      <c r="BQ181" s="63">
        <v>32.200000000000003</v>
      </c>
      <c r="BR181" s="89">
        <v>270</v>
      </c>
      <c r="BS181" s="89">
        <v>259</v>
      </c>
      <c r="BT181" s="63">
        <v>12.8</v>
      </c>
      <c r="BU181" s="63">
        <v>12.9</v>
      </c>
      <c r="BV181" s="89">
        <v>1.52</v>
      </c>
      <c r="BW181" s="89">
        <v>1.1000000000000001</v>
      </c>
      <c r="BX181" s="145">
        <v>8.9499999999999993</v>
      </c>
      <c r="BY181" s="63">
        <v>7.67</v>
      </c>
      <c r="BZ181" s="89">
        <v>66.599999999999994</v>
      </c>
      <c r="CA181" s="89">
        <v>48.6</v>
      </c>
      <c r="CB181" s="145">
        <v>21.5</v>
      </c>
      <c r="CC181" s="63">
        <v>33.4</v>
      </c>
      <c r="CD181" s="89">
        <v>9.9</v>
      </c>
      <c r="CE181" s="89">
        <v>14</v>
      </c>
      <c r="CF181" s="145">
        <v>1.8</v>
      </c>
      <c r="CG181" s="63">
        <v>3.3</v>
      </c>
      <c r="CH181" s="89">
        <v>0.2</v>
      </c>
      <c r="CI181" s="89">
        <v>0.7</v>
      </c>
      <c r="CJ181" s="86" t="b">
        <f t="shared" si="17"/>
        <v>0</v>
      </c>
      <c r="CK181" s="2" t="b">
        <f t="shared" si="18"/>
        <v>0</v>
      </c>
      <c r="CL181" s="98">
        <f t="shared" si="19"/>
        <v>62.5396</v>
      </c>
      <c r="CM181" s="98">
        <v>68</v>
      </c>
      <c r="CN181" s="98">
        <v>173</v>
      </c>
      <c r="CO181" s="86">
        <v>55.9</v>
      </c>
      <c r="CP181" s="98">
        <v>39</v>
      </c>
      <c r="CQ181" s="98">
        <v>39</v>
      </c>
      <c r="CR181" s="96">
        <v>8.0299999999999994</v>
      </c>
    </row>
    <row r="182" spans="1:96" ht="15.75" customHeight="1">
      <c r="A182" s="50">
        <v>2018</v>
      </c>
      <c r="B182" s="4" t="s">
        <v>181</v>
      </c>
      <c r="C182" s="105">
        <v>3196</v>
      </c>
      <c r="D182" s="101">
        <v>27</v>
      </c>
      <c r="E182" s="101">
        <v>83</v>
      </c>
      <c r="F182" s="101">
        <v>1</v>
      </c>
      <c r="G182" s="302" t="s">
        <v>94</v>
      </c>
      <c r="H182" s="62" t="s">
        <v>94</v>
      </c>
      <c r="I182" s="62" t="s">
        <v>94</v>
      </c>
      <c r="J182" s="62" t="s">
        <v>94</v>
      </c>
      <c r="K182" s="62" t="s">
        <v>94</v>
      </c>
      <c r="L182" s="62" t="s">
        <v>94</v>
      </c>
      <c r="M182" s="87">
        <v>236</v>
      </c>
      <c r="N182" s="87">
        <v>164</v>
      </c>
      <c r="O182" s="88">
        <v>4</v>
      </c>
      <c r="P182" s="88">
        <v>3</v>
      </c>
      <c r="Q182" s="142" t="s">
        <v>94</v>
      </c>
      <c r="R182" s="142" t="s">
        <v>94</v>
      </c>
      <c r="S182" s="88">
        <v>527</v>
      </c>
      <c r="T182" s="88">
        <v>532</v>
      </c>
      <c r="U182" s="90">
        <v>30</v>
      </c>
      <c r="V182" s="90">
        <v>25</v>
      </c>
      <c r="W182" s="88">
        <v>4.5</v>
      </c>
      <c r="X182" s="88">
        <v>4.4000000000000004</v>
      </c>
      <c r="Y182" s="90">
        <v>39</v>
      </c>
      <c r="Z182" s="90">
        <v>43</v>
      </c>
      <c r="AA182" s="88">
        <v>26</v>
      </c>
      <c r="AB182" s="88">
        <v>33</v>
      </c>
      <c r="AC182" s="89">
        <v>6.5</v>
      </c>
      <c r="AD182" s="89">
        <v>6.7</v>
      </c>
      <c r="AE182" s="102">
        <v>93.8</v>
      </c>
      <c r="AF182" s="103">
        <v>93.8</v>
      </c>
      <c r="AG182" s="89">
        <v>39</v>
      </c>
      <c r="AH182" s="89">
        <v>38</v>
      </c>
      <c r="AI182" s="88">
        <v>1.1000000000000001</v>
      </c>
      <c r="AJ182" s="88">
        <v>1.1000000000000001</v>
      </c>
      <c r="AK182" s="269">
        <f t="shared" si="14"/>
        <v>0</v>
      </c>
      <c r="AL182" s="89">
        <v>5.0999999999999996</v>
      </c>
      <c r="AM182" s="89">
        <v>5.0999999999999996</v>
      </c>
      <c r="AN182" s="63">
        <v>7.8</v>
      </c>
      <c r="AO182" s="63">
        <v>8</v>
      </c>
      <c r="AP182" s="88">
        <v>71</v>
      </c>
      <c r="AQ182" s="88">
        <v>95</v>
      </c>
      <c r="AR182" s="89">
        <v>9.8000000000000007</v>
      </c>
      <c r="AS182" s="89">
        <v>10.199999999999999</v>
      </c>
      <c r="AT182" s="89">
        <v>4.7</v>
      </c>
      <c r="AU182" s="89">
        <v>4.5</v>
      </c>
      <c r="AV182" s="61">
        <v>66</v>
      </c>
      <c r="AW182" s="52">
        <v>95</v>
      </c>
      <c r="AX182" s="63">
        <v>140</v>
      </c>
      <c r="AY182" s="63">
        <v>141</v>
      </c>
      <c r="AZ182" s="89">
        <v>2.1</v>
      </c>
      <c r="BA182" s="89">
        <v>2.1</v>
      </c>
      <c r="BB182" s="88">
        <v>101</v>
      </c>
      <c r="BC182" s="88">
        <v>101</v>
      </c>
      <c r="BD182" s="96">
        <f t="shared" si="15"/>
        <v>293.85866666666664</v>
      </c>
      <c r="BE182" s="96">
        <f t="shared" si="16"/>
        <v>297.03277777777777</v>
      </c>
      <c r="BF182" s="89">
        <v>5.59</v>
      </c>
      <c r="BG182" s="89">
        <v>5.57</v>
      </c>
      <c r="BH182" s="63">
        <v>14.8</v>
      </c>
      <c r="BI182" s="63">
        <v>14.8</v>
      </c>
      <c r="BJ182" s="89">
        <v>46.3</v>
      </c>
      <c r="BK182" s="89">
        <v>47.1</v>
      </c>
      <c r="BL182" s="63">
        <v>82.8</v>
      </c>
      <c r="BM182" s="63">
        <v>84.6</v>
      </c>
      <c r="BN182" s="89">
        <v>26.5</v>
      </c>
      <c r="BO182" s="89">
        <v>26.6</v>
      </c>
      <c r="BP182" s="63">
        <v>32</v>
      </c>
      <c r="BQ182" s="63">
        <v>31.4</v>
      </c>
      <c r="BR182" s="89">
        <v>166</v>
      </c>
      <c r="BS182" s="89">
        <v>288</v>
      </c>
      <c r="BT182" s="63">
        <v>13</v>
      </c>
      <c r="BU182" s="63">
        <v>12.8</v>
      </c>
      <c r="BV182" s="89">
        <v>1.65</v>
      </c>
      <c r="BW182" s="89">
        <v>1.1299999999999999</v>
      </c>
      <c r="BX182" s="145">
        <v>7.06</v>
      </c>
      <c r="BY182" s="63">
        <v>9.8000000000000007</v>
      </c>
      <c r="BZ182" s="89">
        <v>58.9</v>
      </c>
      <c r="CA182" s="89">
        <v>49.7</v>
      </c>
      <c r="CB182" s="145">
        <v>28.5</v>
      </c>
      <c r="CC182" s="63">
        <v>41.1</v>
      </c>
      <c r="CD182" s="89">
        <v>8.8000000000000007</v>
      </c>
      <c r="CE182" s="89">
        <v>7.1</v>
      </c>
      <c r="CF182" s="145">
        <v>3.4</v>
      </c>
      <c r="CG182" s="63">
        <v>1.7</v>
      </c>
      <c r="CH182" s="89">
        <v>0.4</v>
      </c>
      <c r="CI182" s="89">
        <v>0.4</v>
      </c>
      <c r="CJ182" s="86" t="b">
        <f t="shared" si="17"/>
        <v>0</v>
      </c>
      <c r="CK182" s="2" t="b">
        <f t="shared" si="18"/>
        <v>0</v>
      </c>
      <c r="CL182" s="98">
        <f t="shared" si="19"/>
        <v>70.30368</v>
      </c>
      <c r="CM182" s="98">
        <v>82.4</v>
      </c>
      <c r="CN182" s="98">
        <v>168</v>
      </c>
      <c r="CO182" s="86">
        <v>50.7</v>
      </c>
      <c r="CP182" s="98">
        <v>60</v>
      </c>
      <c r="CQ182" s="98">
        <v>58</v>
      </c>
      <c r="CR182" s="96">
        <v>14.68</v>
      </c>
    </row>
    <row r="183" spans="1:96" ht="15.75" customHeight="1">
      <c r="A183" s="50">
        <v>2018</v>
      </c>
      <c r="B183" s="4" t="s">
        <v>182</v>
      </c>
      <c r="C183" s="105">
        <v>3155</v>
      </c>
      <c r="D183" s="86">
        <v>26</v>
      </c>
      <c r="E183" s="86">
        <v>70</v>
      </c>
      <c r="F183" s="86">
        <v>1</v>
      </c>
      <c r="G183" s="54" t="s">
        <v>86</v>
      </c>
      <c r="H183" s="55" t="s">
        <v>83</v>
      </c>
      <c r="I183" s="56" t="s">
        <v>87</v>
      </c>
      <c r="J183" s="52" t="s">
        <v>88</v>
      </c>
      <c r="K183" s="53">
        <v>50</v>
      </c>
      <c r="L183" s="55">
        <v>50</v>
      </c>
      <c r="M183" s="87">
        <v>168</v>
      </c>
      <c r="N183" s="220">
        <v>1767</v>
      </c>
      <c r="O183" s="88">
        <v>23</v>
      </c>
      <c r="P183" s="95">
        <v>35</v>
      </c>
      <c r="Q183" s="89" t="s">
        <v>94</v>
      </c>
      <c r="R183" s="89" t="s">
        <v>94</v>
      </c>
      <c r="S183" s="88" t="s">
        <v>94</v>
      </c>
      <c r="T183" s="88" t="s">
        <v>94</v>
      </c>
      <c r="U183" s="90">
        <v>28</v>
      </c>
      <c r="V183" s="221">
        <v>90</v>
      </c>
      <c r="W183" s="88">
        <v>4.5999999999999996</v>
      </c>
      <c r="X183" s="95">
        <v>4.3</v>
      </c>
      <c r="Y183" s="90">
        <v>39</v>
      </c>
      <c r="Z183" s="221">
        <v>51</v>
      </c>
      <c r="AA183" s="88" t="s">
        <v>94</v>
      </c>
      <c r="AB183" s="88" t="s">
        <v>94</v>
      </c>
      <c r="AC183" s="89">
        <v>5.8</v>
      </c>
      <c r="AD183" s="108">
        <v>6.6</v>
      </c>
      <c r="AE183" s="102">
        <v>105.8</v>
      </c>
      <c r="AF183" s="103">
        <v>124.4</v>
      </c>
      <c r="AG183" s="89">
        <v>46</v>
      </c>
      <c r="AH183" s="108">
        <v>63</v>
      </c>
      <c r="AI183" s="88">
        <v>1</v>
      </c>
      <c r="AJ183" s="95">
        <v>1</v>
      </c>
      <c r="AK183" s="269">
        <f t="shared" si="14"/>
        <v>0</v>
      </c>
      <c r="AL183" s="89" t="s">
        <v>94</v>
      </c>
      <c r="AM183" s="89" t="s">
        <v>94</v>
      </c>
      <c r="AN183" s="63">
        <v>7.6</v>
      </c>
      <c r="AO183" s="93">
        <v>7.2</v>
      </c>
      <c r="AP183" s="89" t="s">
        <v>94</v>
      </c>
      <c r="AQ183" s="89" t="s">
        <v>94</v>
      </c>
      <c r="AR183" s="89">
        <v>10.7</v>
      </c>
      <c r="AS183" s="108">
        <v>9.4</v>
      </c>
      <c r="AT183" s="89">
        <v>4.7</v>
      </c>
      <c r="AU183" s="108">
        <v>4.0999999999999996</v>
      </c>
      <c r="AV183" s="219">
        <v>100</v>
      </c>
      <c r="AW183" s="61">
        <v>86</v>
      </c>
      <c r="AX183" s="63">
        <v>143</v>
      </c>
      <c r="AY183" s="93">
        <v>139</v>
      </c>
      <c r="AZ183" s="89" t="s">
        <v>94</v>
      </c>
      <c r="BA183" s="89" t="s">
        <v>94</v>
      </c>
      <c r="BB183" s="88" t="s">
        <v>94</v>
      </c>
      <c r="BC183" s="88" t="s">
        <v>94</v>
      </c>
      <c r="BD183" s="96">
        <f t="shared" si="15"/>
        <v>302.77755555555558</v>
      </c>
      <c r="BE183" s="96">
        <f t="shared" si="16"/>
        <v>296.16044444444447</v>
      </c>
      <c r="BF183" s="89">
        <v>5.15</v>
      </c>
      <c r="BG183" s="108">
        <v>4.43</v>
      </c>
      <c r="BH183" s="63">
        <v>14.4</v>
      </c>
      <c r="BI183" s="93">
        <v>12.6</v>
      </c>
      <c r="BJ183" s="89">
        <v>45.1</v>
      </c>
      <c r="BK183" s="108">
        <v>38.6</v>
      </c>
      <c r="BL183" s="63">
        <v>87.6</v>
      </c>
      <c r="BM183" s="108">
        <v>87.1</v>
      </c>
      <c r="BN183" s="89">
        <v>28</v>
      </c>
      <c r="BO183" s="108">
        <v>28.4</v>
      </c>
      <c r="BP183" s="63">
        <v>31.9</v>
      </c>
      <c r="BQ183" s="63">
        <v>32.6</v>
      </c>
      <c r="BR183" s="108">
        <v>257</v>
      </c>
      <c r="BS183" s="108">
        <v>270</v>
      </c>
      <c r="BT183" s="108">
        <v>13.5</v>
      </c>
      <c r="BU183" s="108">
        <v>14</v>
      </c>
      <c r="BV183" s="108">
        <v>1.52</v>
      </c>
      <c r="BW183" s="108">
        <v>1.17</v>
      </c>
      <c r="BX183" s="63">
        <v>7.13</v>
      </c>
      <c r="BY183" s="146">
        <v>8.5299999999999994</v>
      </c>
      <c r="BZ183" s="89">
        <v>68.8</v>
      </c>
      <c r="CA183" s="146">
        <v>57.2</v>
      </c>
      <c r="CB183" s="63">
        <v>21.9</v>
      </c>
      <c r="CC183" s="146">
        <v>27.5</v>
      </c>
      <c r="CD183" s="89">
        <v>8</v>
      </c>
      <c r="CE183" s="146">
        <v>14.2</v>
      </c>
      <c r="CF183" s="63">
        <v>1.3</v>
      </c>
      <c r="CG183" s="146">
        <v>1.1000000000000001</v>
      </c>
      <c r="CH183" s="89">
        <v>0</v>
      </c>
      <c r="CI183" s="89">
        <v>0</v>
      </c>
      <c r="CJ183" s="86" t="b">
        <f t="shared" si="17"/>
        <v>0</v>
      </c>
      <c r="CK183" s="2" t="b">
        <f t="shared" si="18"/>
        <v>1</v>
      </c>
      <c r="CL183" s="98">
        <f t="shared" si="19"/>
        <v>71.28528</v>
      </c>
      <c r="CM183" s="98">
        <v>75.900000000000006</v>
      </c>
      <c r="CN183" s="98">
        <v>171</v>
      </c>
      <c r="CO183" s="86">
        <v>54.68</v>
      </c>
      <c r="CP183" s="98">
        <v>42</v>
      </c>
      <c r="CQ183" s="98">
        <v>43</v>
      </c>
      <c r="CR183" s="96">
        <v>6.08</v>
      </c>
    </row>
    <row r="184" spans="1:96" ht="15.75" customHeight="1">
      <c r="A184" s="50">
        <v>2018</v>
      </c>
      <c r="B184" s="4" t="s">
        <v>182</v>
      </c>
      <c r="C184" s="105">
        <v>3156</v>
      </c>
      <c r="D184" s="86">
        <v>26</v>
      </c>
      <c r="E184" s="86">
        <v>74</v>
      </c>
      <c r="F184" s="86">
        <v>1</v>
      </c>
      <c r="G184" s="54" t="s">
        <v>89</v>
      </c>
      <c r="H184" s="55" t="s">
        <v>90</v>
      </c>
      <c r="I184" s="56" t="s">
        <v>84</v>
      </c>
      <c r="J184" s="55" t="s">
        <v>91</v>
      </c>
      <c r="K184" s="53">
        <v>50</v>
      </c>
      <c r="L184" s="55">
        <v>50</v>
      </c>
      <c r="M184" s="87">
        <v>183</v>
      </c>
      <c r="N184" s="220">
        <v>1197</v>
      </c>
      <c r="O184" s="88">
        <v>24</v>
      </c>
      <c r="P184" s="95">
        <v>31</v>
      </c>
      <c r="Q184" s="89" t="s">
        <v>94</v>
      </c>
      <c r="R184" s="89" t="s">
        <v>94</v>
      </c>
      <c r="S184" s="88" t="s">
        <v>94</v>
      </c>
      <c r="T184" s="88" t="s">
        <v>94</v>
      </c>
      <c r="U184" s="90">
        <v>35</v>
      </c>
      <c r="V184" s="221">
        <v>69</v>
      </c>
      <c r="W184" s="88">
        <v>4.2</v>
      </c>
      <c r="X184" s="95">
        <v>4.0999999999999996</v>
      </c>
      <c r="Y184" s="90">
        <v>29</v>
      </c>
      <c r="Z184" s="221">
        <v>45</v>
      </c>
      <c r="AA184" s="88" t="s">
        <v>94</v>
      </c>
      <c r="AB184" s="88" t="s">
        <v>94</v>
      </c>
      <c r="AC184" s="89">
        <v>4.8</v>
      </c>
      <c r="AD184" s="108">
        <v>5.2</v>
      </c>
      <c r="AE184" s="102">
        <v>85</v>
      </c>
      <c r="AF184" s="103">
        <v>105.8</v>
      </c>
      <c r="AG184" s="89">
        <v>45</v>
      </c>
      <c r="AH184" s="108">
        <v>36</v>
      </c>
      <c r="AI184" s="88">
        <v>1.2</v>
      </c>
      <c r="AJ184" s="95">
        <v>1.1000000000000001</v>
      </c>
      <c r="AK184" s="269">
        <f t="shared" si="14"/>
        <v>0</v>
      </c>
      <c r="AL184" s="89" t="s">
        <v>94</v>
      </c>
      <c r="AM184" s="89" t="s">
        <v>94</v>
      </c>
      <c r="AN184" s="63">
        <v>7</v>
      </c>
      <c r="AO184" s="93">
        <v>6.8</v>
      </c>
      <c r="AP184" s="89" t="s">
        <v>94</v>
      </c>
      <c r="AQ184" s="89" t="s">
        <v>94</v>
      </c>
      <c r="AR184" s="89">
        <v>9.5</v>
      </c>
      <c r="AS184" s="108">
        <v>9.4</v>
      </c>
      <c r="AT184" s="89">
        <v>4.4000000000000004</v>
      </c>
      <c r="AU184" s="108">
        <v>3.6</v>
      </c>
      <c r="AV184" s="67">
        <v>117</v>
      </c>
      <c r="AW184" s="61">
        <v>87</v>
      </c>
      <c r="AX184" s="63">
        <v>141</v>
      </c>
      <c r="AY184" s="93">
        <v>141</v>
      </c>
      <c r="AZ184" s="89" t="s">
        <v>94</v>
      </c>
      <c r="BA184" s="89" t="s">
        <v>94</v>
      </c>
      <c r="BB184" s="88" t="s">
        <v>94</v>
      </c>
      <c r="BC184" s="88" t="s">
        <v>94</v>
      </c>
      <c r="BD184" s="96">
        <f t="shared" si="15"/>
        <v>299.41900000000004</v>
      </c>
      <c r="BE184" s="96">
        <f t="shared" si="16"/>
        <v>294.51433333333335</v>
      </c>
      <c r="BF184" s="89">
        <v>5.08</v>
      </c>
      <c r="BG184" s="108">
        <v>4.47</v>
      </c>
      <c r="BH184" s="63">
        <v>14.8</v>
      </c>
      <c r="BI184" s="108">
        <v>13.3</v>
      </c>
      <c r="BJ184" s="89">
        <v>45.8</v>
      </c>
      <c r="BK184" s="108">
        <v>39.799999999999997</v>
      </c>
      <c r="BL184" s="63">
        <v>90.2</v>
      </c>
      <c r="BM184" s="108">
        <v>89</v>
      </c>
      <c r="BN184" s="89">
        <v>29.1</v>
      </c>
      <c r="BO184" s="108">
        <v>29.8</v>
      </c>
      <c r="BP184" s="63">
        <v>32.299999999999997</v>
      </c>
      <c r="BQ184" s="108">
        <v>33.4</v>
      </c>
      <c r="BR184" s="108">
        <v>210</v>
      </c>
      <c r="BS184" s="108">
        <v>80</v>
      </c>
      <c r="BT184" s="108">
        <v>11.8</v>
      </c>
      <c r="BU184" s="108">
        <v>12.1</v>
      </c>
      <c r="BV184" s="108">
        <v>1.43</v>
      </c>
      <c r="BW184" s="108">
        <v>1.19</v>
      </c>
      <c r="BX184" s="63">
        <v>4.68</v>
      </c>
      <c r="BY184" s="146">
        <v>6.42</v>
      </c>
      <c r="BZ184" s="89">
        <v>74.099999999999994</v>
      </c>
      <c r="CA184" s="108">
        <v>53.4</v>
      </c>
      <c r="CB184" s="63">
        <v>19.7</v>
      </c>
      <c r="CC184" s="93">
        <v>33.6</v>
      </c>
      <c r="CD184" s="89">
        <v>5.6</v>
      </c>
      <c r="CE184" s="89">
        <v>8.4</v>
      </c>
      <c r="CF184" s="63">
        <v>0.6</v>
      </c>
      <c r="CG184" s="63">
        <v>4.4000000000000004</v>
      </c>
      <c r="CH184" s="89">
        <v>0</v>
      </c>
      <c r="CI184" s="108">
        <v>0.2</v>
      </c>
      <c r="CJ184" s="86" t="b">
        <f t="shared" si="17"/>
        <v>0</v>
      </c>
      <c r="CK184" s="2" t="b">
        <f t="shared" si="18"/>
        <v>1</v>
      </c>
      <c r="CL184" s="98">
        <f t="shared" si="19"/>
        <v>72.293760000000006</v>
      </c>
      <c r="CM184" s="98">
        <v>79.2</v>
      </c>
      <c r="CN184" s="98">
        <v>174</v>
      </c>
      <c r="CO184" s="86">
        <v>53.64</v>
      </c>
      <c r="CP184" s="98">
        <v>49.5</v>
      </c>
      <c r="CQ184" s="98">
        <v>49.5</v>
      </c>
      <c r="CR184" s="96">
        <v>8.7200000000000006</v>
      </c>
    </row>
    <row r="185" spans="1:96" ht="15.75" customHeight="1">
      <c r="A185" s="50">
        <v>2018</v>
      </c>
      <c r="B185" s="4" t="s">
        <v>182</v>
      </c>
      <c r="C185" s="105">
        <v>3159</v>
      </c>
      <c r="D185" s="86">
        <v>25</v>
      </c>
      <c r="E185" s="86">
        <v>84</v>
      </c>
      <c r="F185" s="86">
        <v>1</v>
      </c>
      <c r="G185" s="51" t="s">
        <v>86</v>
      </c>
      <c r="H185" s="52" t="s">
        <v>92</v>
      </c>
      <c r="I185" s="53" t="s">
        <v>93</v>
      </c>
      <c r="J185" s="55" t="s">
        <v>88</v>
      </c>
      <c r="K185" s="53" t="s">
        <v>94</v>
      </c>
      <c r="L185" s="52" t="s">
        <v>94</v>
      </c>
      <c r="M185" s="87">
        <v>205</v>
      </c>
      <c r="N185" s="220">
        <v>1070</v>
      </c>
      <c r="O185" s="88">
        <v>22</v>
      </c>
      <c r="P185" s="95">
        <v>26</v>
      </c>
      <c r="Q185" s="89" t="s">
        <v>94</v>
      </c>
      <c r="R185" s="89" t="s">
        <v>94</v>
      </c>
      <c r="S185" s="88" t="s">
        <v>94</v>
      </c>
      <c r="T185" s="88" t="s">
        <v>94</v>
      </c>
      <c r="U185" s="90">
        <v>30</v>
      </c>
      <c r="V185" s="221">
        <v>61</v>
      </c>
      <c r="W185" s="88">
        <v>4.3</v>
      </c>
      <c r="X185" s="95">
        <v>4.0999999999999996</v>
      </c>
      <c r="Y185" s="90">
        <v>39</v>
      </c>
      <c r="Z185" s="221">
        <v>47</v>
      </c>
      <c r="AA185" s="88" t="s">
        <v>94</v>
      </c>
      <c r="AB185" s="88" t="s">
        <v>94</v>
      </c>
      <c r="AC185" s="89">
        <v>5.6</v>
      </c>
      <c r="AD185" s="108">
        <v>6.9</v>
      </c>
      <c r="AE185" s="102">
        <v>85.5</v>
      </c>
      <c r="AF185" s="103">
        <v>94.9</v>
      </c>
      <c r="AG185" s="89">
        <v>40</v>
      </c>
      <c r="AH185" s="108">
        <v>49</v>
      </c>
      <c r="AI185" s="88">
        <v>1.2</v>
      </c>
      <c r="AJ185" s="95">
        <v>1.2</v>
      </c>
      <c r="AK185" s="269">
        <f t="shared" si="14"/>
        <v>0</v>
      </c>
      <c r="AL185" s="89" t="s">
        <v>94</v>
      </c>
      <c r="AM185" s="89" t="s">
        <v>94</v>
      </c>
      <c r="AN185" s="63">
        <v>7.1</v>
      </c>
      <c r="AO185" s="93">
        <v>7</v>
      </c>
      <c r="AP185" s="89" t="s">
        <v>94</v>
      </c>
      <c r="AQ185" s="89" t="s">
        <v>94</v>
      </c>
      <c r="AR185" s="89">
        <v>9.8000000000000007</v>
      </c>
      <c r="AS185" s="108">
        <v>9.1999999999999993</v>
      </c>
      <c r="AT185" s="89">
        <v>4</v>
      </c>
      <c r="AU185" s="108">
        <v>4</v>
      </c>
      <c r="AV185" s="67">
        <v>107</v>
      </c>
      <c r="AW185" s="93">
        <v>87</v>
      </c>
      <c r="AX185" s="63">
        <v>140</v>
      </c>
      <c r="AY185" s="93">
        <v>140</v>
      </c>
      <c r="AZ185" s="89" t="s">
        <v>94</v>
      </c>
      <c r="BA185" s="89" t="s">
        <v>94</v>
      </c>
      <c r="BB185" s="88" t="s">
        <v>94</v>
      </c>
      <c r="BC185" s="88" t="s">
        <v>94</v>
      </c>
      <c r="BD185" s="96">
        <f t="shared" si="15"/>
        <v>295.34277777777783</v>
      </c>
      <c r="BE185" s="96">
        <f t="shared" si="16"/>
        <v>295.56500000000005</v>
      </c>
      <c r="BF185" s="89">
        <v>5.27</v>
      </c>
      <c r="BG185" s="108">
        <v>4.83</v>
      </c>
      <c r="BH185" s="63">
        <v>14.4</v>
      </c>
      <c r="BI185" s="108">
        <v>13.4</v>
      </c>
      <c r="BJ185" s="89">
        <v>45.6</v>
      </c>
      <c r="BK185" s="108">
        <v>41.9</v>
      </c>
      <c r="BL185" s="63">
        <v>86.5</v>
      </c>
      <c r="BM185" s="108">
        <v>86.7</v>
      </c>
      <c r="BN185" s="89">
        <v>27.3</v>
      </c>
      <c r="BO185" s="108">
        <v>27.7</v>
      </c>
      <c r="BP185" s="63">
        <v>31.6</v>
      </c>
      <c r="BQ185" s="63">
        <v>32</v>
      </c>
      <c r="BR185" s="108">
        <v>250</v>
      </c>
      <c r="BS185" s="108">
        <v>243</v>
      </c>
      <c r="BT185" s="108">
        <v>12.2</v>
      </c>
      <c r="BU185" s="108">
        <v>12.4</v>
      </c>
      <c r="BV185" s="108">
        <v>1.2</v>
      </c>
      <c r="BW185" s="108">
        <v>0.96</v>
      </c>
      <c r="BX185" s="63">
        <v>4.6399999999999997</v>
      </c>
      <c r="BY185" s="146">
        <v>6.85</v>
      </c>
      <c r="BZ185" s="89">
        <v>50.7</v>
      </c>
      <c r="CA185" s="108">
        <v>46.8</v>
      </c>
      <c r="CB185" s="63">
        <v>40.700000000000003</v>
      </c>
      <c r="CC185" s="93">
        <v>41.6</v>
      </c>
      <c r="CD185" s="89">
        <v>6.9</v>
      </c>
      <c r="CE185" s="108">
        <v>9.8000000000000007</v>
      </c>
      <c r="CF185" s="63">
        <v>1.7</v>
      </c>
      <c r="CG185" s="63">
        <v>1.8</v>
      </c>
      <c r="CH185" s="89">
        <v>0</v>
      </c>
      <c r="CI185" s="89">
        <v>0</v>
      </c>
      <c r="CJ185" s="86" t="b">
        <f t="shared" si="17"/>
        <v>0</v>
      </c>
      <c r="CK185" s="2" t="b">
        <f t="shared" si="18"/>
        <v>1</v>
      </c>
      <c r="CL185" s="98">
        <f t="shared" si="19"/>
        <v>75.355769999999993</v>
      </c>
      <c r="CM185" s="98">
        <v>84.3</v>
      </c>
      <c r="CN185" s="98">
        <v>178</v>
      </c>
      <c r="CO185" s="86">
        <v>52.69</v>
      </c>
      <c r="CP185" s="98">
        <v>60</v>
      </c>
      <c r="CQ185" s="98">
        <v>57</v>
      </c>
      <c r="CR185" s="96">
        <v>10.61</v>
      </c>
    </row>
    <row r="186" spans="1:96" ht="15.75" customHeight="1">
      <c r="A186" s="50">
        <v>2018</v>
      </c>
      <c r="B186" s="4" t="s">
        <v>182</v>
      </c>
      <c r="C186" s="105">
        <v>3169</v>
      </c>
      <c r="D186" s="86">
        <v>31</v>
      </c>
      <c r="E186" s="86">
        <v>89</v>
      </c>
      <c r="F186" s="86">
        <v>1</v>
      </c>
      <c r="G186" s="51" t="s">
        <v>82</v>
      </c>
      <c r="H186" s="52" t="s">
        <v>83</v>
      </c>
      <c r="I186" s="53" t="s">
        <v>84</v>
      </c>
      <c r="J186" s="52" t="s">
        <v>85</v>
      </c>
      <c r="K186" s="53">
        <v>100</v>
      </c>
      <c r="L186" s="52">
        <v>0</v>
      </c>
      <c r="M186" s="87">
        <v>181</v>
      </c>
      <c r="N186" s="220">
        <v>1484</v>
      </c>
      <c r="O186" s="88">
        <v>17</v>
      </c>
      <c r="P186" s="95">
        <v>39</v>
      </c>
      <c r="Q186" s="89" t="s">
        <v>94</v>
      </c>
      <c r="R186" s="89" t="s">
        <v>94</v>
      </c>
      <c r="S186" s="88" t="s">
        <v>94</v>
      </c>
      <c r="T186" s="88" t="s">
        <v>94</v>
      </c>
      <c r="U186" s="90">
        <v>30</v>
      </c>
      <c r="V186" s="221">
        <v>98</v>
      </c>
      <c r="W186" s="88">
        <v>4.5999999999999996</v>
      </c>
      <c r="X186" s="95">
        <v>4</v>
      </c>
      <c r="Y186" s="90">
        <v>41</v>
      </c>
      <c r="Z186" s="221">
        <v>54</v>
      </c>
      <c r="AA186" s="88" t="s">
        <v>94</v>
      </c>
      <c r="AB186" s="88" t="s">
        <v>94</v>
      </c>
      <c r="AC186" s="89">
        <v>8.4</v>
      </c>
      <c r="AD186" s="108">
        <v>10</v>
      </c>
      <c r="AE186" s="102">
        <v>91.5</v>
      </c>
      <c r="AF186" s="103">
        <v>116.4</v>
      </c>
      <c r="AG186" s="89">
        <v>46</v>
      </c>
      <c r="AH186" s="108">
        <v>56</v>
      </c>
      <c r="AI186" s="88">
        <v>1.1000000000000001</v>
      </c>
      <c r="AJ186" s="95">
        <v>1.2</v>
      </c>
      <c r="AK186" s="269">
        <f t="shared" si="14"/>
        <v>9.9999999999999867E-2</v>
      </c>
      <c r="AL186" s="89" t="s">
        <v>94</v>
      </c>
      <c r="AM186" s="89" t="s">
        <v>94</v>
      </c>
      <c r="AN186" s="63">
        <v>7.9</v>
      </c>
      <c r="AO186" s="63">
        <v>7.3</v>
      </c>
      <c r="AP186" s="89" t="s">
        <v>94</v>
      </c>
      <c r="AQ186" s="89" t="s">
        <v>94</v>
      </c>
      <c r="AR186" s="89">
        <v>9.6999999999999993</v>
      </c>
      <c r="AS186" s="108">
        <v>8.6999999999999993</v>
      </c>
      <c r="AT186" s="89">
        <v>4.0999999999999996</v>
      </c>
      <c r="AU186" s="108">
        <v>4.0999999999999996</v>
      </c>
      <c r="AV186" s="67">
        <v>116</v>
      </c>
      <c r="AW186" s="61">
        <v>0</v>
      </c>
      <c r="AX186" s="63">
        <v>142</v>
      </c>
      <c r="AY186" s="93">
        <v>142</v>
      </c>
      <c r="AZ186" s="89" t="s">
        <v>94</v>
      </c>
      <c r="BA186" s="89" t="s">
        <v>94</v>
      </c>
      <c r="BB186" s="88" t="s">
        <v>94</v>
      </c>
      <c r="BC186" s="88" t="s">
        <v>94</v>
      </c>
      <c r="BD186" s="96">
        <f t="shared" si="15"/>
        <v>300.82377777777776</v>
      </c>
      <c r="BE186" s="96">
        <f t="shared" si="16"/>
        <v>295.0793333333333</v>
      </c>
      <c r="BF186" s="89">
        <v>4.87</v>
      </c>
      <c r="BG186" s="108">
        <v>4.37</v>
      </c>
      <c r="BH186" s="63">
        <v>13.4</v>
      </c>
      <c r="BI186" s="108">
        <v>12.3</v>
      </c>
      <c r="BJ186" s="89">
        <v>43.3</v>
      </c>
      <c r="BK186" s="108">
        <v>39.1</v>
      </c>
      <c r="BL186" s="63">
        <v>88.9</v>
      </c>
      <c r="BM186" s="108">
        <v>89.5</v>
      </c>
      <c r="BN186" s="89">
        <v>27.5</v>
      </c>
      <c r="BO186" s="89">
        <v>28.1</v>
      </c>
      <c r="BP186" s="63">
        <v>30.9</v>
      </c>
      <c r="BQ186" s="93">
        <v>31.5</v>
      </c>
      <c r="BR186" s="108">
        <v>285</v>
      </c>
      <c r="BS186" s="108">
        <v>263</v>
      </c>
      <c r="BT186" s="108">
        <v>13.3</v>
      </c>
      <c r="BU186" s="108">
        <v>13.7</v>
      </c>
      <c r="BV186" s="108">
        <v>1.1200000000000001</v>
      </c>
      <c r="BW186" s="108">
        <v>1.18</v>
      </c>
      <c r="BX186" s="63">
        <v>11.19</v>
      </c>
      <c r="BY186" s="146">
        <v>10.24</v>
      </c>
      <c r="BZ186" s="89">
        <v>77.599999999999994</v>
      </c>
      <c r="CA186" s="108">
        <v>59.7</v>
      </c>
      <c r="CB186" s="63">
        <v>16.2</v>
      </c>
      <c r="CC186" s="93">
        <v>28.3</v>
      </c>
      <c r="CD186" s="89">
        <v>5.6</v>
      </c>
      <c r="CE186" s="108">
        <v>10.4</v>
      </c>
      <c r="CF186" s="63">
        <v>0.6</v>
      </c>
      <c r="CG186" s="93">
        <v>1.6</v>
      </c>
      <c r="CH186" s="89">
        <v>0</v>
      </c>
      <c r="CI186" s="89">
        <v>0</v>
      </c>
      <c r="CJ186" s="86" t="b">
        <f t="shared" si="17"/>
        <v>0</v>
      </c>
      <c r="CK186" s="2" t="b">
        <f t="shared" si="18"/>
        <v>1</v>
      </c>
      <c r="CL186" s="98">
        <f t="shared" si="19"/>
        <v>74.95620000000001</v>
      </c>
      <c r="CM186" s="98">
        <v>90.2</v>
      </c>
      <c r="CN186" s="98">
        <v>184.5</v>
      </c>
      <c r="CO186" s="86">
        <v>48.67</v>
      </c>
      <c r="CP186" s="98">
        <v>54</v>
      </c>
      <c r="CQ186" s="98">
        <v>47</v>
      </c>
      <c r="CR186" s="96">
        <v>16.899999999999999</v>
      </c>
    </row>
    <row r="187" spans="1:96" ht="15.75" customHeight="1">
      <c r="A187" s="50">
        <v>2018</v>
      </c>
      <c r="B187" s="4" t="s">
        <v>182</v>
      </c>
      <c r="C187" s="105">
        <v>3175</v>
      </c>
      <c r="D187" s="86">
        <v>32</v>
      </c>
      <c r="E187" s="86">
        <v>96</v>
      </c>
      <c r="F187" s="86">
        <v>2</v>
      </c>
      <c r="G187" s="54" t="s">
        <v>89</v>
      </c>
      <c r="H187" s="55" t="s">
        <v>90</v>
      </c>
      <c r="I187" s="56" t="s">
        <v>84</v>
      </c>
      <c r="J187" s="55" t="s">
        <v>91</v>
      </c>
      <c r="K187" s="57">
        <v>45.8333333333333</v>
      </c>
      <c r="L187" s="58">
        <v>54.1666666666667</v>
      </c>
      <c r="M187" s="87">
        <v>264</v>
      </c>
      <c r="N187" s="220">
        <v>5508</v>
      </c>
      <c r="O187" s="88">
        <v>23</v>
      </c>
      <c r="P187" s="95">
        <v>72</v>
      </c>
      <c r="Q187" s="89" t="s">
        <v>94</v>
      </c>
      <c r="R187" s="89" t="s">
        <v>94</v>
      </c>
      <c r="S187" s="88" t="s">
        <v>94</v>
      </c>
      <c r="T187" s="88" t="s">
        <v>94</v>
      </c>
      <c r="U187" s="90">
        <v>32</v>
      </c>
      <c r="V187" s="221">
        <v>132</v>
      </c>
      <c r="W187" s="88">
        <v>4.5</v>
      </c>
      <c r="X187" s="88">
        <v>4.0999999999999996</v>
      </c>
      <c r="Y187" s="90">
        <v>42</v>
      </c>
      <c r="Z187" s="221">
        <v>83</v>
      </c>
      <c r="AA187" s="88" t="s">
        <v>94</v>
      </c>
      <c r="AB187" s="88" t="s">
        <v>94</v>
      </c>
      <c r="AC187" s="89">
        <v>4.7</v>
      </c>
      <c r="AD187" s="108">
        <v>6.2</v>
      </c>
      <c r="AE187" s="102">
        <v>91.5</v>
      </c>
      <c r="AF187" s="103">
        <v>105.1</v>
      </c>
      <c r="AG187" s="89">
        <v>45</v>
      </c>
      <c r="AH187" s="108">
        <v>58</v>
      </c>
      <c r="AI187" s="88">
        <v>1.1000000000000001</v>
      </c>
      <c r="AJ187" s="95">
        <v>1.1000000000000001</v>
      </c>
      <c r="AK187" s="269">
        <f t="shared" si="14"/>
        <v>0</v>
      </c>
      <c r="AL187" s="89" t="s">
        <v>94</v>
      </c>
      <c r="AM187" s="89" t="s">
        <v>94</v>
      </c>
      <c r="AN187" s="63">
        <v>7.6</v>
      </c>
      <c r="AO187" s="93">
        <v>7.3</v>
      </c>
      <c r="AP187" s="89" t="s">
        <v>94</v>
      </c>
      <c r="AQ187" s="89" t="s">
        <v>94</v>
      </c>
      <c r="AR187" s="89">
        <v>10.1</v>
      </c>
      <c r="AS187" s="108">
        <v>9.3000000000000007</v>
      </c>
      <c r="AT187" s="89">
        <v>4</v>
      </c>
      <c r="AU187" s="108">
        <v>3.6</v>
      </c>
      <c r="AV187" s="67">
        <v>114</v>
      </c>
      <c r="AW187" s="61">
        <v>0</v>
      </c>
      <c r="AX187" s="63">
        <v>142</v>
      </c>
      <c r="AY187" s="93">
        <v>140</v>
      </c>
      <c r="AZ187" s="89" t="s">
        <v>94</v>
      </c>
      <c r="BA187" s="89" t="s">
        <v>94</v>
      </c>
      <c r="BB187" s="88" t="s">
        <v>94</v>
      </c>
      <c r="BC187" s="88" t="s">
        <v>94</v>
      </c>
      <c r="BD187" s="96">
        <f t="shared" si="15"/>
        <v>300.34333333333336</v>
      </c>
      <c r="BE187" s="96">
        <f t="shared" si="16"/>
        <v>290.76266666666669</v>
      </c>
      <c r="BF187" s="89">
        <v>4.8600000000000003</v>
      </c>
      <c r="BG187" s="108">
        <v>4.3899999999999997</v>
      </c>
      <c r="BH187" s="63">
        <v>13.8</v>
      </c>
      <c r="BI187" s="108">
        <v>12.5</v>
      </c>
      <c r="BJ187" s="89">
        <v>43.6</v>
      </c>
      <c r="BK187" s="108">
        <v>39.5</v>
      </c>
      <c r="BL187" s="63">
        <v>89.7</v>
      </c>
      <c r="BM187" s="108">
        <v>90</v>
      </c>
      <c r="BN187" s="89">
        <v>28.4</v>
      </c>
      <c r="BO187" s="93">
        <v>28.5</v>
      </c>
      <c r="BP187" s="63">
        <v>31.7</v>
      </c>
      <c r="BQ187" s="93">
        <v>31.6</v>
      </c>
      <c r="BR187" s="108">
        <v>169</v>
      </c>
      <c r="BS187" s="108">
        <v>171</v>
      </c>
      <c r="BT187" s="108">
        <v>12.2</v>
      </c>
      <c r="BU187" s="108">
        <v>12.6</v>
      </c>
      <c r="BV187" s="108">
        <v>1.17</v>
      </c>
      <c r="BW187" s="108">
        <v>1.07</v>
      </c>
      <c r="BX187" s="63">
        <v>5.52</v>
      </c>
      <c r="BY187" s="146">
        <v>8.99</v>
      </c>
      <c r="BZ187" s="89">
        <v>52.9</v>
      </c>
      <c r="CA187" s="108">
        <v>48.4</v>
      </c>
      <c r="CB187" s="63">
        <v>36.6</v>
      </c>
      <c r="CC187" s="93">
        <v>40.299999999999997</v>
      </c>
      <c r="CD187" s="89">
        <v>7.6</v>
      </c>
      <c r="CE187" s="108">
        <v>9.1</v>
      </c>
      <c r="CF187" s="63">
        <v>2.9</v>
      </c>
      <c r="CG187" s="93">
        <v>2.2000000000000002</v>
      </c>
      <c r="CH187" s="89">
        <v>0</v>
      </c>
      <c r="CI187" s="89">
        <v>0</v>
      </c>
      <c r="CJ187" s="86" t="b">
        <f t="shared" si="17"/>
        <v>0</v>
      </c>
      <c r="CK187" s="2" t="b">
        <f t="shared" si="18"/>
        <v>1</v>
      </c>
      <c r="CL187" s="98">
        <f t="shared" si="19"/>
        <v>82.029080000000008</v>
      </c>
      <c r="CM187" s="98">
        <v>90.7</v>
      </c>
      <c r="CN187" s="98">
        <v>191</v>
      </c>
      <c r="CO187" s="86">
        <v>50.01</v>
      </c>
      <c r="CP187" s="98">
        <v>56.5</v>
      </c>
      <c r="CQ187" s="98">
        <v>54.5</v>
      </c>
      <c r="CR187" s="96">
        <v>9.56</v>
      </c>
    </row>
    <row r="188" spans="1:96" ht="15.75" customHeight="1">
      <c r="A188" s="50">
        <v>2018</v>
      </c>
      <c r="B188" s="4" t="s">
        <v>182</v>
      </c>
      <c r="C188" s="105">
        <v>3181</v>
      </c>
      <c r="D188" s="86">
        <v>28</v>
      </c>
      <c r="E188" s="86">
        <v>82</v>
      </c>
      <c r="F188" s="86">
        <v>0</v>
      </c>
      <c r="G188" s="51" t="s">
        <v>89</v>
      </c>
      <c r="H188" s="52" t="s">
        <v>83</v>
      </c>
      <c r="I188" s="53" t="s">
        <v>84</v>
      </c>
      <c r="J188" s="52" t="s">
        <v>88</v>
      </c>
      <c r="K188" s="57">
        <v>54.1666666666667</v>
      </c>
      <c r="L188" s="59">
        <v>45.8333333333333</v>
      </c>
      <c r="M188" s="87">
        <v>197</v>
      </c>
      <c r="N188" s="220">
        <v>1412</v>
      </c>
      <c r="O188" s="88">
        <v>23</v>
      </c>
      <c r="P188" s="95">
        <v>41</v>
      </c>
      <c r="Q188" s="89" t="s">
        <v>94</v>
      </c>
      <c r="R188" s="89" t="s">
        <v>94</v>
      </c>
      <c r="S188" s="88" t="s">
        <v>94</v>
      </c>
      <c r="T188" s="88" t="s">
        <v>94</v>
      </c>
      <c r="U188" s="90">
        <v>34</v>
      </c>
      <c r="V188" s="221">
        <v>75</v>
      </c>
      <c r="W188" s="88">
        <v>4.0999999999999996</v>
      </c>
      <c r="X188" s="95">
        <v>4</v>
      </c>
      <c r="Y188" s="90">
        <v>27</v>
      </c>
      <c r="Z188" s="221">
        <v>48</v>
      </c>
      <c r="AA188" s="88" t="s">
        <v>94</v>
      </c>
      <c r="AB188" s="88" t="s">
        <v>94</v>
      </c>
      <c r="AC188" s="89">
        <v>4.5999999999999996</v>
      </c>
      <c r="AD188" s="108">
        <v>5.2</v>
      </c>
      <c r="AE188" s="102">
        <v>93.8</v>
      </c>
      <c r="AF188" s="103">
        <v>119.3</v>
      </c>
      <c r="AG188" s="89">
        <v>46</v>
      </c>
      <c r="AH188" s="108">
        <v>48</v>
      </c>
      <c r="AI188" s="88">
        <v>1.1000000000000001</v>
      </c>
      <c r="AJ188" s="95">
        <v>1.1000000000000001</v>
      </c>
      <c r="AK188" s="269">
        <f t="shared" si="14"/>
        <v>0</v>
      </c>
      <c r="AL188" s="89" t="s">
        <v>94</v>
      </c>
      <c r="AM188" s="89" t="s">
        <v>94</v>
      </c>
      <c r="AN188" s="63">
        <v>6.9</v>
      </c>
      <c r="AO188" s="93">
        <v>7</v>
      </c>
      <c r="AP188" s="89" t="s">
        <v>94</v>
      </c>
      <c r="AQ188" s="89" t="s">
        <v>94</v>
      </c>
      <c r="AR188" s="89">
        <v>9.4</v>
      </c>
      <c r="AS188" s="108">
        <v>9.1999999999999993</v>
      </c>
      <c r="AT188" s="89">
        <v>4</v>
      </c>
      <c r="AU188" s="108">
        <v>4.3</v>
      </c>
      <c r="AV188" s="67">
        <v>117</v>
      </c>
      <c r="AW188" s="61">
        <v>0</v>
      </c>
      <c r="AX188" s="63">
        <v>141</v>
      </c>
      <c r="AY188" s="93">
        <v>138</v>
      </c>
      <c r="AZ188" s="89" t="s">
        <v>94</v>
      </c>
      <c r="BA188" s="89" t="s">
        <v>94</v>
      </c>
      <c r="BB188" s="88" t="s">
        <v>94</v>
      </c>
      <c r="BC188" s="88" t="s">
        <v>94</v>
      </c>
      <c r="BD188" s="96">
        <f t="shared" si="15"/>
        <v>298.8416666666667</v>
      </c>
      <c r="BE188" s="96">
        <f t="shared" si="16"/>
        <v>286.67800000000005</v>
      </c>
      <c r="BF188" s="89">
        <v>4.87</v>
      </c>
      <c r="BG188" s="108">
        <v>4.6900000000000004</v>
      </c>
      <c r="BH188" s="63">
        <v>14.4</v>
      </c>
      <c r="BI188" s="108">
        <v>14</v>
      </c>
      <c r="BJ188" s="89">
        <v>44.4</v>
      </c>
      <c r="BK188" s="89">
        <v>42.9</v>
      </c>
      <c r="BL188" s="63">
        <v>91.2</v>
      </c>
      <c r="BM188" s="108">
        <v>91.5</v>
      </c>
      <c r="BN188" s="89">
        <v>29.6</v>
      </c>
      <c r="BO188" s="93">
        <v>29.9</v>
      </c>
      <c r="BP188" s="63">
        <v>32.4</v>
      </c>
      <c r="BQ188" s="93">
        <v>32.6</v>
      </c>
      <c r="BR188" s="108">
        <v>220</v>
      </c>
      <c r="BS188" s="108">
        <v>228</v>
      </c>
      <c r="BT188" s="108">
        <v>11.9</v>
      </c>
      <c r="BU188" s="108">
        <v>12.5</v>
      </c>
      <c r="BV188" s="108">
        <v>1.19</v>
      </c>
      <c r="BW188" s="108">
        <v>1.35</v>
      </c>
      <c r="BX188" s="63">
        <v>5.96</v>
      </c>
      <c r="BY188" s="146">
        <v>9.19</v>
      </c>
      <c r="BZ188" s="89">
        <v>70.099999999999994</v>
      </c>
      <c r="CA188" s="108">
        <v>86.8</v>
      </c>
      <c r="CB188" s="63">
        <v>19.600000000000001</v>
      </c>
      <c r="CC188" s="93">
        <v>9</v>
      </c>
      <c r="CD188" s="89">
        <v>8.1</v>
      </c>
      <c r="CE188" s="108">
        <v>4.2</v>
      </c>
      <c r="CF188" s="63">
        <v>2.2000000000000002</v>
      </c>
      <c r="CG188" s="93">
        <v>0</v>
      </c>
      <c r="CH188" s="89">
        <v>0</v>
      </c>
      <c r="CI188" s="89">
        <v>0</v>
      </c>
      <c r="CJ188" s="86" t="b">
        <f t="shared" si="17"/>
        <v>0</v>
      </c>
      <c r="CK188" s="2" t="b">
        <f t="shared" si="18"/>
        <v>1</v>
      </c>
      <c r="CL188" s="98">
        <f t="shared" si="19"/>
        <v>77.353679999999997</v>
      </c>
      <c r="CM188" s="98">
        <v>84.3</v>
      </c>
      <c r="CN188" s="98">
        <v>190</v>
      </c>
      <c r="CO188" s="86">
        <v>51.12</v>
      </c>
      <c r="CP188" s="98">
        <v>54.5</v>
      </c>
      <c r="CQ188" s="98">
        <v>50.5</v>
      </c>
      <c r="CR188" s="96">
        <v>8.24</v>
      </c>
    </row>
    <row r="189" spans="1:96" ht="15.75" customHeight="1">
      <c r="A189" s="50">
        <v>2018</v>
      </c>
      <c r="B189" s="4" t="s">
        <v>182</v>
      </c>
      <c r="C189" s="105">
        <v>3183</v>
      </c>
      <c r="D189" s="86">
        <v>26</v>
      </c>
      <c r="E189" s="86">
        <v>90</v>
      </c>
      <c r="F189" s="86">
        <v>1</v>
      </c>
      <c r="G189" s="51" t="s">
        <v>94</v>
      </c>
      <c r="H189" s="52" t="s">
        <v>94</v>
      </c>
      <c r="I189" s="53" t="s">
        <v>94</v>
      </c>
      <c r="J189" s="52" t="s">
        <v>94</v>
      </c>
      <c r="K189" s="53" t="s">
        <v>94</v>
      </c>
      <c r="L189" s="52" t="s">
        <v>94</v>
      </c>
      <c r="M189" s="87">
        <v>177</v>
      </c>
      <c r="N189" s="220">
        <v>540</v>
      </c>
      <c r="O189" s="88">
        <v>24</v>
      </c>
      <c r="P189" s="95">
        <v>26</v>
      </c>
      <c r="Q189" s="89" t="s">
        <v>94</v>
      </c>
      <c r="R189" s="89" t="s">
        <v>94</v>
      </c>
      <c r="S189" s="88" t="s">
        <v>94</v>
      </c>
      <c r="T189" s="88" t="s">
        <v>94</v>
      </c>
      <c r="U189" s="90">
        <v>25</v>
      </c>
      <c r="V189" s="221">
        <v>34</v>
      </c>
      <c r="W189" s="88">
        <v>4.0999999999999996</v>
      </c>
      <c r="X189" s="95">
        <v>4</v>
      </c>
      <c r="Y189" s="90">
        <v>31</v>
      </c>
      <c r="Z189" s="221">
        <v>37</v>
      </c>
      <c r="AA189" s="88" t="s">
        <v>94</v>
      </c>
      <c r="AB189" s="88" t="s">
        <v>94</v>
      </c>
      <c r="AC189" s="89">
        <v>4.8</v>
      </c>
      <c r="AD189" s="108">
        <v>6.1</v>
      </c>
      <c r="AE189" s="102">
        <v>120</v>
      </c>
      <c r="AF189" s="103">
        <v>124.4</v>
      </c>
      <c r="AG189" s="89">
        <v>30</v>
      </c>
      <c r="AH189" s="108">
        <v>35</v>
      </c>
      <c r="AI189" s="88">
        <v>0.9</v>
      </c>
      <c r="AJ189" s="95">
        <v>1</v>
      </c>
      <c r="AK189" s="269">
        <f t="shared" si="14"/>
        <v>9.9999999999999978E-2</v>
      </c>
      <c r="AL189" s="89" t="s">
        <v>94</v>
      </c>
      <c r="AM189" s="89" t="s">
        <v>94</v>
      </c>
      <c r="AN189" s="63">
        <v>7.1</v>
      </c>
      <c r="AO189" s="63">
        <v>7.1</v>
      </c>
      <c r="AP189" s="89" t="s">
        <v>94</v>
      </c>
      <c r="AQ189" s="89" t="s">
        <v>94</v>
      </c>
      <c r="AR189" s="89">
        <v>9.4</v>
      </c>
      <c r="AS189" s="89">
        <v>9</v>
      </c>
      <c r="AT189" s="89">
        <v>4</v>
      </c>
      <c r="AU189" s="108">
        <v>4</v>
      </c>
      <c r="AV189" s="67">
        <v>94</v>
      </c>
      <c r="AW189" s="61">
        <v>0</v>
      </c>
      <c r="AX189" s="63">
        <v>143</v>
      </c>
      <c r="AY189" s="93">
        <v>441</v>
      </c>
      <c r="AZ189" s="89" t="s">
        <v>94</v>
      </c>
      <c r="BA189" s="89" t="s">
        <v>94</v>
      </c>
      <c r="BB189" s="88" t="s">
        <v>94</v>
      </c>
      <c r="BC189" s="88" t="s">
        <v>94</v>
      </c>
      <c r="BD189" s="96">
        <f t="shared" si="15"/>
        <v>298.42555555555555</v>
      </c>
      <c r="BE189" s="96">
        <f t="shared" si="16"/>
        <v>847.53333333333342</v>
      </c>
      <c r="BF189" s="89">
        <v>4.96</v>
      </c>
      <c r="BG189" s="108">
        <v>4.5</v>
      </c>
      <c r="BH189" s="63">
        <v>14</v>
      </c>
      <c r="BI189" s="63">
        <v>12.8</v>
      </c>
      <c r="BJ189" s="89">
        <v>43.4</v>
      </c>
      <c r="BK189" s="108">
        <v>39.6</v>
      </c>
      <c r="BL189" s="63">
        <v>87.5</v>
      </c>
      <c r="BM189" s="108">
        <v>88</v>
      </c>
      <c r="BN189" s="89">
        <v>28.2</v>
      </c>
      <c r="BO189" s="93">
        <v>28.4</v>
      </c>
      <c r="BP189" s="63">
        <v>32.299999999999997</v>
      </c>
      <c r="BQ189" s="93">
        <v>32.299999999999997</v>
      </c>
      <c r="BR189" s="108">
        <v>252</v>
      </c>
      <c r="BS189" s="108">
        <v>286</v>
      </c>
      <c r="BT189" s="108">
        <v>12.6</v>
      </c>
      <c r="BU189" s="108">
        <v>12.9</v>
      </c>
      <c r="BV189" s="108">
        <v>1.22</v>
      </c>
      <c r="BW189" s="108">
        <v>1.39</v>
      </c>
      <c r="BX189" s="93">
        <v>7.53</v>
      </c>
      <c r="BY189" s="93">
        <v>8.59</v>
      </c>
      <c r="BZ189" s="89">
        <v>61</v>
      </c>
      <c r="CA189" s="108">
        <v>56.7</v>
      </c>
      <c r="CB189" s="63">
        <v>25</v>
      </c>
      <c r="CC189" s="93">
        <v>27.6</v>
      </c>
      <c r="CD189" s="89">
        <v>8.1</v>
      </c>
      <c r="CE189" s="108">
        <v>11.9</v>
      </c>
      <c r="CF189" s="63">
        <v>4.9000000000000004</v>
      </c>
      <c r="CG189" s="93">
        <v>3.8</v>
      </c>
      <c r="CH189" s="89">
        <v>0</v>
      </c>
      <c r="CI189" s="89">
        <v>0</v>
      </c>
      <c r="CJ189" s="86" t="b">
        <f t="shared" si="17"/>
        <v>0</v>
      </c>
      <c r="CK189" s="2" t="b">
        <f t="shared" si="18"/>
        <v>0</v>
      </c>
      <c r="CL189" s="98">
        <f t="shared" si="19"/>
        <v>82.441199999999995</v>
      </c>
      <c r="CM189" s="98">
        <v>92</v>
      </c>
      <c r="CN189" s="98">
        <v>174.4</v>
      </c>
      <c r="CO189" s="86">
        <v>49.71</v>
      </c>
      <c r="CP189" s="98">
        <v>55</v>
      </c>
      <c r="CQ189" s="98">
        <v>55.5</v>
      </c>
      <c r="CR189" s="96">
        <v>10.39</v>
      </c>
    </row>
    <row r="190" spans="1:96" ht="15.75" customHeight="1">
      <c r="A190" s="50">
        <v>2018</v>
      </c>
      <c r="B190" s="4" t="s">
        <v>182</v>
      </c>
      <c r="C190" s="105">
        <v>3187</v>
      </c>
      <c r="D190" s="86">
        <v>25</v>
      </c>
      <c r="E190" s="86">
        <v>85</v>
      </c>
      <c r="F190" s="86">
        <v>1</v>
      </c>
      <c r="G190" s="51" t="s">
        <v>89</v>
      </c>
      <c r="H190" s="52" t="s">
        <v>90</v>
      </c>
      <c r="I190" s="53" t="s">
        <v>87</v>
      </c>
      <c r="J190" s="52" t="s">
        <v>88</v>
      </c>
      <c r="K190" s="53">
        <v>25</v>
      </c>
      <c r="L190" s="52">
        <v>75</v>
      </c>
      <c r="M190" s="87">
        <v>143</v>
      </c>
      <c r="N190" s="220">
        <v>1166</v>
      </c>
      <c r="O190" s="88">
        <v>19</v>
      </c>
      <c r="P190" s="95">
        <v>32</v>
      </c>
      <c r="Q190" s="89" t="s">
        <v>94</v>
      </c>
      <c r="R190" s="89" t="s">
        <v>94</v>
      </c>
      <c r="S190" s="88" t="s">
        <v>94</v>
      </c>
      <c r="T190" s="88" t="s">
        <v>94</v>
      </c>
      <c r="U190" s="90">
        <v>29</v>
      </c>
      <c r="V190" s="221">
        <v>61</v>
      </c>
      <c r="W190" s="88">
        <v>3.9</v>
      </c>
      <c r="X190" s="95">
        <v>4.4000000000000004</v>
      </c>
      <c r="Y190" s="90">
        <v>51</v>
      </c>
      <c r="Z190" s="221">
        <v>57</v>
      </c>
      <c r="AA190" s="88" t="s">
        <v>94</v>
      </c>
      <c r="AB190" s="88" t="s">
        <v>94</v>
      </c>
      <c r="AC190" s="89">
        <v>5.3</v>
      </c>
      <c r="AD190" s="108">
        <v>7.8</v>
      </c>
      <c r="AE190" s="102">
        <v>106.5</v>
      </c>
      <c r="AF190" s="103">
        <v>120.8</v>
      </c>
      <c r="AG190" s="89">
        <v>41</v>
      </c>
      <c r="AH190" s="108">
        <v>52</v>
      </c>
      <c r="AI190" s="88">
        <v>1</v>
      </c>
      <c r="AJ190" s="95">
        <v>1.2</v>
      </c>
      <c r="AK190" s="269">
        <f t="shared" si="14"/>
        <v>0.19999999999999996</v>
      </c>
      <c r="AL190" s="89" t="s">
        <v>94</v>
      </c>
      <c r="AM190" s="89" t="s">
        <v>94</v>
      </c>
      <c r="AN190" s="63">
        <v>7</v>
      </c>
      <c r="AO190" s="93">
        <v>7.6</v>
      </c>
      <c r="AP190" s="89" t="s">
        <v>94</v>
      </c>
      <c r="AQ190" s="89" t="s">
        <v>94</v>
      </c>
      <c r="AR190" s="89">
        <v>9.3000000000000007</v>
      </c>
      <c r="AS190" s="108">
        <v>9.5</v>
      </c>
      <c r="AT190" s="89">
        <v>4.5999999999999996</v>
      </c>
      <c r="AU190" s="108">
        <v>3.7</v>
      </c>
      <c r="AV190" s="219">
        <v>110</v>
      </c>
      <c r="AW190" s="61">
        <v>0</v>
      </c>
      <c r="AX190" s="63">
        <v>143</v>
      </c>
      <c r="AY190" s="93">
        <v>141</v>
      </c>
      <c r="AZ190" s="89" t="s">
        <v>94</v>
      </c>
      <c r="BA190" s="89" t="s">
        <v>94</v>
      </c>
      <c r="BB190" s="88" t="s">
        <v>94</v>
      </c>
      <c r="BC190" s="88" t="s">
        <v>94</v>
      </c>
      <c r="BD190" s="96">
        <f t="shared" si="15"/>
        <v>302.39711111111109</v>
      </c>
      <c r="BE190" s="96">
        <f t="shared" si="16"/>
        <v>291.80866666666668</v>
      </c>
      <c r="BF190" s="89">
        <v>4.59</v>
      </c>
      <c r="BG190" s="108">
        <v>4.6399999999999997</v>
      </c>
      <c r="BH190" s="63">
        <v>13</v>
      </c>
      <c r="BI190" s="108">
        <v>13.2</v>
      </c>
      <c r="BJ190" s="89">
        <v>40.299999999999997</v>
      </c>
      <c r="BK190" s="108">
        <v>39.9</v>
      </c>
      <c r="BL190" s="63">
        <v>87.8</v>
      </c>
      <c r="BM190" s="108">
        <v>86</v>
      </c>
      <c r="BN190" s="89">
        <v>28.3</v>
      </c>
      <c r="BO190" s="93">
        <v>28.4</v>
      </c>
      <c r="BP190" s="63">
        <v>32.299999999999997</v>
      </c>
      <c r="BQ190" s="93">
        <v>33.1</v>
      </c>
      <c r="BR190" s="108">
        <v>286</v>
      </c>
      <c r="BS190" s="89">
        <v>272</v>
      </c>
      <c r="BT190" s="108">
        <v>12.5</v>
      </c>
      <c r="BU190" s="108">
        <v>12.6</v>
      </c>
      <c r="BV190" s="108">
        <v>1.04</v>
      </c>
      <c r="BW190" s="108">
        <v>0.85</v>
      </c>
      <c r="BX190" s="63">
        <v>10.71</v>
      </c>
      <c r="BY190" s="93">
        <v>9.02</v>
      </c>
      <c r="BZ190" s="89">
        <v>74</v>
      </c>
      <c r="CA190" s="108">
        <v>59.4</v>
      </c>
      <c r="CB190" s="63">
        <v>17.2</v>
      </c>
      <c r="CC190" s="93">
        <v>27.4</v>
      </c>
      <c r="CD190" s="89">
        <v>5.8</v>
      </c>
      <c r="CE190" s="108">
        <v>10.4</v>
      </c>
      <c r="CF190" s="63">
        <v>2.9</v>
      </c>
      <c r="CG190" s="93">
        <v>2.8</v>
      </c>
      <c r="CH190" s="89">
        <v>0.1</v>
      </c>
      <c r="CI190" s="89">
        <v>0</v>
      </c>
      <c r="CJ190" s="86" t="b">
        <f t="shared" si="17"/>
        <v>0</v>
      </c>
      <c r="CK190" s="2" t="b">
        <f t="shared" si="18"/>
        <v>1</v>
      </c>
      <c r="CL190" s="98">
        <f t="shared" si="19"/>
        <v>79.512460000000004</v>
      </c>
      <c r="CM190" s="98">
        <v>85.7</v>
      </c>
      <c r="CN190" s="98">
        <v>185</v>
      </c>
      <c r="CO190" s="86">
        <v>52.04</v>
      </c>
      <c r="CP190" s="98">
        <v>50</v>
      </c>
      <c r="CQ190" s="98">
        <v>50</v>
      </c>
      <c r="CR190" s="96">
        <v>7.22</v>
      </c>
    </row>
    <row r="191" spans="1:96" ht="15.75" customHeight="1">
      <c r="A191" s="50">
        <v>2018</v>
      </c>
      <c r="B191" s="4" t="s">
        <v>182</v>
      </c>
      <c r="C191" s="105">
        <v>3189</v>
      </c>
      <c r="D191" s="86">
        <v>28</v>
      </c>
      <c r="E191" s="86">
        <v>77</v>
      </c>
      <c r="F191" s="86">
        <v>2</v>
      </c>
      <c r="G191" s="51" t="s">
        <v>86</v>
      </c>
      <c r="H191" s="52" t="s">
        <v>83</v>
      </c>
      <c r="I191" s="53" t="s">
        <v>84</v>
      </c>
      <c r="J191" s="52" t="s">
        <v>88</v>
      </c>
      <c r="K191" s="53">
        <v>212.5</v>
      </c>
      <c r="L191" s="52">
        <v>-112.5</v>
      </c>
      <c r="M191" s="87">
        <v>87</v>
      </c>
      <c r="N191" s="220">
        <v>434</v>
      </c>
      <c r="O191" s="88">
        <v>17</v>
      </c>
      <c r="P191" s="95">
        <v>25</v>
      </c>
      <c r="Q191" s="89" t="s">
        <v>94</v>
      </c>
      <c r="R191" s="89" t="s">
        <v>94</v>
      </c>
      <c r="S191" s="88" t="s">
        <v>94</v>
      </c>
      <c r="T191" s="88" t="s">
        <v>94</v>
      </c>
      <c r="U191" s="90">
        <v>23</v>
      </c>
      <c r="V191" s="221">
        <v>45</v>
      </c>
      <c r="W191" s="88">
        <v>4.4000000000000004</v>
      </c>
      <c r="X191" s="95">
        <v>4.3</v>
      </c>
      <c r="Y191" s="90">
        <v>39</v>
      </c>
      <c r="Z191" s="221">
        <v>47</v>
      </c>
      <c r="AA191" s="88" t="s">
        <v>94</v>
      </c>
      <c r="AB191" s="88" t="s">
        <v>94</v>
      </c>
      <c r="AC191" s="89">
        <v>6.5</v>
      </c>
      <c r="AD191" s="108">
        <v>8.8000000000000007</v>
      </c>
      <c r="AE191" s="102">
        <v>118.6</v>
      </c>
      <c r="AF191" s="103">
        <v>122.9</v>
      </c>
      <c r="AG191" s="89">
        <v>40</v>
      </c>
      <c r="AH191" s="108">
        <v>55</v>
      </c>
      <c r="AI191" s="88">
        <v>0.9</v>
      </c>
      <c r="AJ191" s="95">
        <v>1</v>
      </c>
      <c r="AK191" s="269">
        <f t="shared" si="14"/>
        <v>9.9999999999999978E-2</v>
      </c>
      <c r="AL191" s="89" t="s">
        <v>94</v>
      </c>
      <c r="AM191" s="89" t="s">
        <v>94</v>
      </c>
      <c r="AN191" s="63">
        <v>7.2</v>
      </c>
      <c r="AO191" s="93">
        <v>7</v>
      </c>
      <c r="AP191" s="89" t="s">
        <v>94</v>
      </c>
      <c r="AQ191" s="89" t="s">
        <v>94</v>
      </c>
      <c r="AR191" s="89">
        <v>9.8000000000000007</v>
      </c>
      <c r="AS191" s="108">
        <v>9.1</v>
      </c>
      <c r="AT191" s="89">
        <v>4.7</v>
      </c>
      <c r="AU191" s="108">
        <v>3.7</v>
      </c>
      <c r="AV191" s="67">
        <v>111</v>
      </c>
      <c r="AW191" s="61">
        <v>0</v>
      </c>
      <c r="AX191" s="63">
        <v>142</v>
      </c>
      <c r="AY191" s="93">
        <v>139</v>
      </c>
      <c r="AZ191" s="89" t="s">
        <v>94</v>
      </c>
      <c r="BA191" s="89" t="s">
        <v>94</v>
      </c>
      <c r="BB191" s="88" t="s">
        <v>94</v>
      </c>
      <c r="BC191" s="88" t="s">
        <v>94</v>
      </c>
      <c r="BD191" s="96">
        <f t="shared" si="15"/>
        <v>300.62033333333329</v>
      </c>
      <c r="BE191" s="96">
        <f t="shared" si="16"/>
        <v>288.58866666666665</v>
      </c>
      <c r="BF191" s="89">
        <v>4.93</v>
      </c>
      <c r="BG191" s="108">
        <v>4.3600000000000003</v>
      </c>
      <c r="BH191" s="63">
        <v>14.8</v>
      </c>
      <c r="BI191" s="108">
        <v>13.1</v>
      </c>
      <c r="BJ191" s="89">
        <v>45.7</v>
      </c>
      <c r="BK191" s="108">
        <v>39.9</v>
      </c>
      <c r="BL191" s="63">
        <v>92.7</v>
      </c>
      <c r="BM191" s="108">
        <v>91.5</v>
      </c>
      <c r="BN191" s="89">
        <v>30</v>
      </c>
      <c r="BO191" s="93">
        <v>30</v>
      </c>
      <c r="BP191" s="63">
        <v>32.4</v>
      </c>
      <c r="BQ191" s="93">
        <v>32.799999999999997</v>
      </c>
      <c r="BR191" s="108">
        <v>208</v>
      </c>
      <c r="BS191" s="108">
        <v>160</v>
      </c>
      <c r="BT191" s="108">
        <v>12.5</v>
      </c>
      <c r="BU191" s="108">
        <v>12.8</v>
      </c>
      <c r="BV191" s="108">
        <v>1.7</v>
      </c>
      <c r="BW191" s="108">
        <v>1.5</v>
      </c>
      <c r="BX191" s="63">
        <v>8.76</v>
      </c>
      <c r="BY191" s="93">
        <v>9.9</v>
      </c>
      <c r="BZ191" s="89">
        <v>71</v>
      </c>
      <c r="CA191" s="108">
        <v>50</v>
      </c>
      <c r="CB191" s="63">
        <v>21</v>
      </c>
      <c r="CC191" s="93">
        <v>40.200000000000003</v>
      </c>
      <c r="CD191" s="89">
        <v>6</v>
      </c>
      <c r="CE191" s="108">
        <v>9</v>
      </c>
      <c r="CF191" s="63">
        <v>1</v>
      </c>
      <c r="CG191" s="93">
        <v>0.8</v>
      </c>
      <c r="CH191" s="89">
        <v>0</v>
      </c>
      <c r="CI191" s="89">
        <v>0</v>
      </c>
      <c r="CJ191" s="86" t="b">
        <f t="shared" si="17"/>
        <v>0</v>
      </c>
      <c r="CK191" s="2" t="b">
        <f t="shared" si="18"/>
        <v>0</v>
      </c>
      <c r="CL191" s="98">
        <f t="shared" si="19"/>
        <v>70.76357999999999</v>
      </c>
      <c r="CM191" s="98">
        <v>78.599999999999994</v>
      </c>
      <c r="CN191" s="98">
        <v>179</v>
      </c>
      <c r="CO191" s="86">
        <v>53.31</v>
      </c>
      <c r="CP191" s="98">
        <v>50</v>
      </c>
      <c r="CQ191" s="98">
        <v>44</v>
      </c>
      <c r="CR191" s="96">
        <v>9.9700000000000006</v>
      </c>
    </row>
    <row r="192" spans="1:96" ht="15.75" customHeight="1">
      <c r="A192" s="50">
        <v>2018</v>
      </c>
      <c r="B192" s="4" t="s">
        <v>182</v>
      </c>
      <c r="C192" s="105">
        <v>3190</v>
      </c>
      <c r="D192" s="86">
        <v>29</v>
      </c>
      <c r="E192" s="86">
        <v>80</v>
      </c>
      <c r="F192" s="86">
        <v>1</v>
      </c>
      <c r="G192" s="51" t="s">
        <v>94</v>
      </c>
      <c r="H192" s="52" t="s">
        <v>94</v>
      </c>
      <c r="I192" s="53" t="s">
        <v>94</v>
      </c>
      <c r="J192" s="52" t="s">
        <v>94</v>
      </c>
      <c r="K192" s="53" t="s">
        <v>94</v>
      </c>
      <c r="L192" s="61" t="s">
        <v>94</v>
      </c>
      <c r="M192" s="87">
        <v>235</v>
      </c>
      <c r="N192" s="220">
        <v>2769</v>
      </c>
      <c r="O192" s="88">
        <v>22</v>
      </c>
      <c r="P192" s="95">
        <v>39</v>
      </c>
      <c r="Q192" s="89" t="s">
        <v>94</v>
      </c>
      <c r="R192" s="89" t="s">
        <v>94</v>
      </c>
      <c r="S192" s="88" t="s">
        <v>94</v>
      </c>
      <c r="T192" s="88" t="s">
        <v>94</v>
      </c>
      <c r="U192" s="90">
        <v>37</v>
      </c>
      <c r="V192" s="221">
        <v>94</v>
      </c>
      <c r="W192" s="88">
        <v>4.4000000000000004</v>
      </c>
      <c r="X192" s="95">
        <v>4.3</v>
      </c>
      <c r="Y192" s="90">
        <v>38</v>
      </c>
      <c r="Z192" s="221">
        <v>55</v>
      </c>
      <c r="AA192" s="88" t="s">
        <v>94</v>
      </c>
      <c r="AB192" s="88" t="s">
        <v>94</v>
      </c>
      <c r="AC192" s="89">
        <v>4.5</v>
      </c>
      <c r="AD192" s="108">
        <v>6.4</v>
      </c>
      <c r="AE192" s="110">
        <v>118.6</v>
      </c>
      <c r="AF192" s="111">
        <v>127.9</v>
      </c>
      <c r="AG192" s="89">
        <v>41</v>
      </c>
      <c r="AH192" s="108">
        <v>52</v>
      </c>
      <c r="AI192" s="88">
        <v>0.9</v>
      </c>
      <c r="AJ192" s="95">
        <v>0.9</v>
      </c>
      <c r="AK192" s="269">
        <f t="shared" si="14"/>
        <v>0</v>
      </c>
      <c r="AL192" s="89" t="s">
        <v>94</v>
      </c>
      <c r="AM192" s="89" t="s">
        <v>94</v>
      </c>
      <c r="AN192" s="63">
        <v>7.1</v>
      </c>
      <c r="AO192" s="93">
        <v>7.3</v>
      </c>
      <c r="AP192" s="89" t="s">
        <v>94</v>
      </c>
      <c r="AQ192" s="89" t="s">
        <v>94</v>
      </c>
      <c r="AR192" s="89">
        <v>9.6999999999999993</v>
      </c>
      <c r="AS192" s="108">
        <v>9.1999999999999993</v>
      </c>
      <c r="AT192" s="89">
        <v>4</v>
      </c>
      <c r="AU192" s="108">
        <v>4</v>
      </c>
      <c r="AV192" s="67">
        <v>87</v>
      </c>
      <c r="AW192" s="61">
        <v>87</v>
      </c>
      <c r="AX192" s="63">
        <v>142</v>
      </c>
      <c r="AY192" s="93">
        <v>145</v>
      </c>
      <c r="AZ192" s="89" t="s">
        <v>94</v>
      </c>
      <c r="BA192" s="89" t="s">
        <v>94</v>
      </c>
      <c r="BB192" s="88" t="s">
        <v>94</v>
      </c>
      <c r="BC192" s="88" t="s">
        <v>94</v>
      </c>
      <c r="BD192" s="96">
        <f t="shared" si="15"/>
        <v>297.95166666666665</v>
      </c>
      <c r="BE192" s="96">
        <f t="shared" si="16"/>
        <v>305.36500000000001</v>
      </c>
      <c r="BF192" s="89">
        <v>4.8899999999999997</v>
      </c>
      <c r="BG192" s="108">
        <v>4.49</v>
      </c>
      <c r="BH192" s="63">
        <v>14.1</v>
      </c>
      <c r="BI192" s="108">
        <v>13</v>
      </c>
      <c r="BJ192" s="89">
        <v>44.6</v>
      </c>
      <c r="BK192" s="108">
        <v>41.2</v>
      </c>
      <c r="BL192" s="63">
        <v>91.2</v>
      </c>
      <c r="BM192" s="108">
        <v>91.8</v>
      </c>
      <c r="BN192" s="89">
        <v>28.8</v>
      </c>
      <c r="BO192" s="93">
        <v>29</v>
      </c>
      <c r="BP192" s="63">
        <v>31.6</v>
      </c>
      <c r="BQ192" s="93">
        <v>31.6</v>
      </c>
      <c r="BR192" s="108">
        <v>242</v>
      </c>
      <c r="BS192" s="108">
        <v>220</v>
      </c>
      <c r="BT192" s="108">
        <v>13.4</v>
      </c>
      <c r="BU192" s="108">
        <v>14</v>
      </c>
      <c r="BV192" s="108">
        <v>1.1399999999999999</v>
      </c>
      <c r="BW192" s="108">
        <v>0.8</v>
      </c>
      <c r="BX192" s="63">
        <v>6.81</v>
      </c>
      <c r="BY192" s="93">
        <v>7.46</v>
      </c>
      <c r="BZ192" s="89">
        <v>72</v>
      </c>
      <c r="CA192" s="108">
        <v>62.5</v>
      </c>
      <c r="CB192" s="63">
        <v>22</v>
      </c>
      <c r="CC192" s="93">
        <v>27.2</v>
      </c>
      <c r="CD192" s="89">
        <v>5</v>
      </c>
      <c r="CE192" s="108">
        <v>9.1</v>
      </c>
      <c r="CF192" s="63">
        <v>1</v>
      </c>
      <c r="CG192" s="93">
        <v>1.2</v>
      </c>
      <c r="CH192" s="89">
        <v>0</v>
      </c>
      <c r="CI192" s="89">
        <v>0</v>
      </c>
      <c r="CJ192" s="86" t="b">
        <f t="shared" si="17"/>
        <v>0</v>
      </c>
      <c r="CK192" s="2" t="b">
        <f t="shared" si="18"/>
        <v>1</v>
      </c>
      <c r="CL192" s="98">
        <f t="shared" si="19"/>
        <v>72.151949999999999</v>
      </c>
      <c r="CM192" s="98">
        <v>81.5</v>
      </c>
      <c r="CN192" s="98">
        <v>175</v>
      </c>
      <c r="CO192" s="86">
        <v>51.49</v>
      </c>
      <c r="CP192" s="98">
        <v>49.5</v>
      </c>
      <c r="CQ192" s="98">
        <v>41</v>
      </c>
      <c r="CR192" s="96">
        <v>11.47</v>
      </c>
    </row>
    <row r="193" spans="1:96" ht="15.75" customHeight="1">
      <c r="A193" s="50">
        <v>2018</v>
      </c>
      <c r="B193" s="4" t="s">
        <v>182</v>
      </c>
      <c r="C193" s="105">
        <v>3193</v>
      </c>
      <c r="D193" s="86">
        <v>29</v>
      </c>
      <c r="E193" s="86">
        <v>83</v>
      </c>
      <c r="F193" s="86">
        <v>0</v>
      </c>
      <c r="G193" s="302" t="s">
        <v>94</v>
      </c>
      <c r="H193" s="62" t="s">
        <v>94</v>
      </c>
      <c r="I193" s="62" t="s">
        <v>94</v>
      </c>
      <c r="J193" s="62" t="s">
        <v>94</v>
      </c>
      <c r="K193" s="62" t="s">
        <v>94</v>
      </c>
      <c r="L193" s="62" t="s">
        <v>94</v>
      </c>
      <c r="M193" s="87">
        <v>87</v>
      </c>
      <c r="N193" s="220">
        <v>780</v>
      </c>
      <c r="O193" s="88">
        <v>19</v>
      </c>
      <c r="P193" s="95">
        <v>226</v>
      </c>
      <c r="Q193" s="89" t="s">
        <v>94</v>
      </c>
      <c r="R193" s="89" t="s">
        <v>94</v>
      </c>
      <c r="S193" s="88" t="s">
        <v>94</v>
      </c>
      <c r="T193" s="88" t="s">
        <v>94</v>
      </c>
      <c r="U193" s="90">
        <v>21</v>
      </c>
      <c r="V193" s="221">
        <v>36</v>
      </c>
      <c r="W193" s="88">
        <v>4.4000000000000004</v>
      </c>
      <c r="X193" s="88">
        <v>3.9</v>
      </c>
      <c r="Y193" s="90">
        <v>25</v>
      </c>
      <c r="Z193" s="221">
        <v>38</v>
      </c>
      <c r="AA193" s="88" t="s">
        <v>94</v>
      </c>
      <c r="AB193" s="88" t="s">
        <v>94</v>
      </c>
      <c r="AC193" s="89">
        <v>5.7</v>
      </c>
      <c r="AD193" s="108">
        <v>6.7</v>
      </c>
      <c r="AE193" s="91">
        <v>103.8</v>
      </c>
      <c r="AF193" s="92">
        <v>122.1</v>
      </c>
      <c r="AG193" s="89">
        <v>38</v>
      </c>
      <c r="AH193" s="89">
        <v>36</v>
      </c>
      <c r="AI193" s="88">
        <v>1</v>
      </c>
      <c r="AJ193" s="95">
        <v>0.9</v>
      </c>
      <c r="AK193" s="269">
        <f t="shared" si="14"/>
        <v>0</v>
      </c>
      <c r="AL193" s="89" t="s">
        <v>94</v>
      </c>
      <c r="AM193" s="89" t="s">
        <v>94</v>
      </c>
      <c r="AN193" s="63">
        <v>7.2</v>
      </c>
      <c r="AO193" s="93">
        <v>6.8</v>
      </c>
      <c r="AP193" s="89" t="s">
        <v>94</v>
      </c>
      <c r="AQ193" s="89" t="s">
        <v>94</v>
      </c>
      <c r="AR193" s="89">
        <v>9.6999999999999993</v>
      </c>
      <c r="AS193" s="108">
        <v>9</v>
      </c>
      <c r="AT193" s="89">
        <v>4.8</v>
      </c>
      <c r="AU193" s="108">
        <v>4.0999999999999996</v>
      </c>
      <c r="AV193" s="67">
        <v>121</v>
      </c>
      <c r="AW193" s="61">
        <v>88</v>
      </c>
      <c r="AX193" s="63">
        <v>144</v>
      </c>
      <c r="AY193" s="63">
        <v>138</v>
      </c>
      <c r="AZ193" s="89" t="s">
        <v>94</v>
      </c>
      <c r="BA193" s="89" t="s">
        <v>94</v>
      </c>
      <c r="BB193" s="88" t="s">
        <v>94</v>
      </c>
      <c r="BC193" s="88" t="s">
        <v>94</v>
      </c>
      <c r="BD193" s="96">
        <f t="shared" si="15"/>
        <v>304.8318888888889</v>
      </c>
      <c r="BE193" s="96">
        <f t="shared" si="16"/>
        <v>289.92822222222219</v>
      </c>
      <c r="BF193" s="89">
        <v>4.74</v>
      </c>
      <c r="BG193" s="108">
        <v>3.85</v>
      </c>
      <c r="BH193" s="63">
        <v>13.8</v>
      </c>
      <c r="BI193" s="108">
        <v>11.3</v>
      </c>
      <c r="BJ193" s="89">
        <v>42.4</v>
      </c>
      <c r="BK193" s="108">
        <v>34.4</v>
      </c>
      <c r="BL193" s="63">
        <v>89.5</v>
      </c>
      <c r="BM193" s="108">
        <v>89.4</v>
      </c>
      <c r="BN193" s="89">
        <v>29.1</v>
      </c>
      <c r="BO193" s="89">
        <v>29.4</v>
      </c>
      <c r="BP193" s="63">
        <v>32.5</v>
      </c>
      <c r="BQ193" s="93">
        <v>32.799999999999997</v>
      </c>
      <c r="BR193" s="108">
        <v>286</v>
      </c>
      <c r="BS193" s="108">
        <v>255</v>
      </c>
      <c r="BT193" s="108">
        <v>12.2</v>
      </c>
      <c r="BU193" s="108">
        <v>12.7</v>
      </c>
      <c r="BV193" s="108">
        <v>1.1399999999999999</v>
      </c>
      <c r="BW193" s="108">
        <v>0.89</v>
      </c>
      <c r="BX193" s="63">
        <v>8.08</v>
      </c>
      <c r="BY193" s="93">
        <v>7.82</v>
      </c>
      <c r="BZ193" s="89">
        <v>67.3</v>
      </c>
      <c r="CA193" s="108">
        <v>58.9</v>
      </c>
      <c r="CB193" s="63">
        <v>25.1</v>
      </c>
      <c r="CC193" s="93">
        <v>30.1</v>
      </c>
      <c r="CD193" s="89">
        <v>6.6</v>
      </c>
      <c r="CE193" s="108">
        <v>10</v>
      </c>
      <c r="CF193" s="63">
        <v>1</v>
      </c>
      <c r="CG193" s="93">
        <v>1</v>
      </c>
      <c r="CH193" s="89">
        <v>0</v>
      </c>
      <c r="CI193" s="89">
        <v>0</v>
      </c>
      <c r="CJ193" s="86" t="b">
        <f t="shared" si="17"/>
        <v>0</v>
      </c>
      <c r="CK193" s="2" t="b">
        <f t="shared" si="18"/>
        <v>0</v>
      </c>
      <c r="CL193" s="98">
        <f t="shared" si="19"/>
        <v>72.809100000000001</v>
      </c>
      <c r="CM193" s="98">
        <v>81.900000000000006</v>
      </c>
      <c r="CN193" s="98">
        <v>180.5</v>
      </c>
      <c r="CO193" s="86">
        <v>51.93</v>
      </c>
      <c r="CP193" s="98">
        <v>44.5</v>
      </c>
      <c r="CQ193" s="98">
        <v>46.5</v>
      </c>
      <c r="CR193" s="99">
        <v>11.1</v>
      </c>
    </row>
    <row r="194" spans="1:96" ht="15.75" customHeight="1">
      <c r="A194" s="50">
        <v>2018</v>
      </c>
      <c r="B194" s="4" t="s">
        <v>182</v>
      </c>
      <c r="C194" s="105">
        <v>3194</v>
      </c>
      <c r="D194" s="86">
        <v>28</v>
      </c>
      <c r="E194" s="86">
        <v>81</v>
      </c>
      <c r="F194" s="86">
        <v>1</v>
      </c>
      <c r="G194" s="302" t="s">
        <v>94</v>
      </c>
      <c r="H194" s="62" t="s">
        <v>94</v>
      </c>
      <c r="I194" s="62" t="s">
        <v>94</v>
      </c>
      <c r="J194" s="62" t="s">
        <v>94</v>
      </c>
      <c r="K194" s="62" t="s">
        <v>94</v>
      </c>
      <c r="L194" s="62" t="s">
        <v>94</v>
      </c>
      <c r="M194" s="87">
        <v>136</v>
      </c>
      <c r="N194" s="220">
        <v>2000</v>
      </c>
      <c r="O194" s="88">
        <v>19</v>
      </c>
      <c r="P194" s="95">
        <v>48</v>
      </c>
      <c r="Q194" s="89" t="s">
        <v>94</v>
      </c>
      <c r="R194" s="89" t="s">
        <v>94</v>
      </c>
      <c r="S194" s="88" t="s">
        <v>94</v>
      </c>
      <c r="T194" s="88" t="s">
        <v>94</v>
      </c>
      <c r="U194" s="90">
        <v>26</v>
      </c>
      <c r="V194" s="221">
        <v>111</v>
      </c>
      <c r="W194" s="88">
        <v>4.3</v>
      </c>
      <c r="X194" s="88">
        <v>4.0999999999999996</v>
      </c>
      <c r="Y194" s="90">
        <v>19</v>
      </c>
      <c r="Z194" s="221">
        <v>40</v>
      </c>
      <c r="AA194" s="88" t="s">
        <v>94</v>
      </c>
      <c r="AB194" s="88" t="s">
        <v>94</v>
      </c>
      <c r="AC194" s="89">
        <v>7.3</v>
      </c>
      <c r="AD194" s="108">
        <v>7</v>
      </c>
      <c r="AE194" s="102">
        <v>93.2</v>
      </c>
      <c r="AF194" s="103">
        <v>122.9</v>
      </c>
      <c r="AG194" s="89">
        <v>28</v>
      </c>
      <c r="AH194" s="108">
        <v>33</v>
      </c>
      <c r="AI194" s="88">
        <v>1.1000000000000001</v>
      </c>
      <c r="AJ194" s="95">
        <v>0.9</v>
      </c>
      <c r="AK194" s="269">
        <f t="shared" ref="AK194:AK257" si="20">IFERROR(IF((AJ194-AI194)&lt;0,0,(AJ194-AI194)),"Dados Insuficientes")</f>
        <v>0</v>
      </c>
      <c r="AL194" s="89" t="s">
        <v>94</v>
      </c>
      <c r="AM194" s="89" t="s">
        <v>94</v>
      </c>
      <c r="AN194" s="63">
        <v>7.5</v>
      </c>
      <c r="AO194" s="93">
        <v>7.1</v>
      </c>
      <c r="AP194" s="89" t="s">
        <v>94</v>
      </c>
      <c r="AQ194" s="89" t="s">
        <v>94</v>
      </c>
      <c r="AR194" s="89">
        <v>9.9</v>
      </c>
      <c r="AS194" s="108">
        <v>9.1</v>
      </c>
      <c r="AT194" s="89">
        <v>4.9000000000000004</v>
      </c>
      <c r="AU194" s="108">
        <v>4.2</v>
      </c>
      <c r="AV194" s="67">
        <v>142</v>
      </c>
      <c r="AW194" s="61">
        <v>54</v>
      </c>
      <c r="AX194" s="63">
        <v>142</v>
      </c>
      <c r="AY194" s="108">
        <v>139</v>
      </c>
      <c r="AZ194" s="89" t="s">
        <v>94</v>
      </c>
      <c r="BA194" s="89" t="s">
        <v>94</v>
      </c>
      <c r="BB194" s="88" t="s">
        <v>94</v>
      </c>
      <c r="BC194" s="88" t="s">
        <v>94</v>
      </c>
      <c r="BD194" s="96">
        <f t="shared" ref="BD194:BD257" si="21">1.86*(AX194+AT194)+1.15*(AV194/18)+(AG194/6)+14</f>
        <v>300.97288888888892</v>
      </c>
      <c r="BE194" s="96">
        <f t="shared" ref="BE194:BE257" si="22">1.86*(AY194+AU194)+1.15*(AW194/18)+(AH194/6)+14</f>
        <v>289.30199999999996</v>
      </c>
      <c r="BF194" s="89">
        <v>4.9400000000000004</v>
      </c>
      <c r="BG194" s="108">
        <v>4.08</v>
      </c>
      <c r="BH194" s="63">
        <v>13.7</v>
      </c>
      <c r="BI194" s="108">
        <v>11.6</v>
      </c>
      <c r="BJ194" s="89">
        <v>43.3</v>
      </c>
      <c r="BK194" s="108">
        <v>35.9</v>
      </c>
      <c r="BL194" s="63">
        <v>87.7</v>
      </c>
      <c r="BM194" s="108">
        <v>88</v>
      </c>
      <c r="BN194" s="108">
        <v>27.7</v>
      </c>
      <c r="BO194" s="108">
        <v>28.4</v>
      </c>
      <c r="BP194" s="93">
        <v>31.6</v>
      </c>
      <c r="BQ194" s="93">
        <v>32.299999999999997</v>
      </c>
      <c r="BR194" s="108">
        <v>289</v>
      </c>
      <c r="BS194" s="108">
        <v>249</v>
      </c>
      <c r="BT194" s="108">
        <v>13.2</v>
      </c>
      <c r="BU194" s="63">
        <v>13.5</v>
      </c>
      <c r="BV194" s="108">
        <v>1.19</v>
      </c>
      <c r="BW194" s="108">
        <v>1.18</v>
      </c>
      <c r="BX194" s="63">
        <v>6</v>
      </c>
      <c r="BY194" s="93">
        <v>5.82</v>
      </c>
      <c r="BZ194" s="89">
        <v>71.7</v>
      </c>
      <c r="CA194" s="108">
        <v>57.3</v>
      </c>
      <c r="CB194" s="63">
        <v>19.8</v>
      </c>
      <c r="CC194" s="93">
        <v>29.6</v>
      </c>
      <c r="CD194" s="89">
        <v>8</v>
      </c>
      <c r="CE194" s="108">
        <v>12.9</v>
      </c>
      <c r="CF194" s="63">
        <v>0.5</v>
      </c>
      <c r="CG194" s="93">
        <v>0.2</v>
      </c>
      <c r="CH194" s="89">
        <v>0</v>
      </c>
      <c r="CI194" s="89">
        <v>0</v>
      </c>
      <c r="CJ194" s="86" t="b">
        <f t="shared" ref="CJ194:CJ257" si="23">(AJ194-AI194)&gt;=0.3</f>
        <v>0</v>
      </c>
      <c r="CK194" s="2" t="b">
        <f t="shared" ref="CK194:CK257" si="24">OR(N194&gt;=1000,M194&gt;=1000)</f>
        <v>1</v>
      </c>
      <c r="CL194" s="98">
        <f t="shared" si="19"/>
        <v>71.943809999999999</v>
      </c>
      <c r="CM194" s="98">
        <v>81.099999999999994</v>
      </c>
      <c r="CN194" s="98">
        <v>178</v>
      </c>
      <c r="CO194" s="86">
        <v>51.6</v>
      </c>
      <c r="CP194" s="98">
        <v>45.5</v>
      </c>
      <c r="CQ194" s="98">
        <v>43</v>
      </c>
      <c r="CR194" s="96">
        <v>11.29</v>
      </c>
    </row>
    <row r="195" spans="1:96" ht="15.75" customHeight="1">
      <c r="A195" s="50">
        <v>2018</v>
      </c>
      <c r="B195" s="4" t="s">
        <v>182</v>
      </c>
      <c r="C195" s="105">
        <v>3195</v>
      </c>
      <c r="D195" s="86">
        <v>26</v>
      </c>
      <c r="E195" s="86">
        <v>68</v>
      </c>
      <c r="F195" s="86">
        <v>1</v>
      </c>
      <c r="G195" s="302" t="s">
        <v>94</v>
      </c>
      <c r="H195" s="62" t="s">
        <v>94</v>
      </c>
      <c r="I195" s="62" t="s">
        <v>94</v>
      </c>
      <c r="J195" s="62" t="s">
        <v>94</v>
      </c>
      <c r="K195" s="62" t="s">
        <v>94</v>
      </c>
      <c r="L195" s="62" t="s">
        <v>94</v>
      </c>
      <c r="M195" s="87">
        <v>96</v>
      </c>
      <c r="N195" s="220">
        <v>1249</v>
      </c>
      <c r="O195" s="88">
        <v>16</v>
      </c>
      <c r="P195" s="95">
        <v>30</v>
      </c>
      <c r="Q195" s="89" t="s">
        <v>94</v>
      </c>
      <c r="R195" s="89" t="s">
        <v>94</v>
      </c>
      <c r="S195" s="88" t="s">
        <v>94</v>
      </c>
      <c r="T195" s="88" t="s">
        <v>94</v>
      </c>
      <c r="U195" s="90">
        <v>29</v>
      </c>
      <c r="V195" s="221">
        <v>70</v>
      </c>
      <c r="W195" s="88">
        <v>4.5999999999999996</v>
      </c>
      <c r="X195" s="88">
        <v>4.3</v>
      </c>
      <c r="Y195" s="90">
        <v>47</v>
      </c>
      <c r="Z195" s="221">
        <v>44</v>
      </c>
      <c r="AA195" s="88" t="s">
        <v>94</v>
      </c>
      <c r="AB195" s="88" t="s">
        <v>94</v>
      </c>
      <c r="AC195" s="89">
        <v>6.6</v>
      </c>
      <c r="AD195" s="108">
        <v>5.8</v>
      </c>
      <c r="AE195" s="102">
        <v>125.2</v>
      </c>
      <c r="AF195" s="103">
        <v>130.30000000000001</v>
      </c>
      <c r="AG195" s="89">
        <v>41</v>
      </c>
      <c r="AH195" s="108">
        <v>46</v>
      </c>
      <c r="AI195" s="88">
        <v>0.8</v>
      </c>
      <c r="AJ195" s="95">
        <v>0.8</v>
      </c>
      <c r="AK195" s="269">
        <f t="shared" si="20"/>
        <v>0</v>
      </c>
      <c r="AL195" s="89" t="s">
        <v>94</v>
      </c>
      <c r="AM195" s="89" t="s">
        <v>94</v>
      </c>
      <c r="AN195" s="63">
        <v>7.5</v>
      </c>
      <c r="AO195" s="93">
        <v>7.2</v>
      </c>
      <c r="AP195" s="89" t="s">
        <v>94</v>
      </c>
      <c r="AQ195" s="89" t="s">
        <v>94</v>
      </c>
      <c r="AR195" s="89">
        <v>10</v>
      </c>
      <c r="AS195" s="108">
        <v>9.1</v>
      </c>
      <c r="AT195" s="89">
        <v>4.3</v>
      </c>
      <c r="AU195" s="108">
        <v>3.5</v>
      </c>
      <c r="AV195" s="67">
        <v>121</v>
      </c>
      <c r="AW195" s="61">
        <v>84</v>
      </c>
      <c r="AX195" s="63">
        <v>144</v>
      </c>
      <c r="AY195" s="63">
        <v>140</v>
      </c>
      <c r="AZ195" s="89" t="s">
        <v>94</v>
      </c>
      <c r="BA195" s="89" t="s">
        <v>94</v>
      </c>
      <c r="BB195" s="88" t="s">
        <v>94</v>
      </c>
      <c r="BC195" s="88" t="s">
        <v>94</v>
      </c>
      <c r="BD195" s="96">
        <f t="shared" si="21"/>
        <v>304.40188888888889</v>
      </c>
      <c r="BE195" s="96">
        <f t="shared" si="22"/>
        <v>293.94333333333338</v>
      </c>
      <c r="BF195" s="89">
        <v>4.79</v>
      </c>
      <c r="BG195" s="108">
        <v>4.5</v>
      </c>
      <c r="BH195" s="63">
        <v>14.3</v>
      </c>
      <c r="BI195" s="108">
        <v>13.7</v>
      </c>
      <c r="BJ195" s="89">
        <v>44.3</v>
      </c>
      <c r="BK195" s="108">
        <v>41.1</v>
      </c>
      <c r="BL195" s="63">
        <v>92.5</v>
      </c>
      <c r="BM195" s="108">
        <v>91.3</v>
      </c>
      <c r="BN195" s="89">
        <v>29.9</v>
      </c>
      <c r="BO195" s="108">
        <v>30.4</v>
      </c>
      <c r="BP195" s="63">
        <v>32.299999999999997</v>
      </c>
      <c r="BQ195" s="93">
        <v>33.299999999999997</v>
      </c>
      <c r="BR195" s="108">
        <v>257</v>
      </c>
      <c r="BS195" s="108">
        <v>249</v>
      </c>
      <c r="BT195" s="108">
        <v>12.3</v>
      </c>
      <c r="BU195" s="108">
        <v>12.6</v>
      </c>
      <c r="BV195" s="108">
        <v>0.92</v>
      </c>
      <c r="BW195" s="108">
        <v>1.1100000000000001</v>
      </c>
      <c r="BX195" s="63">
        <v>7.55</v>
      </c>
      <c r="BY195" s="93">
        <v>8.6999999999999993</v>
      </c>
      <c r="BZ195" s="89">
        <v>68.3</v>
      </c>
      <c r="CA195" s="108">
        <v>52.1</v>
      </c>
      <c r="CB195" s="63">
        <v>24.4</v>
      </c>
      <c r="CC195" s="93">
        <v>35.5</v>
      </c>
      <c r="CD195" s="89">
        <v>6.5</v>
      </c>
      <c r="CE195" s="108">
        <v>10.8</v>
      </c>
      <c r="CF195" s="63">
        <v>0.8</v>
      </c>
      <c r="CG195" s="93">
        <v>1.6</v>
      </c>
      <c r="CH195" s="89">
        <v>0</v>
      </c>
      <c r="CI195" s="89">
        <v>0</v>
      </c>
      <c r="CJ195" s="86" t="b">
        <f t="shared" si="23"/>
        <v>0</v>
      </c>
      <c r="CK195" s="2" t="b">
        <f t="shared" si="24"/>
        <v>1</v>
      </c>
      <c r="CL195" s="98">
        <f t="shared" si="19"/>
        <v>62.5396</v>
      </c>
      <c r="CM195" s="98">
        <v>68</v>
      </c>
      <c r="CN195" s="98">
        <v>173</v>
      </c>
      <c r="CO195" s="86">
        <v>55.9</v>
      </c>
      <c r="CP195" s="98">
        <v>39</v>
      </c>
      <c r="CQ195" s="98">
        <v>39</v>
      </c>
      <c r="CR195" s="96">
        <v>8.0299999999999994</v>
      </c>
    </row>
    <row r="196" spans="1:96" ht="15.75" customHeight="1">
      <c r="A196" s="50">
        <v>2018</v>
      </c>
      <c r="B196" s="4" t="s">
        <v>182</v>
      </c>
      <c r="C196" s="105">
        <v>3196</v>
      </c>
      <c r="D196" s="86">
        <v>27</v>
      </c>
      <c r="E196" s="86">
        <v>80</v>
      </c>
      <c r="F196" s="86">
        <v>1</v>
      </c>
      <c r="G196" s="302" t="s">
        <v>94</v>
      </c>
      <c r="H196" s="62" t="s">
        <v>94</v>
      </c>
      <c r="I196" s="62" t="s">
        <v>94</v>
      </c>
      <c r="J196" s="62" t="s">
        <v>94</v>
      </c>
      <c r="K196" s="62" t="s">
        <v>94</v>
      </c>
      <c r="L196" s="62" t="s">
        <v>94</v>
      </c>
      <c r="M196" s="87">
        <v>165</v>
      </c>
      <c r="N196" s="220">
        <v>1013</v>
      </c>
      <c r="O196" s="88">
        <v>20</v>
      </c>
      <c r="P196" s="95">
        <v>30</v>
      </c>
      <c r="Q196" s="89" t="s">
        <v>94</v>
      </c>
      <c r="R196" s="89" t="s">
        <v>94</v>
      </c>
      <c r="S196" s="88" t="s">
        <v>94</v>
      </c>
      <c r="T196" s="88" t="s">
        <v>94</v>
      </c>
      <c r="U196" s="90">
        <v>29</v>
      </c>
      <c r="V196" s="221">
        <v>53</v>
      </c>
      <c r="W196" s="88">
        <v>4.5</v>
      </c>
      <c r="X196" s="95">
        <v>4.3</v>
      </c>
      <c r="Y196" s="90">
        <v>45</v>
      </c>
      <c r="Z196" s="221">
        <v>60</v>
      </c>
      <c r="AA196" s="88" t="s">
        <v>94</v>
      </c>
      <c r="AB196" s="88" t="s">
        <v>94</v>
      </c>
      <c r="AC196" s="89">
        <v>7.2</v>
      </c>
      <c r="AD196" s="108">
        <v>7.6</v>
      </c>
      <c r="AE196" s="161">
        <v>84.5</v>
      </c>
      <c r="AF196" s="162">
        <v>93.8</v>
      </c>
      <c r="AG196" s="89">
        <v>42</v>
      </c>
      <c r="AH196" s="108">
        <v>48</v>
      </c>
      <c r="AI196" s="88">
        <v>1.2</v>
      </c>
      <c r="AJ196" s="95">
        <v>1</v>
      </c>
      <c r="AK196" s="269">
        <f t="shared" si="20"/>
        <v>0</v>
      </c>
      <c r="AL196" s="89" t="s">
        <v>94</v>
      </c>
      <c r="AM196" s="89" t="s">
        <v>94</v>
      </c>
      <c r="AN196" s="63">
        <v>7.4</v>
      </c>
      <c r="AO196" s="93">
        <v>7.4</v>
      </c>
      <c r="AP196" s="89" t="s">
        <v>94</v>
      </c>
      <c r="AQ196" s="89" t="s">
        <v>94</v>
      </c>
      <c r="AR196" s="89">
        <v>9.9</v>
      </c>
      <c r="AS196" s="108">
        <v>9.1999999999999993</v>
      </c>
      <c r="AT196" s="89">
        <v>4.8</v>
      </c>
      <c r="AU196" s="108">
        <v>4</v>
      </c>
      <c r="AV196" s="67">
        <v>100</v>
      </c>
      <c r="AW196" s="61">
        <v>94</v>
      </c>
      <c r="AX196" s="63">
        <v>142</v>
      </c>
      <c r="AY196" s="63">
        <v>140</v>
      </c>
      <c r="AZ196" s="89" t="s">
        <v>94</v>
      </c>
      <c r="BA196" s="89" t="s">
        <v>94</v>
      </c>
      <c r="BB196" s="88" t="s">
        <v>94</v>
      </c>
      <c r="BC196" s="88" t="s">
        <v>94</v>
      </c>
      <c r="BD196" s="96">
        <f t="shared" si="21"/>
        <v>300.43688888888897</v>
      </c>
      <c r="BE196" s="96">
        <f t="shared" si="22"/>
        <v>295.84555555555556</v>
      </c>
      <c r="BF196" s="89">
        <v>5.68</v>
      </c>
      <c r="BG196" s="108">
        <v>5.29</v>
      </c>
      <c r="BH196" s="63">
        <v>15</v>
      </c>
      <c r="BI196" s="108">
        <v>14</v>
      </c>
      <c r="BJ196" s="89">
        <v>46.9</v>
      </c>
      <c r="BK196" s="108">
        <v>43</v>
      </c>
      <c r="BL196" s="63">
        <v>82.6</v>
      </c>
      <c r="BM196" s="63">
        <v>81.3</v>
      </c>
      <c r="BN196" s="89">
        <v>26.4</v>
      </c>
      <c r="BO196" s="108">
        <v>26.5</v>
      </c>
      <c r="BP196" s="63">
        <v>32</v>
      </c>
      <c r="BQ196" s="93">
        <v>32.6</v>
      </c>
      <c r="BR196" s="108">
        <v>297</v>
      </c>
      <c r="BS196" s="108">
        <v>94</v>
      </c>
      <c r="BT196" s="89">
        <v>12.5</v>
      </c>
      <c r="BU196" s="108">
        <v>12.4</v>
      </c>
      <c r="BV196" s="108">
        <v>0.87</v>
      </c>
      <c r="BW196" s="108">
        <v>0.87</v>
      </c>
      <c r="BX196" s="63">
        <v>7.45</v>
      </c>
      <c r="BY196" s="93">
        <v>7.64</v>
      </c>
      <c r="BZ196" s="89">
        <v>71.7</v>
      </c>
      <c r="CA196" s="108">
        <v>43.1</v>
      </c>
      <c r="CB196" s="63">
        <v>20.399999999999999</v>
      </c>
      <c r="CC196" s="93">
        <v>44.6</v>
      </c>
      <c r="CD196" s="89">
        <v>6.6</v>
      </c>
      <c r="CE196" s="108">
        <v>9.6</v>
      </c>
      <c r="CF196" s="63">
        <v>1.3</v>
      </c>
      <c r="CG196" s="93">
        <v>2.7</v>
      </c>
      <c r="CH196" s="89">
        <v>0</v>
      </c>
      <c r="CI196" s="89">
        <v>0</v>
      </c>
      <c r="CJ196" s="86" t="b">
        <f t="shared" si="23"/>
        <v>0</v>
      </c>
      <c r="CK196" s="2" t="b">
        <f t="shared" si="24"/>
        <v>1</v>
      </c>
      <c r="CL196" s="98">
        <f t="shared" si="19"/>
        <v>70.30368</v>
      </c>
      <c r="CM196" s="98">
        <v>82.4</v>
      </c>
      <c r="CN196" s="98">
        <v>168</v>
      </c>
      <c r="CO196" s="86">
        <v>50.7</v>
      </c>
      <c r="CP196" s="98">
        <v>60</v>
      </c>
      <c r="CQ196" s="98">
        <v>58</v>
      </c>
      <c r="CR196" s="96">
        <v>14.68</v>
      </c>
    </row>
    <row r="197" spans="1:96" ht="15.75" customHeight="1">
      <c r="A197" s="50">
        <v>2018</v>
      </c>
      <c r="B197" s="4" t="s">
        <v>187</v>
      </c>
      <c r="C197" s="105">
        <v>3155</v>
      </c>
      <c r="D197" s="101">
        <v>26</v>
      </c>
      <c r="E197" s="101">
        <v>70</v>
      </c>
      <c r="F197" s="101">
        <v>1</v>
      </c>
      <c r="G197" s="54" t="s">
        <v>86</v>
      </c>
      <c r="H197" s="55" t="s">
        <v>83</v>
      </c>
      <c r="I197" s="56" t="s">
        <v>87</v>
      </c>
      <c r="J197" s="52" t="s">
        <v>88</v>
      </c>
      <c r="K197" s="53">
        <v>50</v>
      </c>
      <c r="L197" s="55">
        <v>50</v>
      </c>
      <c r="M197" s="87">
        <v>5986</v>
      </c>
      <c r="N197" s="87">
        <v>7068</v>
      </c>
      <c r="O197" s="88">
        <v>32</v>
      </c>
      <c r="P197" s="88">
        <v>103</v>
      </c>
      <c r="Q197" s="89">
        <v>1.6</v>
      </c>
      <c r="R197" s="89">
        <v>5.7</v>
      </c>
      <c r="S197" s="88">
        <v>714</v>
      </c>
      <c r="T197" s="88">
        <v>1410</v>
      </c>
      <c r="U197" s="90">
        <v>85</v>
      </c>
      <c r="V197" s="90">
        <v>168</v>
      </c>
      <c r="W197" s="88">
        <v>4.4000000000000004</v>
      </c>
      <c r="X197" s="88">
        <v>5</v>
      </c>
      <c r="Y197" s="90">
        <v>61</v>
      </c>
      <c r="Z197" s="90">
        <v>65</v>
      </c>
      <c r="AA197" s="88">
        <v>27</v>
      </c>
      <c r="AB197" s="88">
        <v>29</v>
      </c>
      <c r="AC197" s="89">
        <v>5.3</v>
      </c>
      <c r="AD197" s="89">
        <v>6.8</v>
      </c>
      <c r="AE197" s="319">
        <v>94.4</v>
      </c>
      <c r="AF197" s="334">
        <v>105.8</v>
      </c>
      <c r="AG197" s="89">
        <v>36</v>
      </c>
      <c r="AH197" s="89">
        <v>66</v>
      </c>
      <c r="AI197" s="144">
        <v>1.1000000000000001</v>
      </c>
      <c r="AJ197" s="144">
        <v>1</v>
      </c>
      <c r="AK197" s="269">
        <f t="shared" si="20"/>
        <v>0</v>
      </c>
      <c r="AL197" s="89">
        <v>3.7</v>
      </c>
      <c r="AM197" s="89">
        <v>6.1</v>
      </c>
      <c r="AN197" s="63">
        <v>7.2</v>
      </c>
      <c r="AO197" s="63">
        <v>7.7</v>
      </c>
      <c r="AP197" s="88" t="s">
        <v>94</v>
      </c>
      <c r="AQ197" s="88">
        <v>76</v>
      </c>
      <c r="AR197" s="89">
        <v>8.6</v>
      </c>
      <c r="AS197" s="89">
        <v>10.1</v>
      </c>
      <c r="AT197" s="89">
        <v>4.5</v>
      </c>
      <c r="AU197" s="89">
        <v>4.5</v>
      </c>
      <c r="AV197" s="63">
        <v>90</v>
      </c>
      <c r="AW197" s="63">
        <v>65</v>
      </c>
      <c r="AX197" s="63">
        <v>142</v>
      </c>
      <c r="AY197" s="63">
        <v>140</v>
      </c>
      <c r="AZ197" s="89">
        <v>2.2000000000000002</v>
      </c>
      <c r="BA197" s="89">
        <v>2.2000000000000002</v>
      </c>
      <c r="BB197" s="88">
        <v>106</v>
      </c>
      <c r="BC197" s="88">
        <v>102</v>
      </c>
      <c r="BD197" s="96">
        <f t="shared" si="21"/>
        <v>298.24</v>
      </c>
      <c r="BE197" s="96">
        <f t="shared" si="22"/>
        <v>297.92277777777781</v>
      </c>
      <c r="BF197" s="89">
        <v>4.8499999999999996</v>
      </c>
      <c r="BG197" s="108">
        <v>4.54</v>
      </c>
      <c r="BH197" s="63">
        <v>14.3</v>
      </c>
      <c r="BI197" s="63">
        <v>13.7</v>
      </c>
      <c r="BJ197" s="89">
        <v>41.7</v>
      </c>
      <c r="BK197" s="108">
        <v>39.1</v>
      </c>
      <c r="BL197" s="63">
        <v>86</v>
      </c>
      <c r="BM197" s="108">
        <v>86</v>
      </c>
      <c r="BN197" s="89">
        <v>29.5</v>
      </c>
      <c r="BO197" s="108">
        <v>30.2</v>
      </c>
      <c r="BP197" s="63">
        <v>34.299999999999997</v>
      </c>
      <c r="BQ197" s="108">
        <v>35</v>
      </c>
      <c r="BR197" s="89">
        <v>281</v>
      </c>
      <c r="BS197" s="108">
        <v>263</v>
      </c>
      <c r="BT197" s="63">
        <v>14.6</v>
      </c>
      <c r="BU197" s="108">
        <v>14.4</v>
      </c>
      <c r="BV197" s="89">
        <v>1.39</v>
      </c>
      <c r="BW197" s="89">
        <v>1.01</v>
      </c>
      <c r="BX197" s="63">
        <v>7.35</v>
      </c>
      <c r="BY197" s="93">
        <v>15.25</v>
      </c>
      <c r="BZ197" s="89">
        <v>62</v>
      </c>
      <c r="CA197" s="108">
        <v>85.3</v>
      </c>
      <c r="CB197" s="63">
        <v>27.5</v>
      </c>
      <c r="CC197" s="93">
        <v>5.7</v>
      </c>
      <c r="CD197" s="89">
        <v>9.3000000000000007</v>
      </c>
      <c r="CE197" s="108">
        <v>8.8000000000000007</v>
      </c>
      <c r="CF197" s="63">
        <v>0.8</v>
      </c>
      <c r="CG197" s="108">
        <v>0</v>
      </c>
      <c r="CH197" s="89">
        <v>0.4</v>
      </c>
      <c r="CI197" s="108">
        <v>0.2</v>
      </c>
      <c r="CJ197" s="86" t="b">
        <f t="shared" si="23"/>
        <v>0</v>
      </c>
      <c r="CK197" s="2" t="b">
        <f t="shared" si="24"/>
        <v>1</v>
      </c>
      <c r="CL197" s="98">
        <f t="shared" si="19"/>
        <v>71.28528</v>
      </c>
      <c r="CM197" s="98">
        <v>75.900000000000006</v>
      </c>
      <c r="CN197" s="98">
        <v>171</v>
      </c>
      <c r="CO197" s="86">
        <v>54.68</v>
      </c>
      <c r="CP197" s="98">
        <v>42</v>
      </c>
      <c r="CQ197" s="98">
        <v>43</v>
      </c>
      <c r="CR197" s="96">
        <v>6.08</v>
      </c>
    </row>
    <row r="198" spans="1:96" ht="15.75" customHeight="1">
      <c r="A198" s="50">
        <v>2018</v>
      </c>
      <c r="B198" s="4" t="s">
        <v>187</v>
      </c>
      <c r="C198" s="105">
        <v>3156</v>
      </c>
      <c r="D198" s="101">
        <v>26</v>
      </c>
      <c r="E198" s="101">
        <v>74</v>
      </c>
      <c r="F198" s="101">
        <v>1</v>
      </c>
      <c r="G198" s="54" t="s">
        <v>89</v>
      </c>
      <c r="H198" s="55" t="s">
        <v>90</v>
      </c>
      <c r="I198" s="56" t="s">
        <v>84</v>
      </c>
      <c r="J198" s="55" t="s">
        <v>91</v>
      </c>
      <c r="K198" s="53">
        <v>50</v>
      </c>
      <c r="L198" s="55">
        <v>50</v>
      </c>
      <c r="M198" s="87">
        <v>742</v>
      </c>
      <c r="N198" s="87">
        <v>5962</v>
      </c>
      <c r="O198" s="88">
        <v>25</v>
      </c>
      <c r="P198" s="88">
        <v>95</v>
      </c>
      <c r="Q198" s="89">
        <v>1.6</v>
      </c>
      <c r="R198" s="89">
        <v>7.6</v>
      </c>
      <c r="S198" s="88">
        <v>602</v>
      </c>
      <c r="T198" s="88">
        <v>1317</v>
      </c>
      <c r="U198" s="90">
        <v>43</v>
      </c>
      <c r="V198" s="90">
        <v>148</v>
      </c>
      <c r="W198" s="88">
        <v>4.7</v>
      </c>
      <c r="X198" s="88">
        <v>5.2</v>
      </c>
      <c r="Y198" s="90">
        <v>39</v>
      </c>
      <c r="Z198" s="90">
        <v>58</v>
      </c>
      <c r="AA198" s="88">
        <v>28</v>
      </c>
      <c r="AB198" s="88">
        <v>24</v>
      </c>
      <c r="AC198" s="89">
        <v>6.3</v>
      </c>
      <c r="AD198" s="89">
        <v>4.0999999999999996</v>
      </c>
      <c r="AE198" s="319">
        <v>94.4</v>
      </c>
      <c r="AF198" s="334">
        <v>120</v>
      </c>
      <c r="AG198" s="89">
        <v>41</v>
      </c>
      <c r="AH198" s="89">
        <v>40</v>
      </c>
      <c r="AI198" s="144">
        <v>1.1000000000000001</v>
      </c>
      <c r="AJ198" s="144">
        <v>0.9</v>
      </c>
      <c r="AK198" s="269">
        <f t="shared" si="20"/>
        <v>0</v>
      </c>
      <c r="AL198" s="108">
        <v>5.0999999999999996</v>
      </c>
      <c r="AM198" s="89">
        <v>5</v>
      </c>
      <c r="AN198" s="63">
        <v>7.7</v>
      </c>
      <c r="AO198" s="63">
        <v>8.1</v>
      </c>
      <c r="AP198" s="88" t="s">
        <v>94</v>
      </c>
      <c r="AQ198" s="88">
        <v>95</v>
      </c>
      <c r="AR198" s="89">
        <v>8.8000000000000007</v>
      </c>
      <c r="AS198" s="89">
        <v>10.5</v>
      </c>
      <c r="AT198" s="89">
        <v>4.8</v>
      </c>
      <c r="AU198" s="89">
        <v>4.2</v>
      </c>
      <c r="AV198" s="63">
        <v>83</v>
      </c>
      <c r="AW198" s="63">
        <v>109</v>
      </c>
      <c r="AX198" s="63">
        <v>142</v>
      </c>
      <c r="AY198" s="63">
        <v>140</v>
      </c>
      <c r="AZ198" s="89">
        <v>2.2000000000000002</v>
      </c>
      <c r="BA198" s="89">
        <v>2.1</v>
      </c>
      <c r="BB198" s="88">
        <v>103</v>
      </c>
      <c r="BC198" s="88">
        <v>96</v>
      </c>
      <c r="BD198" s="96">
        <f t="shared" si="21"/>
        <v>299.18411111111112</v>
      </c>
      <c r="BE198" s="96">
        <f t="shared" si="22"/>
        <v>295.84255555555558</v>
      </c>
      <c r="BF198" s="89">
        <v>4.83</v>
      </c>
      <c r="BG198" s="89">
        <v>5.21</v>
      </c>
      <c r="BH198" s="63">
        <v>14.7</v>
      </c>
      <c r="BI198" s="63">
        <v>16.100000000000001</v>
      </c>
      <c r="BJ198" s="89">
        <v>42.6</v>
      </c>
      <c r="BK198" s="89">
        <v>45.7</v>
      </c>
      <c r="BL198" s="63">
        <v>88.2</v>
      </c>
      <c r="BM198" s="63">
        <v>87.7</v>
      </c>
      <c r="BN198" s="89">
        <v>30.4</v>
      </c>
      <c r="BO198" s="89">
        <v>30.9</v>
      </c>
      <c r="BP198" s="63">
        <v>34.5</v>
      </c>
      <c r="BQ198" s="63">
        <v>35.200000000000003</v>
      </c>
      <c r="BR198" s="89">
        <v>230</v>
      </c>
      <c r="BS198" s="89">
        <v>279</v>
      </c>
      <c r="BT198" s="63">
        <v>12.3</v>
      </c>
      <c r="BU198" s="63">
        <v>12.3</v>
      </c>
      <c r="BV198" s="89">
        <v>1.1599999999999999</v>
      </c>
      <c r="BW198" s="89">
        <v>0.94</v>
      </c>
      <c r="BX198" s="63">
        <v>4.93</v>
      </c>
      <c r="BY198" s="63">
        <v>8.7200000000000006</v>
      </c>
      <c r="BZ198" s="89">
        <v>53.8</v>
      </c>
      <c r="CA198" s="89">
        <v>93.6</v>
      </c>
      <c r="CB198" s="63">
        <v>37.1</v>
      </c>
      <c r="CC198" s="63">
        <v>4.8</v>
      </c>
      <c r="CD198" s="89">
        <v>7.1</v>
      </c>
      <c r="CE198" s="89">
        <v>0.9</v>
      </c>
      <c r="CF198" s="63">
        <v>1.4</v>
      </c>
      <c r="CG198" s="63">
        <v>0.6</v>
      </c>
      <c r="CH198" s="89">
        <v>0.6</v>
      </c>
      <c r="CI198" s="89">
        <v>0.1</v>
      </c>
      <c r="CJ198" s="86" t="b">
        <f t="shared" si="23"/>
        <v>0</v>
      </c>
      <c r="CK198" s="2" t="b">
        <f t="shared" si="24"/>
        <v>1</v>
      </c>
      <c r="CL198" s="98">
        <f t="shared" si="19"/>
        <v>72.293760000000006</v>
      </c>
      <c r="CM198" s="98">
        <v>79.2</v>
      </c>
      <c r="CN198" s="98">
        <v>174</v>
      </c>
      <c r="CO198" s="86">
        <v>53.64</v>
      </c>
      <c r="CP198" s="98">
        <v>49.5</v>
      </c>
      <c r="CQ198" s="98">
        <v>49.5</v>
      </c>
      <c r="CR198" s="96">
        <v>8.7200000000000006</v>
      </c>
    </row>
    <row r="199" spans="1:96" ht="15.75" customHeight="1">
      <c r="A199" s="50">
        <v>2018</v>
      </c>
      <c r="B199" s="4" t="s">
        <v>187</v>
      </c>
      <c r="C199" s="105">
        <v>3159</v>
      </c>
      <c r="D199" s="101">
        <v>25</v>
      </c>
      <c r="E199" s="101">
        <v>84</v>
      </c>
      <c r="F199" s="101">
        <v>1</v>
      </c>
      <c r="G199" s="51" t="s">
        <v>86</v>
      </c>
      <c r="H199" s="52" t="s">
        <v>92</v>
      </c>
      <c r="I199" s="53" t="s">
        <v>93</v>
      </c>
      <c r="J199" s="55" t="s">
        <v>88</v>
      </c>
      <c r="K199" s="53" t="s">
        <v>94</v>
      </c>
      <c r="L199" s="52" t="s">
        <v>94</v>
      </c>
      <c r="M199" s="87">
        <v>122</v>
      </c>
      <c r="N199" s="87">
        <v>2280</v>
      </c>
      <c r="O199" s="88">
        <v>4</v>
      </c>
      <c r="P199" s="88">
        <v>60</v>
      </c>
      <c r="Q199" s="89">
        <v>1.7</v>
      </c>
      <c r="R199" s="89">
        <v>6.6</v>
      </c>
      <c r="S199" s="88">
        <v>394</v>
      </c>
      <c r="T199" s="88">
        <v>840</v>
      </c>
      <c r="U199" s="90">
        <v>23</v>
      </c>
      <c r="V199" s="90">
        <v>109</v>
      </c>
      <c r="W199" s="88">
        <v>4.7</v>
      </c>
      <c r="X199" s="88">
        <v>4.9000000000000004</v>
      </c>
      <c r="Y199" s="90">
        <v>24</v>
      </c>
      <c r="Z199" s="90">
        <v>56</v>
      </c>
      <c r="AA199" s="88">
        <v>18</v>
      </c>
      <c r="AB199" s="88">
        <v>20</v>
      </c>
      <c r="AC199" s="89">
        <v>4.5</v>
      </c>
      <c r="AD199" s="89">
        <v>5.0999999999999996</v>
      </c>
      <c r="AE199" s="319">
        <v>120.8</v>
      </c>
      <c r="AF199" s="334">
        <v>94.9</v>
      </c>
      <c r="AG199" s="89">
        <v>35</v>
      </c>
      <c r="AH199" s="89">
        <v>60</v>
      </c>
      <c r="AI199" s="144">
        <v>0.9</v>
      </c>
      <c r="AJ199" s="144">
        <v>1.1000000000000001</v>
      </c>
      <c r="AK199" s="269">
        <f t="shared" si="20"/>
        <v>0.20000000000000007</v>
      </c>
      <c r="AL199" s="89">
        <v>4.5999999999999996</v>
      </c>
      <c r="AM199" s="89">
        <v>4.7</v>
      </c>
      <c r="AN199" s="63">
        <v>7.9</v>
      </c>
      <c r="AO199" s="63">
        <v>7.8</v>
      </c>
      <c r="AP199" s="88" t="s">
        <v>94</v>
      </c>
      <c r="AQ199" s="88">
        <v>103</v>
      </c>
      <c r="AR199" s="89">
        <v>8.8000000000000007</v>
      </c>
      <c r="AS199" s="89">
        <v>9.8000000000000007</v>
      </c>
      <c r="AT199" s="89">
        <v>4.4000000000000004</v>
      </c>
      <c r="AU199" s="89">
        <v>4.4000000000000004</v>
      </c>
      <c r="AV199" s="63">
        <v>91</v>
      </c>
      <c r="AW199" s="63">
        <v>75</v>
      </c>
      <c r="AX199" s="63">
        <v>143</v>
      </c>
      <c r="AY199" s="63">
        <v>141</v>
      </c>
      <c r="AZ199" s="89">
        <v>2.2000000000000002</v>
      </c>
      <c r="BA199" s="89">
        <v>1.9</v>
      </c>
      <c r="BB199" s="88">
        <v>103</v>
      </c>
      <c r="BC199" s="88">
        <v>101</v>
      </c>
      <c r="BD199" s="96">
        <f t="shared" si="21"/>
        <v>299.81122222222223</v>
      </c>
      <c r="BE199" s="96">
        <f t="shared" si="22"/>
        <v>299.2356666666667</v>
      </c>
      <c r="BF199" s="89">
        <v>4.8600000000000003</v>
      </c>
      <c r="BG199" s="89">
        <v>5.2</v>
      </c>
      <c r="BH199" s="63">
        <v>13.8</v>
      </c>
      <c r="BI199" s="63">
        <v>15</v>
      </c>
      <c r="BJ199" s="89">
        <v>41.3</v>
      </c>
      <c r="BK199" s="89">
        <v>44.4</v>
      </c>
      <c r="BL199" s="63">
        <v>85</v>
      </c>
      <c r="BM199" s="63">
        <v>85.4</v>
      </c>
      <c r="BN199" s="89">
        <v>28.4</v>
      </c>
      <c r="BO199" s="89">
        <v>28.8</v>
      </c>
      <c r="BP199" s="63">
        <v>33.4</v>
      </c>
      <c r="BQ199" s="63">
        <v>33.799999999999997</v>
      </c>
      <c r="BR199" s="89">
        <v>244</v>
      </c>
      <c r="BS199" s="89">
        <v>270</v>
      </c>
      <c r="BT199" s="63">
        <v>13</v>
      </c>
      <c r="BU199" s="63">
        <v>13</v>
      </c>
      <c r="BV199" s="89">
        <v>1.1000000000000001</v>
      </c>
      <c r="BW199" s="89">
        <v>1.1499999999999999</v>
      </c>
      <c r="BX199" s="63">
        <v>5.3</v>
      </c>
      <c r="BY199" s="63">
        <v>10</v>
      </c>
      <c r="BZ199" s="89">
        <v>45.7</v>
      </c>
      <c r="CA199" s="89">
        <v>75.2</v>
      </c>
      <c r="CB199" s="63">
        <v>43.8</v>
      </c>
      <c r="CC199" s="63">
        <v>16.3</v>
      </c>
      <c r="CD199" s="89">
        <v>8.1</v>
      </c>
      <c r="CE199" s="89">
        <v>8</v>
      </c>
      <c r="CF199" s="63">
        <v>1.5</v>
      </c>
      <c r="CG199" s="63">
        <v>0.1</v>
      </c>
      <c r="CH199" s="89">
        <v>0.9</v>
      </c>
      <c r="CI199" s="89">
        <v>0.4</v>
      </c>
      <c r="CJ199" s="86" t="b">
        <f t="shared" si="23"/>
        <v>0</v>
      </c>
      <c r="CK199" s="2" t="b">
        <f t="shared" si="24"/>
        <v>1</v>
      </c>
      <c r="CL199" s="98">
        <f t="shared" si="19"/>
        <v>75.355769999999993</v>
      </c>
      <c r="CM199" s="98">
        <v>84.3</v>
      </c>
      <c r="CN199" s="98">
        <v>178</v>
      </c>
      <c r="CO199" s="86">
        <v>52.69</v>
      </c>
      <c r="CP199" s="98">
        <v>60</v>
      </c>
      <c r="CQ199" s="98">
        <v>57</v>
      </c>
      <c r="CR199" s="96">
        <v>10.61</v>
      </c>
    </row>
    <row r="200" spans="1:96" ht="15.75" customHeight="1">
      <c r="A200" s="50">
        <v>2018</v>
      </c>
      <c r="B200" s="4" t="s">
        <v>187</v>
      </c>
      <c r="C200" s="105">
        <v>3169</v>
      </c>
      <c r="D200" s="101">
        <v>31</v>
      </c>
      <c r="E200" s="101">
        <v>89</v>
      </c>
      <c r="F200" s="101">
        <v>1</v>
      </c>
      <c r="G200" s="51" t="s">
        <v>82</v>
      </c>
      <c r="H200" s="52" t="s">
        <v>83</v>
      </c>
      <c r="I200" s="53" t="s">
        <v>84</v>
      </c>
      <c r="J200" s="52" t="s">
        <v>85</v>
      </c>
      <c r="K200" s="53">
        <v>100</v>
      </c>
      <c r="L200" s="52">
        <v>0</v>
      </c>
      <c r="M200" s="87">
        <v>895</v>
      </c>
      <c r="N200" s="87">
        <v>6864</v>
      </c>
      <c r="O200" s="88">
        <v>23</v>
      </c>
      <c r="P200" s="88">
        <v>71</v>
      </c>
      <c r="Q200" s="89">
        <v>2</v>
      </c>
      <c r="R200" s="89">
        <v>4.5</v>
      </c>
      <c r="S200" s="88">
        <v>656</v>
      </c>
      <c r="T200" s="88">
        <v>1341</v>
      </c>
      <c r="U200" s="90">
        <v>45</v>
      </c>
      <c r="V200" s="90">
        <v>179</v>
      </c>
      <c r="W200" s="88">
        <v>4.7</v>
      </c>
      <c r="X200" s="88">
        <v>4.7</v>
      </c>
      <c r="Y200" s="90">
        <v>42</v>
      </c>
      <c r="Z200" s="90">
        <v>75</v>
      </c>
      <c r="AA200" s="88">
        <v>23</v>
      </c>
      <c r="AB200" s="88">
        <v>20</v>
      </c>
      <c r="AC200" s="89">
        <v>4.4000000000000004</v>
      </c>
      <c r="AD200" s="89">
        <v>9.1</v>
      </c>
      <c r="AE200" s="319">
        <v>82.4</v>
      </c>
      <c r="AF200" s="334">
        <v>91.5</v>
      </c>
      <c r="AG200" s="89">
        <v>45</v>
      </c>
      <c r="AH200" s="89">
        <v>52</v>
      </c>
      <c r="AI200" s="144">
        <v>1.2</v>
      </c>
      <c r="AJ200" s="144">
        <v>1.1000000000000001</v>
      </c>
      <c r="AK200" s="269">
        <f t="shared" si="20"/>
        <v>0</v>
      </c>
      <c r="AL200" s="89">
        <v>4.7</v>
      </c>
      <c r="AM200" s="89">
        <v>6.2</v>
      </c>
      <c r="AN200" s="63">
        <v>7.8</v>
      </c>
      <c r="AO200" s="63">
        <v>8</v>
      </c>
      <c r="AP200" s="88" t="s">
        <v>94</v>
      </c>
      <c r="AQ200" s="88">
        <v>87</v>
      </c>
      <c r="AR200" s="89">
        <v>8.8000000000000007</v>
      </c>
      <c r="AS200" s="89">
        <v>9.4</v>
      </c>
      <c r="AT200" s="89">
        <v>4.7</v>
      </c>
      <c r="AU200" s="89">
        <v>5.0999999999999996</v>
      </c>
      <c r="AV200" s="63">
        <v>83</v>
      </c>
      <c r="AW200" s="63">
        <v>91</v>
      </c>
      <c r="AX200" s="63">
        <v>141</v>
      </c>
      <c r="AY200" s="63">
        <v>141</v>
      </c>
      <c r="AZ200" s="89">
        <v>2.1</v>
      </c>
      <c r="BA200" s="89">
        <v>2</v>
      </c>
      <c r="BB200" s="88">
        <v>106</v>
      </c>
      <c r="BC200" s="88">
        <v>100</v>
      </c>
      <c r="BD200" s="96">
        <f t="shared" si="21"/>
        <v>297.80477777777776</v>
      </c>
      <c r="BE200" s="96">
        <f t="shared" si="22"/>
        <v>300.22655555555554</v>
      </c>
      <c r="BF200" s="89">
        <v>4.41</v>
      </c>
      <c r="BG200" s="89">
        <v>4.66</v>
      </c>
      <c r="BH200" s="63">
        <v>12.8</v>
      </c>
      <c r="BI200" s="63">
        <v>13.7</v>
      </c>
      <c r="BJ200" s="89">
        <v>38.700000000000003</v>
      </c>
      <c r="BK200" s="89">
        <v>41.2</v>
      </c>
      <c r="BL200" s="63">
        <v>87.8</v>
      </c>
      <c r="BM200" s="63">
        <v>88.4</v>
      </c>
      <c r="BN200" s="89">
        <v>29</v>
      </c>
      <c r="BO200" s="89">
        <v>29.4</v>
      </c>
      <c r="BP200" s="63">
        <v>33.1</v>
      </c>
      <c r="BQ200" s="63">
        <v>33.299999999999997</v>
      </c>
      <c r="BR200" s="89">
        <v>264</v>
      </c>
      <c r="BS200" s="89">
        <v>326</v>
      </c>
      <c r="BT200" s="63">
        <v>13.9</v>
      </c>
      <c r="BU200" s="63">
        <v>14.1</v>
      </c>
      <c r="BV200" s="89">
        <v>1.1000000000000001</v>
      </c>
      <c r="BW200" s="89">
        <v>1.44</v>
      </c>
      <c r="BX200" s="63">
        <v>7.61</v>
      </c>
      <c r="BY200" s="63">
        <v>13.6</v>
      </c>
      <c r="BZ200" s="89">
        <v>60.2</v>
      </c>
      <c r="CA200" s="89">
        <v>78.599999999999994</v>
      </c>
      <c r="CB200" s="63">
        <v>26.1</v>
      </c>
      <c r="CC200" s="63">
        <v>13.5</v>
      </c>
      <c r="CD200" s="89">
        <v>10</v>
      </c>
      <c r="CE200" s="89">
        <v>7.4</v>
      </c>
      <c r="CF200" s="63">
        <v>2.9</v>
      </c>
      <c r="CG200" s="63">
        <v>0.1</v>
      </c>
      <c r="CH200" s="89">
        <v>0.8</v>
      </c>
      <c r="CI200" s="89">
        <v>0.4</v>
      </c>
      <c r="CJ200" s="86" t="b">
        <f t="shared" si="23"/>
        <v>0</v>
      </c>
      <c r="CK200" s="2" t="b">
        <f t="shared" si="24"/>
        <v>1</v>
      </c>
      <c r="CL200" s="98">
        <f t="shared" si="19"/>
        <v>74.95620000000001</v>
      </c>
      <c r="CM200" s="98">
        <v>90.2</v>
      </c>
      <c r="CN200" s="98">
        <v>184.5</v>
      </c>
      <c r="CO200" s="86">
        <v>48.67</v>
      </c>
      <c r="CP200" s="98">
        <v>54</v>
      </c>
      <c r="CQ200" s="98">
        <v>47</v>
      </c>
      <c r="CR200" s="96">
        <v>16.899999999999999</v>
      </c>
    </row>
    <row r="201" spans="1:96" ht="15.75" customHeight="1">
      <c r="A201" s="50">
        <v>2018</v>
      </c>
      <c r="B201" s="4" t="s">
        <v>187</v>
      </c>
      <c r="C201" s="105">
        <v>3175</v>
      </c>
      <c r="D201" s="101">
        <v>32</v>
      </c>
      <c r="E201" s="101">
        <v>96</v>
      </c>
      <c r="F201" s="101">
        <v>2</v>
      </c>
      <c r="G201" s="54" t="s">
        <v>89</v>
      </c>
      <c r="H201" s="55" t="s">
        <v>90</v>
      </c>
      <c r="I201" s="56" t="s">
        <v>84</v>
      </c>
      <c r="J201" s="55" t="s">
        <v>91</v>
      </c>
      <c r="K201" s="57">
        <v>45.8333333333333</v>
      </c>
      <c r="L201" s="58">
        <v>54.1666666666667</v>
      </c>
      <c r="M201" s="220">
        <v>11652</v>
      </c>
      <c r="N201" s="87">
        <v>3194</v>
      </c>
      <c r="O201" s="88">
        <v>92</v>
      </c>
      <c r="P201" s="88">
        <v>92</v>
      </c>
      <c r="Q201" s="89">
        <v>1.7</v>
      </c>
      <c r="R201" s="89">
        <v>5.7</v>
      </c>
      <c r="S201" s="88">
        <v>1594</v>
      </c>
      <c r="T201" s="88">
        <v>1438</v>
      </c>
      <c r="U201" s="90">
        <v>176</v>
      </c>
      <c r="V201" s="90">
        <v>124</v>
      </c>
      <c r="W201" s="88">
        <v>4.5999999999999996</v>
      </c>
      <c r="X201" s="88">
        <v>5</v>
      </c>
      <c r="Y201" s="90">
        <v>57</v>
      </c>
      <c r="Z201" s="90">
        <v>67</v>
      </c>
      <c r="AA201" s="88">
        <v>30</v>
      </c>
      <c r="AB201" s="88">
        <v>27</v>
      </c>
      <c r="AC201" s="89">
        <v>6.4</v>
      </c>
      <c r="AD201" s="89">
        <v>4.5999999999999996</v>
      </c>
      <c r="AE201" s="319">
        <v>102.6</v>
      </c>
      <c r="AF201" s="334">
        <v>102.6</v>
      </c>
      <c r="AG201" s="89">
        <v>33</v>
      </c>
      <c r="AH201" s="89">
        <v>68</v>
      </c>
      <c r="AI201" s="144">
        <v>1</v>
      </c>
      <c r="AJ201" s="144">
        <v>1</v>
      </c>
      <c r="AK201" s="269">
        <f t="shared" si="20"/>
        <v>0</v>
      </c>
      <c r="AL201" s="89">
        <v>5.0999999999999996</v>
      </c>
      <c r="AM201" s="89">
        <v>6.5</v>
      </c>
      <c r="AN201" s="63">
        <v>7.2</v>
      </c>
      <c r="AO201" s="63">
        <v>8.5</v>
      </c>
      <c r="AP201" s="88" t="s">
        <v>94</v>
      </c>
      <c r="AQ201" s="88">
        <v>78</v>
      </c>
      <c r="AR201" s="89">
        <v>9</v>
      </c>
      <c r="AS201" s="89">
        <v>10.3</v>
      </c>
      <c r="AT201" s="89">
        <v>4.8</v>
      </c>
      <c r="AU201" s="89">
        <v>4.5999999999999996</v>
      </c>
      <c r="AV201" s="63">
        <v>80</v>
      </c>
      <c r="AW201" s="63">
        <v>81</v>
      </c>
      <c r="AX201" s="63">
        <v>142</v>
      </c>
      <c r="AY201" s="63">
        <v>142</v>
      </c>
      <c r="AZ201" s="89">
        <v>2.2000000000000002</v>
      </c>
      <c r="BA201" s="89">
        <v>2.1</v>
      </c>
      <c r="BB201" s="88">
        <v>103</v>
      </c>
      <c r="BC201" s="88">
        <v>103</v>
      </c>
      <c r="BD201" s="96">
        <f t="shared" si="21"/>
        <v>297.65911111111114</v>
      </c>
      <c r="BE201" s="96">
        <f t="shared" si="22"/>
        <v>303.18433333333331</v>
      </c>
      <c r="BF201" s="89">
        <v>4.7699999999999996</v>
      </c>
      <c r="BG201" s="89">
        <v>4.97</v>
      </c>
      <c r="BH201" s="63">
        <v>14.2</v>
      </c>
      <c r="BI201" s="63">
        <v>14.9</v>
      </c>
      <c r="BJ201" s="89">
        <v>42</v>
      </c>
      <c r="BK201" s="89">
        <v>43.7</v>
      </c>
      <c r="BL201" s="63">
        <v>88.1</v>
      </c>
      <c r="BM201" s="63">
        <v>87.9</v>
      </c>
      <c r="BN201" s="89">
        <v>29.8</v>
      </c>
      <c r="BO201" s="89">
        <v>30</v>
      </c>
      <c r="BP201" s="63">
        <v>33.799999999999997</v>
      </c>
      <c r="BQ201" s="63">
        <v>34.1</v>
      </c>
      <c r="BR201" s="89">
        <v>179</v>
      </c>
      <c r="BS201" s="89">
        <v>188</v>
      </c>
      <c r="BT201" s="63">
        <v>12.9</v>
      </c>
      <c r="BU201" s="63">
        <v>13</v>
      </c>
      <c r="BV201" s="89">
        <v>1.28</v>
      </c>
      <c r="BW201" s="89">
        <v>0.88</v>
      </c>
      <c r="BX201" s="63">
        <v>6.08</v>
      </c>
      <c r="BY201" s="63">
        <v>12.31</v>
      </c>
      <c r="BZ201" s="89">
        <v>50.3</v>
      </c>
      <c r="CA201" s="89">
        <v>62.9</v>
      </c>
      <c r="CB201" s="63">
        <v>39.299999999999997</v>
      </c>
      <c r="CC201" s="63">
        <v>26.7</v>
      </c>
      <c r="CD201" s="89">
        <v>7.6</v>
      </c>
      <c r="CE201" s="89">
        <v>9.1</v>
      </c>
      <c r="CF201" s="63">
        <v>2.2999999999999998</v>
      </c>
      <c r="CG201" s="63">
        <v>1.1000000000000001</v>
      </c>
      <c r="CH201" s="89">
        <v>0.5</v>
      </c>
      <c r="CI201" s="89">
        <v>0.2</v>
      </c>
      <c r="CJ201" s="86" t="b">
        <f t="shared" si="23"/>
        <v>0</v>
      </c>
      <c r="CK201" s="2" t="b">
        <f t="shared" si="24"/>
        <v>1</v>
      </c>
      <c r="CL201" s="98">
        <f t="shared" si="19"/>
        <v>82.029080000000008</v>
      </c>
      <c r="CM201" s="98">
        <v>90.7</v>
      </c>
      <c r="CN201" s="98">
        <v>191</v>
      </c>
      <c r="CO201" s="86">
        <v>50.01</v>
      </c>
      <c r="CP201" s="98">
        <v>56.5</v>
      </c>
      <c r="CQ201" s="98">
        <v>54.5</v>
      </c>
      <c r="CR201" s="96">
        <v>9.56</v>
      </c>
    </row>
    <row r="202" spans="1:96" ht="15.75" customHeight="1">
      <c r="A202" s="50">
        <v>2018</v>
      </c>
      <c r="B202" s="4" t="s">
        <v>187</v>
      </c>
      <c r="C202" s="105">
        <v>3181</v>
      </c>
      <c r="D202" s="101">
        <v>28</v>
      </c>
      <c r="E202" s="101">
        <v>82</v>
      </c>
      <c r="F202" s="101">
        <v>0</v>
      </c>
      <c r="G202" s="51" t="s">
        <v>89</v>
      </c>
      <c r="H202" s="52" t="s">
        <v>83</v>
      </c>
      <c r="I202" s="53" t="s">
        <v>84</v>
      </c>
      <c r="J202" s="52" t="s">
        <v>88</v>
      </c>
      <c r="K202" s="57">
        <v>54.1666666666667</v>
      </c>
      <c r="L202" s="59">
        <v>45.8333333333333</v>
      </c>
      <c r="M202" s="87">
        <v>936</v>
      </c>
      <c r="N202" s="87">
        <v>1894</v>
      </c>
      <c r="O202" s="88">
        <v>14</v>
      </c>
      <c r="P202" s="88">
        <v>57</v>
      </c>
      <c r="Q202" s="89">
        <v>1.3</v>
      </c>
      <c r="R202" s="89">
        <v>5.3</v>
      </c>
      <c r="S202" s="88">
        <v>646</v>
      </c>
      <c r="T202" s="88">
        <v>1198</v>
      </c>
      <c r="U202" s="90">
        <v>63</v>
      </c>
      <c r="V202" s="90">
        <v>93</v>
      </c>
      <c r="W202" s="88">
        <v>4</v>
      </c>
      <c r="X202" s="88">
        <v>5</v>
      </c>
      <c r="Y202" s="90">
        <v>46</v>
      </c>
      <c r="Z202" s="90">
        <v>53</v>
      </c>
      <c r="AA202" s="88">
        <v>18</v>
      </c>
      <c r="AB202" s="88">
        <v>21</v>
      </c>
      <c r="AC202" s="89">
        <v>7.9</v>
      </c>
      <c r="AD202" s="89">
        <v>5</v>
      </c>
      <c r="AE202" s="319">
        <v>93.8</v>
      </c>
      <c r="AF202" s="334">
        <v>76.7</v>
      </c>
      <c r="AG202" s="89">
        <v>35</v>
      </c>
      <c r="AH202" s="89">
        <v>60</v>
      </c>
      <c r="AI202" s="144">
        <v>1.1000000000000001</v>
      </c>
      <c r="AJ202" s="144">
        <v>1.3</v>
      </c>
      <c r="AK202" s="269">
        <f t="shared" si="20"/>
        <v>0.19999999999999996</v>
      </c>
      <c r="AL202" s="89">
        <v>4.4000000000000004</v>
      </c>
      <c r="AM202" s="89">
        <v>5.2</v>
      </c>
      <c r="AN202" s="63">
        <v>7.2</v>
      </c>
      <c r="AO202" s="63">
        <v>7.6</v>
      </c>
      <c r="AP202" s="88" t="s">
        <v>94</v>
      </c>
      <c r="AQ202" s="88">
        <v>85</v>
      </c>
      <c r="AR202" s="89">
        <v>8.4</v>
      </c>
      <c r="AS202" s="89">
        <v>9.8000000000000007</v>
      </c>
      <c r="AT202" s="89">
        <v>4.4000000000000004</v>
      </c>
      <c r="AU202" s="89">
        <v>4.5</v>
      </c>
      <c r="AV202" s="63">
        <v>80</v>
      </c>
      <c r="AW202" s="63">
        <v>82</v>
      </c>
      <c r="AX202" s="63">
        <v>140</v>
      </c>
      <c r="AY202" s="93">
        <v>139</v>
      </c>
      <c r="AZ202" s="89">
        <v>2.1</v>
      </c>
      <c r="BA202" s="89">
        <v>1.9</v>
      </c>
      <c r="BB202" s="88">
        <v>106</v>
      </c>
      <c r="BC202" s="88">
        <v>100</v>
      </c>
      <c r="BD202" s="96">
        <f t="shared" si="21"/>
        <v>293.5284444444444</v>
      </c>
      <c r="BE202" s="96">
        <f t="shared" si="22"/>
        <v>296.14888888888891</v>
      </c>
      <c r="BF202" s="89">
        <v>4.57</v>
      </c>
      <c r="BG202" s="89">
        <v>4.8899999999999997</v>
      </c>
      <c r="BH202" s="63">
        <v>14.3</v>
      </c>
      <c r="BI202" s="63">
        <v>15.5</v>
      </c>
      <c r="BJ202" s="89">
        <v>41.1</v>
      </c>
      <c r="BK202" s="89">
        <v>44.6</v>
      </c>
      <c r="BL202" s="63">
        <v>89.9</v>
      </c>
      <c r="BM202" s="63">
        <v>91.2</v>
      </c>
      <c r="BN202" s="89">
        <v>31.3</v>
      </c>
      <c r="BO202" s="89">
        <v>31.7</v>
      </c>
      <c r="BP202" s="63">
        <v>34.799999999999997</v>
      </c>
      <c r="BQ202" s="63">
        <v>34.799999999999997</v>
      </c>
      <c r="BR202" s="89">
        <v>225</v>
      </c>
      <c r="BS202" s="89">
        <v>214</v>
      </c>
      <c r="BT202" s="63">
        <v>12.9</v>
      </c>
      <c r="BU202" s="63">
        <v>13</v>
      </c>
      <c r="BV202" s="89">
        <v>1.24</v>
      </c>
      <c r="BW202" s="89">
        <v>0.79</v>
      </c>
      <c r="BX202" s="63">
        <v>5.94</v>
      </c>
      <c r="BY202" s="63">
        <v>14.19</v>
      </c>
      <c r="BZ202" s="89">
        <v>60.9</v>
      </c>
      <c r="CA202" s="89">
        <v>82.4</v>
      </c>
      <c r="CB202" s="63">
        <v>27.8</v>
      </c>
      <c r="CC202" s="63">
        <v>7.9</v>
      </c>
      <c r="CD202" s="89">
        <v>8.1</v>
      </c>
      <c r="CE202" s="89">
        <v>9.4</v>
      </c>
      <c r="CF202" s="63">
        <v>2.9</v>
      </c>
      <c r="CG202" s="63">
        <v>0.2</v>
      </c>
      <c r="CH202" s="89">
        <v>0.3</v>
      </c>
      <c r="CI202" s="89">
        <v>0.1</v>
      </c>
      <c r="CJ202" s="86" t="b">
        <f t="shared" si="23"/>
        <v>0</v>
      </c>
      <c r="CK202" s="2" t="b">
        <f t="shared" si="24"/>
        <v>1</v>
      </c>
      <c r="CL202" s="98">
        <f t="shared" si="19"/>
        <v>77.353679999999997</v>
      </c>
      <c r="CM202" s="98">
        <v>84.3</v>
      </c>
      <c r="CN202" s="98">
        <v>190</v>
      </c>
      <c r="CO202" s="86">
        <v>51.12</v>
      </c>
      <c r="CP202" s="98">
        <v>54.5</v>
      </c>
      <c r="CQ202" s="98">
        <v>50.5</v>
      </c>
      <c r="CR202" s="96">
        <v>8.24</v>
      </c>
    </row>
    <row r="203" spans="1:96" ht="15.75" customHeight="1">
      <c r="A203" s="50">
        <v>2018</v>
      </c>
      <c r="B203" s="4" t="s">
        <v>187</v>
      </c>
      <c r="C203" s="105">
        <v>3183</v>
      </c>
      <c r="D203" s="101">
        <v>26</v>
      </c>
      <c r="E203" s="101">
        <v>90</v>
      </c>
      <c r="F203" s="101">
        <v>1</v>
      </c>
      <c r="G203" s="51" t="s">
        <v>94</v>
      </c>
      <c r="H203" s="52" t="s">
        <v>94</v>
      </c>
      <c r="I203" s="53" t="s">
        <v>94</v>
      </c>
      <c r="J203" s="52" t="s">
        <v>94</v>
      </c>
      <c r="K203" s="53" t="s">
        <v>94</v>
      </c>
      <c r="L203" s="52" t="s">
        <v>94</v>
      </c>
      <c r="M203" s="87">
        <v>2733</v>
      </c>
      <c r="N203" s="87">
        <v>3072</v>
      </c>
      <c r="O203" s="88">
        <v>27</v>
      </c>
      <c r="P203" s="88">
        <v>69</v>
      </c>
      <c r="Q203" s="89">
        <v>1.9</v>
      </c>
      <c r="R203" s="89">
        <v>5</v>
      </c>
      <c r="S203" s="88">
        <v>966</v>
      </c>
      <c r="T203" s="88">
        <v>1148</v>
      </c>
      <c r="U203" s="90">
        <v>63</v>
      </c>
      <c r="V203" s="90">
        <v>122</v>
      </c>
      <c r="W203" s="88">
        <v>4.9000000000000004</v>
      </c>
      <c r="X203" s="88">
        <v>5.0999999999999996</v>
      </c>
      <c r="Y203" s="90">
        <v>40</v>
      </c>
      <c r="Z203" s="90">
        <v>51</v>
      </c>
      <c r="AA203" s="88">
        <v>26</v>
      </c>
      <c r="AB203" s="88">
        <v>24</v>
      </c>
      <c r="AC203" s="89">
        <v>5.0999999999999996</v>
      </c>
      <c r="AD203" s="108">
        <v>5.6</v>
      </c>
      <c r="AE203" s="319">
        <v>105.8</v>
      </c>
      <c r="AF203" s="334">
        <v>124.4</v>
      </c>
      <c r="AG203" s="89">
        <v>44</v>
      </c>
      <c r="AH203" s="89">
        <v>39</v>
      </c>
      <c r="AI203" s="144">
        <v>1</v>
      </c>
      <c r="AJ203" s="144">
        <v>0.8</v>
      </c>
      <c r="AK203" s="269">
        <f t="shared" si="20"/>
        <v>0</v>
      </c>
      <c r="AL203" s="89">
        <v>4.7</v>
      </c>
      <c r="AM203" s="89">
        <v>5.4</v>
      </c>
      <c r="AN203" s="63">
        <v>8.1999999999999993</v>
      </c>
      <c r="AO203" s="63">
        <v>8.4</v>
      </c>
      <c r="AP203" s="88" t="s">
        <v>94</v>
      </c>
      <c r="AQ203" s="88">
        <v>99</v>
      </c>
      <c r="AR203" s="89">
        <v>9.3000000000000007</v>
      </c>
      <c r="AS203" s="89">
        <v>9.9</v>
      </c>
      <c r="AT203" s="89">
        <v>4.8</v>
      </c>
      <c r="AU203" s="89">
        <v>4.5</v>
      </c>
      <c r="AV203" s="63">
        <v>80</v>
      </c>
      <c r="AW203" s="63">
        <v>72</v>
      </c>
      <c r="AX203" s="63">
        <v>141</v>
      </c>
      <c r="AY203" s="63">
        <v>141</v>
      </c>
      <c r="AZ203" s="89">
        <v>2.4</v>
      </c>
      <c r="BA203" s="89">
        <v>2</v>
      </c>
      <c r="BB203" s="88">
        <v>103</v>
      </c>
      <c r="BC203" s="88">
        <v>100</v>
      </c>
      <c r="BD203" s="96">
        <f t="shared" si="21"/>
        <v>297.63244444444445</v>
      </c>
      <c r="BE203" s="96">
        <f t="shared" si="22"/>
        <v>295.73</v>
      </c>
      <c r="BF203" s="89">
        <v>4.6399999999999997</v>
      </c>
      <c r="BG203" s="89">
        <v>5.05</v>
      </c>
      <c r="BH203" s="63">
        <v>13.8</v>
      </c>
      <c r="BI203" s="63">
        <v>15.1</v>
      </c>
      <c r="BJ203" s="89">
        <v>39.9</v>
      </c>
      <c r="BK203" s="89">
        <v>43.7</v>
      </c>
      <c r="BL203" s="63">
        <v>86</v>
      </c>
      <c r="BM203" s="63">
        <v>86.5</v>
      </c>
      <c r="BN203" s="89">
        <v>29.7</v>
      </c>
      <c r="BO203" s="89">
        <v>29.9</v>
      </c>
      <c r="BP203" s="63">
        <v>34.6</v>
      </c>
      <c r="BQ203" s="63">
        <v>34.6</v>
      </c>
      <c r="BR203" s="89">
        <v>269</v>
      </c>
      <c r="BS203" s="89">
        <v>309</v>
      </c>
      <c r="BT203" s="63">
        <v>13.2</v>
      </c>
      <c r="BU203" s="63">
        <v>13.2</v>
      </c>
      <c r="BV203" s="89">
        <v>1.56</v>
      </c>
      <c r="BW203" s="89">
        <v>1.3</v>
      </c>
      <c r="BX203" s="63">
        <v>7.81</v>
      </c>
      <c r="BY203" s="63">
        <v>13.03</v>
      </c>
      <c r="BZ203" s="89">
        <v>52.7</v>
      </c>
      <c r="CA203" s="89">
        <v>80.3</v>
      </c>
      <c r="CB203" s="63">
        <v>30.5</v>
      </c>
      <c r="CC203" s="63">
        <v>12.7</v>
      </c>
      <c r="CD203" s="89">
        <v>10.6</v>
      </c>
      <c r="CE203" s="89">
        <v>6.3</v>
      </c>
      <c r="CF203" s="63">
        <v>5.8</v>
      </c>
      <c r="CG203" s="63">
        <v>0.5</v>
      </c>
      <c r="CH203" s="89">
        <v>0.4</v>
      </c>
      <c r="CI203" s="89">
        <v>0.2</v>
      </c>
      <c r="CJ203" s="86" t="b">
        <f t="shared" si="23"/>
        <v>0</v>
      </c>
      <c r="CK203" s="2" t="b">
        <f t="shared" si="24"/>
        <v>1</v>
      </c>
      <c r="CL203" s="98">
        <f t="shared" si="19"/>
        <v>82.441199999999995</v>
      </c>
      <c r="CM203" s="98">
        <v>92</v>
      </c>
      <c r="CN203" s="98">
        <v>174.4</v>
      </c>
      <c r="CO203" s="86">
        <v>49.71</v>
      </c>
      <c r="CP203" s="98">
        <v>55</v>
      </c>
      <c r="CQ203" s="98">
        <v>55.5</v>
      </c>
      <c r="CR203" s="96">
        <v>10.39</v>
      </c>
    </row>
    <row r="204" spans="1:96" ht="15.75" customHeight="1">
      <c r="A204" s="50">
        <v>2018</v>
      </c>
      <c r="B204" s="4" t="s">
        <v>187</v>
      </c>
      <c r="C204" s="105">
        <v>3187</v>
      </c>
      <c r="D204" s="101">
        <v>25</v>
      </c>
      <c r="E204" s="101">
        <v>85</v>
      </c>
      <c r="F204" s="101">
        <v>1</v>
      </c>
      <c r="G204" s="51" t="s">
        <v>89</v>
      </c>
      <c r="H204" s="52" t="s">
        <v>90</v>
      </c>
      <c r="I204" s="53" t="s">
        <v>87</v>
      </c>
      <c r="J204" s="52" t="s">
        <v>88</v>
      </c>
      <c r="K204" s="53">
        <v>25</v>
      </c>
      <c r="L204" s="52">
        <v>75</v>
      </c>
      <c r="M204" s="87">
        <v>417</v>
      </c>
      <c r="N204" s="87">
        <v>6101</v>
      </c>
      <c r="O204" s="88">
        <v>13</v>
      </c>
      <c r="P204" s="88">
        <v>82</v>
      </c>
      <c r="Q204" s="89">
        <v>2</v>
      </c>
      <c r="R204" s="108">
        <v>6.4</v>
      </c>
      <c r="S204" s="88">
        <v>529</v>
      </c>
      <c r="T204" s="88">
        <v>919</v>
      </c>
      <c r="U204" s="90">
        <v>32</v>
      </c>
      <c r="V204" s="90">
        <v>143</v>
      </c>
      <c r="W204" s="88">
        <v>4.2</v>
      </c>
      <c r="X204" s="88">
        <v>5</v>
      </c>
      <c r="Y204" s="90">
        <v>37</v>
      </c>
      <c r="Z204" s="90">
        <v>61</v>
      </c>
      <c r="AA204" s="88">
        <v>17</v>
      </c>
      <c r="AB204" s="88">
        <v>33</v>
      </c>
      <c r="AC204" s="89">
        <v>4.4000000000000004</v>
      </c>
      <c r="AD204" s="89">
        <v>5.8</v>
      </c>
      <c r="AE204" s="319">
        <v>85.5</v>
      </c>
      <c r="AF204" s="334">
        <v>94.9</v>
      </c>
      <c r="AG204" s="89">
        <v>41</v>
      </c>
      <c r="AH204" s="89">
        <v>45</v>
      </c>
      <c r="AI204" s="144">
        <v>1.2</v>
      </c>
      <c r="AJ204" s="144">
        <v>1.1000000000000001</v>
      </c>
      <c r="AK204" s="269">
        <f t="shared" si="20"/>
        <v>0</v>
      </c>
      <c r="AL204" s="89">
        <v>3.8</v>
      </c>
      <c r="AM204" s="89">
        <v>5.2</v>
      </c>
      <c r="AN204" s="63">
        <v>6.6</v>
      </c>
      <c r="AO204" s="63">
        <v>8.3000000000000007</v>
      </c>
      <c r="AP204" s="88" t="s">
        <v>94</v>
      </c>
      <c r="AQ204" s="88">
        <v>148</v>
      </c>
      <c r="AR204" s="89">
        <v>8.8000000000000007</v>
      </c>
      <c r="AS204" s="89">
        <v>10.1</v>
      </c>
      <c r="AT204" s="89">
        <v>4.5999999999999996</v>
      </c>
      <c r="AU204" s="89">
        <v>4.3</v>
      </c>
      <c r="AV204" s="63">
        <v>75</v>
      </c>
      <c r="AW204" s="63">
        <v>72</v>
      </c>
      <c r="AX204" s="63">
        <v>139</v>
      </c>
      <c r="AY204" s="63">
        <v>142</v>
      </c>
      <c r="AZ204" s="89">
        <v>1.8</v>
      </c>
      <c r="BA204" s="89">
        <v>2.1</v>
      </c>
      <c r="BB204" s="88">
        <v>103</v>
      </c>
      <c r="BC204" s="88">
        <v>100</v>
      </c>
      <c r="BD204" s="96">
        <f t="shared" si="21"/>
        <v>292.721</v>
      </c>
      <c r="BE204" s="96">
        <f t="shared" si="22"/>
        <v>298.21800000000007</v>
      </c>
      <c r="BF204" s="89">
        <v>4.5599999999999996</v>
      </c>
      <c r="BG204" s="89">
        <v>4.8499999999999996</v>
      </c>
      <c r="BH204" s="63">
        <v>13.3</v>
      </c>
      <c r="BI204" s="63">
        <v>14.2</v>
      </c>
      <c r="BJ204" s="89">
        <v>38.299999999999997</v>
      </c>
      <c r="BK204" s="89">
        <v>41.8</v>
      </c>
      <c r="BL204" s="63">
        <v>84</v>
      </c>
      <c r="BM204" s="63">
        <v>86.2</v>
      </c>
      <c r="BN204" s="89">
        <v>29.2</v>
      </c>
      <c r="BO204" s="89">
        <v>29.3</v>
      </c>
      <c r="BP204" s="63">
        <v>34.700000000000003</v>
      </c>
      <c r="BQ204" s="63">
        <v>34</v>
      </c>
      <c r="BR204" s="89">
        <v>265</v>
      </c>
      <c r="BS204" s="89">
        <v>311</v>
      </c>
      <c r="BT204" s="63">
        <v>13.2</v>
      </c>
      <c r="BU204" s="63">
        <v>13.4</v>
      </c>
      <c r="BV204" s="89">
        <v>1.1399999999999999</v>
      </c>
      <c r="BW204" s="89">
        <v>1.1499999999999999</v>
      </c>
      <c r="BX204" s="63">
        <v>6.21</v>
      </c>
      <c r="BY204" s="63">
        <v>14.35</v>
      </c>
      <c r="BZ204" s="89">
        <v>56.9</v>
      </c>
      <c r="CA204" s="89">
        <v>72.900000000000006</v>
      </c>
      <c r="CB204" s="63">
        <v>31.7</v>
      </c>
      <c r="CC204" s="63">
        <v>19</v>
      </c>
      <c r="CD204" s="89">
        <v>7.7</v>
      </c>
      <c r="CE204" s="89">
        <v>7</v>
      </c>
      <c r="CF204" s="63">
        <v>3.1</v>
      </c>
      <c r="CG204" s="63">
        <v>0.8</v>
      </c>
      <c r="CH204" s="89">
        <v>0.6</v>
      </c>
      <c r="CI204" s="89">
        <v>0.3</v>
      </c>
      <c r="CJ204" s="86" t="b">
        <f t="shared" si="23"/>
        <v>0</v>
      </c>
      <c r="CK204" s="2" t="b">
        <f t="shared" si="24"/>
        <v>1</v>
      </c>
      <c r="CL204" s="98">
        <f t="shared" si="19"/>
        <v>79.512460000000004</v>
      </c>
      <c r="CM204" s="98">
        <v>85.7</v>
      </c>
      <c r="CN204" s="98">
        <v>185</v>
      </c>
      <c r="CO204" s="86">
        <v>52.04</v>
      </c>
      <c r="CP204" s="98">
        <v>50</v>
      </c>
      <c r="CQ204" s="98">
        <v>50</v>
      </c>
      <c r="CR204" s="96">
        <v>7.22</v>
      </c>
    </row>
    <row r="205" spans="1:96" ht="15.75" customHeight="1">
      <c r="A205" s="50">
        <v>2018</v>
      </c>
      <c r="B205" s="4" t="s">
        <v>187</v>
      </c>
      <c r="C205" s="105">
        <v>3189</v>
      </c>
      <c r="D205" s="101">
        <v>28</v>
      </c>
      <c r="E205" s="101">
        <v>77</v>
      </c>
      <c r="F205" s="101">
        <v>2</v>
      </c>
      <c r="G205" s="51" t="s">
        <v>86</v>
      </c>
      <c r="H205" s="52" t="s">
        <v>83</v>
      </c>
      <c r="I205" s="53" t="s">
        <v>84</v>
      </c>
      <c r="J205" s="52" t="s">
        <v>88</v>
      </c>
      <c r="K205" s="53">
        <v>212.5</v>
      </c>
      <c r="L205" s="52">
        <v>-112.5</v>
      </c>
      <c r="M205" s="87">
        <v>667</v>
      </c>
      <c r="N205" s="87">
        <v>19751</v>
      </c>
      <c r="O205" s="88">
        <v>14</v>
      </c>
      <c r="P205" s="88">
        <v>219</v>
      </c>
      <c r="Q205" s="89">
        <v>1.1000000000000001</v>
      </c>
      <c r="R205" s="89">
        <v>5.8</v>
      </c>
      <c r="S205" s="88">
        <v>522</v>
      </c>
      <c r="T205" s="88">
        <v>2835</v>
      </c>
      <c r="U205" s="90">
        <v>32</v>
      </c>
      <c r="V205" s="90">
        <v>398</v>
      </c>
      <c r="W205" s="88">
        <v>4.4000000000000004</v>
      </c>
      <c r="X205" s="88">
        <v>5.4</v>
      </c>
      <c r="Y205" s="90">
        <v>26</v>
      </c>
      <c r="Z205" s="90">
        <v>115</v>
      </c>
      <c r="AA205" s="88">
        <v>18</v>
      </c>
      <c r="AB205" s="88">
        <v>35</v>
      </c>
      <c r="AC205" s="89">
        <v>4.5</v>
      </c>
      <c r="AD205" s="89">
        <v>7</v>
      </c>
      <c r="AE205" s="319">
        <v>104.5</v>
      </c>
      <c r="AF205" s="334">
        <v>104.5</v>
      </c>
      <c r="AG205" s="89">
        <v>31</v>
      </c>
      <c r="AH205" s="89">
        <v>49</v>
      </c>
      <c r="AI205" s="144">
        <v>1</v>
      </c>
      <c r="AJ205" s="144">
        <v>1</v>
      </c>
      <c r="AK205" s="269">
        <f t="shared" si="20"/>
        <v>0</v>
      </c>
      <c r="AL205" s="89">
        <v>4.4000000000000004</v>
      </c>
      <c r="AM205" s="89">
        <v>6.2</v>
      </c>
      <c r="AN205" s="63">
        <v>7.2</v>
      </c>
      <c r="AO205" s="93">
        <v>7.9</v>
      </c>
      <c r="AP205" s="88" t="s">
        <v>94</v>
      </c>
      <c r="AQ205" s="88">
        <v>95</v>
      </c>
      <c r="AR205" s="89">
        <v>8.5</v>
      </c>
      <c r="AS205" s="89">
        <v>9.6</v>
      </c>
      <c r="AT205" s="89">
        <v>4.5999999999999996</v>
      </c>
      <c r="AU205" s="89">
        <v>4.2</v>
      </c>
      <c r="AV205" s="63">
        <v>85</v>
      </c>
      <c r="AW205" s="63">
        <v>82</v>
      </c>
      <c r="AX205" s="63">
        <v>140</v>
      </c>
      <c r="AY205" s="63">
        <v>142</v>
      </c>
      <c r="AZ205" s="89">
        <v>2</v>
      </c>
      <c r="BA205" s="89">
        <v>2.2999999999999998</v>
      </c>
      <c r="BB205" s="88">
        <v>104</v>
      </c>
      <c r="BC205" s="88">
        <v>99</v>
      </c>
      <c r="BD205" s="96">
        <f t="shared" si="21"/>
        <v>293.55322222222225</v>
      </c>
      <c r="BE205" s="96">
        <f t="shared" si="22"/>
        <v>299.33755555555558</v>
      </c>
      <c r="BF205" s="89">
        <v>4.46</v>
      </c>
      <c r="BG205" s="89">
        <v>4.5999999999999996</v>
      </c>
      <c r="BH205" s="63">
        <v>13.9</v>
      </c>
      <c r="BI205" s="63">
        <v>14.4</v>
      </c>
      <c r="BJ205" s="89">
        <v>40.4</v>
      </c>
      <c r="BK205" s="89">
        <v>41.8</v>
      </c>
      <c r="BL205" s="63">
        <v>90.6</v>
      </c>
      <c r="BM205" s="63">
        <v>90.9</v>
      </c>
      <c r="BN205" s="89">
        <v>31.2</v>
      </c>
      <c r="BO205" s="89">
        <v>31.3</v>
      </c>
      <c r="BP205" s="63">
        <v>34.4</v>
      </c>
      <c r="BQ205" s="63">
        <v>34.4</v>
      </c>
      <c r="BR205" s="89">
        <v>184</v>
      </c>
      <c r="BS205" s="89">
        <v>223</v>
      </c>
      <c r="BT205" s="63">
        <v>13.4</v>
      </c>
      <c r="BU205" s="63">
        <v>13.3</v>
      </c>
      <c r="BV205" s="89">
        <v>1.91</v>
      </c>
      <c r="BW205" s="89">
        <v>1.57</v>
      </c>
      <c r="BX205" s="63">
        <v>7</v>
      </c>
      <c r="BY205" s="63">
        <v>17.25</v>
      </c>
      <c r="BZ205" s="89">
        <v>56.7</v>
      </c>
      <c r="CA205" s="89">
        <v>86.8</v>
      </c>
      <c r="CB205" s="63">
        <v>30.4</v>
      </c>
      <c r="CC205" s="63">
        <v>6.7</v>
      </c>
      <c r="CD205" s="89">
        <v>10.7</v>
      </c>
      <c r="CE205" s="89">
        <v>6.4</v>
      </c>
      <c r="CF205" s="63">
        <v>1.9</v>
      </c>
      <c r="CG205" s="63">
        <v>0</v>
      </c>
      <c r="CH205" s="89">
        <v>0.3</v>
      </c>
      <c r="CI205" s="89">
        <v>0.1</v>
      </c>
      <c r="CJ205" s="86" t="b">
        <f t="shared" si="23"/>
        <v>0</v>
      </c>
      <c r="CK205" s="2" t="b">
        <f t="shared" si="24"/>
        <v>1</v>
      </c>
      <c r="CL205" s="98">
        <f t="shared" si="19"/>
        <v>70.76357999999999</v>
      </c>
      <c r="CM205" s="98">
        <v>78.599999999999994</v>
      </c>
      <c r="CN205" s="98">
        <v>179</v>
      </c>
      <c r="CO205" s="86">
        <v>53.31</v>
      </c>
      <c r="CP205" s="98">
        <v>50</v>
      </c>
      <c r="CQ205" s="98">
        <v>44</v>
      </c>
      <c r="CR205" s="96">
        <v>9.9700000000000006</v>
      </c>
    </row>
    <row r="206" spans="1:96" ht="15.75" customHeight="1">
      <c r="A206" s="50">
        <v>2018</v>
      </c>
      <c r="B206" s="4" t="s">
        <v>187</v>
      </c>
      <c r="C206" s="105">
        <v>3190</v>
      </c>
      <c r="D206" s="101">
        <v>29</v>
      </c>
      <c r="E206" s="101">
        <v>80</v>
      </c>
      <c r="F206" s="101">
        <v>1</v>
      </c>
      <c r="G206" s="51" t="s">
        <v>94</v>
      </c>
      <c r="H206" s="52" t="s">
        <v>94</v>
      </c>
      <c r="I206" s="53" t="s">
        <v>94</v>
      </c>
      <c r="J206" s="52" t="s">
        <v>94</v>
      </c>
      <c r="K206" s="53" t="s">
        <v>94</v>
      </c>
      <c r="L206" s="52" t="s">
        <v>94</v>
      </c>
      <c r="M206" s="87">
        <v>1299</v>
      </c>
      <c r="N206" s="87">
        <v>11142</v>
      </c>
      <c r="O206" s="88">
        <v>19</v>
      </c>
      <c r="P206" s="88">
        <v>165</v>
      </c>
      <c r="Q206" s="89">
        <v>1.7</v>
      </c>
      <c r="R206" s="89">
        <v>10</v>
      </c>
      <c r="S206" s="88">
        <v>825</v>
      </c>
      <c r="T206" s="88">
        <v>2333</v>
      </c>
      <c r="U206" s="90">
        <v>59</v>
      </c>
      <c r="V206" s="90">
        <v>231</v>
      </c>
      <c r="W206" s="88">
        <v>4.4000000000000004</v>
      </c>
      <c r="X206" s="88">
        <v>5.2</v>
      </c>
      <c r="Y206" s="90">
        <v>32</v>
      </c>
      <c r="Z206" s="90">
        <v>67</v>
      </c>
      <c r="AA206" s="88">
        <v>20</v>
      </c>
      <c r="AB206" s="88">
        <v>29</v>
      </c>
      <c r="AC206" s="89">
        <v>4.4000000000000004</v>
      </c>
      <c r="AD206" s="89">
        <v>5.2</v>
      </c>
      <c r="AE206" s="319">
        <v>104.5</v>
      </c>
      <c r="AF206" s="334">
        <v>118.6</v>
      </c>
      <c r="AG206" s="89">
        <v>37</v>
      </c>
      <c r="AH206" s="89">
        <v>45</v>
      </c>
      <c r="AI206" s="144">
        <v>1</v>
      </c>
      <c r="AJ206" s="144">
        <v>0.9</v>
      </c>
      <c r="AK206" s="269">
        <f t="shared" si="20"/>
        <v>0</v>
      </c>
      <c r="AL206" s="89">
        <v>4.4000000000000004</v>
      </c>
      <c r="AM206" s="89">
        <v>5.3</v>
      </c>
      <c r="AN206" s="63">
        <v>7.3</v>
      </c>
      <c r="AO206" s="63">
        <v>8.3000000000000007</v>
      </c>
      <c r="AP206" s="88" t="s">
        <v>94</v>
      </c>
      <c r="AQ206" s="88">
        <v>70</v>
      </c>
      <c r="AR206" s="89">
        <v>8.8000000000000007</v>
      </c>
      <c r="AS206" s="89">
        <v>9.8000000000000007</v>
      </c>
      <c r="AT206" s="89">
        <v>4.9000000000000004</v>
      </c>
      <c r="AU206" s="89">
        <v>4.4000000000000004</v>
      </c>
      <c r="AV206" s="63">
        <v>79</v>
      </c>
      <c r="AW206" s="63">
        <v>82</v>
      </c>
      <c r="AX206" s="63">
        <v>140</v>
      </c>
      <c r="AY206" s="63">
        <v>140</v>
      </c>
      <c r="AZ206" s="89">
        <v>1.9</v>
      </c>
      <c r="BA206" s="89">
        <v>2.2000000000000002</v>
      </c>
      <c r="BB206" s="88">
        <v>102</v>
      </c>
      <c r="BC206" s="88">
        <v>96</v>
      </c>
      <c r="BD206" s="96">
        <f t="shared" si="21"/>
        <v>294.72788888888891</v>
      </c>
      <c r="BE206" s="96">
        <f t="shared" si="22"/>
        <v>295.32288888888888</v>
      </c>
      <c r="BF206" s="89">
        <v>4.46</v>
      </c>
      <c r="BG206" s="89">
        <v>4.72</v>
      </c>
      <c r="BH206" s="63">
        <v>13.2</v>
      </c>
      <c r="BI206" s="63">
        <v>14.5</v>
      </c>
      <c r="BJ206" s="89">
        <v>39.799999999999997</v>
      </c>
      <c r="BK206" s="89">
        <v>42.6</v>
      </c>
      <c r="BL206" s="63">
        <v>89.2</v>
      </c>
      <c r="BM206" s="63">
        <v>90.3</v>
      </c>
      <c r="BN206" s="89">
        <v>29.6</v>
      </c>
      <c r="BO206" s="89">
        <v>30.7</v>
      </c>
      <c r="BP206" s="63">
        <v>33.200000000000003</v>
      </c>
      <c r="BQ206" s="63">
        <v>34</v>
      </c>
      <c r="BR206" s="89">
        <v>256</v>
      </c>
      <c r="BS206" s="89">
        <v>271</v>
      </c>
      <c r="BT206" s="63">
        <v>14.2</v>
      </c>
      <c r="BU206" s="63">
        <v>14.4</v>
      </c>
      <c r="BV206" s="89">
        <v>1.17</v>
      </c>
      <c r="BW206" s="89">
        <v>0.98</v>
      </c>
      <c r="BX206" s="63">
        <v>6.28</v>
      </c>
      <c r="BY206" s="63">
        <v>16.09</v>
      </c>
      <c r="BZ206" s="89">
        <v>61</v>
      </c>
      <c r="CA206" s="89">
        <v>87.1</v>
      </c>
      <c r="CB206" s="63">
        <v>29.8</v>
      </c>
      <c r="CC206" s="63">
        <v>7.5</v>
      </c>
      <c r="CD206" s="89">
        <v>6.7</v>
      </c>
      <c r="CE206" s="89">
        <v>5.2</v>
      </c>
      <c r="CF206" s="63">
        <v>1.9</v>
      </c>
      <c r="CG206" s="63">
        <v>0.1</v>
      </c>
      <c r="CH206" s="89">
        <v>0.6</v>
      </c>
      <c r="CI206" s="89">
        <v>0.1</v>
      </c>
      <c r="CJ206" s="86" t="b">
        <f t="shared" si="23"/>
        <v>0</v>
      </c>
      <c r="CK206" s="2" t="b">
        <f t="shared" si="24"/>
        <v>1</v>
      </c>
      <c r="CL206" s="98">
        <f t="shared" si="19"/>
        <v>72.151949999999999</v>
      </c>
      <c r="CM206" s="98">
        <v>81.5</v>
      </c>
      <c r="CN206" s="98">
        <v>175</v>
      </c>
      <c r="CO206" s="86">
        <v>51.49</v>
      </c>
      <c r="CP206" s="98">
        <v>49.5</v>
      </c>
      <c r="CQ206" s="98">
        <v>41</v>
      </c>
      <c r="CR206" s="96">
        <v>11.47</v>
      </c>
    </row>
    <row r="207" spans="1:96" ht="15.75" customHeight="1">
      <c r="A207" s="50">
        <v>2018</v>
      </c>
      <c r="B207" s="4" t="s">
        <v>187</v>
      </c>
      <c r="C207" s="105">
        <v>3193</v>
      </c>
      <c r="D207" s="101">
        <v>29</v>
      </c>
      <c r="E207" s="101">
        <v>83</v>
      </c>
      <c r="F207" s="101">
        <v>0</v>
      </c>
      <c r="G207" s="302" t="s">
        <v>94</v>
      </c>
      <c r="H207" s="62" t="s">
        <v>94</v>
      </c>
      <c r="I207" s="62" t="s">
        <v>94</v>
      </c>
      <c r="J207" s="62" t="s">
        <v>94</v>
      </c>
      <c r="K207" s="62" t="s">
        <v>94</v>
      </c>
      <c r="L207" s="62" t="s">
        <v>94</v>
      </c>
      <c r="M207" s="87">
        <v>380</v>
      </c>
      <c r="N207" s="87">
        <v>2520</v>
      </c>
      <c r="O207" s="88">
        <v>5</v>
      </c>
      <c r="P207" s="88">
        <v>37</v>
      </c>
      <c r="Q207" s="89">
        <v>3.2</v>
      </c>
      <c r="R207" s="89">
        <v>7.4</v>
      </c>
      <c r="S207" s="88">
        <v>384</v>
      </c>
      <c r="T207" s="88">
        <v>869</v>
      </c>
      <c r="U207" s="90">
        <v>24</v>
      </c>
      <c r="V207" s="90">
        <v>76</v>
      </c>
      <c r="W207" s="88">
        <v>4.5</v>
      </c>
      <c r="X207" s="88">
        <v>5</v>
      </c>
      <c r="Y207" s="90">
        <v>28</v>
      </c>
      <c r="Z207" s="90">
        <v>40</v>
      </c>
      <c r="AA207" s="88">
        <v>33</v>
      </c>
      <c r="AB207" s="88">
        <v>35</v>
      </c>
      <c r="AC207" s="89">
        <v>5.2</v>
      </c>
      <c r="AD207" s="89">
        <v>5.9</v>
      </c>
      <c r="AE207" s="319">
        <v>92.6</v>
      </c>
      <c r="AF207" s="334">
        <v>103.8</v>
      </c>
      <c r="AG207" s="89">
        <v>40</v>
      </c>
      <c r="AH207" s="89">
        <v>43</v>
      </c>
      <c r="AI207" s="144">
        <v>1.1000000000000001</v>
      </c>
      <c r="AJ207" s="144">
        <v>1</v>
      </c>
      <c r="AK207" s="269">
        <f t="shared" si="20"/>
        <v>0</v>
      </c>
      <c r="AL207" s="89">
        <v>4.8</v>
      </c>
      <c r="AM207" s="89">
        <v>5.7</v>
      </c>
      <c r="AN207" s="63">
        <v>7.6</v>
      </c>
      <c r="AO207" s="63">
        <v>7.8</v>
      </c>
      <c r="AP207" s="88" t="s">
        <v>94</v>
      </c>
      <c r="AQ207" s="95">
        <v>104</v>
      </c>
      <c r="AR207" s="89">
        <v>9</v>
      </c>
      <c r="AS207" s="89">
        <v>9.8000000000000007</v>
      </c>
      <c r="AT207" s="89">
        <v>5</v>
      </c>
      <c r="AU207" s="89">
        <v>4.5</v>
      </c>
      <c r="AV207" s="63">
        <v>84</v>
      </c>
      <c r="AW207" s="63" t="s">
        <v>94</v>
      </c>
      <c r="AX207" s="63">
        <v>143</v>
      </c>
      <c r="AY207" s="63">
        <v>141</v>
      </c>
      <c r="AZ207" s="89">
        <v>2.2999999999999998</v>
      </c>
      <c r="BA207" s="89">
        <v>2.2000000000000002</v>
      </c>
      <c r="BB207" s="88">
        <v>105</v>
      </c>
      <c r="BC207" s="88">
        <v>99</v>
      </c>
      <c r="BD207" s="96">
        <f t="shared" si="21"/>
        <v>301.31333333333339</v>
      </c>
      <c r="BE207" s="96" t="e">
        <f t="shared" si="22"/>
        <v>#VALUE!</v>
      </c>
      <c r="BF207" s="89">
        <v>4.63</v>
      </c>
      <c r="BG207" s="89">
        <v>4.7</v>
      </c>
      <c r="BH207" s="63">
        <v>13.9</v>
      </c>
      <c r="BI207" s="63">
        <v>14.2</v>
      </c>
      <c r="BJ207" s="89">
        <v>40.4</v>
      </c>
      <c r="BK207" s="89">
        <v>41</v>
      </c>
      <c r="BL207" s="63">
        <v>87.3</v>
      </c>
      <c r="BM207" s="63">
        <v>87.2</v>
      </c>
      <c r="BN207" s="89">
        <v>30</v>
      </c>
      <c r="BO207" s="89">
        <v>30.2</v>
      </c>
      <c r="BP207" s="63">
        <v>34.4</v>
      </c>
      <c r="BQ207" s="63">
        <v>34.6</v>
      </c>
      <c r="BR207" s="89">
        <v>313</v>
      </c>
      <c r="BS207" s="89">
        <v>345</v>
      </c>
      <c r="BT207" s="63">
        <v>12.9</v>
      </c>
      <c r="BU207" s="63">
        <v>12.7</v>
      </c>
      <c r="BV207" s="89">
        <v>1.3</v>
      </c>
      <c r="BW207" s="89">
        <v>1.1299999999999999</v>
      </c>
      <c r="BX207" s="63">
        <v>8.0299999999999994</v>
      </c>
      <c r="BY207" s="63">
        <v>18.54</v>
      </c>
      <c r="BZ207" s="89">
        <v>52.2</v>
      </c>
      <c r="CA207" s="89">
        <v>77.099999999999994</v>
      </c>
      <c r="CB207" s="63">
        <v>37.200000000000003</v>
      </c>
      <c r="CC207" s="63">
        <v>13.6</v>
      </c>
      <c r="CD207" s="89">
        <v>8.5</v>
      </c>
      <c r="CE207" s="89">
        <v>9</v>
      </c>
      <c r="CF207" s="63">
        <v>1.7</v>
      </c>
      <c r="CG207" s="63">
        <v>0.1</v>
      </c>
      <c r="CH207" s="89">
        <v>0.4</v>
      </c>
      <c r="CI207" s="89">
        <v>0.2</v>
      </c>
      <c r="CJ207" s="86" t="b">
        <f t="shared" si="23"/>
        <v>0</v>
      </c>
      <c r="CK207" s="2" t="b">
        <f t="shared" si="24"/>
        <v>1</v>
      </c>
      <c r="CL207" s="98">
        <f t="shared" si="19"/>
        <v>72.809100000000001</v>
      </c>
      <c r="CM207" s="98">
        <v>81.900000000000006</v>
      </c>
      <c r="CN207" s="98">
        <v>180.5</v>
      </c>
      <c r="CO207" s="86">
        <v>51.93</v>
      </c>
      <c r="CP207" s="98">
        <v>44.5</v>
      </c>
      <c r="CQ207" s="98">
        <v>46.5</v>
      </c>
      <c r="CR207" s="96">
        <v>11.1</v>
      </c>
    </row>
    <row r="208" spans="1:96" ht="15.75" customHeight="1">
      <c r="A208" s="50">
        <v>2018</v>
      </c>
      <c r="B208" s="4" t="s">
        <v>187</v>
      </c>
      <c r="C208" s="105">
        <v>3194</v>
      </c>
      <c r="D208" s="101">
        <v>28</v>
      </c>
      <c r="E208" s="101">
        <v>81</v>
      </c>
      <c r="F208" s="101">
        <v>1</v>
      </c>
      <c r="G208" s="302" t="s">
        <v>94</v>
      </c>
      <c r="H208" s="62" t="s">
        <v>94</v>
      </c>
      <c r="I208" s="62" t="s">
        <v>94</v>
      </c>
      <c r="J208" s="62" t="s">
        <v>94</v>
      </c>
      <c r="K208" s="62" t="s">
        <v>94</v>
      </c>
      <c r="L208" s="62" t="s">
        <v>94</v>
      </c>
      <c r="M208" s="87">
        <v>2782</v>
      </c>
      <c r="N208" s="87">
        <v>7563</v>
      </c>
      <c r="O208" s="88">
        <v>19</v>
      </c>
      <c r="P208" s="88">
        <v>101</v>
      </c>
      <c r="Q208" s="89">
        <v>2</v>
      </c>
      <c r="R208" s="89">
        <v>7.8</v>
      </c>
      <c r="S208" s="88">
        <v>778</v>
      </c>
      <c r="T208" s="88">
        <v>1422</v>
      </c>
      <c r="U208" s="90">
        <v>56</v>
      </c>
      <c r="V208" s="90">
        <v>180</v>
      </c>
      <c r="W208" s="88">
        <v>4.8</v>
      </c>
      <c r="X208" s="88">
        <v>5.0999999999999996</v>
      </c>
      <c r="Y208" s="90">
        <v>21</v>
      </c>
      <c r="Z208" s="90">
        <v>39</v>
      </c>
      <c r="AA208" s="88">
        <v>14</v>
      </c>
      <c r="AB208" s="88">
        <v>14</v>
      </c>
      <c r="AC208" s="89">
        <v>6.1</v>
      </c>
      <c r="AD208" s="89">
        <v>7</v>
      </c>
      <c r="AE208" s="319">
        <v>104.5</v>
      </c>
      <c r="AF208" s="334">
        <v>118.6</v>
      </c>
      <c r="AG208" s="89">
        <v>26</v>
      </c>
      <c r="AH208" s="89">
        <v>37</v>
      </c>
      <c r="AI208" s="144">
        <v>1</v>
      </c>
      <c r="AJ208" s="144">
        <v>0.9</v>
      </c>
      <c r="AK208" s="269">
        <f t="shared" si="20"/>
        <v>0</v>
      </c>
      <c r="AL208" s="89">
        <v>4.9000000000000004</v>
      </c>
      <c r="AM208" s="89">
        <v>4.8</v>
      </c>
      <c r="AN208" s="63">
        <v>8.4</v>
      </c>
      <c r="AO208" s="63">
        <v>8.3000000000000007</v>
      </c>
      <c r="AP208" s="88" t="s">
        <v>94</v>
      </c>
      <c r="AQ208" s="88">
        <v>102</v>
      </c>
      <c r="AR208" s="89">
        <v>9.1999999999999993</v>
      </c>
      <c r="AS208" s="89">
        <v>9.9</v>
      </c>
      <c r="AT208" s="89">
        <v>5.5</v>
      </c>
      <c r="AU208" s="89">
        <v>4.2</v>
      </c>
      <c r="AV208" s="63">
        <v>90</v>
      </c>
      <c r="AW208" s="63" t="s">
        <v>94</v>
      </c>
      <c r="AX208" s="63">
        <v>141</v>
      </c>
      <c r="AY208" s="63">
        <v>140</v>
      </c>
      <c r="AZ208" s="89">
        <v>2.2999999999999998</v>
      </c>
      <c r="BA208" s="89">
        <v>2.2999999999999998</v>
      </c>
      <c r="BB208" s="88">
        <v>100</v>
      </c>
      <c r="BC208" s="88">
        <v>97</v>
      </c>
      <c r="BD208" s="96">
        <f t="shared" si="21"/>
        <v>296.57333333333332</v>
      </c>
      <c r="BE208" s="96" t="e">
        <f t="shared" si="22"/>
        <v>#VALUE!</v>
      </c>
      <c r="BF208" s="89">
        <v>4.7699999999999996</v>
      </c>
      <c r="BG208" s="89">
        <v>4.7300000000000004</v>
      </c>
      <c r="BH208" s="63">
        <v>13.9</v>
      </c>
      <c r="BI208" s="63">
        <v>13.8</v>
      </c>
      <c r="BJ208" s="89">
        <v>41.2</v>
      </c>
      <c r="BK208" s="89">
        <v>41.2</v>
      </c>
      <c r="BL208" s="63">
        <v>86.4</v>
      </c>
      <c r="BM208" s="63">
        <v>87.1</v>
      </c>
      <c r="BN208" s="89">
        <v>29.1</v>
      </c>
      <c r="BO208" s="89">
        <v>29.2</v>
      </c>
      <c r="BP208" s="63">
        <v>33.700000000000003</v>
      </c>
      <c r="BQ208" s="63">
        <v>33.5</v>
      </c>
      <c r="BR208" s="89">
        <v>308</v>
      </c>
      <c r="BS208" s="89">
        <v>330</v>
      </c>
      <c r="BT208" s="63">
        <v>14.2</v>
      </c>
      <c r="BU208" s="63">
        <v>14.2</v>
      </c>
      <c r="BV208" s="89">
        <v>1.52</v>
      </c>
      <c r="BW208" s="89">
        <v>1.29</v>
      </c>
      <c r="BX208" s="63">
        <v>5.5</v>
      </c>
      <c r="BY208" s="63">
        <v>12.76</v>
      </c>
      <c r="BZ208" s="89">
        <v>49.6</v>
      </c>
      <c r="CA208" s="89">
        <v>77.900000000000006</v>
      </c>
      <c r="CB208" s="63">
        <v>36.700000000000003</v>
      </c>
      <c r="CC208" s="63">
        <v>12.5</v>
      </c>
      <c r="CD208" s="89">
        <v>12.4</v>
      </c>
      <c r="CE208" s="89">
        <v>9.4</v>
      </c>
      <c r="CF208" s="63">
        <v>0.9</v>
      </c>
      <c r="CG208" s="63">
        <v>0.1</v>
      </c>
      <c r="CH208" s="89">
        <v>0.4</v>
      </c>
      <c r="CI208" s="89">
        <v>0.1</v>
      </c>
      <c r="CJ208" s="86" t="b">
        <f t="shared" si="23"/>
        <v>0</v>
      </c>
      <c r="CK208" s="2" t="b">
        <f t="shared" si="24"/>
        <v>1</v>
      </c>
      <c r="CL208" s="98">
        <f t="shared" ref="CL208:CL271" si="25">$CM208-($CM208*(0.01*$CR208))</f>
        <v>71.943809999999999</v>
      </c>
      <c r="CM208" s="98">
        <v>81.099999999999994</v>
      </c>
      <c r="CN208" s="98">
        <v>178</v>
      </c>
      <c r="CO208" s="86">
        <v>51.6</v>
      </c>
      <c r="CP208" s="98">
        <v>45.5</v>
      </c>
      <c r="CQ208" s="98">
        <v>43</v>
      </c>
      <c r="CR208" s="96">
        <v>11.29</v>
      </c>
    </row>
    <row r="209" spans="1:96" ht="15.75" customHeight="1">
      <c r="A209" s="50">
        <v>2018</v>
      </c>
      <c r="B209" s="4" t="s">
        <v>187</v>
      </c>
      <c r="C209" s="105">
        <v>3195</v>
      </c>
      <c r="D209" s="101">
        <v>26</v>
      </c>
      <c r="E209" s="101">
        <v>68</v>
      </c>
      <c r="F209" s="101">
        <v>1</v>
      </c>
      <c r="G209" s="302" t="s">
        <v>94</v>
      </c>
      <c r="H209" s="62" t="s">
        <v>94</v>
      </c>
      <c r="I209" s="62" t="s">
        <v>94</v>
      </c>
      <c r="J209" s="62" t="s">
        <v>94</v>
      </c>
      <c r="K209" s="62" t="s">
        <v>94</v>
      </c>
      <c r="L209" s="62" t="s">
        <v>94</v>
      </c>
      <c r="M209" s="87">
        <v>957</v>
      </c>
      <c r="N209" s="87">
        <v>2245</v>
      </c>
      <c r="O209" s="88">
        <v>19</v>
      </c>
      <c r="P209" s="88">
        <v>58</v>
      </c>
      <c r="Q209" s="89">
        <v>1.4</v>
      </c>
      <c r="R209" s="89">
        <v>7.4</v>
      </c>
      <c r="S209" s="88">
        <v>667</v>
      </c>
      <c r="T209" s="88">
        <v>905</v>
      </c>
      <c r="U209" s="90">
        <v>42</v>
      </c>
      <c r="V209" s="90">
        <v>89</v>
      </c>
      <c r="W209" s="88">
        <v>4.5</v>
      </c>
      <c r="X209" s="88">
        <v>5.2</v>
      </c>
      <c r="Y209" s="90">
        <v>35</v>
      </c>
      <c r="Z209" s="90">
        <v>38</v>
      </c>
      <c r="AA209" s="88">
        <v>23</v>
      </c>
      <c r="AB209" s="88">
        <v>21</v>
      </c>
      <c r="AC209" s="89">
        <v>3.8</v>
      </c>
      <c r="AD209" s="89">
        <v>5.0999999999999996</v>
      </c>
      <c r="AE209" s="319">
        <v>94.9</v>
      </c>
      <c r="AF209" s="334">
        <v>125.2</v>
      </c>
      <c r="AG209" s="89">
        <v>44</v>
      </c>
      <c r="AH209" s="89">
        <v>35</v>
      </c>
      <c r="AI209" s="144">
        <v>1.1000000000000001</v>
      </c>
      <c r="AJ209" s="144">
        <v>0.8</v>
      </c>
      <c r="AK209" s="269">
        <f t="shared" si="20"/>
        <v>0</v>
      </c>
      <c r="AL209" s="89">
        <v>4.9000000000000004</v>
      </c>
      <c r="AM209" s="89">
        <v>5.0999999999999996</v>
      </c>
      <c r="AN209" s="63">
        <v>7</v>
      </c>
      <c r="AO209" s="63">
        <v>8.4</v>
      </c>
      <c r="AP209" s="88" t="s">
        <v>94</v>
      </c>
      <c r="AQ209" s="88">
        <v>75</v>
      </c>
      <c r="AR209" s="89">
        <v>8.5</v>
      </c>
      <c r="AS209" s="89">
        <v>10</v>
      </c>
      <c r="AT209" s="108">
        <v>4.8</v>
      </c>
      <c r="AU209" s="108">
        <v>3.3</v>
      </c>
      <c r="AV209" s="63">
        <v>88</v>
      </c>
      <c r="AW209" s="63" t="s">
        <v>94</v>
      </c>
      <c r="AX209" s="63">
        <v>139</v>
      </c>
      <c r="AY209" s="63">
        <v>141</v>
      </c>
      <c r="AZ209" s="89">
        <v>2.2000000000000002</v>
      </c>
      <c r="BA209" s="89">
        <v>2.1</v>
      </c>
      <c r="BB209" s="88">
        <v>102</v>
      </c>
      <c r="BC209" s="88">
        <v>97</v>
      </c>
      <c r="BD209" s="96">
        <f t="shared" si="21"/>
        <v>294.42355555555554</v>
      </c>
      <c r="BE209" s="96" t="e">
        <f t="shared" si="22"/>
        <v>#VALUE!</v>
      </c>
      <c r="BF209" s="89">
        <v>4.62</v>
      </c>
      <c r="BG209" s="89">
        <v>4.76</v>
      </c>
      <c r="BH209" s="63">
        <v>14.4</v>
      </c>
      <c r="BI209" s="63">
        <v>15</v>
      </c>
      <c r="BJ209" s="89">
        <v>41.8</v>
      </c>
      <c r="BK209" s="89">
        <v>43</v>
      </c>
      <c r="BL209" s="63">
        <v>90.5</v>
      </c>
      <c r="BM209" s="63">
        <v>90.3</v>
      </c>
      <c r="BN209" s="89">
        <v>31.2</v>
      </c>
      <c r="BO209" s="89">
        <v>31.5</v>
      </c>
      <c r="BP209" s="63">
        <v>34.4</v>
      </c>
      <c r="BQ209" s="63">
        <v>34.9</v>
      </c>
      <c r="BR209" s="89">
        <v>262</v>
      </c>
      <c r="BS209" s="89">
        <v>311</v>
      </c>
      <c r="BT209" s="63">
        <v>12.9</v>
      </c>
      <c r="BU209" s="63">
        <v>12.7</v>
      </c>
      <c r="BV209" s="89">
        <v>1.31</v>
      </c>
      <c r="BW209" s="89">
        <v>1.1299999999999999</v>
      </c>
      <c r="BX209" s="63">
        <v>6.84</v>
      </c>
      <c r="BY209" s="63">
        <v>16.3</v>
      </c>
      <c r="BZ209" s="89">
        <v>55.2</v>
      </c>
      <c r="CA209" s="89">
        <v>78.3</v>
      </c>
      <c r="CB209" s="63">
        <v>32.700000000000003</v>
      </c>
      <c r="CC209" s="63">
        <v>11.5</v>
      </c>
      <c r="CD209" s="89">
        <v>9.8000000000000007</v>
      </c>
      <c r="CE209" s="89">
        <v>9.9</v>
      </c>
      <c r="CF209" s="63">
        <v>2</v>
      </c>
      <c r="CG209" s="63">
        <v>0.1</v>
      </c>
      <c r="CH209" s="89">
        <v>0.3</v>
      </c>
      <c r="CI209" s="89">
        <v>0.2</v>
      </c>
      <c r="CJ209" s="86" t="b">
        <f t="shared" si="23"/>
        <v>0</v>
      </c>
      <c r="CK209" s="2" t="b">
        <f t="shared" si="24"/>
        <v>1</v>
      </c>
      <c r="CL209" s="98">
        <f t="shared" si="25"/>
        <v>62.5396</v>
      </c>
      <c r="CM209" s="98">
        <v>68</v>
      </c>
      <c r="CN209" s="98">
        <v>173</v>
      </c>
      <c r="CO209" s="86">
        <v>55.9</v>
      </c>
      <c r="CP209" s="98">
        <v>39</v>
      </c>
      <c r="CQ209" s="98">
        <v>39</v>
      </c>
      <c r="CR209" s="96">
        <v>8.0299999999999994</v>
      </c>
    </row>
    <row r="210" spans="1:96" ht="15.75" customHeight="1">
      <c r="A210" s="50">
        <v>2018</v>
      </c>
      <c r="B210" s="4" t="s">
        <v>187</v>
      </c>
      <c r="C210" s="105">
        <v>3196</v>
      </c>
      <c r="D210" s="101">
        <v>27</v>
      </c>
      <c r="E210" s="101">
        <v>80</v>
      </c>
      <c r="F210" s="101">
        <v>1</v>
      </c>
      <c r="G210" s="302" t="s">
        <v>94</v>
      </c>
      <c r="H210" s="62" t="s">
        <v>94</v>
      </c>
      <c r="I210" s="62" t="s">
        <v>94</v>
      </c>
      <c r="J210" s="62" t="s">
        <v>94</v>
      </c>
      <c r="K210" s="62" t="s">
        <v>94</v>
      </c>
      <c r="L210" s="62" t="s">
        <v>94</v>
      </c>
      <c r="M210" s="87">
        <v>420</v>
      </c>
      <c r="N210" s="87">
        <v>2513</v>
      </c>
      <c r="O210" s="88">
        <v>18</v>
      </c>
      <c r="P210" s="88">
        <v>41</v>
      </c>
      <c r="Q210" s="89">
        <v>1.4</v>
      </c>
      <c r="R210" s="89">
        <v>4.7</v>
      </c>
      <c r="S210" s="88">
        <v>293</v>
      </c>
      <c r="T210" s="88">
        <v>1119</v>
      </c>
      <c r="U210" s="90">
        <v>39</v>
      </c>
      <c r="V210" s="90">
        <v>78</v>
      </c>
      <c r="W210" s="88">
        <v>4.3</v>
      </c>
      <c r="X210" s="88">
        <v>5.0999999999999996</v>
      </c>
      <c r="Y210" s="90">
        <v>40</v>
      </c>
      <c r="Z210" s="90">
        <v>57</v>
      </c>
      <c r="AA210" s="88">
        <v>15</v>
      </c>
      <c r="AB210" s="88">
        <v>30</v>
      </c>
      <c r="AC210" s="89">
        <v>4.3</v>
      </c>
      <c r="AD210" s="89">
        <v>7.6</v>
      </c>
      <c r="AE210" s="319">
        <v>93.8</v>
      </c>
      <c r="AF210" s="334">
        <v>84.5</v>
      </c>
      <c r="AG210" s="89">
        <v>40</v>
      </c>
      <c r="AH210" s="89">
        <v>56</v>
      </c>
      <c r="AI210" s="144">
        <v>1.1000000000000001</v>
      </c>
      <c r="AJ210" s="144">
        <v>1.2</v>
      </c>
      <c r="AK210" s="269">
        <f t="shared" si="20"/>
        <v>9.9999999999999867E-2</v>
      </c>
      <c r="AL210" s="89">
        <v>4.3</v>
      </c>
      <c r="AM210" s="89">
        <v>5.2</v>
      </c>
      <c r="AN210" s="88">
        <v>6.9</v>
      </c>
      <c r="AO210" s="88">
        <v>8.4</v>
      </c>
      <c r="AP210" s="88" t="s">
        <v>94</v>
      </c>
      <c r="AQ210" s="88">
        <v>67</v>
      </c>
      <c r="AR210" s="89">
        <v>8.6999999999999993</v>
      </c>
      <c r="AS210" s="89">
        <v>10</v>
      </c>
      <c r="AT210" s="89">
        <v>4.8</v>
      </c>
      <c r="AU210" s="89">
        <v>4.9000000000000004</v>
      </c>
      <c r="AV210" s="63">
        <v>94</v>
      </c>
      <c r="AW210" s="63" t="s">
        <v>94</v>
      </c>
      <c r="AX210" s="63">
        <v>141</v>
      </c>
      <c r="AY210" s="63">
        <v>141</v>
      </c>
      <c r="AZ210" s="89">
        <v>2.1</v>
      </c>
      <c r="BA210" s="89">
        <v>2.1</v>
      </c>
      <c r="BB210" s="95">
        <v>105</v>
      </c>
      <c r="BC210" s="88">
        <v>99</v>
      </c>
      <c r="BD210" s="96">
        <f t="shared" si="21"/>
        <v>297.86022222222226</v>
      </c>
      <c r="BE210" s="96" t="e">
        <f t="shared" si="22"/>
        <v>#VALUE!</v>
      </c>
      <c r="BF210" s="89">
        <v>5.36</v>
      </c>
      <c r="BG210" s="89">
        <v>5.5</v>
      </c>
      <c r="BH210" s="63">
        <v>15</v>
      </c>
      <c r="BI210" s="63">
        <v>15.2</v>
      </c>
      <c r="BJ210" s="89">
        <v>43.1</v>
      </c>
      <c r="BK210" s="89">
        <v>44.5</v>
      </c>
      <c r="BL210" s="88">
        <v>80.400000000000006</v>
      </c>
      <c r="BM210" s="88">
        <v>80.900000000000006</v>
      </c>
      <c r="BN210" s="89">
        <v>28</v>
      </c>
      <c r="BO210" s="89">
        <v>27.6</v>
      </c>
      <c r="BP210" s="63">
        <v>34.799999999999997</v>
      </c>
      <c r="BQ210" s="63">
        <v>34.200000000000003</v>
      </c>
      <c r="BR210" s="89">
        <v>241</v>
      </c>
      <c r="BS210" s="89">
        <v>280</v>
      </c>
      <c r="BT210" s="63">
        <v>13</v>
      </c>
      <c r="BU210" s="63">
        <v>12.8</v>
      </c>
      <c r="BV210" s="89">
        <v>0.93</v>
      </c>
      <c r="BW210" s="89">
        <v>1.03</v>
      </c>
      <c r="BX210" s="63">
        <v>5.21</v>
      </c>
      <c r="BY210" s="63">
        <v>12.19</v>
      </c>
      <c r="BZ210" s="89">
        <v>38.200000000000003</v>
      </c>
      <c r="CA210" s="89">
        <v>81.8</v>
      </c>
      <c r="CB210" s="63">
        <v>51.8</v>
      </c>
      <c r="CC210" s="63">
        <v>12.6</v>
      </c>
      <c r="CD210" s="89">
        <v>7.5</v>
      </c>
      <c r="CE210" s="89">
        <v>5.3</v>
      </c>
      <c r="CF210" s="63">
        <v>2.1</v>
      </c>
      <c r="CG210" s="63">
        <v>0.1</v>
      </c>
      <c r="CH210" s="89">
        <v>0.4</v>
      </c>
      <c r="CI210" s="89">
        <v>0.2</v>
      </c>
      <c r="CJ210" s="86" t="b">
        <f t="shared" si="23"/>
        <v>0</v>
      </c>
      <c r="CK210" s="2" t="b">
        <f t="shared" si="24"/>
        <v>1</v>
      </c>
      <c r="CL210" s="98">
        <f t="shared" si="25"/>
        <v>70.30368</v>
      </c>
      <c r="CM210" s="98">
        <v>82.4</v>
      </c>
      <c r="CN210" s="98">
        <v>168</v>
      </c>
      <c r="CO210" s="86">
        <v>50.7</v>
      </c>
      <c r="CP210" s="98">
        <v>60</v>
      </c>
      <c r="CQ210" s="98">
        <v>58</v>
      </c>
      <c r="CR210" s="96">
        <v>14.68</v>
      </c>
    </row>
    <row r="211" spans="1:96" ht="15.75" customHeight="1">
      <c r="A211" s="79">
        <v>2019</v>
      </c>
      <c r="B211" s="79" t="s">
        <v>172</v>
      </c>
      <c r="C211" s="168">
        <v>3197</v>
      </c>
      <c r="D211" s="135">
        <v>26</v>
      </c>
      <c r="E211" s="94">
        <v>83.6</v>
      </c>
      <c r="F211" s="135">
        <v>1</v>
      </c>
      <c r="G211" s="51" t="s">
        <v>86</v>
      </c>
      <c r="H211" s="52" t="s">
        <v>90</v>
      </c>
      <c r="I211" s="53" t="s">
        <v>93</v>
      </c>
      <c r="J211" s="52" t="s">
        <v>85</v>
      </c>
      <c r="K211" s="53">
        <v>50</v>
      </c>
      <c r="L211" s="52">
        <v>50</v>
      </c>
      <c r="M211" s="141">
        <v>243</v>
      </c>
      <c r="N211" s="87">
        <v>1082</v>
      </c>
      <c r="O211" s="94">
        <v>7</v>
      </c>
      <c r="P211" s="88">
        <v>55</v>
      </c>
      <c r="Q211" s="97">
        <v>2.8</v>
      </c>
      <c r="R211" s="89">
        <v>3</v>
      </c>
      <c r="S211" s="94">
        <v>160</v>
      </c>
      <c r="T211" s="88">
        <v>295</v>
      </c>
      <c r="U211" s="147">
        <v>27</v>
      </c>
      <c r="V211" s="90">
        <v>68</v>
      </c>
      <c r="W211" s="94">
        <v>4.5999999999999996</v>
      </c>
      <c r="X211" s="88">
        <v>4.5999999999999996</v>
      </c>
      <c r="Y211" s="147">
        <v>33</v>
      </c>
      <c r="Z211" s="147">
        <v>63</v>
      </c>
      <c r="AA211" s="94">
        <v>17</v>
      </c>
      <c r="AB211" s="88">
        <v>22</v>
      </c>
      <c r="AC211" s="97">
        <v>6.4</v>
      </c>
      <c r="AD211" s="89">
        <v>6.8</v>
      </c>
      <c r="AE211" s="325">
        <v>106.5</v>
      </c>
      <c r="AF211" s="344" t="s">
        <v>115</v>
      </c>
      <c r="AG211" s="97">
        <v>21</v>
      </c>
      <c r="AH211" s="89">
        <v>35</v>
      </c>
      <c r="AI211" s="94">
        <v>1</v>
      </c>
      <c r="AJ211" s="88">
        <v>1</v>
      </c>
      <c r="AK211" s="269">
        <f t="shared" si="20"/>
        <v>0</v>
      </c>
      <c r="AL211" s="97">
        <v>3.3</v>
      </c>
      <c r="AM211" s="89">
        <v>3.9</v>
      </c>
      <c r="AN211" s="94">
        <v>7.5</v>
      </c>
      <c r="AO211" s="88">
        <v>7.6</v>
      </c>
      <c r="AP211" s="94">
        <v>10</v>
      </c>
      <c r="AQ211" s="88">
        <v>52</v>
      </c>
      <c r="AR211" s="97">
        <v>2.8</v>
      </c>
      <c r="AS211" s="89">
        <v>10.4</v>
      </c>
      <c r="AT211" s="97">
        <v>4</v>
      </c>
      <c r="AU211" s="89">
        <v>4.2</v>
      </c>
      <c r="AV211" s="80">
        <v>113</v>
      </c>
      <c r="AW211" s="352">
        <v>113</v>
      </c>
      <c r="AX211" s="94">
        <v>139</v>
      </c>
      <c r="AY211" s="88">
        <v>141</v>
      </c>
      <c r="AZ211" s="97">
        <v>1.3</v>
      </c>
      <c r="BA211" s="89">
        <v>2</v>
      </c>
      <c r="BB211" s="94">
        <v>97</v>
      </c>
      <c r="BC211" s="88">
        <v>104</v>
      </c>
      <c r="BD211" s="96">
        <f t="shared" si="21"/>
        <v>290.69944444444445</v>
      </c>
      <c r="BE211" s="96">
        <f t="shared" si="22"/>
        <v>297.12477777777775</v>
      </c>
      <c r="BF211" s="89" t="s">
        <v>94</v>
      </c>
      <c r="BG211" s="89">
        <v>4.68</v>
      </c>
      <c r="BH211" s="88" t="s">
        <v>94</v>
      </c>
      <c r="BI211" s="88">
        <v>14.3</v>
      </c>
      <c r="BJ211" s="89" t="s">
        <v>94</v>
      </c>
      <c r="BK211" s="89">
        <v>42</v>
      </c>
      <c r="BL211" s="88" t="s">
        <v>94</v>
      </c>
      <c r="BM211" s="88">
        <v>89.7</v>
      </c>
      <c r="BN211" s="89" t="s">
        <v>94</v>
      </c>
      <c r="BO211" s="89">
        <v>30.6</v>
      </c>
      <c r="BP211" s="88" t="s">
        <v>94</v>
      </c>
      <c r="BQ211" s="88">
        <v>34</v>
      </c>
      <c r="BR211" s="89" t="s">
        <v>94</v>
      </c>
      <c r="BS211" s="89">
        <v>447</v>
      </c>
      <c r="BT211" s="88" t="s">
        <v>94</v>
      </c>
      <c r="BU211" s="88">
        <v>12.4</v>
      </c>
      <c r="BV211" s="89" t="s">
        <v>94</v>
      </c>
      <c r="BW211" s="108">
        <v>8.0500000000000002E-2</v>
      </c>
      <c r="BX211" s="88" t="s">
        <v>94</v>
      </c>
      <c r="BY211" s="88">
        <v>8.5399999999999991</v>
      </c>
      <c r="BZ211" s="89" t="s">
        <v>94</v>
      </c>
      <c r="CA211" s="89">
        <v>74.5</v>
      </c>
      <c r="CB211" s="88" t="s">
        <v>94</v>
      </c>
      <c r="CC211" s="88">
        <v>19.100000000000001</v>
      </c>
      <c r="CD211" s="89" t="s">
        <v>94</v>
      </c>
      <c r="CE211" s="89">
        <v>5.5</v>
      </c>
      <c r="CF211" s="88" t="s">
        <v>94</v>
      </c>
      <c r="CG211" s="88">
        <v>0.7</v>
      </c>
      <c r="CH211" s="89" t="s">
        <v>94</v>
      </c>
      <c r="CI211" s="89">
        <v>0.2</v>
      </c>
      <c r="CJ211" s="86" t="b">
        <f t="shared" si="23"/>
        <v>0</v>
      </c>
      <c r="CK211" s="2" t="b">
        <f t="shared" si="24"/>
        <v>1</v>
      </c>
      <c r="CL211" s="98">
        <f t="shared" si="25"/>
        <v>76.297020000000003</v>
      </c>
      <c r="CM211" s="98">
        <v>85.65</v>
      </c>
      <c r="CN211" s="98">
        <v>177</v>
      </c>
      <c r="CO211" s="86">
        <v>51.46</v>
      </c>
      <c r="CP211" s="98">
        <v>48</v>
      </c>
      <c r="CQ211" s="98">
        <v>52</v>
      </c>
      <c r="CR211" s="96">
        <v>10.92</v>
      </c>
    </row>
    <row r="212" spans="1:96" ht="15.75" customHeight="1">
      <c r="A212" s="79">
        <v>2019</v>
      </c>
      <c r="B212" s="79" t="s">
        <v>172</v>
      </c>
      <c r="C212" s="168">
        <v>3200</v>
      </c>
      <c r="D212" s="135">
        <v>25</v>
      </c>
      <c r="E212" s="94">
        <v>76.3</v>
      </c>
      <c r="F212" s="135">
        <v>1</v>
      </c>
      <c r="G212" s="54" t="s">
        <v>82</v>
      </c>
      <c r="H212" s="55" t="s">
        <v>92</v>
      </c>
      <c r="I212" s="56" t="s">
        <v>84</v>
      </c>
      <c r="J212" s="52" t="s">
        <v>85</v>
      </c>
      <c r="K212" s="56">
        <v>37.5</v>
      </c>
      <c r="L212" s="52">
        <v>62.5</v>
      </c>
      <c r="M212" s="141">
        <v>129</v>
      </c>
      <c r="N212" s="87">
        <v>860</v>
      </c>
      <c r="O212" s="94">
        <v>4</v>
      </c>
      <c r="P212" s="88">
        <v>45</v>
      </c>
      <c r="Q212" s="97">
        <v>2</v>
      </c>
      <c r="R212" s="89">
        <v>2.8</v>
      </c>
      <c r="S212" s="94">
        <v>127</v>
      </c>
      <c r="T212" s="88">
        <v>334</v>
      </c>
      <c r="U212" s="147">
        <v>21</v>
      </c>
      <c r="V212" s="90">
        <v>72</v>
      </c>
      <c r="W212" s="94">
        <v>4.2</v>
      </c>
      <c r="X212" s="88">
        <v>4.5999999999999996</v>
      </c>
      <c r="Y212" s="147">
        <v>20</v>
      </c>
      <c r="Z212" s="90">
        <v>82</v>
      </c>
      <c r="AA212" s="94">
        <v>21</v>
      </c>
      <c r="AB212" s="88">
        <v>43</v>
      </c>
      <c r="AC212" s="97">
        <v>4.4000000000000004</v>
      </c>
      <c r="AD212" s="89">
        <v>4.3</v>
      </c>
      <c r="AE212" s="112">
        <v>126</v>
      </c>
      <c r="AF212" s="333" t="s">
        <v>116</v>
      </c>
      <c r="AG212" s="97">
        <v>31</v>
      </c>
      <c r="AH212" s="89">
        <v>45</v>
      </c>
      <c r="AI212" s="94">
        <v>0.8</v>
      </c>
      <c r="AJ212" s="88">
        <v>0.9</v>
      </c>
      <c r="AK212" s="269">
        <f t="shared" si="20"/>
        <v>9.9999999999999978E-2</v>
      </c>
      <c r="AL212" s="97">
        <v>3.2</v>
      </c>
      <c r="AM212" s="89">
        <v>3.1</v>
      </c>
      <c r="AN212" s="94">
        <v>7</v>
      </c>
      <c r="AO212" s="88">
        <v>7.2</v>
      </c>
      <c r="AP212" s="94">
        <v>10</v>
      </c>
      <c r="AQ212" s="88">
        <v>85</v>
      </c>
      <c r="AR212" s="97">
        <v>2.4</v>
      </c>
      <c r="AS212" s="89">
        <v>10.3</v>
      </c>
      <c r="AT212" s="97">
        <v>4.4000000000000004</v>
      </c>
      <c r="AU212" s="89">
        <v>4.3</v>
      </c>
      <c r="AV212" s="80">
        <v>90</v>
      </c>
      <c r="AW212" s="352">
        <v>90</v>
      </c>
      <c r="AX212" s="94">
        <v>139</v>
      </c>
      <c r="AY212" s="88">
        <v>141</v>
      </c>
      <c r="AZ212" s="97">
        <v>1.2</v>
      </c>
      <c r="BA212" s="89">
        <v>2.2000000000000002</v>
      </c>
      <c r="BB212" s="94" t="s">
        <v>94</v>
      </c>
      <c r="BC212" s="88">
        <v>104</v>
      </c>
      <c r="BD212" s="96">
        <f t="shared" si="21"/>
        <v>291.64066666666673</v>
      </c>
      <c r="BE212" s="96">
        <f t="shared" si="22"/>
        <v>297.50800000000004</v>
      </c>
      <c r="BF212" s="89" t="s">
        <v>94</v>
      </c>
      <c r="BG212" s="89">
        <v>4.28</v>
      </c>
      <c r="BH212" s="88" t="s">
        <v>94</v>
      </c>
      <c r="BI212" s="88">
        <v>12.8</v>
      </c>
      <c r="BJ212" s="89" t="s">
        <v>94</v>
      </c>
      <c r="BK212" s="89">
        <v>39</v>
      </c>
      <c r="BL212" s="88" t="s">
        <v>94</v>
      </c>
      <c r="BM212" s="88">
        <v>91.1</v>
      </c>
      <c r="BN212" s="89" t="s">
        <v>94</v>
      </c>
      <c r="BO212" s="89">
        <v>29.9</v>
      </c>
      <c r="BP212" s="88" t="s">
        <v>94</v>
      </c>
      <c r="BQ212" s="88">
        <v>32.799999999999997</v>
      </c>
      <c r="BR212" s="89" t="s">
        <v>94</v>
      </c>
      <c r="BS212" s="89">
        <v>355</v>
      </c>
      <c r="BT212" s="88" t="s">
        <v>94</v>
      </c>
      <c r="BU212" s="88">
        <v>13.3</v>
      </c>
      <c r="BV212" s="89" t="s">
        <v>94</v>
      </c>
      <c r="BW212" s="108">
        <v>7.9200000000000007E-2</v>
      </c>
      <c r="BX212" s="88" t="s">
        <v>94</v>
      </c>
      <c r="BY212" s="88">
        <v>6.19</v>
      </c>
      <c r="BZ212" s="89" t="s">
        <v>94</v>
      </c>
      <c r="CA212" s="89">
        <v>74.900000000000006</v>
      </c>
      <c r="CB212" s="88" t="s">
        <v>94</v>
      </c>
      <c r="CC212" s="88">
        <v>16.2</v>
      </c>
      <c r="CD212" s="89" t="s">
        <v>94</v>
      </c>
      <c r="CE212" s="89">
        <v>8.4</v>
      </c>
      <c r="CF212" s="88" t="s">
        <v>94</v>
      </c>
      <c r="CG212" s="88">
        <v>0.3</v>
      </c>
      <c r="CH212" s="89" t="s">
        <v>94</v>
      </c>
      <c r="CI212" s="89">
        <v>0.2</v>
      </c>
      <c r="CJ212" s="86" t="b">
        <f t="shared" si="23"/>
        <v>0</v>
      </c>
      <c r="CK212" s="2" t="b">
        <f t="shared" si="24"/>
        <v>0</v>
      </c>
      <c r="CL212" s="98">
        <f t="shared" si="25"/>
        <v>73.936000000000007</v>
      </c>
      <c r="CM212" s="98">
        <v>80</v>
      </c>
      <c r="CN212" s="98">
        <v>177.5</v>
      </c>
      <c r="CO212" s="86">
        <v>0</v>
      </c>
      <c r="CP212" s="98">
        <v>42</v>
      </c>
      <c r="CQ212" s="98">
        <v>42</v>
      </c>
      <c r="CR212" s="99">
        <v>7.58</v>
      </c>
    </row>
    <row r="213" spans="1:96" ht="15.75" customHeight="1">
      <c r="A213" s="79">
        <v>2019</v>
      </c>
      <c r="B213" s="79" t="s">
        <v>172</v>
      </c>
      <c r="C213" s="168">
        <v>3202</v>
      </c>
      <c r="D213" s="135">
        <v>25</v>
      </c>
      <c r="E213" s="94">
        <v>85.3</v>
      </c>
      <c r="F213" s="135">
        <v>1</v>
      </c>
      <c r="G213" s="307" t="s">
        <v>82</v>
      </c>
      <c r="H213" s="73" t="s">
        <v>90</v>
      </c>
      <c r="I213" s="74" t="s">
        <v>84</v>
      </c>
      <c r="J213" s="73" t="s">
        <v>88</v>
      </c>
      <c r="K213" s="75">
        <v>25</v>
      </c>
      <c r="L213" s="73">
        <v>75</v>
      </c>
      <c r="M213" s="141">
        <v>192</v>
      </c>
      <c r="N213" s="87">
        <v>826</v>
      </c>
      <c r="O213" s="94">
        <v>9</v>
      </c>
      <c r="P213" s="88">
        <v>46</v>
      </c>
      <c r="Q213" s="97">
        <v>1.9</v>
      </c>
      <c r="R213" s="89">
        <v>4.5999999999999996</v>
      </c>
      <c r="S213" s="94">
        <v>164</v>
      </c>
      <c r="T213" s="88">
        <v>436</v>
      </c>
      <c r="U213" s="147">
        <v>31</v>
      </c>
      <c r="V213" s="90">
        <v>71</v>
      </c>
      <c r="W213" s="94">
        <v>4.0999999999999996</v>
      </c>
      <c r="X213" s="88">
        <v>4.8</v>
      </c>
      <c r="Y213" s="147">
        <v>31</v>
      </c>
      <c r="Z213" s="90">
        <v>62</v>
      </c>
      <c r="AA213" s="94">
        <v>32</v>
      </c>
      <c r="AB213" s="88">
        <v>60</v>
      </c>
      <c r="AC213" s="97">
        <v>4.5999999999999996</v>
      </c>
      <c r="AD213" s="89">
        <v>5.3</v>
      </c>
      <c r="AE213" s="112">
        <v>126</v>
      </c>
      <c r="AF213" s="333" t="s">
        <v>117</v>
      </c>
      <c r="AG213" s="97">
        <v>40</v>
      </c>
      <c r="AH213" s="89">
        <v>37</v>
      </c>
      <c r="AI213" s="94">
        <v>0.8</v>
      </c>
      <c r="AJ213" s="88">
        <v>0.7</v>
      </c>
      <c r="AK213" s="269">
        <f t="shared" si="20"/>
        <v>0</v>
      </c>
      <c r="AL213" s="97">
        <v>3.9</v>
      </c>
      <c r="AM213" s="89">
        <v>3.5</v>
      </c>
      <c r="AN213" s="94">
        <v>6.8</v>
      </c>
      <c r="AO213" s="88">
        <v>7.5</v>
      </c>
      <c r="AP213" s="94">
        <v>10</v>
      </c>
      <c r="AQ213" s="88">
        <v>72</v>
      </c>
      <c r="AR213" s="97">
        <v>1.9</v>
      </c>
      <c r="AS213" s="89">
        <v>9.9</v>
      </c>
      <c r="AT213" s="97">
        <v>3.8</v>
      </c>
      <c r="AU213" s="89">
        <v>3.9</v>
      </c>
      <c r="AV213" s="80">
        <v>100</v>
      </c>
      <c r="AW213" s="352">
        <v>100</v>
      </c>
      <c r="AX213" s="94">
        <v>140</v>
      </c>
      <c r="AY213" s="88">
        <v>141</v>
      </c>
      <c r="AZ213" s="97">
        <v>1.1000000000000001</v>
      </c>
      <c r="BA213" s="89">
        <v>2.2000000000000002</v>
      </c>
      <c r="BB213" s="94" t="s">
        <v>94</v>
      </c>
      <c r="BC213" s="88">
        <v>104</v>
      </c>
      <c r="BD213" s="96">
        <f t="shared" si="21"/>
        <v>294.52355555555562</v>
      </c>
      <c r="BE213" s="96">
        <f t="shared" si="22"/>
        <v>296.06955555555561</v>
      </c>
      <c r="BF213" s="89" t="s">
        <v>94</v>
      </c>
      <c r="BG213" s="89">
        <v>4.37</v>
      </c>
      <c r="BH213" s="88" t="s">
        <v>94</v>
      </c>
      <c r="BI213" s="88">
        <v>13.4</v>
      </c>
      <c r="BJ213" s="89" t="s">
        <v>94</v>
      </c>
      <c r="BK213" s="89">
        <v>41.1</v>
      </c>
      <c r="BL213" s="88" t="s">
        <v>94</v>
      </c>
      <c r="BM213" s="88">
        <v>94.1</v>
      </c>
      <c r="BN213" s="89" t="s">
        <v>94</v>
      </c>
      <c r="BO213" s="89">
        <v>30.7</v>
      </c>
      <c r="BP213" s="88" t="s">
        <v>94</v>
      </c>
      <c r="BQ213" s="88">
        <v>32.6</v>
      </c>
      <c r="BR213" s="89" t="s">
        <v>94</v>
      </c>
      <c r="BS213" s="89">
        <v>183</v>
      </c>
      <c r="BT213" s="88" t="s">
        <v>94</v>
      </c>
      <c r="BU213" s="88">
        <v>13</v>
      </c>
      <c r="BV213" s="89" t="s">
        <v>94</v>
      </c>
      <c r="BW213" s="108">
        <v>8.48E-2</v>
      </c>
      <c r="BX213" s="88" t="s">
        <v>94</v>
      </c>
      <c r="BY213" s="88">
        <v>12.3</v>
      </c>
      <c r="BZ213" s="89" t="s">
        <v>94</v>
      </c>
      <c r="CA213" s="89">
        <v>77.2</v>
      </c>
      <c r="CB213" s="88" t="s">
        <v>94</v>
      </c>
      <c r="CC213" s="88">
        <v>14.2</v>
      </c>
      <c r="CD213" s="89" t="s">
        <v>94</v>
      </c>
      <c r="CE213" s="89">
        <v>8.1999999999999993</v>
      </c>
      <c r="CF213" s="88" t="s">
        <v>94</v>
      </c>
      <c r="CG213" s="88">
        <v>0.2</v>
      </c>
      <c r="CH213" s="89" t="s">
        <v>94</v>
      </c>
      <c r="CI213" s="89">
        <v>0.2</v>
      </c>
      <c r="CJ213" s="86" t="b">
        <f t="shared" si="23"/>
        <v>0</v>
      </c>
      <c r="CK213" s="2" t="b">
        <f t="shared" si="24"/>
        <v>0</v>
      </c>
      <c r="CL213" s="98">
        <f t="shared" si="25"/>
        <v>81.37906000000001</v>
      </c>
      <c r="CM213" s="98">
        <v>88.9</v>
      </c>
      <c r="CN213" s="98">
        <v>184.5</v>
      </c>
      <c r="CO213" s="86">
        <v>49.69</v>
      </c>
      <c r="CP213" s="98">
        <v>54</v>
      </c>
      <c r="CQ213" s="98">
        <v>50</v>
      </c>
      <c r="CR213" s="96">
        <v>8.4600000000000009</v>
      </c>
    </row>
    <row r="214" spans="1:96" ht="15.75" customHeight="1">
      <c r="A214" s="79">
        <v>2019</v>
      </c>
      <c r="B214" s="79" t="s">
        <v>172</v>
      </c>
      <c r="C214" s="168">
        <v>3205</v>
      </c>
      <c r="D214" s="135">
        <v>32</v>
      </c>
      <c r="E214" s="94">
        <v>75.2</v>
      </c>
      <c r="F214" s="135">
        <v>1</v>
      </c>
      <c r="G214" s="54" t="s">
        <v>86</v>
      </c>
      <c r="H214" s="55" t="s">
        <v>94</v>
      </c>
      <c r="I214" s="56" t="s">
        <v>84</v>
      </c>
      <c r="J214" s="55" t="s">
        <v>88</v>
      </c>
      <c r="K214" s="56" t="s">
        <v>94</v>
      </c>
      <c r="L214" s="52" t="s">
        <v>94</v>
      </c>
      <c r="M214" s="87">
        <v>120</v>
      </c>
      <c r="N214" s="87">
        <v>963</v>
      </c>
      <c r="O214" s="88">
        <v>5</v>
      </c>
      <c r="P214" s="88">
        <v>61</v>
      </c>
      <c r="Q214" s="89">
        <v>2.4</v>
      </c>
      <c r="R214" s="89">
        <v>3.9</v>
      </c>
      <c r="S214" s="88">
        <v>153</v>
      </c>
      <c r="T214" s="88">
        <v>484</v>
      </c>
      <c r="U214" s="90">
        <v>23</v>
      </c>
      <c r="V214" s="90">
        <v>78</v>
      </c>
      <c r="W214" s="88">
        <v>4.3</v>
      </c>
      <c r="X214" s="88">
        <v>5.2</v>
      </c>
      <c r="Y214" s="147">
        <v>26</v>
      </c>
      <c r="Z214" s="90">
        <v>90</v>
      </c>
      <c r="AA214" s="88">
        <v>26</v>
      </c>
      <c r="AB214" s="88">
        <v>32</v>
      </c>
      <c r="AC214" s="89">
        <v>5.0999999999999996</v>
      </c>
      <c r="AD214" s="89">
        <v>6</v>
      </c>
      <c r="AE214" s="112">
        <v>116.4</v>
      </c>
      <c r="AF214" s="333" t="s">
        <v>118</v>
      </c>
      <c r="AG214" s="89">
        <v>38</v>
      </c>
      <c r="AH214" s="89">
        <v>53</v>
      </c>
      <c r="AI214" s="88">
        <v>0.9</v>
      </c>
      <c r="AJ214" s="88">
        <v>1</v>
      </c>
      <c r="AK214" s="269">
        <f t="shared" si="20"/>
        <v>9.9999999999999978E-2</v>
      </c>
      <c r="AL214" s="89">
        <v>4</v>
      </c>
      <c r="AM214" s="89">
        <v>3.5</v>
      </c>
      <c r="AN214" s="88">
        <v>6.5</v>
      </c>
      <c r="AO214" s="88">
        <v>7.6</v>
      </c>
      <c r="AP214" s="88">
        <v>10</v>
      </c>
      <c r="AQ214" s="88">
        <v>55</v>
      </c>
      <c r="AR214" s="89">
        <v>1.8</v>
      </c>
      <c r="AS214" s="89">
        <v>10.4</v>
      </c>
      <c r="AT214" s="89">
        <v>4.2</v>
      </c>
      <c r="AU214" s="89">
        <v>4.0999999999999996</v>
      </c>
      <c r="AV214" s="80">
        <v>141</v>
      </c>
      <c r="AW214" s="352">
        <v>141</v>
      </c>
      <c r="AX214" s="88">
        <v>138</v>
      </c>
      <c r="AY214" s="88">
        <v>142</v>
      </c>
      <c r="AZ214" s="89">
        <v>1.1000000000000001</v>
      </c>
      <c r="BA214" s="89">
        <v>2.1</v>
      </c>
      <c r="BB214" s="95">
        <v>99</v>
      </c>
      <c r="BC214" s="88">
        <v>103</v>
      </c>
      <c r="BD214" s="96">
        <f t="shared" si="21"/>
        <v>293.83366666666666</v>
      </c>
      <c r="BE214" s="96">
        <f t="shared" si="22"/>
        <v>303.58766666666662</v>
      </c>
      <c r="BF214" s="89" t="s">
        <v>94</v>
      </c>
      <c r="BG214" s="89">
        <v>4.79</v>
      </c>
      <c r="BH214" s="88" t="s">
        <v>94</v>
      </c>
      <c r="BI214" s="88">
        <v>14.3</v>
      </c>
      <c r="BJ214" s="89" t="s">
        <v>94</v>
      </c>
      <c r="BK214" s="89">
        <v>42.6</v>
      </c>
      <c r="BL214" s="88" t="s">
        <v>94</v>
      </c>
      <c r="BM214" s="88">
        <v>88.9</v>
      </c>
      <c r="BN214" s="89" t="s">
        <v>94</v>
      </c>
      <c r="BO214" s="89">
        <v>29.9</v>
      </c>
      <c r="BP214" s="88" t="s">
        <v>94</v>
      </c>
      <c r="BQ214" s="88">
        <v>33.6</v>
      </c>
      <c r="BR214" s="89" t="s">
        <v>94</v>
      </c>
      <c r="BS214" s="89">
        <v>257</v>
      </c>
      <c r="BT214" s="88" t="s">
        <v>94</v>
      </c>
      <c r="BU214" s="88">
        <v>12.8</v>
      </c>
      <c r="BV214" s="89" t="s">
        <v>94</v>
      </c>
      <c r="BW214" s="108">
        <v>7.9000000000000001E-2</v>
      </c>
      <c r="BX214" s="88" t="s">
        <v>94</v>
      </c>
      <c r="BY214" s="88">
        <v>9.82</v>
      </c>
      <c r="BZ214" s="89" t="s">
        <v>94</v>
      </c>
      <c r="CA214" s="89">
        <v>71.7</v>
      </c>
      <c r="CB214" s="88" t="s">
        <v>94</v>
      </c>
      <c r="CC214" s="88">
        <v>16.2</v>
      </c>
      <c r="CD214" s="89" t="s">
        <v>94</v>
      </c>
      <c r="CE214" s="89">
        <v>9.6</v>
      </c>
      <c r="CF214" s="88" t="s">
        <v>94</v>
      </c>
      <c r="CG214" s="88">
        <v>1.5</v>
      </c>
      <c r="CH214" s="89" t="s">
        <v>94</v>
      </c>
      <c r="CI214" s="89">
        <v>1</v>
      </c>
      <c r="CJ214" s="86" t="b">
        <f t="shared" si="23"/>
        <v>0</v>
      </c>
      <c r="CK214" s="2" t="b">
        <f t="shared" si="24"/>
        <v>0</v>
      </c>
      <c r="CL214" s="98">
        <f t="shared" si="25"/>
        <v>70.381349999999998</v>
      </c>
      <c r="CM214" s="98">
        <v>79.5</v>
      </c>
      <c r="CN214" s="98">
        <v>176.5</v>
      </c>
      <c r="CO214" s="86">
        <v>52.51</v>
      </c>
      <c r="CP214" s="98">
        <v>48</v>
      </c>
      <c r="CQ214" s="98">
        <v>52</v>
      </c>
      <c r="CR214" s="99">
        <v>11.47</v>
      </c>
    </row>
    <row r="215" spans="1:96" ht="15.75" customHeight="1">
      <c r="A215" s="79">
        <v>2019</v>
      </c>
      <c r="B215" s="79" t="s">
        <v>172</v>
      </c>
      <c r="C215" s="168">
        <v>3213</v>
      </c>
      <c r="D215" s="135">
        <v>32</v>
      </c>
      <c r="E215" s="94">
        <v>76.2</v>
      </c>
      <c r="F215" s="135">
        <v>1</v>
      </c>
      <c r="G215" s="303" t="s">
        <v>86</v>
      </c>
      <c r="H215" s="55" t="s">
        <v>83</v>
      </c>
      <c r="I215" s="56" t="s">
        <v>84</v>
      </c>
      <c r="J215" s="55" t="s">
        <v>85</v>
      </c>
      <c r="K215" s="56">
        <v>37.5</v>
      </c>
      <c r="L215" s="55">
        <v>62.5</v>
      </c>
      <c r="M215" s="87">
        <v>154</v>
      </c>
      <c r="N215" s="87">
        <v>5038</v>
      </c>
      <c r="O215" s="88">
        <v>5</v>
      </c>
      <c r="P215" s="88">
        <v>133</v>
      </c>
      <c r="Q215" s="89">
        <v>2.9</v>
      </c>
      <c r="R215" s="89">
        <v>6.4</v>
      </c>
      <c r="S215" s="88">
        <v>149</v>
      </c>
      <c r="T215" s="88">
        <v>697</v>
      </c>
      <c r="U215" s="90">
        <v>22</v>
      </c>
      <c r="V215" s="90">
        <v>166</v>
      </c>
      <c r="W215" s="88">
        <v>4.5</v>
      </c>
      <c r="X215" s="88">
        <v>4.3</v>
      </c>
      <c r="Y215" s="147">
        <v>25</v>
      </c>
      <c r="Z215" s="90">
        <v>102</v>
      </c>
      <c r="AA215" s="88">
        <v>22</v>
      </c>
      <c r="AB215" s="88">
        <v>22</v>
      </c>
      <c r="AC215" s="89">
        <v>3.8</v>
      </c>
      <c r="AD215" s="89">
        <v>4.5</v>
      </c>
      <c r="AE215" s="112">
        <v>120.6</v>
      </c>
      <c r="AF215" s="333" t="s">
        <v>96</v>
      </c>
      <c r="AG215" s="89">
        <v>21</v>
      </c>
      <c r="AH215" s="89">
        <v>36</v>
      </c>
      <c r="AI215" s="88">
        <v>0.8</v>
      </c>
      <c r="AJ215" s="88">
        <v>0.9</v>
      </c>
      <c r="AK215" s="269">
        <f t="shared" si="20"/>
        <v>9.9999999999999978E-2</v>
      </c>
      <c r="AL215" s="89">
        <v>3.3</v>
      </c>
      <c r="AM215" s="89">
        <v>3.2</v>
      </c>
      <c r="AN215" s="88">
        <v>7.3</v>
      </c>
      <c r="AO215" s="88">
        <v>6.8</v>
      </c>
      <c r="AP215" s="88">
        <v>10</v>
      </c>
      <c r="AQ215" s="88">
        <v>45</v>
      </c>
      <c r="AR215" s="89">
        <v>2.1</v>
      </c>
      <c r="AS215" s="89">
        <v>9.9</v>
      </c>
      <c r="AT215" s="89">
        <v>4.8</v>
      </c>
      <c r="AU215" s="89">
        <v>4.0999999999999996</v>
      </c>
      <c r="AV215" s="80">
        <v>93</v>
      </c>
      <c r="AW215" s="80">
        <v>93</v>
      </c>
      <c r="AX215" s="88">
        <v>141</v>
      </c>
      <c r="AY215" s="88">
        <v>141</v>
      </c>
      <c r="AZ215" s="89">
        <v>1</v>
      </c>
      <c r="BA215" s="89">
        <v>2</v>
      </c>
      <c r="BB215" s="88">
        <v>97</v>
      </c>
      <c r="BC215" s="88">
        <v>105</v>
      </c>
      <c r="BD215" s="96">
        <f t="shared" si="21"/>
        <v>294.62966666666671</v>
      </c>
      <c r="BE215" s="96">
        <f t="shared" si="22"/>
        <v>295.82766666666669</v>
      </c>
      <c r="BF215" s="89" t="s">
        <v>94</v>
      </c>
      <c r="BG215" s="89">
        <v>3.94</v>
      </c>
      <c r="BH215" s="88" t="s">
        <v>94</v>
      </c>
      <c r="BI215" s="88">
        <v>12.4</v>
      </c>
      <c r="BJ215" s="89" t="s">
        <v>94</v>
      </c>
      <c r="BK215" s="89">
        <v>38.1</v>
      </c>
      <c r="BL215" s="88" t="s">
        <v>94</v>
      </c>
      <c r="BM215" s="88">
        <v>96.7</v>
      </c>
      <c r="BN215" s="89" t="s">
        <v>94</v>
      </c>
      <c r="BO215" s="89">
        <v>31.5</v>
      </c>
      <c r="BP215" s="88" t="s">
        <v>94</v>
      </c>
      <c r="BQ215" s="88">
        <v>32.5</v>
      </c>
      <c r="BR215" s="89" t="s">
        <v>94</v>
      </c>
      <c r="BS215" s="89">
        <v>285</v>
      </c>
      <c r="BT215" s="88" t="s">
        <v>94</v>
      </c>
      <c r="BU215" s="88">
        <v>13.9</v>
      </c>
      <c r="BV215" s="89" t="s">
        <v>94</v>
      </c>
      <c r="BW215" s="108">
        <v>6.3E-2</v>
      </c>
      <c r="BX215" s="88" t="s">
        <v>94</v>
      </c>
      <c r="BY215" s="88">
        <v>13.43</v>
      </c>
      <c r="BZ215" s="89" t="s">
        <v>94</v>
      </c>
      <c r="CA215" s="89">
        <v>81.400000000000006</v>
      </c>
      <c r="CB215" s="88" t="s">
        <v>94</v>
      </c>
      <c r="CC215" s="88">
        <v>8.8000000000000007</v>
      </c>
      <c r="CD215" s="89" t="s">
        <v>94</v>
      </c>
      <c r="CE215" s="89">
        <v>9.6</v>
      </c>
      <c r="CF215" s="88" t="s">
        <v>94</v>
      </c>
      <c r="CG215" s="88">
        <v>0.1</v>
      </c>
      <c r="CH215" s="89" t="s">
        <v>94</v>
      </c>
      <c r="CI215" s="89">
        <v>0.1</v>
      </c>
      <c r="CJ215" s="86" t="b">
        <f t="shared" si="23"/>
        <v>0</v>
      </c>
      <c r="CK215" s="2" t="b">
        <f t="shared" si="24"/>
        <v>1</v>
      </c>
      <c r="CL215" s="98">
        <f t="shared" si="25"/>
        <v>71.386020000000002</v>
      </c>
      <c r="CM215" s="98">
        <v>77.400000000000006</v>
      </c>
      <c r="CN215" s="98">
        <v>175</v>
      </c>
      <c r="CO215" s="86">
        <v>53.39</v>
      </c>
      <c r="CP215" s="98">
        <v>48</v>
      </c>
      <c r="CQ215" s="98">
        <v>44</v>
      </c>
      <c r="CR215" s="96">
        <v>7.77</v>
      </c>
    </row>
    <row r="216" spans="1:96" ht="15.75" customHeight="1">
      <c r="A216" s="79">
        <v>2019</v>
      </c>
      <c r="B216" s="79" t="s">
        <v>172</v>
      </c>
      <c r="C216" s="168">
        <v>3214</v>
      </c>
      <c r="D216" s="135">
        <v>31</v>
      </c>
      <c r="E216" s="94">
        <v>79</v>
      </c>
      <c r="F216" s="135">
        <v>1</v>
      </c>
      <c r="G216" s="76" t="s">
        <v>89</v>
      </c>
      <c r="H216" s="55" t="s">
        <v>90</v>
      </c>
      <c r="I216" s="56" t="s">
        <v>87</v>
      </c>
      <c r="J216" s="55" t="s">
        <v>91</v>
      </c>
      <c r="K216" s="56">
        <v>25</v>
      </c>
      <c r="L216" s="55">
        <v>75</v>
      </c>
      <c r="M216" s="87">
        <v>123</v>
      </c>
      <c r="N216" s="87">
        <v>696</v>
      </c>
      <c r="O216" s="88">
        <v>4</v>
      </c>
      <c r="P216" s="88">
        <v>34</v>
      </c>
      <c r="Q216" s="89">
        <v>3.2</v>
      </c>
      <c r="R216" s="89">
        <v>3.2</v>
      </c>
      <c r="S216" s="88">
        <v>140</v>
      </c>
      <c r="T216" s="88">
        <v>299</v>
      </c>
      <c r="U216" s="90">
        <v>24</v>
      </c>
      <c r="V216" s="90">
        <v>55</v>
      </c>
      <c r="W216" s="88">
        <v>4.0999999999999996</v>
      </c>
      <c r="X216" s="88">
        <v>4.2</v>
      </c>
      <c r="Y216" s="147">
        <v>26</v>
      </c>
      <c r="Z216" s="90">
        <v>45</v>
      </c>
      <c r="AA216" s="88">
        <v>26</v>
      </c>
      <c r="AB216" s="88">
        <v>34</v>
      </c>
      <c r="AC216" s="89">
        <v>5</v>
      </c>
      <c r="AD216" s="89">
        <v>5.7</v>
      </c>
      <c r="AE216" s="112">
        <v>121.3</v>
      </c>
      <c r="AF216" s="112">
        <v>126.3</v>
      </c>
      <c r="AG216" s="89">
        <v>31</v>
      </c>
      <c r="AH216" s="89">
        <v>37</v>
      </c>
      <c r="AI216" s="88">
        <v>0.8</v>
      </c>
      <c r="AJ216" s="88">
        <v>0.7</v>
      </c>
      <c r="AK216" s="269">
        <f t="shared" si="20"/>
        <v>0</v>
      </c>
      <c r="AL216" s="89">
        <v>3.3</v>
      </c>
      <c r="AM216" s="89">
        <v>3.7</v>
      </c>
      <c r="AN216" s="88">
        <v>6.5</v>
      </c>
      <c r="AO216" s="88">
        <v>6.7</v>
      </c>
      <c r="AP216" s="88">
        <v>10</v>
      </c>
      <c r="AQ216" s="88">
        <v>40</v>
      </c>
      <c r="AR216" s="89">
        <v>1.8</v>
      </c>
      <c r="AS216" s="89">
        <v>9.5</v>
      </c>
      <c r="AT216" s="89">
        <v>4.0999999999999996</v>
      </c>
      <c r="AU216" s="89">
        <v>4.2</v>
      </c>
      <c r="AV216" s="80">
        <v>117</v>
      </c>
      <c r="AW216" s="80">
        <v>117</v>
      </c>
      <c r="AX216" s="88">
        <v>141</v>
      </c>
      <c r="AY216" s="88">
        <v>138</v>
      </c>
      <c r="AZ216" s="89">
        <v>1</v>
      </c>
      <c r="BA216" s="89">
        <v>2</v>
      </c>
      <c r="BB216" s="95">
        <v>97</v>
      </c>
      <c r="BC216" s="88">
        <v>101</v>
      </c>
      <c r="BD216" s="96">
        <f t="shared" si="21"/>
        <v>296.52766666666673</v>
      </c>
      <c r="BE216" s="96">
        <f t="shared" si="22"/>
        <v>292.13366666666673</v>
      </c>
      <c r="BF216" s="89" t="s">
        <v>94</v>
      </c>
      <c r="BG216" s="89">
        <v>4.58</v>
      </c>
      <c r="BH216" s="88" t="s">
        <v>94</v>
      </c>
      <c r="BI216" s="88">
        <v>13.1</v>
      </c>
      <c r="BJ216" s="89" t="s">
        <v>94</v>
      </c>
      <c r="BK216" s="89">
        <v>39.6</v>
      </c>
      <c r="BL216" s="88" t="s">
        <v>94</v>
      </c>
      <c r="BM216" s="88">
        <v>86.5</v>
      </c>
      <c r="BN216" s="89" t="s">
        <v>94</v>
      </c>
      <c r="BO216" s="89">
        <v>28.6</v>
      </c>
      <c r="BP216" s="88" t="s">
        <v>94</v>
      </c>
      <c r="BQ216" s="88">
        <v>33.1</v>
      </c>
      <c r="BR216" s="89" t="s">
        <v>94</v>
      </c>
      <c r="BS216" s="89">
        <v>256</v>
      </c>
      <c r="BT216" s="88" t="s">
        <v>94</v>
      </c>
      <c r="BU216" s="88">
        <v>12.8</v>
      </c>
      <c r="BV216" s="89" t="s">
        <v>94</v>
      </c>
      <c r="BW216" s="89" t="s">
        <v>94</v>
      </c>
      <c r="BX216" s="88" t="s">
        <v>94</v>
      </c>
      <c r="BY216" s="88">
        <v>9.3699999999999992</v>
      </c>
      <c r="BZ216" s="89" t="s">
        <v>94</v>
      </c>
      <c r="CA216" s="89">
        <v>80.599999999999994</v>
      </c>
      <c r="CB216" s="88" t="s">
        <v>94</v>
      </c>
      <c r="CC216" s="88">
        <v>11.8</v>
      </c>
      <c r="CD216" s="89" t="s">
        <v>94</v>
      </c>
      <c r="CE216" s="89">
        <v>7</v>
      </c>
      <c r="CF216" s="88" t="s">
        <v>94</v>
      </c>
      <c r="CG216" s="88">
        <v>0.4</v>
      </c>
      <c r="CH216" s="89" t="s">
        <v>94</v>
      </c>
      <c r="CI216" s="89">
        <v>0.2</v>
      </c>
      <c r="CJ216" s="86" t="b">
        <f t="shared" si="23"/>
        <v>0</v>
      </c>
      <c r="CK216" s="2" t="b">
        <f t="shared" si="24"/>
        <v>0</v>
      </c>
      <c r="CL216" s="98">
        <f t="shared" si="25"/>
        <v>70.427400000000006</v>
      </c>
      <c r="CM216" s="98">
        <v>80.25</v>
      </c>
      <c r="CN216" s="98">
        <v>178</v>
      </c>
      <c r="CO216" s="86">
        <v>51.39</v>
      </c>
      <c r="CP216" s="98">
        <v>48</v>
      </c>
      <c r="CQ216" s="98">
        <v>47</v>
      </c>
      <c r="CR216" s="99">
        <v>12.24</v>
      </c>
    </row>
    <row r="217" spans="1:96" ht="15.75" customHeight="1">
      <c r="A217" s="79">
        <v>2019</v>
      </c>
      <c r="B217" s="79" t="s">
        <v>172</v>
      </c>
      <c r="C217" s="168">
        <v>3215</v>
      </c>
      <c r="D217" s="135">
        <v>33</v>
      </c>
      <c r="E217" s="94">
        <v>73.400000000000006</v>
      </c>
      <c r="F217" s="135">
        <v>1</v>
      </c>
      <c r="G217" s="81" t="s">
        <v>82</v>
      </c>
      <c r="H217" s="52" t="s">
        <v>90</v>
      </c>
      <c r="I217" s="53" t="s">
        <v>84</v>
      </c>
      <c r="J217" s="55" t="s">
        <v>88</v>
      </c>
      <c r="K217" s="53">
        <v>25</v>
      </c>
      <c r="L217" s="52">
        <v>75</v>
      </c>
      <c r="M217" s="87">
        <v>77</v>
      </c>
      <c r="N217" s="87">
        <v>583</v>
      </c>
      <c r="O217" s="88">
        <v>3</v>
      </c>
      <c r="P217" s="88">
        <v>40</v>
      </c>
      <c r="Q217" s="89">
        <v>2.2000000000000002</v>
      </c>
      <c r="R217" s="89">
        <v>3.3</v>
      </c>
      <c r="S217" s="88">
        <v>149</v>
      </c>
      <c r="T217" s="88">
        <v>365</v>
      </c>
      <c r="U217" s="90">
        <v>17</v>
      </c>
      <c r="V217" s="90">
        <v>65</v>
      </c>
      <c r="W217" s="88">
        <v>4</v>
      </c>
      <c r="X217" s="88">
        <v>4.4000000000000004</v>
      </c>
      <c r="Y217" s="147">
        <v>18</v>
      </c>
      <c r="Z217" s="90">
        <v>66</v>
      </c>
      <c r="AA217" s="88">
        <v>15</v>
      </c>
      <c r="AB217" s="88">
        <v>28</v>
      </c>
      <c r="AC217" s="89">
        <v>2.6</v>
      </c>
      <c r="AD217" s="89">
        <v>4.0999999999999996</v>
      </c>
      <c r="AE217" s="112">
        <v>119.8</v>
      </c>
      <c r="AF217" s="112">
        <v>101.9</v>
      </c>
      <c r="AG217" s="89">
        <v>40</v>
      </c>
      <c r="AH217" s="89">
        <v>42</v>
      </c>
      <c r="AI217" s="88">
        <v>0.8</v>
      </c>
      <c r="AJ217" s="88">
        <v>1</v>
      </c>
      <c r="AK217" s="269">
        <f t="shared" si="20"/>
        <v>0.19999999999999996</v>
      </c>
      <c r="AL217" s="89">
        <v>3</v>
      </c>
      <c r="AM217" s="89">
        <v>3</v>
      </c>
      <c r="AN217" s="88">
        <v>6.5</v>
      </c>
      <c r="AO217" s="88">
        <v>7.2</v>
      </c>
      <c r="AP217" s="88">
        <v>10</v>
      </c>
      <c r="AQ217" s="88">
        <v>49</v>
      </c>
      <c r="AR217" s="89">
        <v>1</v>
      </c>
      <c r="AS217" s="89">
        <v>9.9</v>
      </c>
      <c r="AT217" s="89">
        <v>4.7</v>
      </c>
      <c r="AU217" s="89">
        <v>4.0999999999999996</v>
      </c>
      <c r="AV217" s="80">
        <v>104</v>
      </c>
      <c r="AW217" s="80">
        <v>104</v>
      </c>
      <c r="AX217" s="88">
        <v>128</v>
      </c>
      <c r="AY217" s="88">
        <v>138</v>
      </c>
      <c r="AZ217" s="89">
        <v>0.4</v>
      </c>
      <c r="BA217" s="89">
        <v>2.1</v>
      </c>
      <c r="BB217" s="95">
        <v>89</v>
      </c>
      <c r="BC217" s="88">
        <v>104</v>
      </c>
      <c r="BD217" s="96">
        <f t="shared" si="21"/>
        <v>274.13311111111113</v>
      </c>
      <c r="BE217" s="96">
        <f t="shared" si="22"/>
        <v>291.95044444444443</v>
      </c>
      <c r="BF217" s="89" t="s">
        <v>94</v>
      </c>
      <c r="BG217" s="89">
        <v>4.47</v>
      </c>
      <c r="BH217" s="88" t="s">
        <v>94</v>
      </c>
      <c r="BI217" s="88">
        <v>13</v>
      </c>
      <c r="BJ217" s="89" t="s">
        <v>94</v>
      </c>
      <c r="BK217" s="89">
        <v>40.200000000000003</v>
      </c>
      <c r="BL217" s="88" t="s">
        <v>94</v>
      </c>
      <c r="BM217" s="88">
        <v>89.9</v>
      </c>
      <c r="BN217" s="89" t="s">
        <v>94</v>
      </c>
      <c r="BO217" s="89">
        <v>29.1</v>
      </c>
      <c r="BP217" s="88" t="s">
        <v>94</v>
      </c>
      <c r="BQ217" s="88">
        <v>32.299999999999997</v>
      </c>
      <c r="BR217" s="89" t="s">
        <v>94</v>
      </c>
      <c r="BS217" s="89">
        <v>281</v>
      </c>
      <c r="BT217" s="88" t="s">
        <v>94</v>
      </c>
      <c r="BU217" s="88">
        <v>13.3</v>
      </c>
      <c r="BV217" s="89" t="s">
        <v>94</v>
      </c>
      <c r="BW217" s="108">
        <v>7.1499999999999994E-2</v>
      </c>
      <c r="BX217" s="88" t="s">
        <v>94</v>
      </c>
      <c r="BY217" s="88">
        <v>11.83</v>
      </c>
      <c r="BZ217" s="89" t="s">
        <v>94</v>
      </c>
      <c r="CA217" s="89">
        <v>86.2</v>
      </c>
      <c r="CB217" s="88" t="s">
        <v>94</v>
      </c>
      <c r="CC217" s="88">
        <v>7.7</v>
      </c>
      <c r="CD217" s="89" t="s">
        <v>94</v>
      </c>
      <c r="CE217" s="89">
        <v>5.3</v>
      </c>
      <c r="CF217" s="88" t="s">
        <v>94</v>
      </c>
      <c r="CG217" s="88">
        <v>0.5</v>
      </c>
      <c r="CH217" s="89" t="s">
        <v>94</v>
      </c>
      <c r="CI217" s="89">
        <v>0.3</v>
      </c>
      <c r="CJ217" s="86" t="b">
        <f t="shared" si="23"/>
        <v>0</v>
      </c>
      <c r="CK217" s="2" t="b">
        <f t="shared" si="24"/>
        <v>0</v>
      </c>
      <c r="CL217" s="98">
        <f t="shared" si="25"/>
        <v>66.237339999999989</v>
      </c>
      <c r="CM217" s="98">
        <v>74.599999999999994</v>
      </c>
      <c r="CN217" s="98">
        <v>178.5</v>
      </c>
      <c r="CO217" s="86">
        <v>50</v>
      </c>
      <c r="CP217" s="98">
        <v>62</v>
      </c>
      <c r="CQ217" s="98">
        <v>58</v>
      </c>
      <c r="CR217" s="99">
        <v>11.21</v>
      </c>
    </row>
    <row r="218" spans="1:96" ht="15.75" customHeight="1">
      <c r="A218" s="79">
        <v>2019</v>
      </c>
      <c r="B218" s="79" t="s">
        <v>172</v>
      </c>
      <c r="C218" s="168">
        <v>3216</v>
      </c>
      <c r="D218" s="135">
        <v>31</v>
      </c>
      <c r="E218" s="94">
        <v>70</v>
      </c>
      <c r="F218" s="135">
        <v>1</v>
      </c>
      <c r="G218" s="76" t="s">
        <v>86</v>
      </c>
      <c r="H218" s="55" t="s">
        <v>90</v>
      </c>
      <c r="I218" s="54" t="s">
        <v>84</v>
      </c>
      <c r="J218" s="55" t="s">
        <v>88</v>
      </c>
      <c r="K218" s="51">
        <v>50</v>
      </c>
      <c r="L218" s="55">
        <v>50</v>
      </c>
      <c r="M218" s="87">
        <v>186</v>
      </c>
      <c r="N218" s="87">
        <v>928</v>
      </c>
      <c r="O218" s="88">
        <v>9</v>
      </c>
      <c r="P218" s="88">
        <v>49</v>
      </c>
      <c r="Q218" s="89">
        <v>2.9</v>
      </c>
      <c r="R218" s="89">
        <v>2.6</v>
      </c>
      <c r="S218" s="88">
        <v>178</v>
      </c>
      <c r="T218" s="88">
        <v>455</v>
      </c>
      <c r="U218" s="90">
        <v>29</v>
      </c>
      <c r="V218" s="90">
        <v>72</v>
      </c>
      <c r="W218" s="88">
        <v>4.5999999999999996</v>
      </c>
      <c r="X218" s="88">
        <v>4.8</v>
      </c>
      <c r="Y218" s="147">
        <v>36</v>
      </c>
      <c r="Z218" s="90">
        <v>58</v>
      </c>
      <c r="AA218" s="88">
        <v>34</v>
      </c>
      <c r="AB218" s="88">
        <v>40</v>
      </c>
      <c r="AC218" s="89">
        <v>5.5</v>
      </c>
      <c r="AD218" s="89">
        <v>5.8</v>
      </c>
      <c r="AE218" s="112">
        <v>117.1</v>
      </c>
      <c r="AF218" s="112">
        <v>121.3</v>
      </c>
      <c r="AG218" s="89">
        <v>34</v>
      </c>
      <c r="AH218" s="89">
        <v>50</v>
      </c>
      <c r="AI218" s="88">
        <v>0.9</v>
      </c>
      <c r="AJ218" s="88">
        <v>0.8</v>
      </c>
      <c r="AK218" s="269">
        <f t="shared" si="20"/>
        <v>0</v>
      </c>
      <c r="AL218" s="89">
        <v>2.8</v>
      </c>
      <c r="AM218" s="89">
        <v>3</v>
      </c>
      <c r="AN218" s="88">
        <v>7.2</v>
      </c>
      <c r="AO218" s="88">
        <v>7.6</v>
      </c>
      <c r="AP218" s="88">
        <v>10</v>
      </c>
      <c r="AQ218" s="88">
        <v>95</v>
      </c>
      <c r="AR218" s="89">
        <v>1.9</v>
      </c>
      <c r="AS218" s="89">
        <v>10.1</v>
      </c>
      <c r="AT218" s="89">
        <v>3.8</v>
      </c>
      <c r="AU218" s="89">
        <v>3.8</v>
      </c>
      <c r="AV218" s="80">
        <v>133</v>
      </c>
      <c r="AW218" s="80">
        <v>133</v>
      </c>
      <c r="AX218" s="88">
        <v>141</v>
      </c>
      <c r="AY218" s="88">
        <v>141</v>
      </c>
      <c r="AZ218" s="89">
        <v>1.2</v>
      </c>
      <c r="BA218" s="89">
        <v>2.2999999999999998</v>
      </c>
      <c r="BB218" s="95">
        <v>99</v>
      </c>
      <c r="BC218" s="88">
        <v>104</v>
      </c>
      <c r="BD218" s="96">
        <f t="shared" si="21"/>
        <v>297.49188888888892</v>
      </c>
      <c r="BE218" s="96">
        <f t="shared" si="22"/>
        <v>300.15855555555555</v>
      </c>
      <c r="BF218" s="89" t="s">
        <v>94</v>
      </c>
      <c r="BG218" s="89">
        <v>4.93</v>
      </c>
      <c r="BH218" s="88" t="s">
        <v>94</v>
      </c>
      <c r="BI218" s="88">
        <v>15.2</v>
      </c>
      <c r="BJ218" s="89" t="s">
        <v>94</v>
      </c>
      <c r="BK218" s="89">
        <v>46.1</v>
      </c>
      <c r="BL218" s="88" t="s">
        <v>94</v>
      </c>
      <c r="BM218" s="88">
        <v>93.5</v>
      </c>
      <c r="BN218" s="89" t="s">
        <v>94</v>
      </c>
      <c r="BO218" s="89">
        <v>30.8</v>
      </c>
      <c r="BP218" s="88" t="s">
        <v>94</v>
      </c>
      <c r="BQ218" s="88">
        <v>33</v>
      </c>
      <c r="BR218" s="89" t="s">
        <v>94</v>
      </c>
      <c r="BS218" s="89">
        <v>215</v>
      </c>
      <c r="BT218" s="88" t="s">
        <v>94</v>
      </c>
      <c r="BU218" s="88">
        <v>12.3</v>
      </c>
      <c r="BV218" s="89" t="s">
        <v>94</v>
      </c>
      <c r="BW218" s="108">
        <v>7.0999999999999994E-2</v>
      </c>
      <c r="BX218" s="88" t="s">
        <v>94</v>
      </c>
      <c r="BY218" s="88">
        <v>10.51</v>
      </c>
      <c r="BZ218" s="89" t="s">
        <v>94</v>
      </c>
      <c r="CA218" s="89">
        <v>84.2</v>
      </c>
      <c r="CB218" s="88" t="s">
        <v>94</v>
      </c>
      <c r="CC218" s="88">
        <v>10.6</v>
      </c>
      <c r="CD218" s="89" t="s">
        <v>94</v>
      </c>
      <c r="CE218" s="89">
        <v>4.5</v>
      </c>
      <c r="CF218" s="88" t="s">
        <v>94</v>
      </c>
      <c r="CG218" s="88">
        <v>0.5</v>
      </c>
      <c r="CH218" s="89" t="s">
        <v>94</v>
      </c>
      <c r="CI218" s="89">
        <v>0.2</v>
      </c>
      <c r="CJ218" s="86" t="b">
        <f t="shared" si="23"/>
        <v>0</v>
      </c>
      <c r="CK218" s="2" t="b">
        <f t="shared" si="24"/>
        <v>0</v>
      </c>
      <c r="CL218" s="98">
        <f t="shared" si="25"/>
        <v>65.387150000000005</v>
      </c>
      <c r="CM218" s="98">
        <v>70.75</v>
      </c>
      <c r="CN218" s="98">
        <v>181.5</v>
      </c>
      <c r="CO218" s="86">
        <v>54.55</v>
      </c>
      <c r="CP218" s="98">
        <v>50</v>
      </c>
      <c r="CQ218" s="98">
        <v>42</v>
      </c>
      <c r="CR218" s="96">
        <v>7.58</v>
      </c>
    </row>
    <row r="219" spans="1:96" ht="15.75" customHeight="1">
      <c r="A219" s="79">
        <v>2019</v>
      </c>
      <c r="B219" s="79" t="s">
        <v>172</v>
      </c>
      <c r="C219" s="168">
        <v>3219</v>
      </c>
      <c r="D219" s="135">
        <v>0</v>
      </c>
      <c r="E219" s="94">
        <v>0</v>
      </c>
      <c r="F219" s="135">
        <v>1</v>
      </c>
      <c r="G219" s="51" t="s">
        <v>86</v>
      </c>
      <c r="H219" s="52" t="s">
        <v>83</v>
      </c>
      <c r="I219" s="51" t="s">
        <v>93</v>
      </c>
      <c r="J219" s="55" t="s">
        <v>88</v>
      </c>
      <c r="K219" s="51">
        <v>75</v>
      </c>
      <c r="L219" s="52">
        <v>25</v>
      </c>
      <c r="M219" s="87">
        <v>116</v>
      </c>
      <c r="N219" s="87">
        <v>2974</v>
      </c>
      <c r="O219" s="88">
        <v>6</v>
      </c>
      <c r="P219" s="88">
        <v>81</v>
      </c>
      <c r="Q219" s="89">
        <v>3.3</v>
      </c>
      <c r="R219" s="89">
        <v>2.8</v>
      </c>
      <c r="S219" s="88">
        <v>139</v>
      </c>
      <c r="T219" s="88">
        <v>617</v>
      </c>
      <c r="U219" s="90">
        <v>17</v>
      </c>
      <c r="V219" s="90">
        <v>156</v>
      </c>
      <c r="W219" s="88">
        <v>4.5999999999999996</v>
      </c>
      <c r="X219" s="88">
        <v>4</v>
      </c>
      <c r="Y219" s="147" t="s">
        <v>94</v>
      </c>
      <c r="Z219" s="90">
        <v>188</v>
      </c>
      <c r="AA219" s="88">
        <v>22</v>
      </c>
      <c r="AB219" s="88">
        <v>82</v>
      </c>
      <c r="AC219" s="89">
        <v>6.1</v>
      </c>
      <c r="AD219" s="89">
        <v>6.3</v>
      </c>
      <c r="AE219" s="112">
        <v>142</v>
      </c>
      <c r="AF219" s="112">
        <v>147.1</v>
      </c>
      <c r="AG219" s="89">
        <v>36</v>
      </c>
      <c r="AH219" s="89">
        <v>45</v>
      </c>
      <c r="AI219" s="88">
        <v>0.9</v>
      </c>
      <c r="AJ219" s="88">
        <v>0.8</v>
      </c>
      <c r="AK219" s="269">
        <f t="shared" si="20"/>
        <v>0</v>
      </c>
      <c r="AL219" s="89">
        <v>3.3</v>
      </c>
      <c r="AM219" s="89">
        <v>3.2</v>
      </c>
      <c r="AN219" s="88">
        <v>7.3</v>
      </c>
      <c r="AO219" s="88">
        <v>6.4</v>
      </c>
      <c r="AP219" s="88">
        <v>10</v>
      </c>
      <c r="AQ219" s="88">
        <v>34</v>
      </c>
      <c r="AR219" s="89">
        <v>2.2000000000000002</v>
      </c>
      <c r="AS219" s="89">
        <v>9.5</v>
      </c>
      <c r="AT219" s="89">
        <v>3.7</v>
      </c>
      <c r="AU219" s="89">
        <v>3.6</v>
      </c>
      <c r="AV219" s="80">
        <v>91</v>
      </c>
      <c r="AW219" s="80">
        <v>91</v>
      </c>
      <c r="AX219" s="88">
        <v>140</v>
      </c>
      <c r="AY219" s="88">
        <v>142</v>
      </c>
      <c r="AZ219" s="89">
        <v>1.1000000000000001</v>
      </c>
      <c r="BA219" s="89">
        <v>2.1</v>
      </c>
      <c r="BB219" s="88">
        <v>97</v>
      </c>
      <c r="BC219" s="88">
        <v>107</v>
      </c>
      <c r="BD219" s="96">
        <f t="shared" si="21"/>
        <v>293.09588888888885</v>
      </c>
      <c r="BE219" s="96">
        <f t="shared" si="22"/>
        <v>298.1298888888889</v>
      </c>
      <c r="BF219" s="89" t="s">
        <v>94</v>
      </c>
      <c r="BG219" s="89">
        <v>4.0199999999999996</v>
      </c>
      <c r="BH219" s="88" t="s">
        <v>94</v>
      </c>
      <c r="BI219" s="88">
        <v>11.6</v>
      </c>
      <c r="BJ219" s="89" t="s">
        <v>94</v>
      </c>
      <c r="BK219" s="89">
        <v>35.5</v>
      </c>
      <c r="BL219" s="88" t="s">
        <v>94</v>
      </c>
      <c r="BM219" s="88">
        <v>88.3</v>
      </c>
      <c r="BN219" s="89" t="s">
        <v>94</v>
      </c>
      <c r="BO219" s="89">
        <v>28.9</v>
      </c>
      <c r="BP219" s="88" t="s">
        <v>94</v>
      </c>
      <c r="BQ219" s="88">
        <v>32.700000000000003</v>
      </c>
      <c r="BR219" s="89" t="s">
        <v>94</v>
      </c>
      <c r="BS219" s="89">
        <v>214</v>
      </c>
      <c r="BT219" s="88" t="s">
        <v>94</v>
      </c>
      <c r="BU219" s="88">
        <v>13</v>
      </c>
      <c r="BV219" s="89" t="s">
        <v>94</v>
      </c>
      <c r="BW219" s="108">
        <v>8.0799999999999997E-2</v>
      </c>
      <c r="BX219" s="88" t="s">
        <v>94</v>
      </c>
      <c r="BY219" s="88">
        <v>12.01</v>
      </c>
      <c r="BZ219" s="89" t="s">
        <v>94</v>
      </c>
      <c r="CA219" s="89">
        <v>79.7</v>
      </c>
      <c r="CB219" s="88" t="s">
        <v>94</v>
      </c>
      <c r="CC219" s="88">
        <v>14.2</v>
      </c>
      <c r="CD219" s="89" t="s">
        <v>94</v>
      </c>
      <c r="CE219" s="89">
        <v>5.6</v>
      </c>
      <c r="CF219" s="88" t="s">
        <v>94</v>
      </c>
      <c r="CG219" s="88">
        <v>0.2</v>
      </c>
      <c r="CH219" s="89" t="s">
        <v>94</v>
      </c>
      <c r="CI219" s="89">
        <v>0.3</v>
      </c>
      <c r="CJ219" s="86" t="b">
        <f t="shared" si="23"/>
        <v>0</v>
      </c>
      <c r="CK219" s="2" t="b">
        <f t="shared" si="24"/>
        <v>1</v>
      </c>
      <c r="CL219" s="98">
        <f t="shared" si="25"/>
        <v>63.753039999999999</v>
      </c>
      <c r="CM219" s="98">
        <v>76.7</v>
      </c>
      <c r="CN219" s="98">
        <v>165</v>
      </c>
      <c r="CO219" s="86">
        <v>49.68</v>
      </c>
      <c r="CP219" s="98">
        <v>52</v>
      </c>
      <c r="CQ219" s="98">
        <v>52</v>
      </c>
      <c r="CR219" s="96">
        <v>16.88</v>
      </c>
    </row>
    <row r="220" spans="1:96" ht="15.75" customHeight="1">
      <c r="A220" s="79">
        <v>2019</v>
      </c>
      <c r="B220" s="79" t="s">
        <v>172</v>
      </c>
      <c r="C220" s="168">
        <v>3221</v>
      </c>
      <c r="D220" s="135">
        <v>29</v>
      </c>
      <c r="E220" s="94">
        <v>0</v>
      </c>
      <c r="F220" s="135">
        <v>1</v>
      </c>
      <c r="G220" s="56" t="s">
        <v>89</v>
      </c>
      <c r="H220" s="55" t="s">
        <v>83</v>
      </c>
      <c r="I220" s="56" t="s">
        <v>93</v>
      </c>
      <c r="J220" s="55" t="s">
        <v>88</v>
      </c>
      <c r="K220" s="53">
        <v>62.5</v>
      </c>
      <c r="L220" s="55">
        <v>37.5</v>
      </c>
      <c r="M220" s="87">
        <v>90</v>
      </c>
      <c r="N220" s="87">
        <v>504</v>
      </c>
      <c r="O220" s="88">
        <v>4</v>
      </c>
      <c r="P220" s="88">
        <v>32</v>
      </c>
      <c r="Q220" s="89">
        <v>3</v>
      </c>
      <c r="R220" s="89">
        <v>3.4</v>
      </c>
      <c r="S220" s="88">
        <v>189</v>
      </c>
      <c r="T220" s="88">
        <v>531</v>
      </c>
      <c r="U220" s="90">
        <v>24</v>
      </c>
      <c r="V220" s="90">
        <v>46</v>
      </c>
      <c r="W220" s="88">
        <v>4.5</v>
      </c>
      <c r="X220" s="88">
        <v>4.7</v>
      </c>
      <c r="Y220" s="147">
        <v>37</v>
      </c>
      <c r="Z220" s="90">
        <v>54</v>
      </c>
      <c r="AA220" s="88">
        <v>26</v>
      </c>
      <c r="AB220" s="88">
        <v>35</v>
      </c>
      <c r="AC220" s="89">
        <v>5.5</v>
      </c>
      <c r="AD220" s="89">
        <v>5.4</v>
      </c>
      <c r="AE220" s="112">
        <v>118.6</v>
      </c>
      <c r="AF220" s="112">
        <v>118.6</v>
      </c>
      <c r="AG220" s="89">
        <v>46</v>
      </c>
      <c r="AH220" s="89">
        <v>58</v>
      </c>
      <c r="AI220" s="88">
        <v>0.9</v>
      </c>
      <c r="AJ220" s="88">
        <v>0.9</v>
      </c>
      <c r="AK220" s="269">
        <f t="shared" si="20"/>
        <v>0</v>
      </c>
      <c r="AL220" s="89">
        <v>3.9</v>
      </c>
      <c r="AM220" s="89">
        <v>3.5</v>
      </c>
      <c r="AN220" s="88">
        <v>7.2</v>
      </c>
      <c r="AO220" s="88">
        <v>7.2</v>
      </c>
      <c r="AP220" s="88">
        <v>10</v>
      </c>
      <c r="AQ220" s="88">
        <v>66</v>
      </c>
      <c r="AR220" s="89">
        <v>4.5</v>
      </c>
      <c r="AS220" s="89">
        <v>10</v>
      </c>
      <c r="AT220" s="89">
        <v>4.7</v>
      </c>
      <c r="AU220" s="89">
        <v>4.4000000000000004</v>
      </c>
      <c r="AV220" s="80">
        <v>104</v>
      </c>
      <c r="AW220" s="80">
        <v>104</v>
      </c>
      <c r="AX220" s="88">
        <v>144</v>
      </c>
      <c r="AY220" s="88">
        <v>139</v>
      </c>
      <c r="AZ220" s="89">
        <v>1.8</v>
      </c>
      <c r="BA220" s="89">
        <v>2</v>
      </c>
      <c r="BB220" s="88">
        <v>104</v>
      </c>
      <c r="BC220" s="88">
        <v>102</v>
      </c>
      <c r="BD220" s="96">
        <f t="shared" si="21"/>
        <v>304.89311111111112</v>
      </c>
      <c r="BE220" s="96">
        <f t="shared" si="22"/>
        <v>297.03511111111118</v>
      </c>
      <c r="BF220" s="89" t="s">
        <v>94</v>
      </c>
      <c r="BG220" s="89">
        <v>4.37</v>
      </c>
      <c r="BH220" s="88" t="s">
        <v>94</v>
      </c>
      <c r="BI220" s="88">
        <v>12.6</v>
      </c>
      <c r="BJ220" s="89" t="s">
        <v>94</v>
      </c>
      <c r="BK220" s="89">
        <v>38.4</v>
      </c>
      <c r="BL220" s="88" t="s">
        <v>94</v>
      </c>
      <c r="BM220" s="88">
        <v>87.9</v>
      </c>
      <c r="BN220" s="89" t="s">
        <v>94</v>
      </c>
      <c r="BO220" s="89">
        <v>28.8</v>
      </c>
      <c r="BP220" s="88" t="s">
        <v>94</v>
      </c>
      <c r="BQ220" s="88">
        <v>32.799999999999997</v>
      </c>
      <c r="BR220" s="89" t="s">
        <v>94</v>
      </c>
      <c r="BS220" s="89">
        <v>303</v>
      </c>
      <c r="BT220" s="88" t="s">
        <v>94</v>
      </c>
      <c r="BU220" s="88">
        <v>13.1</v>
      </c>
      <c r="BV220" s="89" t="s">
        <v>94</v>
      </c>
      <c r="BW220" s="108">
        <v>6.8599999999999994E-2</v>
      </c>
      <c r="BX220" s="88" t="s">
        <v>94</v>
      </c>
      <c r="BY220" s="88">
        <v>13.32</v>
      </c>
      <c r="BZ220" s="89" t="s">
        <v>94</v>
      </c>
      <c r="CA220" s="89">
        <v>78.7</v>
      </c>
      <c r="CB220" s="88" t="s">
        <v>94</v>
      </c>
      <c r="CC220" s="88">
        <v>15.3</v>
      </c>
      <c r="CD220" s="89" t="s">
        <v>94</v>
      </c>
      <c r="CE220" s="89">
        <v>5.3</v>
      </c>
      <c r="CF220" s="88" t="s">
        <v>94</v>
      </c>
      <c r="CG220" s="88">
        <v>0.5</v>
      </c>
      <c r="CH220" s="89" t="s">
        <v>94</v>
      </c>
      <c r="CI220" s="89">
        <v>0.2</v>
      </c>
      <c r="CJ220" s="86" t="b">
        <f t="shared" si="23"/>
        <v>0</v>
      </c>
      <c r="CK220" s="2" t="b">
        <f t="shared" si="24"/>
        <v>0</v>
      </c>
      <c r="CL220" s="98">
        <f t="shared" si="25"/>
        <v>75.047719999999998</v>
      </c>
      <c r="CM220" s="98">
        <v>83.6</v>
      </c>
      <c r="CN220" s="98">
        <v>174</v>
      </c>
      <c r="CO220" s="86">
        <v>47.04</v>
      </c>
      <c r="CP220" s="98">
        <v>38</v>
      </c>
      <c r="CQ220" s="98">
        <v>32</v>
      </c>
      <c r="CR220" s="96">
        <v>10.23</v>
      </c>
    </row>
    <row r="221" spans="1:96" ht="15.75" customHeight="1">
      <c r="A221" s="79">
        <v>2019</v>
      </c>
      <c r="B221" s="79" t="s">
        <v>172</v>
      </c>
      <c r="C221" s="168">
        <v>3222</v>
      </c>
      <c r="D221" s="135">
        <v>28</v>
      </c>
      <c r="E221" s="94">
        <v>61</v>
      </c>
      <c r="F221" s="135">
        <v>1</v>
      </c>
      <c r="G221" s="56" t="s">
        <v>86</v>
      </c>
      <c r="H221" s="73" t="s">
        <v>83</v>
      </c>
      <c r="I221" s="74" t="s">
        <v>84</v>
      </c>
      <c r="J221" s="73" t="s">
        <v>85</v>
      </c>
      <c r="K221" s="60">
        <v>50</v>
      </c>
      <c r="L221" s="311">
        <v>50</v>
      </c>
      <c r="M221" s="87">
        <v>62</v>
      </c>
      <c r="N221" s="87">
        <v>462</v>
      </c>
      <c r="O221" s="88">
        <v>3</v>
      </c>
      <c r="P221" s="88">
        <v>35</v>
      </c>
      <c r="Q221" s="89">
        <v>2.1</v>
      </c>
      <c r="R221" s="89">
        <v>2.4</v>
      </c>
      <c r="S221" s="88">
        <v>168</v>
      </c>
      <c r="T221" s="88">
        <v>418</v>
      </c>
      <c r="U221" s="90">
        <v>22</v>
      </c>
      <c r="V221" s="90">
        <v>54</v>
      </c>
      <c r="W221" s="88">
        <v>3.9</v>
      </c>
      <c r="X221" s="88">
        <v>4.5</v>
      </c>
      <c r="Y221" s="147">
        <v>21</v>
      </c>
      <c r="Z221" s="90">
        <v>49</v>
      </c>
      <c r="AA221" s="88">
        <v>17</v>
      </c>
      <c r="AB221" s="88">
        <v>20</v>
      </c>
      <c r="AC221" s="89">
        <v>4.0999999999999996</v>
      </c>
      <c r="AD221" s="89">
        <v>3.8</v>
      </c>
      <c r="AE221" s="112">
        <v>123.6</v>
      </c>
      <c r="AF221" s="112">
        <v>123.6</v>
      </c>
      <c r="AG221" s="89">
        <v>29</v>
      </c>
      <c r="AH221" s="89">
        <v>40</v>
      </c>
      <c r="AI221" s="88">
        <v>0.8</v>
      </c>
      <c r="AJ221" s="88">
        <v>0.8</v>
      </c>
      <c r="AK221" s="269">
        <f t="shared" si="20"/>
        <v>0</v>
      </c>
      <c r="AL221" s="89">
        <v>2.8</v>
      </c>
      <c r="AM221" s="89">
        <v>3.6</v>
      </c>
      <c r="AN221" s="88">
        <v>6</v>
      </c>
      <c r="AO221" s="88">
        <v>6.8</v>
      </c>
      <c r="AP221" s="88">
        <v>10</v>
      </c>
      <c r="AQ221" s="88">
        <v>64</v>
      </c>
      <c r="AR221" s="89">
        <v>1</v>
      </c>
      <c r="AS221" s="89">
        <v>9.6999999999999993</v>
      </c>
      <c r="AT221" s="89">
        <v>4.3</v>
      </c>
      <c r="AU221" s="89">
        <v>4.0999999999999996</v>
      </c>
      <c r="AV221" s="80">
        <v>84</v>
      </c>
      <c r="AW221" s="80">
        <v>84</v>
      </c>
      <c r="AX221" s="88">
        <v>130</v>
      </c>
      <c r="AY221" s="88">
        <v>140</v>
      </c>
      <c r="AZ221" s="89">
        <v>0.6</v>
      </c>
      <c r="BA221" s="89">
        <v>2.2000000000000002</v>
      </c>
      <c r="BB221" s="88">
        <v>89</v>
      </c>
      <c r="BC221" s="88">
        <v>103</v>
      </c>
      <c r="BD221" s="96">
        <f t="shared" si="21"/>
        <v>273.99800000000005</v>
      </c>
      <c r="BE221" s="96">
        <f t="shared" si="22"/>
        <v>294.05933333333337</v>
      </c>
      <c r="BF221" s="89" t="s">
        <v>94</v>
      </c>
      <c r="BG221" s="89">
        <v>4.6100000000000003</v>
      </c>
      <c r="BH221" s="88" t="s">
        <v>94</v>
      </c>
      <c r="BI221" s="88">
        <v>13.3</v>
      </c>
      <c r="BJ221" s="89" t="s">
        <v>94</v>
      </c>
      <c r="BK221" s="89">
        <v>40.5</v>
      </c>
      <c r="BL221" s="88" t="s">
        <v>94</v>
      </c>
      <c r="BM221" s="88">
        <v>87.9</v>
      </c>
      <c r="BN221" s="89" t="s">
        <v>94</v>
      </c>
      <c r="BO221" s="89">
        <v>28.9</v>
      </c>
      <c r="BP221" s="88" t="s">
        <v>94</v>
      </c>
      <c r="BQ221" s="88">
        <v>32.799999999999997</v>
      </c>
      <c r="BR221" s="89" t="s">
        <v>94</v>
      </c>
      <c r="BS221" s="89">
        <v>323</v>
      </c>
      <c r="BT221" s="88" t="s">
        <v>94</v>
      </c>
      <c r="BU221" s="88">
        <v>13</v>
      </c>
      <c r="BV221" s="89" t="s">
        <v>94</v>
      </c>
      <c r="BW221" s="108">
        <v>4.3799999999999999E-2</v>
      </c>
      <c r="BX221" s="88" t="s">
        <v>94</v>
      </c>
      <c r="BY221" s="88">
        <v>4.13</v>
      </c>
      <c r="BZ221" s="89" t="s">
        <v>94</v>
      </c>
      <c r="CA221" s="89">
        <v>67.599999999999994</v>
      </c>
      <c r="CB221" s="88" t="s">
        <v>94</v>
      </c>
      <c r="CC221" s="88">
        <v>21.8</v>
      </c>
      <c r="CD221" s="89" t="s">
        <v>94</v>
      </c>
      <c r="CE221" s="89">
        <v>9.9</v>
      </c>
      <c r="CF221" s="88" t="s">
        <v>94</v>
      </c>
      <c r="CG221" s="88">
        <v>0.5</v>
      </c>
      <c r="CH221" s="89" t="s">
        <v>94</v>
      </c>
      <c r="CI221" s="89">
        <v>0.2</v>
      </c>
      <c r="CJ221" s="86" t="b">
        <f t="shared" si="23"/>
        <v>0</v>
      </c>
      <c r="CK221" s="2" t="b">
        <f t="shared" si="24"/>
        <v>0</v>
      </c>
      <c r="CL221" s="98">
        <f t="shared" si="25"/>
        <v>56.283344999999997</v>
      </c>
      <c r="CM221" s="98">
        <v>62.35</v>
      </c>
      <c r="CN221" s="98">
        <v>169</v>
      </c>
      <c r="CO221" s="86">
        <v>52.58</v>
      </c>
      <c r="CP221" s="98">
        <v>44</v>
      </c>
      <c r="CQ221" s="98">
        <v>38</v>
      </c>
      <c r="CR221" s="99">
        <v>9.73</v>
      </c>
    </row>
    <row r="222" spans="1:96" ht="15.75" customHeight="1">
      <c r="A222" s="79">
        <v>2019</v>
      </c>
      <c r="B222" s="79" t="s">
        <v>172</v>
      </c>
      <c r="C222" s="168">
        <v>3229</v>
      </c>
      <c r="D222" s="135">
        <v>30</v>
      </c>
      <c r="E222" s="94">
        <v>0</v>
      </c>
      <c r="F222" s="135">
        <v>1</v>
      </c>
      <c r="G222" s="51" t="s">
        <v>89</v>
      </c>
      <c r="H222" s="52" t="s">
        <v>83</v>
      </c>
      <c r="I222" s="53" t="s">
        <v>84</v>
      </c>
      <c r="J222" s="55" t="s">
        <v>91</v>
      </c>
      <c r="K222" s="53">
        <v>62.5</v>
      </c>
      <c r="L222" s="52">
        <v>37.5</v>
      </c>
      <c r="M222" s="247">
        <v>177</v>
      </c>
      <c r="N222" s="247">
        <v>1024</v>
      </c>
      <c r="O222" s="248">
        <v>3</v>
      </c>
      <c r="P222" s="248">
        <v>54</v>
      </c>
      <c r="Q222" s="149">
        <v>3.2</v>
      </c>
      <c r="R222" s="149">
        <v>2.2999999999999998</v>
      </c>
      <c r="S222" s="248">
        <v>157</v>
      </c>
      <c r="T222" s="248">
        <v>338</v>
      </c>
      <c r="U222" s="249">
        <v>28</v>
      </c>
      <c r="V222" s="249">
        <v>69</v>
      </c>
      <c r="W222" s="144">
        <v>4.7</v>
      </c>
      <c r="X222" s="144">
        <v>4.5</v>
      </c>
      <c r="Y222" s="118">
        <v>27</v>
      </c>
      <c r="Z222" s="249">
        <v>60</v>
      </c>
      <c r="AA222" s="248">
        <v>17</v>
      </c>
      <c r="AB222" s="248">
        <v>19</v>
      </c>
      <c r="AC222" s="89">
        <v>4.3</v>
      </c>
      <c r="AD222" s="89">
        <v>4.4000000000000004</v>
      </c>
      <c r="AE222" s="112">
        <v>103.8</v>
      </c>
      <c r="AF222" s="112">
        <v>103.8</v>
      </c>
      <c r="AG222" s="89">
        <v>28</v>
      </c>
      <c r="AH222" s="89">
        <v>34</v>
      </c>
      <c r="AI222" s="88">
        <v>1</v>
      </c>
      <c r="AJ222" s="88">
        <v>1</v>
      </c>
      <c r="AK222" s="269">
        <f t="shared" si="20"/>
        <v>0</v>
      </c>
      <c r="AL222" s="89">
        <v>2.9</v>
      </c>
      <c r="AM222" s="89">
        <v>3.4</v>
      </c>
      <c r="AN222" s="88">
        <v>7.7</v>
      </c>
      <c r="AO222" s="88">
        <v>7.3</v>
      </c>
      <c r="AP222" s="88">
        <v>10</v>
      </c>
      <c r="AQ222" s="88">
        <v>46</v>
      </c>
      <c r="AR222" s="89">
        <v>3.1</v>
      </c>
      <c r="AS222" s="89">
        <v>10.1</v>
      </c>
      <c r="AT222" s="89">
        <v>4.4000000000000004</v>
      </c>
      <c r="AU222" s="89">
        <v>4.5999999999999996</v>
      </c>
      <c r="AV222" s="80">
        <v>70</v>
      </c>
      <c r="AW222" s="80">
        <v>70</v>
      </c>
      <c r="AX222" s="88">
        <v>145</v>
      </c>
      <c r="AY222" s="88">
        <v>142</v>
      </c>
      <c r="AZ222" s="89">
        <v>1.3</v>
      </c>
      <c r="BA222" s="89">
        <v>2.1</v>
      </c>
      <c r="BB222" s="88">
        <v>99</v>
      </c>
      <c r="BC222" s="88">
        <v>101</v>
      </c>
      <c r="BD222" s="96">
        <f t="shared" si="21"/>
        <v>301.02288888888893</v>
      </c>
      <c r="BE222" s="96">
        <f t="shared" si="22"/>
        <v>296.8148888888889</v>
      </c>
      <c r="BF222" s="89" t="s">
        <v>94</v>
      </c>
      <c r="BG222" s="89">
        <v>4.8499999999999996</v>
      </c>
      <c r="BH222" s="88" t="s">
        <v>94</v>
      </c>
      <c r="BI222" s="88">
        <v>13.1</v>
      </c>
      <c r="BJ222" s="89" t="s">
        <v>94</v>
      </c>
      <c r="BK222" s="89">
        <v>40.299999999999997</v>
      </c>
      <c r="BL222" s="88" t="s">
        <v>94</v>
      </c>
      <c r="BM222" s="88">
        <v>83.1</v>
      </c>
      <c r="BN222" s="89" t="s">
        <v>94</v>
      </c>
      <c r="BO222" s="89">
        <v>27</v>
      </c>
      <c r="BP222" s="88" t="s">
        <v>94</v>
      </c>
      <c r="BQ222" s="88">
        <v>32.5</v>
      </c>
      <c r="BR222" s="89" t="s">
        <v>94</v>
      </c>
      <c r="BS222" s="89">
        <v>383</v>
      </c>
      <c r="BT222" s="88" t="s">
        <v>94</v>
      </c>
      <c r="BU222" s="88">
        <v>12.6</v>
      </c>
      <c r="BV222" s="89" t="s">
        <v>94</v>
      </c>
      <c r="BW222" s="108">
        <v>4.5600000000000002E-2</v>
      </c>
      <c r="BX222" s="88" t="s">
        <v>94</v>
      </c>
      <c r="BY222" s="88">
        <v>10.91</v>
      </c>
      <c r="BZ222" s="89" t="s">
        <v>94</v>
      </c>
      <c r="CA222" s="89">
        <v>80.400000000000006</v>
      </c>
      <c r="CB222" s="88" t="s">
        <v>94</v>
      </c>
      <c r="CC222" s="88">
        <v>14</v>
      </c>
      <c r="CD222" s="89" t="s">
        <v>94</v>
      </c>
      <c r="CE222" s="89">
        <v>4.9000000000000004</v>
      </c>
      <c r="CF222" s="88" t="s">
        <v>94</v>
      </c>
      <c r="CG222" s="88">
        <v>0.5</v>
      </c>
      <c r="CH222" s="89" t="s">
        <v>94</v>
      </c>
      <c r="CI222" s="89">
        <v>0.2</v>
      </c>
      <c r="CJ222" s="86" t="b">
        <f t="shared" si="23"/>
        <v>0</v>
      </c>
      <c r="CK222" s="2" t="b">
        <f t="shared" si="24"/>
        <v>1</v>
      </c>
      <c r="CL222" s="98">
        <f t="shared" si="25"/>
        <v>74.986559999999997</v>
      </c>
      <c r="CM222" s="98">
        <v>79.2</v>
      </c>
      <c r="CN222" s="98">
        <v>173</v>
      </c>
      <c r="CO222" s="86">
        <v>51.33</v>
      </c>
      <c r="CP222" s="98">
        <v>58</v>
      </c>
      <c r="CQ222" s="98">
        <v>58</v>
      </c>
      <c r="CR222" s="99">
        <v>5.32</v>
      </c>
    </row>
    <row r="223" spans="1:96" ht="15.75" customHeight="1">
      <c r="A223" s="79">
        <v>2019</v>
      </c>
      <c r="B223" s="79" t="s">
        <v>172</v>
      </c>
      <c r="C223" s="168">
        <v>3235</v>
      </c>
      <c r="D223" s="135">
        <v>27</v>
      </c>
      <c r="E223" s="94">
        <v>81.2</v>
      </c>
      <c r="F223" s="135">
        <v>1</v>
      </c>
      <c r="G223" s="81" t="s">
        <v>82</v>
      </c>
      <c r="H223" s="52" t="s">
        <v>92</v>
      </c>
      <c r="I223" s="53" t="s">
        <v>93</v>
      </c>
      <c r="J223" s="55" t="s">
        <v>88</v>
      </c>
      <c r="K223" s="53">
        <v>62.5</v>
      </c>
      <c r="L223" s="52">
        <v>37.5</v>
      </c>
      <c r="M223" s="87">
        <v>157</v>
      </c>
      <c r="N223" s="87">
        <v>856</v>
      </c>
      <c r="O223" s="88">
        <v>12</v>
      </c>
      <c r="P223" s="88">
        <v>58</v>
      </c>
      <c r="Q223" s="89">
        <v>2.2999999999999998</v>
      </c>
      <c r="R223" s="89">
        <v>2.2999999999999998</v>
      </c>
      <c r="S223" s="88">
        <v>173</v>
      </c>
      <c r="T223" s="88">
        <v>441</v>
      </c>
      <c r="U223" s="90">
        <v>32</v>
      </c>
      <c r="V223" s="90">
        <v>79</v>
      </c>
      <c r="W223" s="88">
        <v>4.4000000000000004</v>
      </c>
      <c r="X223" s="88">
        <v>3.7</v>
      </c>
      <c r="Y223" s="147">
        <v>31</v>
      </c>
      <c r="Z223" s="90">
        <v>59</v>
      </c>
      <c r="AA223" s="88">
        <v>23</v>
      </c>
      <c r="AB223" s="88">
        <v>20</v>
      </c>
      <c r="AC223" s="89">
        <v>5.7</v>
      </c>
      <c r="AD223" s="89">
        <v>5.6</v>
      </c>
      <c r="AE223" s="319">
        <v>120</v>
      </c>
      <c r="AF223" s="334">
        <v>120</v>
      </c>
      <c r="AG223" s="89">
        <v>32</v>
      </c>
      <c r="AH223" s="89">
        <v>39</v>
      </c>
      <c r="AI223" s="88">
        <v>0.9</v>
      </c>
      <c r="AJ223" s="88">
        <v>0.9</v>
      </c>
      <c r="AK223" s="269">
        <f t="shared" si="20"/>
        <v>0</v>
      </c>
      <c r="AL223" s="89">
        <v>2.8</v>
      </c>
      <c r="AM223" s="89">
        <v>3.3</v>
      </c>
      <c r="AN223" s="88">
        <v>7.5</v>
      </c>
      <c r="AO223" s="88">
        <v>6.8</v>
      </c>
      <c r="AP223" s="88">
        <v>10</v>
      </c>
      <c r="AQ223" s="88">
        <v>32</v>
      </c>
      <c r="AR223" s="89">
        <v>3</v>
      </c>
      <c r="AS223" s="89">
        <v>9.4</v>
      </c>
      <c r="AT223" s="89">
        <v>4.2</v>
      </c>
      <c r="AU223" s="89">
        <v>4.2</v>
      </c>
      <c r="AV223" s="80">
        <v>97</v>
      </c>
      <c r="AW223" s="80">
        <v>97</v>
      </c>
      <c r="AX223" s="88">
        <v>140</v>
      </c>
      <c r="AY223" s="88">
        <v>139</v>
      </c>
      <c r="AZ223" s="89">
        <v>1.3</v>
      </c>
      <c r="BA223" s="89">
        <v>1.9</v>
      </c>
      <c r="BB223" s="88">
        <v>99</v>
      </c>
      <c r="BC223" s="88">
        <v>104</v>
      </c>
      <c r="BD223" s="96">
        <f t="shared" si="21"/>
        <v>293.7425555555555</v>
      </c>
      <c r="BE223" s="96">
        <f t="shared" si="22"/>
        <v>293.04922222222217</v>
      </c>
      <c r="BF223" s="89" t="s">
        <v>94</v>
      </c>
      <c r="BG223" s="89">
        <v>4.62</v>
      </c>
      <c r="BH223" s="88" t="s">
        <v>94</v>
      </c>
      <c r="BI223" s="88">
        <v>13.3</v>
      </c>
      <c r="BJ223" s="89" t="s">
        <v>94</v>
      </c>
      <c r="BK223" s="89">
        <v>39.200000000000003</v>
      </c>
      <c r="BL223" s="88" t="s">
        <v>94</v>
      </c>
      <c r="BM223" s="88">
        <v>84.8</v>
      </c>
      <c r="BN223" s="89" t="s">
        <v>94</v>
      </c>
      <c r="BO223" s="89">
        <v>28.8</v>
      </c>
      <c r="BP223" s="88" t="s">
        <v>94</v>
      </c>
      <c r="BQ223" s="88">
        <v>33.9</v>
      </c>
      <c r="BR223" s="89" t="s">
        <v>94</v>
      </c>
      <c r="BS223" s="89">
        <v>279</v>
      </c>
      <c r="BT223" s="88" t="s">
        <v>94</v>
      </c>
      <c r="BU223" s="88">
        <v>13.2</v>
      </c>
      <c r="BV223" s="89" t="s">
        <v>94</v>
      </c>
      <c r="BW223" s="108">
        <v>7.85E-2</v>
      </c>
      <c r="BX223" s="88" t="s">
        <v>94</v>
      </c>
      <c r="BY223" s="88">
        <v>8.11</v>
      </c>
      <c r="BZ223" s="89" t="s">
        <v>94</v>
      </c>
      <c r="CA223" s="89">
        <v>82.8</v>
      </c>
      <c r="CB223" s="88" t="s">
        <v>94</v>
      </c>
      <c r="CC223" s="88">
        <v>9.4</v>
      </c>
      <c r="CD223" s="89" t="s">
        <v>94</v>
      </c>
      <c r="CE223" s="89">
        <v>5.9</v>
      </c>
      <c r="CF223" s="88" t="s">
        <v>94</v>
      </c>
      <c r="CG223" s="88">
        <v>1.5</v>
      </c>
      <c r="CH223" s="89" t="s">
        <v>94</v>
      </c>
      <c r="CI223" s="89">
        <v>0.4</v>
      </c>
      <c r="CJ223" s="86" t="b">
        <f t="shared" si="23"/>
        <v>0</v>
      </c>
      <c r="CK223" s="2" t="b">
        <f t="shared" si="24"/>
        <v>0</v>
      </c>
      <c r="CL223" s="98">
        <f t="shared" si="25"/>
        <v>76.552520000000001</v>
      </c>
      <c r="CM223" s="98">
        <v>83.6</v>
      </c>
      <c r="CN223" s="98">
        <v>175</v>
      </c>
      <c r="CO223" s="86">
        <v>50.56</v>
      </c>
      <c r="CP223" s="98">
        <v>54</v>
      </c>
      <c r="CQ223" s="98">
        <v>42</v>
      </c>
      <c r="CR223" s="99">
        <v>8.43</v>
      </c>
    </row>
    <row r="224" spans="1:96" ht="15.75" customHeight="1">
      <c r="A224" s="79">
        <v>2019</v>
      </c>
      <c r="B224" s="79" t="s">
        <v>184</v>
      </c>
      <c r="C224" s="168">
        <v>3197</v>
      </c>
      <c r="D224" s="135">
        <v>26</v>
      </c>
      <c r="E224" s="135">
        <v>80</v>
      </c>
      <c r="F224" s="135">
        <v>1</v>
      </c>
      <c r="G224" s="51" t="s">
        <v>86</v>
      </c>
      <c r="H224" s="52" t="s">
        <v>90</v>
      </c>
      <c r="I224" s="53" t="s">
        <v>93</v>
      </c>
      <c r="J224" s="52" t="s">
        <v>85</v>
      </c>
      <c r="K224" s="53">
        <v>50</v>
      </c>
      <c r="L224" s="52">
        <v>50</v>
      </c>
      <c r="M224" s="87">
        <v>304</v>
      </c>
      <c r="N224" s="87">
        <v>4034</v>
      </c>
      <c r="O224" s="88">
        <v>29</v>
      </c>
      <c r="P224" s="88">
        <v>102</v>
      </c>
      <c r="Q224" s="89">
        <v>3.2</v>
      </c>
      <c r="R224" s="89">
        <v>3.1</v>
      </c>
      <c r="S224" s="88">
        <v>239</v>
      </c>
      <c r="T224" s="88">
        <v>550</v>
      </c>
      <c r="U224" s="90">
        <v>40</v>
      </c>
      <c r="V224" s="90">
        <v>124</v>
      </c>
      <c r="W224" s="88">
        <v>3.9</v>
      </c>
      <c r="X224" s="88">
        <v>4.4000000000000004</v>
      </c>
      <c r="Y224" s="90">
        <v>48</v>
      </c>
      <c r="Z224" s="90">
        <v>71</v>
      </c>
      <c r="AA224" s="88">
        <v>15</v>
      </c>
      <c r="AB224" s="88">
        <v>19</v>
      </c>
      <c r="AC224" s="89">
        <v>5.4</v>
      </c>
      <c r="AD224" s="89">
        <v>8</v>
      </c>
      <c r="AE224" s="320">
        <v>120.8</v>
      </c>
      <c r="AF224" s="320">
        <v>106.5</v>
      </c>
      <c r="AG224" s="89">
        <v>40</v>
      </c>
      <c r="AH224" s="89">
        <v>49</v>
      </c>
      <c r="AI224" s="88">
        <v>0.9</v>
      </c>
      <c r="AJ224" s="88">
        <v>1</v>
      </c>
      <c r="AK224" s="269">
        <f t="shared" si="20"/>
        <v>9.9999999999999978E-2</v>
      </c>
      <c r="AL224" s="89">
        <v>2.9</v>
      </c>
      <c r="AM224" s="89">
        <v>6</v>
      </c>
      <c r="AN224" s="88">
        <v>6.8</v>
      </c>
      <c r="AO224" s="88">
        <v>7.8</v>
      </c>
      <c r="AP224" s="88">
        <v>57</v>
      </c>
      <c r="AQ224" s="88">
        <v>20</v>
      </c>
      <c r="AR224" s="89">
        <v>9.9</v>
      </c>
      <c r="AS224" s="89">
        <v>10.199999999999999</v>
      </c>
      <c r="AT224" s="89">
        <v>4.0999999999999996</v>
      </c>
      <c r="AU224" s="89">
        <v>4.5999999999999996</v>
      </c>
      <c r="AV224" s="82">
        <v>87</v>
      </c>
      <c r="AW224" s="82">
        <v>70</v>
      </c>
      <c r="AX224" s="88">
        <v>139</v>
      </c>
      <c r="AY224" s="88">
        <v>135</v>
      </c>
      <c r="AZ224" s="89">
        <v>1.9</v>
      </c>
      <c r="BA224" s="89">
        <v>2.1</v>
      </c>
      <c r="BB224" s="88">
        <v>103</v>
      </c>
      <c r="BC224" s="88">
        <v>96</v>
      </c>
      <c r="BD224" s="96">
        <f t="shared" si="21"/>
        <v>292.39100000000002</v>
      </c>
      <c r="BE224" s="96">
        <f t="shared" si="22"/>
        <v>286.29488888888892</v>
      </c>
      <c r="BF224" s="89">
        <v>4.6100000000000003</v>
      </c>
      <c r="BG224" s="89">
        <v>4.41</v>
      </c>
      <c r="BH224" s="88">
        <v>14</v>
      </c>
      <c r="BI224" s="88">
        <v>13.3</v>
      </c>
      <c r="BJ224" s="89">
        <v>42.1</v>
      </c>
      <c r="BK224" s="89">
        <v>40.299999999999997</v>
      </c>
      <c r="BL224" s="88">
        <v>91.3</v>
      </c>
      <c r="BM224" s="88">
        <v>91.4</v>
      </c>
      <c r="BN224" s="89">
        <v>30.4</v>
      </c>
      <c r="BO224" s="89">
        <v>30.2</v>
      </c>
      <c r="BP224" s="88">
        <v>33.299999999999997</v>
      </c>
      <c r="BQ224" s="88">
        <v>33</v>
      </c>
      <c r="BR224" s="89">
        <v>474</v>
      </c>
      <c r="BS224" s="89">
        <v>483</v>
      </c>
      <c r="BT224" s="95">
        <v>12.5</v>
      </c>
      <c r="BU224" s="88">
        <v>12.6</v>
      </c>
      <c r="BV224" s="108">
        <v>9.8199999999999996E-2</v>
      </c>
      <c r="BW224" s="108">
        <v>8.8200000000000001E-2</v>
      </c>
      <c r="BX224" s="88">
        <v>8.4499999999999993</v>
      </c>
      <c r="BY224" s="88">
        <v>15.95</v>
      </c>
      <c r="BZ224" s="89">
        <v>72.3</v>
      </c>
      <c r="CA224" s="89">
        <v>85.3</v>
      </c>
      <c r="CB224" s="88">
        <v>20.8</v>
      </c>
      <c r="CC224" s="88">
        <v>10.199999999999999</v>
      </c>
      <c r="CD224" s="89">
        <v>5.3</v>
      </c>
      <c r="CE224" s="89">
        <v>4.4000000000000004</v>
      </c>
      <c r="CF224" s="88">
        <v>1.2</v>
      </c>
      <c r="CG224" s="88">
        <v>0</v>
      </c>
      <c r="CH224" s="89">
        <v>0.4</v>
      </c>
      <c r="CI224" s="89">
        <v>0.02</v>
      </c>
      <c r="CJ224" s="86" t="b">
        <f t="shared" si="23"/>
        <v>0</v>
      </c>
      <c r="CK224" s="2" t="b">
        <f t="shared" si="24"/>
        <v>1</v>
      </c>
      <c r="CL224" s="98">
        <f t="shared" si="25"/>
        <v>76.297020000000003</v>
      </c>
      <c r="CM224" s="98">
        <v>85.65</v>
      </c>
      <c r="CN224" s="98">
        <v>177</v>
      </c>
      <c r="CO224" s="86">
        <v>51.46</v>
      </c>
      <c r="CP224" s="98">
        <v>48</v>
      </c>
      <c r="CQ224" s="98">
        <v>52</v>
      </c>
      <c r="CR224" s="99">
        <v>10.92</v>
      </c>
    </row>
    <row r="225" spans="1:96" ht="15.75" customHeight="1">
      <c r="A225" s="79">
        <v>2019</v>
      </c>
      <c r="B225" s="79" t="s">
        <v>184</v>
      </c>
      <c r="C225" s="168">
        <v>3200</v>
      </c>
      <c r="D225" s="135">
        <v>25</v>
      </c>
      <c r="E225" s="135">
        <v>75.2</v>
      </c>
      <c r="F225" s="135">
        <v>1</v>
      </c>
      <c r="G225" s="54" t="s">
        <v>82</v>
      </c>
      <c r="H225" s="55" t="s">
        <v>92</v>
      </c>
      <c r="I225" s="56" t="s">
        <v>84</v>
      </c>
      <c r="J225" s="52" t="s">
        <v>85</v>
      </c>
      <c r="K225" s="56">
        <v>37.5</v>
      </c>
      <c r="L225" s="52">
        <v>62.5</v>
      </c>
      <c r="M225" s="87">
        <v>1358</v>
      </c>
      <c r="N225" s="87">
        <v>3093</v>
      </c>
      <c r="O225" s="88">
        <v>59</v>
      </c>
      <c r="P225" s="88">
        <v>74</v>
      </c>
      <c r="Q225" s="89">
        <v>2.4</v>
      </c>
      <c r="R225" s="89">
        <v>2.4</v>
      </c>
      <c r="S225" s="88">
        <v>389</v>
      </c>
      <c r="T225" s="88">
        <v>668</v>
      </c>
      <c r="U225" s="90">
        <v>125</v>
      </c>
      <c r="V225" s="90">
        <v>175</v>
      </c>
      <c r="W225" s="88">
        <v>4</v>
      </c>
      <c r="X225" s="88">
        <v>4.3</v>
      </c>
      <c r="Y225" s="90">
        <v>110</v>
      </c>
      <c r="Z225" s="90">
        <v>162</v>
      </c>
      <c r="AA225" s="88">
        <v>39</v>
      </c>
      <c r="AB225" s="88">
        <v>43</v>
      </c>
      <c r="AC225" s="89">
        <v>4.5999999999999996</v>
      </c>
      <c r="AD225" s="89">
        <v>4.5</v>
      </c>
      <c r="AE225" s="320">
        <v>126</v>
      </c>
      <c r="AF225" s="320">
        <v>131.1</v>
      </c>
      <c r="AG225" s="89">
        <v>53</v>
      </c>
      <c r="AH225" s="89">
        <v>41</v>
      </c>
      <c r="AI225" s="88">
        <v>0.8</v>
      </c>
      <c r="AJ225" s="88">
        <v>0.7</v>
      </c>
      <c r="AK225" s="269">
        <f t="shared" si="20"/>
        <v>0</v>
      </c>
      <c r="AL225" s="89">
        <v>3.4</v>
      </c>
      <c r="AM225" s="89">
        <v>4.8</v>
      </c>
      <c r="AN225" s="88">
        <v>7.1</v>
      </c>
      <c r="AO225" s="88">
        <v>7.6</v>
      </c>
      <c r="AP225" s="88">
        <v>47</v>
      </c>
      <c r="AQ225" s="88">
        <v>21</v>
      </c>
      <c r="AR225" s="89">
        <v>10.199999999999999</v>
      </c>
      <c r="AS225" s="89">
        <v>10.1</v>
      </c>
      <c r="AT225" s="89">
        <v>4.5</v>
      </c>
      <c r="AU225" s="89">
        <v>4.7</v>
      </c>
      <c r="AV225" s="82">
        <v>115</v>
      </c>
      <c r="AW225" s="82">
        <v>87</v>
      </c>
      <c r="AX225" s="88">
        <v>137</v>
      </c>
      <c r="AY225" s="88">
        <v>137</v>
      </c>
      <c r="AZ225" s="89">
        <v>2.1</v>
      </c>
      <c r="BA225" s="89">
        <v>2.2999999999999998</v>
      </c>
      <c r="BB225" s="88">
        <v>101</v>
      </c>
      <c r="BC225" s="88">
        <v>94</v>
      </c>
      <c r="BD225" s="96">
        <f t="shared" si="21"/>
        <v>293.37055555555554</v>
      </c>
      <c r="BE225" s="96">
        <f t="shared" si="22"/>
        <v>289.95366666666666</v>
      </c>
      <c r="BF225" s="89">
        <v>4.38</v>
      </c>
      <c r="BG225" s="89">
        <v>4.33</v>
      </c>
      <c r="BH225" s="88">
        <v>12.9</v>
      </c>
      <c r="BI225" s="88">
        <v>12.9</v>
      </c>
      <c r="BJ225" s="89">
        <v>40.299999999999997</v>
      </c>
      <c r="BK225" s="89">
        <v>40.4</v>
      </c>
      <c r="BL225" s="88">
        <v>92</v>
      </c>
      <c r="BM225" s="88">
        <v>93.3</v>
      </c>
      <c r="BN225" s="89">
        <v>29.5</v>
      </c>
      <c r="BO225" s="89">
        <v>29.8</v>
      </c>
      <c r="BP225" s="88">
        <v>32</v>
      </c>
      <c r="BQ225" s="88">
        <v>31.9</v>
      </c>
      <c r="BR225" s="89">
        <v>381</v>
      </c>
      <c r="BS225" s="89">
        <v>400</v>
      </c>
      <c r="BT225" s="95">
        <v>13.4</v>
      </c>
      <c r="BU225" s="88">
        <v>13.6</v>
      </c>
      <c r="BV225" s="108">
        <v>8.0600000000000005E-2</v>
      </c>
      <c r="BW225" s="108">
        <v>9.5699999999999993E-2</v>
      </c>
      <c r="BX225" s="88">
        <v>5.57</v>
      </c>
      <c r="BY225" s="88">
        <v>10.74</v>
      </c>
      <c r="BZ225" s="89">
        <v>71.8</v>
      </c>
      <c r="CA225" s="89">
        <v>81.5</v>
      </c>
      <c r="CB225" s="88">
        <v>17.399999999999999</v>
      </c>
      <c r="CC225" s="88">
        <v>9.1</v>
      </c>
      <c r="CD225" s="89">
        <v>9.6999999999999993</v>
      </c>
      <c r="CE225" s="89">
        <v>8.6999999999999993</v>
      </c>
      <c r="CF225" s="88">
        <v>0.9</v>
      </c>
      <c r="CG225" s="88">
        <v>0.1</v>
      </c>
      <c r="CH225" s="89">
        <v>0.2</v>
      </c>
      <c r="CI225" s="89">
        <v>0.6</v>
      </c>
      <c r="CJ225" s="86" t="b">
        <f t="shared" si="23"/>
        <v>0</v>
      </c>
      <c r="CK225" s="2" t="b">
        <f t="shared" si="24"/>
        <v>1</v>
      </c>
      <c r="CL225" s="98">
        <f t="shared" si="25"/>
        <v>73.936000000000007</v>
      </c>
      <c r="CM225" s="98">
        <v>80</v>
      </c>
      <c r="CN225" s="98">
        <v>177.5</v>
      </c>
      <c r="CO225" s="86">
        <v>0</v>
      </c>
      <c r="CP225" s="98">
        <v>42</v>
      </c>
      <c r="CQ225" s="98">
        <v>42</v>
      </c>
      <c r="CR225" s="99">
        <v>7.58</v>
      </c>
    </row>
    <row r="226" spans="1:96" ht="15.75" customHeight="1">
      <c r="A226" s="79">
        <v>2019</v>
      </c>
      <c r="B226" s="79" t="s">
        <v>184</v>
      </c>
      <c r="C226" s="168">
        <v>3202</v>
      </c>
      <c r="D226" s="135">
        <v>25</v>
      </c>
      <c r="E226" s="135">
        <v>85.3</v>
      </c>
      <c r="F226" s="135">
        <v>1</v>
      </c>
      <c r="G226" s="76" t="s">
        <v>82</v>
      </c>
      <c r="H226" s="55" t="s">
        <v>90</v>
      </c>
      <c r="I226" s="56" t="s">
        <v>84</v>
      </c>
      <c r="J226" s="55" t="s">
        <v>88</v>
      </c>
      <c r="K226" s="53">
        <v>25</v>
      </c>
      <c r="L226" s="55">
        <v>75</v>
      </c>
      <c r="M226" s="87">
        <v>321</v>
      </c>
      <c r="N226" s="220">
        <v>4259</v>
      </c>
      <c r="O226" s="88">
        <v>27</v>
      </c>
      <c r="P226" s="88">
        <v>121</v>
      </c>
      <c r="Q226" s="89">
        <v>2</v>
      </c>
      <c r="R226" s="89">
        <v>2.7</v>
      </c>
      <c r="S226" s="88">
        <v>364</v>
      </c>
      <c r="T226" s="88">
        <v>891</v>
      </c>
      <c r="U226" s="90">
        <v>61</v>
      </c>
      <c r="V226" s="90">
        <v>191</v>
      </c>
      <c r="W226" s="88">
        <v>4.2</v>
      </c>
      <c r="X226" s="88">
        <v>4.4000000000000004</v>
      </c>
      <c r="Y226" s="90">
        <v>79</v>
      </c>
      <c r="Z226" s="90">
        <v>149</v>
      </c>
      <c r="AA226" s="88">
        <v>86</v>
      </c>
      <c r="AB226" s="88">
        <v>84</v>
      </c>
      <c r="AC226" s="89">
        <v>3.7</v>
      </c>
      <c r="AD226" s="89">
        <v>6.2</v>
      </c>
      <c r="AE226" s="320">
        <v>131.1</v>
      </c>
      <c r="AF226" s="320">
        <v>126</v>
      </c>
      <c r="AG226" s="89">
        <v>78</v>
      </c>
      <c r="AH226" s="89">
        <v>50</v>
      </c>
      <c r="AI226" s="88">
        <v>0.7</v>
      </c>
      <c r="AJ226" s="88">
        <v>0.8</v>
      </c>
      <c r="AK226" s="269">
        <f t="shared" si="20"/>
        <v>0.10000000000000009</v>
      </c>
      <c r="AL226" s="89">
        <v>3.9</v>
      </c>
      <c r="AM226" s="89">
        <v>4.5999999999999996</v>
      </c>
      <c r="AN226" s="88">
        <v>6.9</v>
      </c>
      <c r="AO226" s="88">
        <v>7.3</v>
      </c>
      <c r="AP226" s="88">
        <v>60</v>
      </c>
      <c r="AQ226" s="88">
        <v>43</v>
      </c>
      <c r="AR226" s="89">
        <v>10.1</v>
      </c>
      <c r="AS226" s="89">
        <v>10.1</v>
      </c>
      <c r="AT226" s="89">
        <v>4.5</v>
      </c>
      <c r="AU226" s="89">
        <v>4.2</v>
      </c>
      <c r="AV226" s="82">
        <v>113</v>
      </c>
      <c r="AW226" s="82">
        <v>79</v>
      </c>
      <c r="AX226" s="88">
        <v>139</v>
      </c>
      <c r="AY226" s="88">
        <v>132</v>
      </c>
      <c r="AZ226" s="89">
        <v>2.1</v>
      </c>
      <c r="BA226" s="89">
        <v>2.2999999999999998</v>
      </c>
      <c r="BB226" s="88">
        <v>102</v>
      </c>
      <c r="BC226" s="88">
        <v>96</v>
      </c>
      <c r="BD226" s="96">
        <f t="shared" si="21"/>
        <v>301.12944444444446</v>
      </c>
      <c r="BE226" s="96">
        <f t="shared" si="22"/>
        <v>280.71255555555553</v>
      </c>
      <c r="BF226" s="89">
        <v>4.42</v>
      </c>
      <c r="BG226" s="89">
        <v>4.12</v>
      </c>
      <c r="BH226" s="88">
        <v>13.6</v>
      </c>
      <c r="BI226" s="88">
        <v>12.6</v>
      </c>
      <c r="BJ226" s="89">
        <v>43.4</v>
      </c>
      <c r="BK226" s="89">
        <v>40.200000000000003</v>
      </c>
      <c r="BL226" s="88">
        <v>98.2</v>
      </c>
      <c r="BM226" s="88">
        <v>97.6</v>
      </c>
      <c r="BN226" s="89">
        <v>30.8</v>
      </c>
      <c r="BO226" s="89">
        <v>30.6</v>
      </c>
      <c r="BP226" s="88">
        <v>31.3</v>
      </c>
      <c r="BQ226" s="88">
        <v>31.3</v>
      </c>
      <c r="BR226" s="89">
        <v>194</v>
      </c>
      <c r="BS226" s="89">
        <v>177</v>
      </c>
      <c r="BT226" s="95">
        <v>13.5</v>
      </c>
      <c r="BU226" s="88">
        <v>13.6</v>
      </c>
      <c r="BV226" s="108">
        <v>0.1109</v>
      </c>
      <c r="BW226" s="108">
        <v>8.0299999999999996E-2</v>
      </c>
      <c r="BX226" s="88">
        <v>12.9</v>
      </c>
      <c r="BY226" s="88">
        <v>14.56</v>
      </c>
      <c r="BZ226" s="89">
        <v>75.7</v>
      </c>
      <c r="CA226" s="89">
        <v>74.2</v>
      </c>
      <c r="CB226" s="88">
        <v>14.4</v>
      </c>
      <c r="CC226" s="88">
        <v>12.4</v>
      </c>
      <c r="CD226" s="89">
        <v>9.1999999999999993</v>
      </c>
      <c r="CE226" s="89">
        <v>13.1</v>
      </c>
      <c r="CF226" s="88">
        <v>0.4</v>
      </c>
      <c r="CG226" s="88">
        <v>0</v>
      </c>
      <c r="CH226" s="89">
        <v>0.3</v>
      </c>
      <c r="CI226" s="89">
        <v>0.3</v>
      </c>
      <c r="CJ226" s="86" t="b">
        <f t="shared" si="23"/>
        <v>0</v>
      </c>
      <c r="CK226" s="2" t="b">
        <f t="shared" si="24"/>
        <v>1</v>
      </c>
      <c r="CL226" s="98">
        <f t="shared" si="25"/>
        <v>81.37906000000001</v>
      </c>
      <c r="CM226" s="98">
        <v>88.9</v>
      </c>
      <c r="CN226" s="98">
        <v>184.5</v>
      </c>
      <c r="CO226" s="86">
        <v>49.69</v>
      </c>
      <c r="CP226" s="98">
        <v>54</v>
      </c>
      <c r="CQ226" s="98">
        <v>50</v>
      </c>
      <c r="CR226" s="99">
        <v>8.4600000000000009</v>
      </c>
    </row>
    <row r="227" spans="1:96" ht="15.75" customHeight="1">
      <c r="A227" s="79">
        <v>2019</v>
      </c>
      <c r="B227" s="79" t="s">
        <v>184</v>
      </c>
      <c r="C227" s="168">
        <v>3205</v>
      </c>
      <c r="D227" s="135">
        <v>32</v>
      </c>
      <c r="E227" s="135">
        <v>71.400000000000006</v>
      </c>
      <c r="F227" s="135">
        <v>1</v>
      </c>
      <c r="G227" s="54" t="s">
        <v>86</v>
      </c>
      <c r="H227" s="55" t="s">
        <v>94</v>
      </c>
      <c r="I227" s="56" t="s">
        <v>84</v>
      </c>
      <c r="J227" s="55" t="s">
        <v>88</v>
      </c>
      <c r="K227" s="56" t="s">
        <v>94</v>
      </c>
      <c r="L227" s="52" t="s">
        <v>94</v>
      </c>
      <c r="M227" s="87">
        <v>196</v>
      </c>
      <c r="N227" s="87">
        <v>3156</v>
      </c>
      <c r="O227" s="88">
        <v>27</v>
      </c>
      <c r="P227" s="88">
        <v>114</v>
      </c>
      <c r="Q227" s="89">
        <v>2.5</v>
      </c>
      <c r="R227" s="89">
        <v>2.9</v>
      </c>
      <c r="S227" s="88">
        <v>327</v>
      </c>
      <c r="T227" s="88">
        <v>586</v>
      </c>
      <c r="U227" s="90">
        <v>62</v>
      </c>
      <c r="V227" s="90">
        <v>126</v>
      </c>
      <c r="W227" s="88">
        <v>3.9</v>
      </c>
      <c r="X227" s="88">
        <v>4.7</v>
      </c>
      <c r="Y227" s="90">
        <v>80</v>
      </c>
      <c r="Z227" s="90">
        <v>76</v>
      </c>
      <c r="AA227" s="88">
        <v>32</v>
      </c>
      <c r="AB227" s="88">
        <v>37</v>
      </c>
      <c r="AC227" s="89">
        <v>5.0999999999999996</v>
      </c>
      <c r="AD227" s="89">
        <v>7.4</v>
      </c>
      <c r="AE227" s="320">
        <v>120.6</v>
      </c>
      <c r="AF227" s="320">
        <v>102.6</v>
      </c>
      <c r="AG227" s="89">
        <v>46</v>
      </c>
      <c r="AH227" s="89">
        <v>57</v>
      </c>
      <c r="AI227" s="88">
        <v>0.8</v>
      </c>
      <c r="AJ227" s="88">
        <v>1</v>
      </c>
      <c r="AK227" s="269">
        <f t="shared" si="20"/>
        <v>0.19999999999999996</v>
      </c>
      <c r="AL227" s="89">
        <v>3.1</v>
      </c>
      <c r="AM227" s="89">
        <v>5.7</v>
      </c>
      <c r="AN227" s="88">
        <v>6.3</v>
      </c>
      <c r="AO227" s="88">
        <v>7.3</v>
      </c>
      <c r="AP227" s="88">
        <v>60</v>
      </c>
      <c r="AQ227" s="88">
        <v>52</v>
      </c>
      <c r="AR227" s="89">
        <v>10</v>
      </c>
      <c r="AS227" s="89">
        <v>10.3</v>
      </c>
      <c r="AT227" s="89">
        <v>4.3</v>
      </c>
      <c r="AU227" s="89">
        <v>5.2</v>
      </c>
      <c r="AV227" s="82">
        <v>112</v>
      </c>
      <c r="AW227" s="82">
        <v>93</v>
      </c>
      <c r="AX227" s="88">
        <v>136</v>
      </c>
      <c r="AY227" s="88">
        <v>134</v>
      </c>
      <c r="AZ227" s="89">
        <v>1.9</v>
      </c>
      <c r="BA227" s="89">
        <v>2.2000000000000002</v>
      </c>
      <c r="BB227" s="88">
        <v>105</v>
      </c>
      <c r="BC227" s="88">
        <v>95</v>
      </c>
      <c r="BD227" s="96">
        <f t="shared" si="21"/>
        <v>289.78022222222228</v>
      </c>
      <c r="BE227" s="96">
        <f t="shared" si="22"/>
        <v>288.35366666666664</v>
      </c>
      <c r="BF227" s="89">
        <v>4.2300000000000004</v>
      </c>
      <c r="BG227" s="89">
        <v>4.59</v>
      </c>
      <c r="BH227" s="88">
        <v>12.6</v>
      </c>
      <c r="BI227" s="88">
        <v>13.8</v>
      </c>
      <c r="BJ227" s="89">
        <v>38.6</v>
      </c>
      <c r="BK227" s="89">
        <v>41.7</v>
      </c>
      <c r="BL227" s="88">
        <v>91.3</v>
      </c>
      <c r="BM227" s="88">
        <v>90.8</v>
      </c>
      <c r="BN227" s="89">
        <v>29.8</v>
      </c>
      <c r="BO227" s="89">
        <v>30.1</v>
      </c>
      <c r="BP227" s="88">
        <v>32.6</v>
      </c>
      <c r="BQ227" s="88">
        <v>33.1</v>
      </c>
      <c r="BR227" s="89">
        <v>370</v>
      </c>
      <c r="BS227" s="89">
        <v>360</v>
      </c>
      <c r="BT227" s="95">
        <v>13.2</v>
      </c>
      <c r="BU227" s="88">
        <v>13.5</v>
      </c>
      <c r="BV227" s="108">
        <v>7.6100000000000001E-2</v>
      </c>
      <c r="BW227" s="108">
        <v>8.2600000000000007E-2</v>
      </c>
      <c r="BX227" s="88">
        <v>9.2799999999999994</v>
      </c>
      <c r="BY227" s="88">
        <v>15.92</v>
      </c>
      <c r="BZ227" s="89">
        <v>70.900000000000006</v>
      </c>
      <c r="CA227" s="89">
        <v>77.7</v>
      </c>
      <c r="CB227" s="88">
        <v>19.899999999999999</v>
      </c>
      <c r="CC227" s="88">
        <v>10.8</v>
      </c>
      <c r="CD227" s="89">
        <v>6.6</v>
      </c>
      <c r="CE227" s="89">
        <v>10.8</v>
      </c>
      <c r="CF227" s="88">
        <v>1.3</v>
      </c>
      <c r="CG227" s="88">
        <v>0.2</v>
      </c>
      <c r="CH227" s="89">
        <v>1.3</v>
      </c>
      <c r="CI227" s="89">
        <v>0.5</v>
      </c>
      <c r="CJ227" s="86" t="b">
        <f t="shared" si="23"/>
        <v>0</v>
      </c>
      <c r="CK227" s="2" t="b">
        <f t="shared" si="24"/>
        <v>1</v>
      </c>
      <c r="CL227" s="98">
        <f t="shared" si="25"/>
        <v>70.381349999999998</v>
      </c>
      <c r="CM227" s="98">
        <v>79.5</v>
      </c>
      <c r="CN227" s="98">
        <v>176.5</v>
      </c>
      <c r="CO227" s="86">
        <v>52.51</v>
      </c>
      <c r="CP227" s="98">
        <v>48</v>
      </c>
      <c r="CQ227" s="98">
        <v>52</v>
      </c>
      <c r="CR227" s="99">
        <v>11.47</v>
      </c>
    </row>
    <row r="228" spans="1:96" ht="15.75" customHeight="1">
      <c r="A228" s="79">
        <v>2019</v>
      </c>
      <c r="B228" s="79" t="s">
        <v>184</v>
      </c>
      <c r="C228" s="168">
        <v>3213</v>
      </c>
      <c r="D228" s="135">
        <v>32</v>
      </c>
      <c r="E228" s="135">
        <v>0</v>
      </c>
      <c r="F228" s="135">
        <v>1</v>
      </c>
      <c r="G228" s="76" t="s">
        <v>86</v>
      </c>
      <c r="H228" s="55" t="s">
        <v>83</v>
      </c>
      <c r="I228" s="56" t="s">
        <v>84</v>
      </c>
      <c r="J228" s="55" t="s">
        <v>85</v>
      </c>
      <c r="K228" s="56">
        <v>37.5</v>
      </c>
      <c r="L228" s="55">
        <v>62.5</v>
      </c>
      <c r="M228" s="87">
        <v>692</v>
      </c>
      <c r="N228" s="141" t="s">
        <v>94</v>
      </c>
      <c r="O228" s="88">
        <v>41</v>
      </c>
      <c r="P228" s="94" t="s">
        <v>94</v>
      </c>
      <c r="Q228" s="89">
        <v>2.9</v>
      </c>
      <c r="R228" s="97" t="s">
        <v>94</v>
      </c>
      <c r="S228" s="88">
        <v>552</v>
      </c>
      <c r="T228" s="94" t="s">
        <v>94</v>
      </c>
      <c r="U228" s="90">
        <v>77</v>
      </c>
      <c r="V228" s="90" t="s">
        <v>94</v>
      </c>
      <c r="W228" s="88">
        <v>3.9</v>
      </c>
      <c r="X228" s="94" t="s">
        <v>94</v>
      </c>
      <c r="Y228" s="90">
        <v>93</v>
      </c>
      <c r="Z228" s="147" t="s">
        <v>94</v>
      </c>
      <c r="AA228" s="88">
        <v>45</v>
      </c>
      <c r="AB228" s="94" t="s">
        <v>94</v>
      </c>
      <c r="AC228" s="89">
        <v>4.5</v>
      </c>
      <c r="AD228" s="97" t="s">
        <v>94</v>
      </c>
      <c r="AE228" s="320">
        <v>102.6</v>
      </c>
      <c r="AF228" s="320">
        <v>0</v>
      </c>
      <c r="AG228" s="89">
        <v>45</v>
      </c>
      <c r="AH228" s="97" t="s">
        <v>94</v>
      </c>
      <c r="AI228" s="88">
        <v>1</v>
      </c>
      <c r="AJ228" s="94" t="s">
        <v>94</v>
      </c>
      <c r="AK228" s="269" t="str">
        <f t="shared" si="20"/>
        <v>Dados Insuficientes</v>
      </c>
      <c r="AL228" s="89">
        <v>4.0999999999999996</v>
      </c>
      <c r="AM228" s="97" t="s">
        <v>94</v>
      </c>
      <c r="AN228" s="88">
        <v>6.5</v>
      </c>
      <c r="AO228" s="94" t="s">
        <v>94</v>
      </c>
      <c r="AP228" s="88">
        <v>40</v>
      </c>
      <c r="AQ228" s="94" t="s">
        <v>94</v>
      </c>
      <c r="AR228" s="89">
        <v>10.1</v>
      </c>
      <c r="AS228" s="97" t="s">
        <v>94</v>
      </c>
      <c r="AT228" s="89">
        <v>4.5</v>
      </c>
      <c r="AU228" s="97" t="s">
        <v>94</v>
      </c>
      <c r="AV228" s="82">
        <v>124</v>
      </c>
      <c r="AW228" s="82" t="s">
        <v>94</v>
      </c>
      <c r="AX228" s="88">
        <v>137</v>
      </c>
      <c r="AY228" s="94" t="s">
        <v>94</v>
      </c>
      <c r="AZ228" s="89">
        <v>2</v>
      </c>
      <c r="BA228" s="97" t="s">
        <v>94</v>
      </c>
      <c r="BB228" s="88">
        <v>100</v>
      </c>
      <c r="BC228" s="94" t="s">
        <v>94</v>
      </c>
      <c r="BD228" s="96">
        <f t="shared" si="21"/>
        <v>292.61222222222221</v>
      </c>
      <c r="BE228" s="96" t="e">
        <f t="shared" si="22"/>
        <v>#VALUE!</v>
      </c>
      <c r="BF228" s="89">
        <v>3.93</v>
      </c>
      <c r="BG228" s="89" t="s">
        <v>94</v>
      </c>
      <c r="BH228" s="88">
        <v>12.4</v>
      </c>
      <c r="BI228" s="88" t="s">
        <v>94</v>
      </c>
      <c r="BJ228" s="89">
        <v>39.200000000000003</v>
      </c>
      <c r="BK228" s="89" t="s">
        <v>94</v>
      </c>
      <c r="BL228" s="88">
        <v>99.7</v>
      </c>
      <c r="BM228" s="88" t="s">
        <v>94</v>
      </c>
      <c r="BN228" s="89">
        <v>31.6</v>
      </c>
      <c r="BO228" s="89" t="s">
        <v>94</v>
      </c>
      <c r="BP228" s="88">
        <v>31.6</v>
      </c>
      <c r="BQ228" s="88" t="s">
        <v>94</v>
      </c>
      <c r="BR228" s="89">
        <v>403</v>
      </c>
      <c r="BS228" s="89" t="s">
        <v>94</v>
      </c>
      <c r="BT228" s="95">
        <v>14.8</v>
      </c>
      <c r="BU228" s="88" t="s">
        <v>94</v>
      </c>
      <c r="BV228" s="108">
        <v>0.15409999999999999</v>
      </c>
      <c r="BW228" s="108" t="s">
        <v>94</v>
      </c>
      <c r="BX228" s="88">
        <v>14.85</v>
      </c>
      <c r="BY228" s="88" t="s">
        <v>94</v>
      </c>
      <c r="BZ228" s="89">
        <v>87.3</v>
      </c>
      <c r="CA228" s="89" t="s">
        <v>94</v>
      </c>
      <c r="CB228" s="88">
        <v>7.1</v>
      </c>
      <c r="CC228" s="88" t="s">
        <v>94</v>
      </c>
      <c r="CD228" s="89">
        <v>5.4</v>
      </c>
      <c r="CE228" s="89" t="s">
        <v>94</v>
      </c>
      <c r="CF228" s="88">
        <v>0.1</v>
      </c>
      <c r="CG228" s="88" t="s">
        <v>94</v>
      </c>
      <c r="CH228" s="89">
        <v>0.1</v>
      </c>
      <c r="CI228" s="89" t="s">
        <v>94</v>
      </c>
      <c r="CJ228" s="86" t="e">
        <f t="shared" si="23"/>
        <v>#VALUE!</v>
      </c>
      <c r="CK228" s="2" t="b">
        <f t="shared" si="24"/>
        <v>1</v>
      </c>
      <c r="CL228" s="98">
        <f t="shared" si="25"/>
        <v>71.386020000000002</v>
      </c>
      <c r="CM228" s="98">
        <v>77.400000000000006</v>
      </c>
      <c r="CN228" s="98">
        <v>175</v>
      </c>
      <c r="CO228" s="86">
        <v>53.39</v>
      </c>
      <c r="CP228" s="98">
        <v>48</v>
      </c>
      <c r="CQ228" s="98">
        <v>44</v>
      </c>
      <c r="CR228" s="99">
        <v>7.77</v>
      </c>
    </row>
    <row r="229" spans="1:96" ht="15.75" customHeight="1">
      <c r="A229" s="79">
        <v>2019</v>
      </c>
      <c r="B229" s="79" t="s">
        <v>184</v>
      </c>
      <c r="C229" s="168">
        <v>3214</v>
      </c>
      <c r="D229" s="135">
        <v>31</v>
      </c>
      <c r="E229" s="135">
        <v>76.400000000000006</v>
      </c>
      <c r="F229" s="135">
        <v>1</v>
      </c>
      <c r="G229" s="76" t="s">
        <v>89</v>
      </c>
      <c r="H229" s="55" t="s">
        <v>90</v>
      </c>
      <c r="I229" s="56" t="s">
        <v>87</v>
      </c>
      <c r="J229" s="55" t="s">
        <v>91</v>
      </c>
      <c r="K229" s="56">
        <v>25</v>
      </c>
      <c r="L229" s="55">
        <v>75</v>
      </c>
      <c r="M229" s="87">
        <v>349</v>
      </c>
      <c r="N229" s="87">
        <v>1080</v>
      </c>
      <c r="O229" s="88">
        <v>27</v>
      </c>
      <c r="P229" s="88">
        <v>31</v>
      </c>
      <c r="Q229" s="89">
        <v>3.2</v>
      </c>
      <c r="R229" s="89">
        <v>2.9</v>
      </c>
      <c r="S229" s="88">
        <v>305</v>
      </c>
      <c r="T229" s="88">
        <v>608</v>
      </c>
      <c r="U229" s="90">
        <v>55</v>
      </c>
      <c r="V229" s="90">
        <v>78</v>
      </c>
      <c r="W229" s="88">
        <v>4</v>
      </c>
      <c r="X229" s="88">
        <v>4.0999999999999996</v>
      </c>
      <c r="Y229" s="90">
        <v>57</v>
      </c>
      <c r="Z229" s="90">
        <v>71</v>
      </c>
      <c r="AA229" s="88">
        <v>53</v>
      </c>
      <c r="AB229" s="88">
        <v>101</v>
      </c>
      <c r="AC229" s="89">
        <v>5.3</v>
      </c>
      <c r="AD229" s="89">
        <v>7.1</v>
      </c>
      <c r="AE229" s="320">
        <v>121.3</v>
      </c>
      <c r="AF229" s="320">
        <v>121.3</v>
      </c>
      <c r="AG229" s="89">
        <v>40</v>
      </c>
      <c r="AH229" s="89">
        <v>49</v>
      </c>
      <c r="AI229" s="88">
        <v>0.8</v>
      </c>
      <c r="AJ229" s="88">
        <v>0.8</v>
      </c>
      <c r="AK229" s="269">
        <f t="shared" si="20"/>
        <v>0</v>
      </c>
      <c r="AL229" s="89">
        <v>3.2</v>
      </c>
      <c r="AM229" s="89">
        <v>5.4</v>
      </c>
      <c r="AN229" s="88">
        <v>6.8</v>
      </c>
      <c r="AO229" s="88">
        <v>7.1</v>
      </c>
      <c r="AP229" s="88">
        <v>54</v>
      </c>
      <c r="AQ229" s="88">
        <v>46</v>
      </c>
      <c r="AR229" s="89">
        <v>9.6999999999999993</v>
      </c>
      <c r="AS229" s="89">
        <v>9.6999999999999993</v>
      </c>
      <c r="AT229" s="89">
        <v>4.5999999999999996</v>
      </c>
      <c r="AU229" s="89">
        <v>4.8</v>
      </c>
      <c r="AV229" s="82">
        <v>95</v>
      </c>
      <c r="AW229" s="82">
        <v>86</v>
      </c>
      <c r="AX229" s="88">
        <v>137</v>
      </c>
      <c r="AY229" s="88">
        <v>136</v>
      </c>
      <c r="AZ229" s="89">
        <v>2</v>
      </c>
      <c r="BA229" s="89">
        <v>2.2999999999999998</v>
      </c>
      <c r="BB229" s="88">
        <v>99</v>
      </c>
      <c r="BC229" s="88">
        <v>97</v>
      </c>
      <c r="BD229" s="96">
        <f t="shared" si="21"/>
        <v>290.11211111111112</v>
      </c>
      <c r="BE229" s="96">
        <f t="shared" si="22"/>
        <v>289.54911111111119</v>
      </c>
      <c r="BF229" s="89">
        <v>4.3899999999999997</v>
      </c>
      <c r="BG229" s="89">
        <v>4.1500000000000004</v>
      </c>
      <c r="BH229" s="88">
        <v>12.5</v>
      </c>
      <c r="BI229" s="88">
        <v>11.9</v>
      </c>
      <c r="BJ229" s="89">
        <v>39.299999999999997</v>
      </c>
      <c r="BK229" s="89">
        <v>37.299999999999997</v>
      </c>
      <c r="BL229" s="88">
        <v>89.5</v>
      </c>
      <c r="BM229" s="88">
        <v>89.9</v>
      </c>
      <c r="BN229" s="89">
        <v>28.5</v>
      </c>
      <c r="BO229" s="89">
        <v>28.7</v>
      </c>
      <c r="BP229" s="88">
        <v>31.8</v>
      </c>
      <c r="BQ229" s="88">
        <v>31.9</v>
      </c>
      <c r="BR229" s="89">
        <v>317</v>
      </c>
      <c r="BS229" s="89">
        <v>328</v>
      </c>
      <c r="BT229" s="95">
        <v>13</v>
      </c>
      <c r="BU229" s="88">
        <v>13.6</v>
      </c>
      <c r="BV229" s="108">
        <v>9.2200000000000004E-2</v>
      </c>
      <c r="BW229" s="108">
        <v>0.1038</v>
      </c>
      <c r="BX229" s="88">
        <v>8.84</v>
      </c>
      <c r="BY229" s="88">
        <v>12.35</v>
      </c>
      <c r="BZ229" s="89">
        <v>81.7</v>
      </c>
      <c r="CA229" s="89">
        <v>77.900000000000006</v>
      </c>
      <c r="CB229" s="88">
        <v>10.6</v>
      </c>
      <c r="CC229" s="88">
        <v>13.6</v>
      </c>
      <c r="CD229" s="89">
        <v>6.8</v>
      </c>
      <c r="CE229" s="89">
        <v>8.3000000000000007</v>
      </c>
      <c r="CF229" s="88">
        <v>0.6</v>
      </c>
      <c r="CG229" s="88">
        <v>0</v>
      </c>
      <c r="CH229" s="89">
        <v>0.3</v>
      </c>
      <c r="CI229" s="89">
        <v>0.2</v>
      </c>
      <c r="CJ229" s="86" t="b">
        <f t="shared" si="23"/>
        <v>0</v>
      </c>
      <c r="CK229" s="2" t="b">
        <f t="shared" si="24"/>
        <v>1</v>
      </c>
      <c r="CL229" s="98">
        <f t="shared" si="25"/>
        <v>70.427400000000006</v>
      </c>
      <c r="CM229" s="98">
        <v>80.25</v>
      </c>
      <c r="CN229" s="98">
        <v>178</v>
      </c>
      <c r="CO229" s="86">
        <v>51.39</v>
      </c>
      <c r="CP229" s="98">
        <v>48</v>
      </c>
      <c r="CQ229" s="98">
        <v>47</v>
      </c>
      <c r="CR229" s="99">
        <v>12.24</v>
      </c>
    </row>
    <row r="230" spans="1:96" ht="15.75" customHeight="1">
      <c r="A230" s="79">
        <v>2019</v>
      </c>
      <c r="B230" s="79" t="s">
        <v>184</v>
      </c>
      <c r="C230" s="168">
        <v>3215</v>
      </c>
      <c r="D230" s="135">
        <v>33</v>
      </c>
      <c r="E230" s="135">
        <v>71</v>
      </c>
      <c r="F230" s="135">
        <v>1</v>
      </c>
      <c r="G230" s="81" t="s">
        <v>82</v>
      </c>
      <c r="H230" s="52" t="s">
        <v>90</v>
      </c>
      <c r="I230" s="53" t="s">
        <v>84</v>
      </c>
      <c r="J230" s="55" t="s">
        <v>88</v>
      </c>
      <c r="K230" s="53">
        <v>25</v>
      </c>
      <c r="L230" s="52">
        <v>75</v>
      </c>
      <c r="M230" s="87">
        <v>721</v>
      </c>
      <c r="N230" s="87">
        <v>971</v>
      </c>
      <c r="O230" s="88">
        <v>46</v>
      </c>
      <c r="P230" s="88">
        <v>54</v>
      </c>
      <c r="Q230" s="89">
        <v>2.5</v>
      </c>
      <c r="R230" s="89">
        <v>2.1</v>
      </c>
      <c r="S230" s="88">
        <v>396</v>
      </c>
      <c r="T230" s="88">
        <v>521</v>
      </c>
      <c r="U230" s="90">
        <v>99</v>
      </c>
      <c r="V230" s="90">
        <v>96</v>
      </c>
      <c r="W230" s="88">
        <v>3.7</v>
      </c>
      <c r="X230" s="88">
        <v>4.2</v>
      </c>
      <c r="Y230" s="90">
        <v>73</v>
      </c>
      <c r="Z230" s="90">
        <v>78</v>
      </c>
      <c r="AA230" s="88">
        <v>41</v>
      </c>
      <c r="AB230" s="88">
        <v>65</v>
      </c>
      <c r="AC230" s="89">
        <v>3.6</v>
      </c>
      <c r="AD230" s="89">
        <v>4</v>
      </c>
      <c r="AE230" s="320">
        <v>115.7</v>
      </c>
      <c r="AF230" s="320">
        <v>115.7</v>
      </c>
      <c r="AG230" s="89">
        <v>47</v>
      </c>
      <c r="AH230" s="89">
        <v>48</v>
      </c>
      <c r="AI230" s="88">
        <v>0.9</v>
      </c>
      <c r="AJ230" s="88">
        <v>0.9</v>
      </c>
      <c r="AK230" s="269">
        <f t="shared" si="20"/>
        <v>0</v>
      </c>
      <c r="AL230" s="89">
        <v>2.7</v>
      </c>
      <c r="AM230" s="89">
        <v>4.5</v>
      </c>
      <c r="AN230" s="88">
        <v>6.5</v>
      </c>
      <c r="AO230" s="88">
        <v>7.4</v>
      </c>
      <c r="AP230" s="88">
        <v>46</v>
      </c>
      <c r="AQ230" s="88">
        <v>60</v>
      </c>
      <c r="AR230" s="89">
        <v>9.3000000000000007</v>
      </c>
      <c r="AS230" s="89">
        <v>9.6999999999999993</v>
      </c>
      <c r="AT230" s="89">
        <v>3.8</v>
      </c>
      <c r="AU230" s="89">
        <v>4.2</v>
      </c>
      <c r="AV230" s="82">
        <v>98</v>
      </c>
      <c r="AW230" s="82">
        <v>84</v>
      </c>
      <c r="AX230" s="88">
        <v>140</v>
      </c>
      <c r="AY230" s="88">
        <v>135</v>
      </c>
      <c r="AZ230" s="89">
        <v>2.1</v>
      </c>
      <c r="BA230" s="89">
        <v>2.2000000000000002</v>
      </c>
      <c r="BB230" s="88">
        <v>102</v>
      </c>
      <c r="BC230" s="88">
        <v>96</v>
      </c>
      <c r="BD230" s="96">
        <f t="shared" si="21"/>
        <v>295.56244444444445</v>
      </c>
      <c r="BE230" s="96">
        <f t="shared" si="22"/>
        <v>286.27866666666665</v>
      </c>
      <c r="BF230" s="89">
        <v>4.2300000000000004</v>
      </c>
      <c r="BG230" s="89">
        <v>4.29</v>
      </c>
      <c r="BH230" s="88">
        <v>12.3</v>
      </c>
      <c r="BI230" s="88">
        <v>12.4</v>
      </c>
      <c r="BJ230" s="89">
        <v>38.799999999999997</v>
      </c>
      <c r="BK230" s="89">
        <v>39.6</v>
      </c>
      <c r="BL230" s="88">
        <v>91.7</v>
      </c>
      <c r="BM230" s="88">
        <v>92.3</v>
      </c>
      <c r="BN230" s="89">
        <v>29.1</v>
      </c>
      <c r="BO230" s="89">
        <v>28.9</v>
      </c>
      <c r="BP230" s="88">
        <v>31.7</v>
      </c>
      <c r="BQ230" s="88">
        <v>31.3</v>
      </c>
      <c r="BR230" s="89">
        <v>312</v>
      </c>
      <c r="BS230" s="89">
        <v>341</v>
      </c>
      <c r="BT230" s="95">
        <v>13.9</v>
      </c>
      <c r="BU230" s="88">
        <v>14.5</v>
      </c>
      <c r="BV230" s="108">
        <v>7.5300000000000006E-2</v>
      </c>
      <c r="BW230" s="108">
        <v>0.1021</v>
      </c>
      <c r="BX230" s="88">
        <v>9</v>
      </c>
      <c r="BY230" s="88">
        <v>8.82</v>
      </c>
      <c r="BZ230" s="89">
        <v>84</v>
      </c>
      <c r="CA230" s="89">
        <v>77.7</v>
      </c>
      <c r="CB230" s="88">
        <v>8.1</v>
      </c>
      <c r="CC230" s="88">
        <v>11.3</v>
      </c>
      <c r="CD230" s="89">
        <v>6.7</v>
      </c>
      <c r="CE230" s="89">
        <v>10.7</v>
      </c>
      <c r="CF230" s="88">
        <v>0.9</v>
      </c>
      <c r="CG230" s="88">
        <v>0.1</v>
      </c>
      <c r="CH230" s="89">
        <v>0.3</v>
      </c>
      <c r="CI230" s="89">
        <v>0.2</v>
      </c>
      <c r="CJ230" s="86" t="b">
        <f t="shared" si="23"/>
        <v>0</v>
      </c>
      <c r="CK230" s="2" t="b">
        <f t="shared" si="24"/>
        <v>0</v>
      </c>
      <c r="CL230" s="98">
        <f t="shared" si="25"/>
        <v>66.237339999999989</v>
      </c>
      <c r="CM230" s="98">
        <v>74.599999999999994</v>
      </c>
      <c r="CN230" s="98">
        <v>178.5</v>
      </c>
      <c r="CO230" s="86">
        <v>50</v>
      </c>
      <c r="CP230" s="98">
        <v>62</v>
      </c>
      <c r="CQ230" s="98">
        <v>58</v>
      </c>
      <c r="CR230" s="99">
        <v>11.21</v>
      </c>
    </row>
    <row r="231" spans="1:96" ht="15.75" customHeight="1">
      <c r="A231" s="79">
        <v>2019</v>
      </c>
      <c r="B231" s="79" t="s">
        <v>184</v>
      </c>
      <c r="C231" s="168">
        <v>3216</v>
      </c>
      <c r="D231" s="135">
        <v>31</v>
      </c>
      <c r="E231" s="135">
        <v>69.3</v>
      </c>
      <c r="F231" s="135">
        <v>1</v>
      </c>
      <c r="G231" s="76" t="s">
        <v>86</v>
      </c>
      <c r="H231" s="55" t="s">
        <v>90</v>
      </c>
      <c r="I231" s="56" t="s">
        <v>84</v>
      </c>
      <c r="J231" s="55" t="s">
        <v>88</v>
      </c>
      <c r="K231" s="53">
        <v>50</v>
      </c>
      <c r="L231" s="55">
        <v>50</v>
      </c>
      <c r="M231" s="87">
        <v>535</v>
      </c>
      <c r="N231" s="87">
        <v>2513</v>
      </c>
      <c r="O231" s="88">
        <v>36</v>
      </c>
      <c r="P231" s="88">
        <v>70</v>
      </c>
      <c r="Q231" s="89">
        <v>3</v>
      </c>
      <c r="R231" s="89">
        <v>2.4</v>
      </c>
      <c r="S231" s="88">
        <v>422</v>
      </c>
      <c r="T231" s="88">
        <v>740</v>
      </c>
      <c r="U231" s="90">
        <v>80</v>
      </c>
      <c r="V231" s="90">
        <v>116</v>
      </c>
      <c r="W231" s="88">
        <v>3.6</v>
      </c>
      <c r="X231" s="88">
        <v>3.9</v>
      </c>
      <c r="Y231" s="90">
        <v>75</v>
      </c>
      <c r="Z231" s="90">
        <v>83</v>
      </c>
      <c r="AA231" s="88">
        <v>32</v>
      </c>
      <c r="AB231" s="88">
        <v>40</v>
      </c>
      <c r="AC231" s="89">
        <v>4.5</v>
      </c>
      <c r="AD231" s="89">
        <v>5.7</v>
      </c>
      <c r="AE231" s="320">
        <v>126.3</v>
      </c>
      <c r="AF231" s="320">
        <v>126.3</v>
      </c>
      <c r="AG231" s="89">
        <v>39</v>
      </c>
      <c r="AH231" s="89">
        <v>46</v>
      </c>
      <c r="AI231" s="88">
        <v>0.7</v>
      </c>
      <c r="AJ231" s="88">
        <v>0.7</v>
      </c>
      <c r="AK231" s="269">
        <f t="shared" si="20"/>
        <v>0</v>
      </c>
      <c r="AL231" s="89">
        <v>2.4</v>
      </c>
      <c r="AM231" s="89">
        <v>4.4000000000000004</v>
      </c>
      <c r="AN231" s="88">
        <v>6.3</v>
      </c>
      <c r="AO231" s="88">
        <v>6.9</v>
      </c>
      <c r="AP231" s="88">
        <v>28</v>
      </c>
      <c r="AQ231" s="88">
        <v>87</v>
      </c>
      <c r="AR231" s="89">
        <v>9.5</v>
      </c>
      <c r="AS231" s="89">
        <v>9.6</v>
      </c>
      <c r="AT231" s="89">
        <v>3.7</v>
      </c>
      <c r="AU231" s="89">
        <v>4.2</v>
      </c>
      <c r="AV231" s="82">
        <v>119</v>
      </c>
      <c r="AW231" s="158">
        <v>123</v>
      </c>
      <c r="AX231" s="88">
        <v>139</v>
      </c>
      <c r="AY231" s="88">
        <v>136</v>
      </c>
      <c r="AZ231" s="89">
        <v>2.1</v>
      </c>
      <c r="BA231" s="89">
        <v>2.2999999999999998</v>
      </c>
      <c r="BB231" s="88">
        <v>102</v>
      </c>
      <c r="BC231" s="88">
        <v>96</v>
      </c>
      <c r="BD231" s="96">
        <f t="shared" si="21"/>
        <v>293.52477777777773</v>
      </c>
      <c r="BE231" s="96">
        <f t="shared" si="22"/>
        <v>290.29700000000003</v>
      </c>
      <c r="BF231" s="89">
        <v>4.51</v>
      </c>
      <c r="BG231" s="89">
        <v>4.25</v>
      </c>
      <c r="BH231" s="88">
        <v>13.7</v>
      </c>
      <c r="BI231" s="88">
        <v>12.8</v>
      </c>
      <c r="BJ231" s="89">
        <v>43</v>
      </c>
      <c r="BK231" s="89">
        <v>41</v>
      </c>
      <c r="BL231" s="88">
        <v>95.3</v>
      </c>
      <c r="BM231" s="88">
        <v>96.5</v>
      </c>
      <c r="BN231" s="89">
        <v>30.4</v>
      </c>
      <c r="BO231" s="89">
        <v>30.1</v>
      </c>
      <c r="BP231" s="88">
        <v>31.9</v>
      </c>
      <c r="BQ231" s="88">
        <v>31.2</v>
      </c>
      <c r="BR231" s="89">
        <v>270</v>
      </c>
      <c r="BS231" s="89">
        <v>316</v>
      </c>
      <c r="BT231" s="95">
        <v>12.2</v>
      </c>
      <c r="BU231" s="88">
        <v>12.7</v>
      </c>
      <c r="BV231" s="108">
        <v>8.6099999999999996E-2</v>
      </c>
      <c r="BW231" s="108">
        <v>8.2900000000000001E-2</v>
      </c>
      <c r="BX231" s="88">
        <v>12.03</v>
      </c>
      <c r="BY231" s="88">
        <v>11.36</v>
      </c>
      <c r="BZ231" s="89">
        <v>84.6</v>
      </c>
      <c r="CA231" s="89">
        <v>78</v>
      </c>
      <c r="CB231" s="88">
        <v>8.8000000000000007</v>
      </c>
      <c r="CC231" s="88">
        <v>12.4</v>
      </c>
      <c r="CD231" s="89">
        <v>5.7</v>
      </c>
      <c r="CE231" s="89">
        <v>9.1</v>
      </c>
      <c r="CF231" s="88">
        <v>0.7</v>
      </c>
      <c r="CG231" s="88">
        <v>0.3</v>
      </c>
      <c r="CH231" s="89">
        <v>0.2</v>
      </c>
      <c r="CI231" s="89">
        <v>0.2</v>
      </c>
      <c r="CJ231" s="86" t="b">
        <f t="shared" si="23"/>
        <v>0</v>
      </c>
      <c r="CK231" s="2" t="b">
        <f t="shared" si="24"/>
        <v>1</v>
      </c>
      <c r="CL231" s="98">
        <f t="shared" si="25"/>
        <v>65.387150000000005</v>
      </c>
      <c r="CM231" s="98">
        <v>70.75</v>
      </c>
      <c r="CN231" s="98">
        <v>181.5</v>
      </c>
      <c r="CO231" s="86">
        <v>54.55</v>
      </c>
      <c r="CP231" s="98">
        <v>50</v>
      </c>
      <c r="CQ231" s="98">
        <v>42</v>
      </c>
      <c r="CR231" s="99">
        <v>7.58</v>
      </c>
    </row>
    <row r="232" spans="1:96" ht="15.75" customHeight="1">
      <c r="A232" s="79">
        <v>2019</v>
      </c>
      <c r="B232" s="79" t="s">
        <v>184</v>
      </c>
      <c r="C232" s="168">
        <v>3222</v>
      </c>
      <c r="D232" s="135">
        <v>28</v>
      </c>
      <c r="E232" s="135">
        <v>59</v>
      </c>
      <c r="F232" s="135">
        <v>1</v>
      </c>
      <c r="G232" s="54" t="s">
        <v>86</v>
      </c>
      <c r="H232" s="55" t="s">
        <v>83</v>
      </c>
      <c r="I232" s="56" t="s">
        <v>84</v>
      </c>
      <c r="J232" s="55" t="s">
        <v>85</v>
      </c>
      <c r="K232" s="53">
        <v>50</v>
      </c>
      <c r="L232" s="55">
        <v>50</v>
      </c>
      <c r="M232" s="87">
        <v>1345</v>
      </c>
      <c r="N232" s="87">
        <v>2397</v>
      </c>
      <c r="O232" s="88">
        <v>61</v>
      </c>
      <c r="P232" s="88">
        <v>68</v>
      </c>
      <c r="Q232" s="89">
        <v>2.5</v>
      </c>
      <c r="R232" s="89">
        <v>2.4</v>
      </c>
      <c r="S232" s="88">
        <v>463</v>
      </c>
      <c r="T232" s="88">
        <v>757</v>
      </c>
      <c r="U232" s="90">
        <v>129</v>
      </c>
      <c r="V232" s="90">
        <v>127</v>
      </c>
      <c r="W232" s="88">
        <v>4.0999999999999996</v>
      </c>
      <c r="X232" s="88">
        <v>4.5</v>
      </c>
      <c r="Y232" s="90">
        <v>87</v>
      </c>
      <c r="Z232" s="90">
        <v>76</v>
      </c>
      <c r="AA232" s="88">
        <v>23</v>
      </c>
      <c r="AB232" s="88">
        <v>25</v>
      </c>
      <c r="AC232" s="89">
        <v>3.7</v>
      </c>
      <c r="AD232" s="89">
        <v>5.9</v>
      </c>
      <c r="AE232" s="320">
        <v>123.6</v>
      </c>
      <c r="AF232" s="320">
        <v>119.3</v>
      </c>
      <c r="AG232" s="89">
        <v>53</v>
      </c>
      <c r="AH232" s="89">
        <v>65</v>
      </c>
      <c r="AI232" s="88">
        <v>0.8</v>
      </c>
      <c r="AJ232" s="88">
        <v>0.9</v>
      </c>
      <c r="AK232" s="269">
        <f t="shared" si="20"/>
        <v>9.9999999999999978E-2</v>
      </c>
      <c r="AL232" s="89">
        <v>2.9</v>
      </c>
      <c r="AM232" s="89">
        <v>5.0999999999999996</v>
      </c>
      <c r="AN232" s="88">
        <v>6.4</v>
      </c>
      <c r="AO232" s="88">
        <v>7.4</v>
      </c>
      <c r="AP232" s="88">
        <v>55</v>
      </c>
      <c r="AQ232" s="88">
        <v>62</v>
      </c>
      <c r="AR232" s="89">
        <v>9.6999999999999993</v>
      </c>
      <c r="AS232" s="89">
        <v>10.1</v>
      </c>
      <c r="AT232" s="89">
        <v>3.8</v>
      </c>
      <c r="AU232" s="89">
        <v>4.7</v>
      </c>
      <c r="AV232" s="82">
        <v>78</v>
      </c>
      <c r="AW232" s="158">
        <v>101</v>
      </c>
      <c r="AX232" s="88">
        <v>137</v>
      </c>
      <c r="AY232" s="88">
        <v>136</v>
      </c>
      <c r="AZ232" s="89">
        <v>2</v>
      </c>
      <c r="BA232" s="89">
        <v>2.2000000000000002</v>
      </c>
      <c r="BB232" s="88">
        <v>100</v>
      </c>
      <c r="BC232" s="88">
        <v>96</v>
      </c>
      <c r="BD232" s="96">
        <f t="shared" si="21"/>
        <v>289.7046666666667</v>
      </c>
      <c r="BE232" s="96">
        <f t="shared" si="22"/>
        <v>292.9881111111111</v>
      </c>
      <c r="BF232" s="89">
        <v>4.3899999999999997</v>
      </c>
      <c r="BG232" s="89">
        <v>4.0599999999999996</v>
      </c>
      <c r="BH232" s="88">
        <v>12.7</v>
      </c>
      <c r="BI232" s="88">
        <v>11.9</v>
      </c>
      <c r="BJ232" s="89">
        <v>39.4</v>
      </c>
      <c r="BK232" s="89">
        <v>36.6</v>
      </c>
      <c r="BL232" s="88">
        <v>89.7</v>
      </c>
      <c r="BM232" s="88">
        <v>90.1</v>
      </c>
      <c r="BN232" s="89">
        <v>28.9</v>
      </c>
      <c r="BO232" s="89">
        <v>29.3</v>
      </c>
      <c r="BP232" s="88">
        <v>32.200000000000003</v>
      </c>
      <c r="BQ232" s="88">
        <v>32.5</v>
      </c>
      <c r="BR232" s="89">
        <v>338</v>
      </c>
      <c r="BS232" s="89">
        <v>362</v>
      </c>
      <c r="BT232" s="95">
        <v>13.8</v>
      </c>
      <c r="BU232" s="88">
        <v>14.2</v>
      </c>
      <c r="BV232" s="108">
        <v>6.9400000000000003E-2</v>
      </c>
      <c r="BW232" s="108">
        <v>6.0100000000000001E-2</v>
      </c>
      <c r="BX232" s="88">
        <v>6.21</v>
      </c>
      <c r="BY232" s="88">
        <v>10.210000000000001</v>
      </c>
      <c r="BZ232" s="89">
        <v>76.900000000000006</v>
      </c>
      <c r="CA232" s="89">
        <v>87.5</v>
      </c>
      <c r="CB232" s="88">
        <v>14.2</v>
      </c>
      <c r="CC232" s="88">
        <v>5.4</v>
      </c>
      <c r="CD232" s="89">
        <v>8.1999999999999993</v>
      </c>
      <c r="CE232" s="89">
        <v>7</v>
      </c>
      <c r="CF232" s="88">
        <v>0.5</v>
      </c>
      <c r="CG232" s="88">
        <v>0</v>
      </c>
      <c r="CH232" s="89">
        <v>0.2</v>
      </c>
      <c r="CI232" s="89">
        <v>0.1</v>
      </c>
      <c r="CJ232" s="86" t="b">
        <f t="shared" si="23"/>
        <v>0</v>
      </c>
      <c r="CK232" s="2" t="b">
        <f t="shared" si="24"/>
        <v>1</v>
      </c>
      <c r="CL232" s="98">
        <f t="shared" si="25"/>
        <v>63.753039999999999</v>
      </c>
      <c r="CM232" s="98">
        <v>76.7</v>
      </c>
      <c r="CN232" s="98">
        <v>165</v>
      </c>
      <c r="CO232" s="86">
        <v>49.68</v>
      </c>
      <c r="CP232" s="98">
        <v>52</v>
      </c>
      <c r="CQ232" s="98">
        <v>52</v>
      </c>
      <c r="CR232" s="99">
        <v>16.88</v>
      </c>
    </row>
    <row r="233" spans="1:96" ht="15.75" customHeight="1">
      <c r="A233" s="79">
        <v>2019</v>
      </c>
      <c r="B233" s="79" t="s">
        <v>184</v>
      </c>
      <c r="C233" s="168">
        <v>3235</v>
      </c>
      <c r="D233" s="135">
        <v>27</v>
      </c>
      <c r="E233" s="135">
        <v>79.7</v>
      </c>
      <c r="F233" s="135">
        <v>1</v>
      </c>
      <c r="G233" s="81" t="s">
        <v>82</v>
      </c>
      <c r="H233" s="52" t="s">
        <v>92</v>
      </c>
      <c r="I233" s="53" t="s">
        <v>93</v>
      </c>
      <c r="J233" s="55" t="s">
        <v>88</v>
      </c>
      <c r="K233" s="53">
        <v>62.5</v>
      </c>
      <c r="L233" s="52">
        <v>37.5</v>
      </c>
      <c r="M233" s="87">
        <v>349</v>
      </c>
      <c r="N233" s="87">
        <v>4804</v>
      </c>
      <c r="O233" s="88">
        <v>52</v>
      </c>
      <c r="P233" s="88">
        <v>134</v>
      </c>
      <c r="Q233" s="89">
        <v>2.7</v>
      </c>
      <c r="R233" s="89">
        <v>2.5</v>
      </c>
      <c r="S233" s="88">
        <v>395</v>
      </c>
      <c r="T233" s="95">
        <v>1025</v>
      </c>
      <c r="U233" s="90">
        <v>90</v>
      </c>
      <c r="V233" s="90">
        <v>238</v>
      </c>
      <c r="W233" s="88">
        <v>3.7</v>
      </c>
      <c r="X233" s="88">
        <v>4.0999999999999996</v>
      </c>
      <c r="Y233" s="90">
        <v>96</v>
      </c>
      <c r="Z233" s="90">
        <v>152</v>
      </c>
      <c r="AA233" s="88">
        <v>24</v>
      </c>
      <c r="AB233" s="88">
        <v>28</v>
      </c>
      <c r="AC233" s="89">
        <v>6</v>
      </c>
      <c r="AD233" s="89">
        <v>8.1999999999999993</v>
      </c>
      <c r="AE233" s="320">
        <v>120</v>
      </c>
      <c r="AF233" s="320">
        <v>105.8</v>
      </c>
      <c r="AG233" s="89">
        <v>46</v>
      </c>
      <c r="AH233" s="89">
        <v>53</v>
      </c>
      <c r="AI233" s="88">
        <v>0.9</v>
      </c>
      <c r="AJ233" s="88">
        <v>1</v>
      </c>
      <c r="AK233" s="269">
        <f t="shared" si="20"/>
        <v>9.9999999999999978E-2</v>
      </c>
      <c r="AL233" s="89">
        <v>3</v>
      </c>
      <c r="AM233" s="89">
        <v>6.1</v>
      </c>
      <c r="AN233" s="88">
        <v>6.8</v>
      </c>
      <c r="AO233" s="88">
        <v>7.8</v>
      </c>
      <c r="AP233" s="88">
        <v>53</v>
      </c>
      <c r="AQ233" s="88">
        <v>69</v>
      </c>
      <c r="AR233" s="89">
        <v>9.5</v>
      </c>
      <c r="AS233" s="89">
        <v>9.6999999999999993</v>
      </c>
      <c r="AT233" s="89">
        <v>4.0999999999999996</v>
      </c>
      <c r="AU233" s="89">
        <v>5.0999999999999996</v>
      </c>
      <c r="AV233" s="82">
        <v>125</v>
      </c>
      <c r="AW233" s="82">
        <v>95</v>
      </c>
      <c r="AX233" s="88">
        <v>139</v>
      </c>
      <c r="AY233" s="88">
        <v>138</v>
      </c>
      <c r="AZ233" s="89">
        <v>2</v>
      </c>
      <c r="BA233" s="89">
        <v>2.2999999999999998</v>
      </c>
      <c r="BB233" s="88">
        <v>100</v>
      </c>
      <c r="BC233" s="88">
        <v>96</v>
      </c>
      <c r="BD233" s="96">
        <f t="shared" si="21"/>
        <v>295.81877777777777</v>
      </c>
      <c r="BE233" s="96">
        <f t="shared" si="22"/>
        <v>295.06877777777777</v>
      </c>
      <c r="BF233" s="89">
        <v>4.7300000000000004</v>
      </c>
      <c r="BG233" s="89">
        <v>4.42</v>
      </c>
      <c r="BH233" s="88">
        <v>13.7</v>
      </c>
      <c r="BI233" s="88">
        <v>12.7</v>
      </c>
      <c r="BJ233" s="89">
        <v>41.2</v>
      </c>
      <c r="BK233" s="89">
        <v>38.6</v>
      </c>
      <c r="BL233" s="88">
        <v>87.1</v>
      </c>
      <c r="BM233" s="88">
        <v>87.3</v>
      </c>
      <c r="BN233" s="89">
        <v>29</v>
      </c>
      <c r="BO233" s="89">
        <v>28.7</v>
      </c>
      <c r="BP233" s="88">
        <v>33.299999999999997</v>
      </c>
      <c r="BQ233" s="88">
        <v>32.9</v>
      </c>
      <c r="BR233" s="89">
        <v>315</v>
      </c>
      <c r="BS233" s="89">
        <v>259</v>
      </c>
      <c r="BT233" s="95">
        <v>13.7</v>
      </c>
      <c r="BU233" s="88">
        <v>13.8</v>
      </c>
      <c r="BV233" s="108">
        <v>9.4600000000000004E-2</v>
      </c>
      <c r="BW233" s="108">
        <v>8.0399999999999999E-2</v>
      </c>
      <c r="BX233" s="88">
        <v>7.14</v>
      </c>
      <c r="BY233" s="88">
        <v>8.3800000000000008</v>
      </c>
      <c r="BZ233" s="89">
        <v>76.8</v>
      </c>
      <c r="CA233" s="89">
        <v>79</v>
      </c>
      <c r="CB233" s="88">
        <v>15</v>
      </c>
      <c r="CC233" s="88">
        <v>13.6</v>
      </c>
      <c r="CD233" s="89">
        <v>5.9</v>
      </c>
      <c r="CE233" s="89">
        <v>7.2</v>
      </c>
      <c r="CF233" s="88">
        <v>1.7</v>
      </c>
      <c r="CG233" s="88">
        <v>0</v>
      </c>
      <c r="CH233" s="89">
        <v>0.6</v>
      </c>
      <c r="CI233" s="89">
        <v>0.2</v>
      </c>
      <c r="CJ233" s="86" t="b">
        <f t="shared" si="23"/>
        <v>0</v>
      </c>
      <c r="CK233" s="2" t="b">
        <f t="shared" si="24"/>
        <v>1</v>
      </c>
      <c r="CL233" s="98">
        <f t="shared" si="25"/>
        <v>76.552520000000001</v>
      </c>
      <c r="CM233" s="98">
        <v>83.6</v>
      </c>
      <c r="CN233" s="98">
        <v>175</v>
      </c>
      <c r="CO233" s="86">
        <v>50.56</v>
      </c>
      <c r="CP233" s="98">
        <v>54</v>
      </c>
      <c r="CQ233" s="98">
        <v>42</v>
      </c>
      <c r="CR233" s="99">
        <v>8.43</v>
      </c>
    </row>
    <row r="234" spans="1:96" ht="15.75" customHeight="1">
      <c r="A234" s="79">
        <v>2019</v>
      </c>
      <c r="B234" s="79" t="s">
        <v>185</v>
      </c>
      <c r="C234" s="168">
        <v>3197</v>
      </c>
      <c r="D234" s="94">
        <v>27</v>
      </c>
      <c r="E234" s="94">
        <v>83</v>
      </c>
      <c r="F234" s="94">
        <v>1</v>
      </c>
      <c r="G234" s="51" t="s">
        <v>86</v>
      </c>
      <c r="H234" s="52" t="s">
        <v>90</v>
      </c>
      <c r="I234" s="53" t="s">
        <v>93</v>
      </c>
      <c r="J234" s="52" t="s">
        <v>85</v>
      </c>
      <c r="K234" s="53">
        <v>50</v>
      </c>
      <c r="L234" s="52">
        <v>50</v>
      </c>
      <c r="M234" s="87">
        <v>859</v>
      </c>
      <c r="N234" s="87">
        <v>3637</v>
      </c>
      <c r="O234" s="88">
        <v>46</v>
      </c>
      <c r="P234" s="88">
        <v>128</v>
      </c>
      <c r="Q234" s="89">
        <v>1.7</v>
      </c>
      <c r="R234" s="89">
        <v>1.3</v>
      </c>
      <c r="S234" s="88">
        <v>292</v>
      </c>
      <c r="T234" s="88">
        <v>393</v>
      </c>
      <c r="U234" s="90">
        <v>52</v>
      </c>
      <c r="V234" s="90">
        <v>154</v>
      </c>
      <c r="W234" s="88">
        <v>4</v>
      </c>
      <c r="X234" s="88">
        <v>3.9</v>
      </c>
      <c r="Y234" s="90">
        <v>33</v>
      </c>
      <c r="Z234" s="90">
        <v>106</v>
      </c>
      <c r="AA234" s="88">
        <v>18</v>
      </c>
      <c r="AB234" s="88">
        <v>16</v>
      </c>
      <c r="AC234" s="89">
        <v>6.3</v>
      </c>
      <c r="AD234" s="89">
        <v>5.7</v>
      </c>
      <c r="AE234" s="324">
        <v>120</v>
      </c>
      <c r="AF234" s="340">
        <v>120</v>
      </c>
      <c r="AG234" s="89">
        <v>33</v>
      </c>
      <c r="AH234" s="89">
        <v>38</v>
      </c>
      <c r="AI234" s="88">
        <v>0.9</v>
      </c>
      <c r="AJ234" s="88">
        <v>0.9</v>
      </c>
      <c r="AK234" s="269">
        <f t="shared" si="20"/>
        <v>0</v>
      </c>
      <c r="AL234" s="89">
        <v>4.4000000000000004</v>
      </c>
      <c r="AM234" s="89">
        <v>4.9000000000000004</v>
      </c>
      <c r="AN234" s="88">
        <v>6.7</v>
      </c>
      <c r="AO234" s="88">
        <v>6.5</v>
      </c>
      <c r="AP234" s="88">
        <v>40</v>
      </c>
      <c r="AQ234" s="88">
        <v>66</v>
      </c>
      <c r="AR234" s="89">
        <v>9.1</v>
      </c>
      <c r="AS234" s="89">
        <v>9.1999999999999993</v>
      </c>
      <c r="AT234" s="89">
        <v>4.7</v>
      </c>
      <c r="AU234" s="89">
        <v>4.4000000000000004</v>
      </c>
      <c r="AV234" s="351">
        <v>82</v>
      </c>
      <c r="AW234" s="351">
        <v>90</v>
      </c>
      <c r="AX234" s="88">
        <v>133</v>
      </c>
      <c r="AY234" s="88">
        <v>134</v>
      </c>
      <c r="AZ234" s="89">
        <v>2.1</v>
      </c>
      <c r="BA234" s="89">
        <v>1.9</v>
      </c>
      <c r="BB234" s="88">
        <v>106</v>
      </c>
      <c r="BC234" s="88">
        <v>104</v>
      </c>
      <c r="BD234" s="96">
        <f t="shared" si="21"/>
        <v>280.86088888888889</v>
      </c>
      <c r="BE234" s="96">
        <f t="shared" si="22"/>
        <v>283.50733333333335</v>
      </c>
      <c r="BF234" s="89">
        <v>4.68</v>
      </c>
      <c r="BG234" s="89">
        <v>4.57</v>
      </c>
      <c r="BH234" s="88">
        <v>13.8</v>
      </c>
      <c r="BI234" s="88">
        <v>13.6</v>
      </c>
      <c r="BJ234" s="89">
        <v>42.2</v>
      </c>
      <c r="BK234" s="89">
        <v>42.1</v>
      </c>
      <c r="BL234" s="88">
        <v>90.2</v>
      </c>
      <c r="BM234" s="88">
        <v>92.1</v>
      </c>
      <c r="BN234" s="89">
        <v>29.5</v>
      </c>
      <c r="BO234" s="89">
        <v>29.8</v>
      </c>
      <c r="BP234" s="63">
        <v>32.700000000000003</v>
      </c>
      <c r="BQ234" s="63">
        <v>32.299999999999997</v>
      </c>
      <c r="BR234" s="89">
        <v>390</v>
      </c>
      <c r="BS234" s="89">
        <v>383</v>
      </c>
      <c r="BT234" s="63">
        <v>12.3</v>
      </c>
      <c r="BU234" s="63">
        <v>12.2</v>
      </c>
      <c r="BV234" s="89">
        <v>33.5</v>
      </c>
      <c r="BW234" s="89">
        <v>33.6</v>
      </c>
      <c r="BX234" s="63">
        <v>7.2</v>
      </c>
      <c r="BY234" s="63">
        <v>6.42</v>
      </c>
      <c r="BZ234" s="149">
        <v>58.7</v>
      </c>
      <c r="CA234" s="149">
        <v>42.8</v>
      </c>
      <c r="CB234" s="144">
        <v>28.055555555555554</v>
      </c>
      <c r="CC234" s="268">
        <v>46.1</v>
      </c>
      <c r="CD234" s="149">
        <v>10.694444444444445</v>
      </c>
      <c r="CE234" s="149">
        <v>7.3</v>
      </c>
      <c r="CF234" s="144">
        <v>2.3611111111111112</v>
      </c>
      <c r="CG234" s="268">
        <v>3.3</v>
      </c>
      <c r="CH234" s="149">
        <v>0.1388888888888889</v>
      </c>
      <c r="CI234" s="149">
        <v>0.5</v>
      </c>
      <c r="CJ234" s="86" t="b">
        <f t="shared" si="23"/>
        <v>0</v>
      </c>
      <c r="CK234" s="2" t="b">
        <f t="shared" si="24"/>
        <v>1</v>
      </c>
      <c r="CL234" s="98">
        <f t="shared" si="25"/>
        <v>76.297020000000003</v>
      </c>
      <c r="CM234" s="98">
        <v>85.65</v>
      </c>
      <c r="CN234" s="98">
        <v>177</v>
      </c>
      <c r="CO234" s="86">
        <v>51.46</v>
      </c>
      <c r="CP234" s="98">
        <v>48</v>
      </c>
      <c r="CQ234" s="98">
        <v>52</v>
      </c>
      <c r="CR234" s="99">
        <v>10.92</v>
      </c>
    </row>
    <row r="235" spans="1:96" ht="15.75" customHeight="1">
      <c r="A235" s="79">
        <v>2019</v>
      </c>
      <c r="B235" s="79" t="s">
        <v>185</v>
      </c>
      <c r="C235" s="168">
        <v>3200</v>
      </c>
      <c r="D235" s="94">
        <v>25</v>
      </c>
      <c r="E235" s="94">
        <v>79.900000000000006</v>
      </c>
      <c r="F235" s="94">
        <v>1</v>
      </c>
      <c r="G235" s="54" t="s">
        <v>82</v>
      </c>
      <c r="H235" s="55" t="s">
        <v>92</v>
      </c>
      <c r="I235" s="56" t="s">
        <v>84</v>
      </c>
      <c r="J235" s="52" t="s">
        <v>85</v>
      </c>
      <c r="K235" s="56">
        <v>37.5</v>
      </c>
      <c r="L235" s="52">
        <v>62.5</v>
      </c>
      <c r="M235" s="87">
        <v>1016</v>
      </c>
      <c r="N235" s="87">
        <v>338</v>
      </c>
      <c r="O235" s="88">
        <v>49</v>
      </c>
      <c r="P235" s="88">
        <v>17</v>
      </c>
      <c r="Q235" s="89">
        <v>1.4</v>
      </c>
      <c r="R235" s="89">
        <v>1.3</v>
      </c>
      <c r="S235" s="88">
        <v>396</v>
      </c>
      <c r="T235" s="88">
        <v>298</v>
      </c>
      <c r="U235" s="90">
        <v>63</v>
      </c>
      <c r="V235" s="90">
        <v>37</v>
      </c>
      <c r="W235" s="88">
        <v>4.4000000000000004</v>
      </c>
      <c r="X235" s="88">
        <v>4.2</v>
      </c>
      <c r="Y235" s="90">
        <v>37</v>
      </c>
      <c r="Z235" s="90">
        <v>39</v>
      </c>
      <c r="AA235" s="88">
        <v>32</v>
      </c>
      <c r="AB235" s="88">
        <v>23</v>
      </c>
      <c r="AC235" s="89">
        <v>5.3</v>
      </c>
      <c r="AD235" s="89">
        <v>4</v>
      </c>
      <c r="AE235" s="324">
        <v>121.6</v>
      </c>
      <c r="AF235" s="340">
        <v>126</v>
      </c>
      <c r="AG235" s="89">
        <v>42</v>
      </c>
      <c r="AH235" s="89">
        <v>46</v>
      </c>
      <c r="AI235" s="88">
        <v>0.9</v>
      </c>
      <c r="AJ235" s="88">
        <v>0.8</v>
      </c>
      <c r="AK235" s="269">
        <f t="shared" si="20"/>
        <v>0</v>
      </c>
      <c r="AL235" s="89">
        <v>4.3</v>
      </c>
      <c r="AM235" s="89">
        <v>4.3</v>
      </c>
      <c r="AN235" s="88">
        <v>7</v>
      </c>
      <c r="AO235" s="88">
        <v>6.7</v>
      </c>
      <c r="AP235" s="88">
        <v>40</v>
      </c>
      <c r="AQ235" s="88">
        <v>68</v>
      </c>
      <c r="AR235" s="89">
        <v>9.5</v>
      </c>
      <c r="AS235" s="89">
        <v>9.1999999999999993</v>
      </c>
      <c r="AT235" s="89">
        <v>4.5</v>
      </c>
      <c r="AU235" s="89">
        <v>4.3</v>
      </c>
      <c r="AV235" s="351">
        <v>99</v>
      </c>
      <c r="AW235" s="351">
        <v>100</v>
      </c>
      <c r="AX235" s="88">
        <v>135</v>
      </c>
      <c r="AY235" s="88">
        <v>135</v>
      </c>
      <c r="AZ235" s="89">
        <v>2</v>
      </c>
      <c r="BA235" s="89">
        <v>1.9</v>
      </c>
      <c r="BB235" s="88">
        <v>106</v>
      </c>
      <c r="BC235" s="88">
        <v>100</v>
      </c>
      <c r="BD235" s="96">
        <f t="shared" si="21"/>
        <v>286.79500000000002</v>
      </c>
      <c r="BE235" s="96">
        <f t="shared" si="22"/>
        <v>287.15355555555561</v>
      </c>
      <c r="BF235" s="89">
        <v>4.3600000000000003</v>
      </c>
      <c r="BG235" s="108">
        <v>4.2300000000000004</v>
      </c>
      <c r="BH235" s="88">
        <v>12.7</v>
      </c>
      <c r="BI235" s="88">
        <v>12.3</v>
      </c>
      <c r="BJ235" s="89">
        <v>39.700000000000003</v>
      </c>
      <c r="BK235" s="108">
        <v>40</v>
      </c>
      <c r="BL235" s="88">
        <v>91.1</v>
      </c>
      <c r="BM235" s="95">
        <v>94.6</v>
      </c>
      <c r="BN235" s="89">
        <v>29.1</v>
      </c>
      <c r="BO235" s="89">
        <v>29.1</v>
      </c>
      <c r="BP235" s="63">
        <v>32</v>
      </c>
      <c r="BQ235" s="63">
        <v>30.8</v>
      </c>
      <c r="BR235" s="89">
        <v>295</v>
      </c>
      <c r="BS235" s="89">
        <v>282</v>
      </c>
      <c r="BT235" s="63">
        <v>12.8</v>
      </c>
      <c r="BU235" s="63">
        <v>12.8</v>
      </c>
      <c r="BV235" s="89">
        <v>33.4</v>
      </c>
      <c r="BW235" s="89">
        <v>33.4</v>
      </c>
      <c r="BX235" s="63">
        <v>6.44</v>
      </c>
      <c r="BY235" s="63">
        <v>4.8600000000000003</v>
      </c>
      <c r="BZ235" s="149">
        <v>55.900621118012417</v>
      </c>
      <c r="CA235" s="149">
        <v>37.799999999999997</v>
      </c>
      <c r="CB235" s="144">
        <v>27.329192546583851</v>
      </c>
      <c r="CC235" s="268">
        <v>45.9</v>
      </c>
      <c r="CD235" s="149">
        <v>15.838509316770185</v>
      </c>
      <c r="CE235" s="149">
        <v>13</v>
      </c>
      <c r="CF235" s="144">
        <v>0.77639751552795022</v>
      </c>
      <c r="CG235" s="268">
        <v>3.1</v>
      </c>
      <c r="CH235" s="149">
        <v>0.15527950310559005</v>
      </c>
      <c r="CI235" s="149">
        <v>0.2</v>
      </c>
      <c r="CJ235" s="86" t="b">
        <f t="shared" si="23"/>
        <v>0</v>
      </c>
      <c r="CK235" s="2" t="b">
        <f t="shared" si="24"/>
        <v>1</v>
      </c>
      <c r="CL235" s="98">
        <f t="shared" si="25"/>
        <v>73.936000000000007</v>
      </c>
      <c r="CM235" s="98">
        <v>80</v>
      </c>
      <c r="CN235" s="98">
        <v>177.5</v>
      </c>
      <c r="CO235" s="86">
        <v>0</v>
      </c>
      <c r="CP235" s="98">
        <v>42</v>
      </c>
      <c r="CQ235" s="98">
        <v>42</v>
      </c>
      <c r="CR235" s="99">
        <v>7.58</v>
      </c>
    </row>
    <row r="236" spans="1:96" ht="15.75" customHeight="1">
      <c r="A236" s="79">
        <v>2019</v>
      </c>
      <c r="B236" s="79" t="s">
        <v>185</v>
      </c>
      <c r="C236" s="168">
        <v>3202</v>
      </c>
      <c r="D236" s="94">
        <v>26</v>
      </c>
      <c r="E236" s="94">
        <v>86</v>
      </c>
      <c r="F236" s="94">
        <v>1</v>
      </c>
      <c r="G236" s="76" t="s">
        <v>82</v>
      </c>
      <c r="H236" s="55" t="s">
        <v>90</v>
      </c>
      <c r="I236" s="56" t="s">
        <v>84</v>
      </c>
      <c r="J236" s="55" t="s">
        <v>88</v>
      </c>
      <c r="K236" s="53">
        <v>25</v>
      </c>
      <c r="L236" s="55">
        <v>75</v>
      </c>
      <c r="M236" s="87">
        <v>594</v>
      </c>
      <c r="N236" s="87">
        <v>849</v>
      </c>
      <c r="O236" s="88">
        <v>36</v>
      </c>
      <c r="P236" s="88">
        <v>46</v>
      </c>
      <c r="Q236" s="89">
        <v>1.5</v>
      </c>
      <c r="R236" s="89">
        <v>1.3</v>
      </c>
      <c r="S236" s="88">
        <v>296</v>
      </c>
      <c r="T236" s="88">
        <v>463</v>
      </c>
      <c r="U236" s="90">
        <v>52</v>
      </c>
      <c r="V236" s="90">
        <v>63</v>
      </c>
      <c r="W236" s="88">
        <v>4.5</v>
      </c>
      <c r="X236" s="88">
        <v>4</v>
      </c>
      <c r="Y236" s="90">
        <v>30</v>
      </c>
      <c r="Z236" s="90">
        <v>40</v>
      </c>
      <c r="AA236" s="88">
        <v>26</v>
      </c>
      <c r="AB236" s="88">
        <v>29</v>
      </c>
      <c r="AC236" s="89">
        <v>5.4</v>
      </c>
      <c r="AD236" s="89">
        <v>3.6</v>
      </c>
      <c r="AE236" s="324">
        <v>125.2</v>
      </c>
      <c r="AF236" s="340">
        <v>130.30000000000001</v>
      </c>
      <c r="AG236" s="89">
        <v>30</v>
      </c>
      <c r="AH236" s="89">
        <v>39</v>
      </c>
      <c r="AI236" s="88">
        <v>0.8</v>
      </c>
      <c r="AJ236" s="88">
        <v>0.7</v>
      </c>
      <c r="AK236" s="269">
        <f t="shared" si="20"/>
        <v>0</v>
      </c>
      <c r="AL236" s="89">
        <v>4.4000000000000004</v>
      </c>
      <c r="AM236" s="89">
        <v>4</v>
      </c>
      <c r="AN236" s="88">
        <v>7</v>
      </c>
      <c r="AO236" s="88">
        <v>6.4</v>
      </c>
      <c r="AP236" s="88">
        <v>55</v>
      </c>
      <c r="AQ236" s="88">
        <v>69</v>
      </c>
      <c r="AR236" s="89">
        <v>9.3000000000000007</v>
      </c>
      <c r="AS236" s="89">
        <v>8.9</v>
      </c>
      <c r="AT236" s="89">
        <v>4.3</v>
      </c>
      <c r="AU236" s="89">
        <v>4.3</v>
      </c>
      <c r="AV236" s="351">
        <v>95</v>
      </c>
      <c r="AW236" s="351">
        <v>95</v>
      </c>
      <c r="AX236" s="88">
        <v>138</v>
      </c>
      <c r="AY236" s="88">
        <v>136</v>
      </c>
      <c r="AZ236" s="89">
        <v>2.2999999999999998</v>
      </c>
      <c r="BA236" s="89">
        <v>1.9</v>
      </c>
      <c r="BB236" s="88">
        <v>112</v>
      </c>
      <c r="BC236" s="88">
        <v>101</v>
      </c>
      <c r="BD236" s="96">
        <f t="shared" si="21"/>
        <v>289.74744444444451</v>
      </c>
      <c r="BE236" s="96">
        <f t="shared" si="22"/>
        <v>287.52744444444448</v>
      </c>
      <c r="BF236" s="89">
        <v>4.1399999999999997</v>
      </c>
      <c r="BG236" s="89">
        <v>3.89</v>
      </c>
      <c r="BH236" s="88">
        <v>12.6</v>
      </c>
      <c r="BI236" s="88">
        <v>12.1</v>
      </c>
      <c r="BJ236" s="89">
        <v>39.5</v>
      </c>
      <c r="BK236" s="89">
        <v>38.6</v>
      </c>
      <c r="BL236" s="88">
        <v>95.4</v>
      </c>
      <c r="BM236" s="88">
        <v>99.2</v>
      </c>
      <c r="BN236" s="89">
        <v>30.4</v>
      </c>
      <c r="BO236" s="89">
        <v>31.1</v>
      </c>
      <c r="BP236" s="63">
        <v>31.9</v>
      </c>
      <c r="BQ236" s="63">
        <v>31.3</v>
      </c>
      <c r="BR236" s="89">
        <v>128</v>
      </c>
      <c r="BS236" s="89">
        <v>110</v>
      </c>
      <c r="BT236" s="63">
        <v>12.7</v>
      </c>
      <c r="BU236" s="63">
        <v>12.8</v>
      </c>
      <c r="BV236" s="89">
        <v>35.6</v>
      </c>
      <c r="BW236" s="89">
        <v>35.299999999999997</v>
      </c>
      <c r="BX236" s="63">
        <v>7.59</v>
      </c>
      <c r="BY236" s="63">
        <v>5.46</v>
      </c>
      <c r="BZ236" s="149">
        <v>60.342555994729906</v>
      </c>
      <c r="CA236" s="149">
        <v>44.8</v>
      </c>
      <c r="CB236" s="144">
        <v>24.901185770750988</v>
      </c>
      <c r="CC236" s="268">
        <v>43.8</v>
      </c>
      <c r="CD236" s="149">
        <v>13.570487483530963</v>
      </c>
      <c r="CE236" s="149">
        <v>9.6999999999999993</v>
      </c>
      <c r="CF236" s="144">
        <v>0.79051383399209485</v>
      </c>
      <c r="CG236" s="268">
        <v>1.3</v>
      </c>
      <c r="CH236" s="149">
        <v>0.39525691699604742</v>
      </c>
      <c r="CI236" s="149">
        <v>0.4</v>
      </c>
      <c r="CJ236" s="86" t="b">
        <f t="shared" si="23"/>
        <v>0</v>
      </c>
      <c r="CK236" s="2" t="b">
        <f t="shared" si="24"/>
        <v>0</v>
      </c>
      <c r="CL236" s="98">
        <f t="shared" si="25"/>
        <v>81.37906000000001</v>
      </c>
      <c r="CM236" s="98">
        <v>88.9</v>
      </c>
      <c r="CN236" s="98">
        <v>184.5</v>
      </c>
      <c r="CO236" s="86">
        <v>49.69</v>
      </c>
      <c r="CP236" s="98">
        <v>54</v>
      </c>
      <c r="CQ236" s="98">
        <v>50</v>
      </c>
      <c r="CR236" s="99">
        <v>8.4600000000000009</v>
      </c>
    </row>
    <row r="237" spans="1:96" ht="15.75" customHeight="1">
      <c r="A237" s="79">
        <v>2019</v>
      </c>
      <c r="B237" s="79" t="s">
        <v>185</v>
      </c>
      <c r="C237" s="168">
        <v>3205</v>
      </c>
      <c r="D237" s="94">
        <v>32</v>
      </c>
      <c r="E237" s="94">
        <v>74.900000000000006</v>
      </c>
      <c r="F237" s="94">
        <v>1</v>
      </c>
      <c r="G237" s="54" t="s">
        <v>86</v>
      </c>
      <c r="H237" s="55" t="s">
        <v>94</v>
      </c>
      <c r="I237" s="56" t="s">
        <v>84</v>
      </c>
      <c r="J237" s="55" t="s">
        <v>88</v>
      </c>
      <c r="K237" s="56" t="s">
        <v>94</v>
      </c>
      <c r="L237" s="52" t="s">
        <v>94</v>
      </c>
      <c r="M237" s="87">
        <v>1146</v>
      </c>
      <c r="N237" s="87">
        <v>1058</v>
      </c>
      <c r="O237" s="88">
        <v>63</v>
      </c>
      <c r="P237" s="88">
        <v>56</v>
      </c>
      <c r="Q237" s="89">
        <v>1.4</v>
      </c>
      <c r="R237" s="89">
        <v>1.3</v>
      </c>
      <c r="S237" s="88">
        <v>599</v>
      </c>
      <c r="T237" s="88">
        <v>635</v>
      </c>
      <c r="U237" s="90">
        <v>77</v>
      </c>
      <c r="V237" s="90">
        <v>70</v>
      </c>
      <c r="W237" s="88">
        <v>4.8</v>
      </c>
      <c r="X237" s="88">
        <v>4.0999999999999996</v>
      </c>
      <c r="Y237" s="90">
        <v>42</v>
      </c>
      <c r="Z237" s="90">
        <v>55</v>
      </c>
      <c r="AA237" s="88">
        <v>46</v>
      </c>
      <c r="AB237" s="88">
        <v>32</v>
      </c>
      <c r="AC237" s="89">
        <v>6.8</v>
      </c>
      <c r="AD237" s="89">
        <v>5</v>
      </c>
      <c r="AE237" s="324">
        <v>102.6</v>
      </c>
      <c r="AF237" s="340">
        <v>120.6</v>
      </c>
      <c r="AG237" s="89">
        <v>43</v>
      </c>
      <c r="AH237" s="89">
        <v>48</v>
      </c>
      <c r="AI237" s="88">
        <v>1</v>
      </c>
      <c r="AJ237" s="88">
        <v>0.8</v>
      </c>
      <c r="AK237" s="269">
        <f t="shared" si="20"/>
        <v>0</v>
      </c>
      <c r="AL237" s="89">
        <v>4.8</v>
      </c>
      <c r="AM237" s="89">
        <v>3.8</v>
      </c>
      <c r="AN237" s="88">
        <v>7.4</v>
      </c>
      <c r="AO237" s="88">
        <v>6.1</v>
      </c>
      <c r="AP237" s="88">
        <v>44</v>
      </c>
      <c r="AQ237" s="88">
        <v>56</v>
      </c>
      <c r="AR237" s="89">
        <v>10</v>
      </c>
      <c r="AS237" s="89">
        <v>9</v>
      </c>
      <c r="AT237" s="89">
        <v>4.7</v>
      </c>
      <c r="AU237" s="89">
        <v>4.3</v>
      </c>
      <c r="AV237" s="351">
        <v>107</v>
      </c>
      <c r="AW237" s="351">
        <v>96</v>
      </c>
      <c r="AX237" s="88">
        <v>144</v>
      </c>
      <c r="AY237" s="88">
        <v>135</v>
      </c>
      <c r="AZ237" s="89">
        <v>2.2999999999999998</v>
      </c>
      <c r="BA237" s="89">
        <v>1.9</v>
      </c>
      <c r="BB237" s="88">
        <v>116</v>
      </c>
      <c r="BC237" s="88">
        <v>104</v>
      </c>
      <c r="BD237" s="96">
        <f t="shared" si="21"/>
        <v>304.58477777777779</v>
      </c>
      <c r="BE237" s="96">
        <f t="shared" si="22"/>
        <v>287.23133333333334</v>
      </c>
      <c r="BF237" s="89">
        <v>4.1500000000000004</v>
      </c>
      <c r="BG237" s="89">
        <v>3.93</v>
      </c>
      <c r="BH237" s="88">
        <v>12</v>
      </c>
      <c r="BI237" s="88">
        <v>11.5</v>
      </c>
      <c r="BJ237" s="89">
        <v>36.9</v>
      </c>
      <c r="BK237" s="89">
        <v>36.5</v>
      </c>
      <c r="BL237" s="88">
        <v>88.9</v>
      </c>
      <c r="BM237" s="88">
        <v>92.9</v>
      </c>
      <c r="BN237" s="89">
        <v>28.9</v>
      </c>
      <c r="BO237" s="89">
        <v>29.3</v>
      </c>
      <c r="BP237" s="63">
        <v>32.5</v>
      </c>
      <c r="BQ237" s="63">
        <v>31.5</v>
      </c>
      <c r="BR237" s="89">
        <v>250</v>
      </c>
      <c r="BS237" s="89">
        <v>198</v>
      </c>
      <c r="BT237" s="63">
        <v>13.1</v>
      </c>
      <c r="BU237" s="63">
        <v>13.5</v>
      </c>
      <c r="BV237" s="89">
        <v>33.5</v>
      </c>
      <c r="BW237" s="89">
        <v>34.1</v>
      </c>
      <c r="BX237" s="63">
        <v>8.9600000000000009</v>
      </c>
      <c r="BY237" s="63">
        <v>6.11</v>
      </c>
      <c r="BZ237" s="149">
        <v>52.34375</v>
      </c>
      <c r="CA237" s="149">
        <v>43.4</v>
      </c>
      <c r="CB237" s="144">
        <v>30.803571428571427</v>
      </c>
      <c r="CC237" s="268">
        <v>42.2</v>
      </c>
      <c r="CD237" s="149">
        <v>13.281249999999998</v>
      </c>
      <c r="CE237" s="149">
        <v>8.6999999999999993</v>
      </c>
      <c r="CF237" s="144">
        <v>2.6785714285714284</v>
      </c>
      <c r="CG237" s="268">
        <v>4.7</v>
      </c>
      <c r="CH237" s="149">
        <v>0.89285714285714279</v>
      </c>
      <c r="CI237" s="149">
        <v>1</v>
      </c>
      <c r="CJ237" s="86" t="b">
        <f t="shared" si="23"/>
        <v>0</v>
      </c>
      <c r="CK237" s="2" t="b">
        <f t="shared" si="24"/>
        <v>1</v>
      </c>
      <c r="CL237" s="98">
        <f t="shared" si="25"/>
        <v>70.381349999999998</v>
      </c>
      <c r="CM237" s="98">
        <v>79.5</v>
      </c>
      <c r="CN237" s="98">
        <v>176.5</v>
      </c>
      <c r="CO237" s="86">
        <v>52.51</v>
      </c>
      <c r="CP237" s="98">
        <v>48</v>
      </c>
      <c r="CQ237" s="98">
        <v>52</v>
      </c>
      <c r="CR237" s="99">
        <v>11.47</v>
      </c>
    </row>
    <row r="238" spans="1:96" ht="15.75" customHeight="1">
      <c r="A238" s="79">
        <v>2019</v>
      </c>
      <c r="B238" s="79" t="s">
        <v>185</v>
      </c>
      <c r="C238" s="168">
        <v>3214</v>
      </c>
      <c r="D238" s="94">
        <v>32</v>
      </c>
      <c r="E238" s="94">
        <v>81</v>
      </c>
      <c r="F238" s="94">
        <v>1</v>
      </c>
      <c r="G238" s="76" t="s">
        <v>89</v>
      </c>
      <c r="H238" s="55" t="s">
        <v>90</v>
      </c>
      <c r="I238" s="56" t="s">
        <v>87</v>
      </c>
      <c r="J238" s="55" t="s">
        <v>91</v>
      </c>
      <c r="K238" s="56">
        <v>25</v>
      </c>
      <c r="L238" s="55">
        <v>75</v>
      </c>
      <c r="M238" s="87">
        <v>376</v>
      </c>
      <c r="N238" s="87">
        <v>1953</v>
      </c>
      <c r="O238" s="88">
        <v>24</v>
      </c>
      <c r="P238" s="88">
        <v>71</v>
      </c>
      <c r="Q238" s="89">
        <v>1.5</v>
      </c>
      <c r="R238" s="89">
        <v>1.7</v>
      </c>
      <c r="S238" s="88">
        <v>352</v>
      </c>
      <c r="T238" s="88">
        <v>811</v>
      </c>
      <c r="U238" s="90">
        <v>43</v>
      </c>
      <c r="V238" s="90">
        <v>97</v>
      </c>
      <c r="W238" s="88">
        <v>4.5999999999999996</v>
      </c>
      <c r="X238" s="88">
        <v>3.7</v>
      </c>
      <c r="Y238" s="90">
        <v>25</v>
      </c>
      <c r="Z238" s="90">
        <v>50</v>
      </c>
      <c r="AA238" s="88">
        <v>30</v>
      </c>
      <c r="AB238" s="88">
        <v>23</v>
      </c>
      <c r="AC238" s="89">
        <v>6.1</v>
      </c>
      <c r="AD238" s="89">
        <v>4.5</v>
      </c>
      <c r="AE238" s="324">
        <v>116.4</v>
      </c>
      <c r="AF238" s="340">
        <v>125.6</v>
      </c>
      <c r="AG238" s="89">
        <v>40</v>
      </c>
      <c r="AH238" s="89">
        <v>36</v>
      </c>
      <c r="AI238" s="88">
        <v>0.9</v>
      </c>
      <c r="AJ238" s="88">
        <v>0.7</v>
      </c>
      <c r="AK238" s="269">
        <f t="shared" si="20"/>
        <v>0</v>
      </c>
      <c r="AL238" s="89">
        <v>4.5999999999999996</v>
      </c>
      <c r="AM238" s="89">
        <v>4.3</v>
      </c>
      <c r="AN238" s="88">
        <v>7.2</v>
      </c>
      <c r="AO238" s="88">
        <v>5.9</v>
      </c>
      <c r="AP238" s="88">
        <v>46</v>
      </c>
      <c r="AQ238" s="88">
        <v>43</v>
      </c>
      <c r="AR238" s="89">
        <v>9.6</v>
      </c>
      <c r="AS238" s="89">
        <v>8.4</v>
      </c>
      <c r="AT238" s="89">
        <v>4.5999999999999996</v>
      </c>
      <c r="AU238" s="89">
        <v>4.2</v>
      </c>
      <c r="AV238" s="351">
        <v>108</v>
      </c>
      <c r="AW238" s="351">
        <v>101</v>
      </c>
      <c r="AX238" s="88">
        <v>140</v>
      </c>
      <c r="AY238" s="88">
        <v>135</v>
      </c>
      <c r="AZ238" s="89">
        <v>2.1</v>
      </c>
      <c r="BA238" s="89">
        <v>1.6</v>
      </c>
      <c r="BB238" s="88">
        <v>112</v>
      </c>
      <c r="BC238" s="88">
        <v>103</v>
      </c>
      <c r="BD238" s="96">
        <f t="shared" si="21"/>
        <v>296.52266666666668</v>
      </c>
      <c r="BE238" s="96">
        <f t="shared" si="22"/>
        <v>285.36477777777776</v>
      </c>
      <c r="BF238" s="89">
        <v>4.45</v>
      </c>
      <c r="BG238" s="89">
        <v>3.77</v>
      </c>
      <c r="BH238" s="88">
        <v>12.6</v>
      </c>
      <c r="BI238" s="88">
        <v>10.6</v>
      </c>
      <c r="BJ238" s="89">
        <v>38.700000000000003</v>
      </c>
      <c r="BK238" s="108">
        <v>34.299999999999997</v>
      </c>
      <c r="BL238" s="88">
        <v>87</v>
      </c>
      <c r="BM238" s="95">
        <v>91</v>
      </c>
      <c r="BN238" s="89">
        <v>28.3</v>
      </c>
      <c r="BO238" s="108">
        <v>28.1</v>
      </c>
      <c r="BP238" s="63">
        <v>32.6</v>
      </c>
      <c r="BQ238" s="63">
        <v>30.9</v>
      </c>
      <c r="BR238" s="89">
        <v>252</v>
      </c>
      <c r="BS238" s="89">
        <v>209</v>
      </c>
      <c r="BT238" s="63">
        <v>12.4</v>
      </c>
      <c r="BU238" s="63">
        <v>12.6</v>
      </c>
      <c r="BV238" s="89">
        <v>32.9</v>
      </c>
      <c r="BW238" s="89">
        <v>32.299999999999997</v>
      </c>
      <c r="BX238" s="63">
        <v>9.51</v>
      </c>
      <c r="BY238" s="63">
        <v>5.92</v>
      </c>
      <c r="BZ238" s="149">
        <v>65.099999999999994</v>
      </c>
      <c r="CA238" s="149">
        <v>52.6</v>
      </c>
      <c r="CB238" s="144">
        <v>25</v>
      </c>
      <c r="CC238" s="268">
        <v>33.1</v>
      </c>
      <c r="CD238" s="149">
        <v>9.1</v>
      </c>
      <c r="CE238" s="149">
        <v>11.5</v>
      </c>
      <c r="CF238" s="359">
        <v>0.6</v>
      </c>
      <c r="CG238" s="268">
        <v>2.5</v>
      </c>
      <c r="CH238" s="360">
        <v>0.2</v>
      </c>
      <c r="CI238" s="149">
        <v>0.3</v>
      </c>
      <c r="CJ238" s="86" t="b">
        <f t="shared" si="23"/>
        <v>0</v>
      </c>
      <c r="CK238" s="2" t="b">
        <f t="shared" si="24"/>
        <v>1</v>
      </c>
      <c r="CL238" s="98">
        <f t="shared" si="25"/>
        <v>70.427400000000006</v>
      </c>
      <c r="CM238" s="98">
        <v>80.25</v>
      </c>
      <c r="CN238" s="98">
        <v>178</v>
      </c>
      <c r="CO238" s="86">
        <v>51.39</v>
      </c>
      <c r="CP238" s="98">
        <v>48</v>
      </c>
      <c r="CQ238" s="98">
        <v>47</v>
      </c>
      <c r="CR238" s="99">
        <v>12.24</v>
      </c>
    </row>
    <row r="239" spans="1:96" ht="15.75" customHeight="1">
      <c r="A239" s="79">
        <v>2019</v>
      </c>
      <c r="B239" s="79" t="s">
        <v>185</v>
      </c>
      <c r="C239" s="168">
        <v>3215</v>
      </c>
      <c r="D239" s="94">
        <v>33</v>
      </c>
      <c r="E239" s="94">
        <v>75.099999999999994</v>
      </c>
      <c r="F239" s="94">
        <v>1</v>
      </c>
      <c r="G239" s="81" t="s">
        <v>82</v>
      </c>
      <c r="H239" s="52" t="s">
        <v>90</v>
      </c>
      <c r="I239" s="53" t="s">
        <v>84</v>
      </c>
      <c r="J239" s="55" t="s">
        <v>88</v>
      </c>
      <c r="K239" s="53">
        <v>25</v>
      </c>
      <c r="L239" s="52">
        <v>75</v>
      </c>
      <c r="M239" s="87">
        <v>1023</v>
      </c>
      <c r="N239" s="87">
        <v>585</v>
      </c>
      <c r="O239" s="88">
        <v>67</v>
      </c>
      <c r="P239" s="88">
        <v>38</v>
      </c>
      <c r="Q239" s="89">
        <v>2</v>
      </c>
      <c r="R239" s="89">
        <v>1.2</v>
      </c>
      <c r="S239" s="88">
        <v>695</v>
      </c>
      <c r="T239" s="88">
        <v>683</v>
      </c>
      <c r="U239" s="90">
        <v>89</v>
      </c>
      <c r="V239" s="90">
        <v>65</v>
      </c>
      <c r="W239" s="88">
        <v>5.5</v>
      </c>
      <c r="X239" s="88">
        <v>4.2</v>
      </c>
      <c r="Y239" s="90">
        <v>50</v>
      </c>
      <c r="Z239" s="90">
        <v>52</v>
      </c>
      <c r="AA239" s="88">
        <v>25</v>
      </c>
      <c r="AB239" s="88">
        <v>21</v>
      </c>
      <c r="AC239" s="89">
        <v>5.3</v>
      </c>
      <c r="AD239" s="89">
        <v>3.4</v>
      </c>
      <c r="AE239" s="324">
        <v>81.900000000000006</v>
      </c>
      <c r="AF239" s="340">
        <v>115.7</v>
      </c>
      <c r="AG239" s="89">
        <v>56</v>
      </c>
      <c r="AH239" s="89">
        <v>46</v>
      </c>
      <c r="AI239" s="88">
        <v>1.2</v>
      </c>
      <c r="AJ239" s="88">
        <v>0.9</v>
      </c>
      <c r="AK239" s="269">
        <f t="shared" si="20"/>
        <v>0</v>
      </c>
      <c r="AL239" s="89">
        <v>5</v>
      </c>
      <c r="AM239" s="89">
        <v>3.7</v>
      </c>
      <c r="AN239" s="88">
        <v>8.9</v>
      </c>
      <c r="AO239" s="88">
        <v>6.8</v>
      </c>
      <c r="AP239" s="88">
        <v>79</v>
      </c>
      <c r="AQ239" s="88">
        <v>85</v>
      </c>
      <c r="AR239" s="89">
        <v>11.1</v>
      </c>
      <c r="AS239" s="89">
        <v>8.9</v>
      </c>
      <c r="AT239" s="89">
        <v>5</v>
      </c>
      <c r="AU239" s="89">
        <v>4</v>
      </c>
      <c r="AV239" s="351">
        <v>112</v>
      </c>
      <c r="AW239" s="351">
        <v>98</v>
      </c>
      <c r="AX239" s="88">
        <v>159</v>
      </c>
      <c r="AY239" s="88">
        <v>134</v>
      </c>
      <c r="AZ239" s="89">
        <v>2.5</v>
      </c>
      <c r="BA239" s="89">
        <v>1.9</v>
      </c>
      <c r="BB239" s="88">
        <v>132</v>
      </c>
      <c r="BC239" s="88">
        <v>102</v>
      </c>
      <c r="BD239" s="96">
        <f t="shared" si="21"/>
        <v>335.5288888888889</v>
      </c>
      <c r="BE239" s="96">
        <f t="shared" si="22"/>
        <v>284.60777777777781</v>
      </c>
      <c r="BF239" s="89">
        <v>4.3600000000000003</v>
      </c>
      <c r="BG239" s="108">
        <v>4.1500000000000004</v>
      </c>
      <c r="BH239" s="88">
        <v>12.5</v>
      </c>
      <c r="BI239" s="95">
        <v>11.8</v>
      </c>
      <c r="BJ239" s="89">
        <v>38.6</v>
      </c>
      <c r="BK239" s="108">
        <v>38.700000000000003</v>
      </c>
      <c r="BL239" s="88">
        <v>88.5</v>
      </c>
      <c r="BM239" s="95">
        <v>93.3</v>
      </c>
      <c r="BN239" s="89">
        <v>28.7</v>
      </c>
      <c r="BO239" s="108">
        <v>28.4</v>
      </c>
      <c r="BP239" s="63">
        <v>32.4</v>
      </c>
      <c r="BQ239" s="63">
        <v>30.5</v>
      </c>
      <c r="BR239" s="89">
        <v>250</v>
      </c>
      <c r="BS239" s="89">
        <v>289</v>
      </c>
      <c r="BT239" s="63">
        <v>13</v>
      </c>
      <c r="BU239" s="63">
        <v>13.5</v>
      </c>
      <c r="BV239" s="89">
        <v>33.299999999999997</v>
      </c>
      <c r="BW239" s="89">
        <v>34.200000000000003</v>
      </c>
      <c r="BX239" s="63">
        <v>6.79</v>
      </c>
      <c r="BY239" s="63">
        <v>6.56</v>
      </c>
      <c r="BZ239" s="149">
        <v>55.37555228276878</v>
      </c>
      <c r="CA239" s="149">
        <v>55.6</v>
      </c>
      <c r="CB239" s="144">
        <v>27.39322533136966</v>
      </c>
      <c r="CC239" s="268">
        <v>32.299999999999997</v>
      </c>
      <c r="CD239" s="149">
        <v>13.991163475699558</v>
      </c>
      <c r="CE239" s="149">
        <v>8.1999999999999993</v>
      </c>
      <c r="CF239" s="144">
        <v>2.9455081001472756</v>
      </c>
      <c r="CG239" s="268">
        <v>3.4</v>
      </c>
      <c r="CH239" s="149">
        <v>0.29455081001472755</v>
      </c>
      <c r="CI239" s="149">
        <v>0.5</v>
      </c>
      <c r="CJ239" s="86" t="b">
        <f t="shared" si="23"/>
        <v>0</v>
      </c>
      <c r="CK239" s="2" t="b">
        <f t="shared" si="24"/>
        <v>1</v>
      </c>
      <c r="CL239" s="98">
        <f t="shared" si="25"/>
        <v>66.237339999999989</v>
      </c>
      <c r="CM239" s="98">
        <v>74.599999999999994</v>
      </c>
      <c r="CN239" s="98">
        <v>178.5</v>
      </c>
      <c r="CO239" s="86">
        <v>50</v>
      </c>
      <c r="CP239" s="98">
        <v>62</v>
      </c>
      <c r="CQ239" s="98">
        <v>58</v>
      </c>
      <c r="CR239" s="99">
        <v>11.21</v>
      </c>
    </row>
    <row r="240" spans="1:96" ht="15.75" customHeight="1">
      <c r="A240" s="79">
        <v>2019</v>
      </c>
      <c r="B240" s="79" t="s">
        <v>185</v>
      </c>
      <c r="C240" s="168">
        <v>3216</v>
      </c>
      <c r="D240" s="94">
        <v>32</v>
      </c>
      <c r="E240" s="94">
        <v>72.3</v>
      </c>
      <c r="F240" s="94">
        <v>1</v>
      </c>
      <c r="G240" s="76" t="s">
        <v>86</v>
      </c>
      <c r="H240" s="55" t="s">
        <v>90</v>
      </c>
      <c r="I240" s="56" t="s">
        <v>84</v>
      </c>
      <c r="J240" s="55" t="s">
        <v>88</v>
      </c>
      <c r="K240" s="53">
        <v>50</v>
      </c>
      <c r="L240" s="55">
        <v>50</v>
      </c>
      <c r="M240" s="87">
        <v>1106</v>
      </c>
      <c r="N240" s="87">
        <v>1216</v>
      </c>
      <c r="O240" s="88">
        <v>58</v>
      </c>
      <c r="P240" s="88">
        <v>63</v>
      </c>
      <c r="Q240" s="89">
        <v>1.4</v>
      </c>
      <c r="R240" s="89">
        <v>1.7</v>
      </c>
      <c r="S240" s="88">
        <v>501</v>
      </c>
      <c r="T240" s="88">
        <v>548</v>
      </c>
      <c r="U240" s="90">
        <v>68</v>
      </c>
      <c r="V240" s="90">
        <v>70</v>
      </c>
      <c r="W240" s="88">
        <v>4.4000000000000004</v>
      </c>
      <c r="X240" s="88">
        <v>4.2</v>
      </c>
      <c r="Y240" s="90">
        <v>43</v>
      </c>
      <c r="Z240" s="90">
        <v>51</v>
      </c>
      <c r="AA240" s="88">
        <v>34</v>
      </c>
      <c r="AB240" s="88">
        <v>28</v>
      </c>
      <c r="AC240" s="89">
        <v>6</v>
      </c>
      <c r="AD240" s="89">
        <v>4.9000000000000004</v>
      </c>
      <c r="AE240" s="324">
        <v>116.4</v>
      </c>
      <c r="AF240" s="340">
        <v>125.6</v>
      </c>
      <c r="AG240" s="89">
        <v>42</v>
      </c>
      <c r="AH240" s="89">
        <v>40</v>
      </c>
      <c r="AI240" s="88">
        <v>0.9</v>
      </c>
      <c r="AJ240" s="88">
        <v>0.7</v>
      </c>
      <c r="AK240" s="269">
        <f t="shared" si="20"/>
        <v>0</v>
      </c>
      <c r="AL240" s="89">
        <v>3.7</v>
      </c>
      <c r="AM240" s="89">
        <v>3.6</v>
      </c>
      <c r="AN240" s="88">
        <v>6.9</v>
      </c>
      <c r="AO240" s="88">
        <v>6.6</v>
      </c>
      <c r="AP240" s="88">
        <v>65</v>
      </c>
      <c r="AQ240" s="88">
        <v>75</v>
      </c>
      <c r="AR240" s="89">
        <v>9.4</v>
      </c>
      <c r="AS240" s="89">
        <v>9.1999999999999993</v>
      </c>
      <c r="AT240" s="89">
        <v>4.2</v>
      </c>
      <c r="AU240" s="89">
        <v>4.2</v>
      </c>
      <c r="AV240" s="351">
        <v>101</v>
      </c>
      <c r="AW240" s="351">
        <v>92</v>
      </c>
      <c r="AX240" s="88">
        <v>140</v>
      </c>
      <c r="AY240" s="88">
        <v>136</v>
      </c>
      <c r="AZ240" s="89">
        <v>2.4</v>
      </c>
      <c r="BA240" s="89">
        <v>2.1</v>
      </c>
      <c r="BB240" s="88">
        <v>113</v>
      </c>
      <c r="BC240" s="88">
        <v>103</v>
      </c>
      <c r="BD240" s="96">
        <f t="shared" si="21"/>
        <v>295.66477777777777</v>
      </c>
      <c r="BE240" s="96">
        <f t="shared" si="22"/>
        <v>287.31644444444447</v>
      </c>
      <c r="BF240" s="89">
        <v>4.46</v>
      </c>
      <c r="BG240" s="108">
        <v>4.6900000000000004</v>
      </c>
      <c r="BH240" s="88">
        <v>13.6</v>
      </c>
      <c r="BI240" s="88">
        <v>14.4</v>
      </c>
      <c r="BJ240" s="89">
        <v>42.7</v>
      </c>
      <c r="BK240" s="89">
        <v>46.4</v>
      </c>
      <c r="BL240" s="88">
        <v>95.7</v>
      </c>
      <c r="BM240" s="95">
        <v>99.1</v>
      </c>
      <c r="BN240" s="89">
        <v>30.5</v>
      </c>
      <c r="BO240" s="108">
        <v>30.7</v>
      </c>
      <c r="BP240" s="63">
        <v>31.9</v>
      </c>
      <c r="BQ240" s="63">
        <v>31</v>
      </c>
      <c r="BR240" s="89">
        <v>202</v>
      </c>
      <c r="BS240" s="89">
        <v>202</v>
      </c>
      <c r="BT240" s="63">
        <v>12.1</v>
      </c>
      <c r="BU240" s="63">
        <v>12.5</v>
      </c>
      <c r="BV240" s="89">
        <v>35.700000000000003</v>
      </c>
      <c r="BW240" s="89">
        <v>34.9</v>
      </c>
      <c r="BX240" s="63">
        <v>8.17</v>
      </c>
      <c r="BY240" s="63">
        <v>5.7</v>
      </c>
      <c r="BZ240" s="149">
        <v>72.215422276621794</v>
      </c>
      <c r="CA240" s="149">
        <v>50.5</v>
      </c>
      <c r="CB240" s="144">
        <v>17.625458996328028</v>
      </c>
      <c r="CC240" s="268">
        <v>35.1</v>
      </c>
      <c r="CD240" s="149">
        <v>7.466340269277846</v>
      </c>
      <c r="CE240" s="149">
        <v>8.4</v>
      </c>
      <c r="CF240" s="144">
        <v>2.4479804161566707</v>
      </c>
      <c r="CG240" s="268">
        <v>5.0999999999999996</v>
      </c>
      <c r="CH240" s="149">
        <v>0.24479804161566707</v>
      </c>
      <c r="CI240" s="149">
        <v>0.9</v>
      </c>
      <c r="CJ240" s="86" t="b">
        <f t="shared" si="23"/>
        <v>0</v>
      </c>
      <c r="CK240" s="2" t="b">
        <f t="shared" si="24"/>
        <v>1</v>
      </c>
      <c r="CL240" s="98">
        <f t="shared" si="25"/>
        <v>65.387150000000005</v>
      </c>
      <c r="CM240" s="98">
        <v>70.75</v>
      </c>
      <c r="CN240" s="98">
        <v>181.5</v>
      </c>
      <c r="CO240" s="86">
        <v>54.55</v>
      </c>
      <c r="CP240" s="98">
        <v>50</v>
      </c>
      <c r="CQ240" s="98">
        <v>42</v>
      </c>
      <c r="CR240" s="99">
        <v>7.58</v>
      </c>
    </row>
    <row r="241" spans="1:96" ht="15.75" customHeight="1">
      <c r="A241" s="79">
        <v>2019</v>
      </c>
      <c r="B241" s="79" t="s">
        <v>185</v>
      </c>
      <c r="C241" s="168">
        <v>3222</v>
      </c>
      <c r="D241" s="94">
        <v>28</v>
      </c>
      <c r="E241" s="94">
        <v>62</v>
      </c>
      <c r="F241" s="94">
        <v>1</v>
      </c>
      <c r="G241" s="54" t="s">
        <v>86</v>
      </c>
      <c r="H241" s="55" t="s">
        <v>83</v>
      </c>
      <c r="I241" s="56" t="s">
        <v>84</v>
      </c>
      <c r="J241" s="55" t="s">
        <v>85</v>
      </c>
      <c r="K241" s="53">
        <v>50</v>
      </c>
      <c r="L241" s="55">
        <v>50</v>
      </c>
      <c r="M241" s="87">
        <v>465</v>
      </c>
      <c r="N241" s="87">
        <v>660</v>
      </c>
      <c r="O241" s="88">
        <v>36</v>
      </c>
      <c r="P241" s="88">
        <v>38</v>
      </c>
      <c r="Q241" s="89">
        <v>2.1</v>
      </c>
      <c r="R241" s="89">
        <v>1.5</v>
      </c>
      <c r="S241" s="88">
        <v>412</v>
      </c>
      <c r="T241" s="88">
        <v>375</v>
      </c>
      <c r="U241" s="90">
        <v>52</v>
      </c>
      <c r="V241" s="90">
        <v>60</v>
      </c>
      <c r="W241" s="88">
        <v>5.5</v>
      </c>
      <c r="X241" s="88">
        <v>4.5999999999999996</v>
      </c>
      <c r="Y241" s="90">
        <v>33</v>
      </c>
      <c r="Z241" s="90">
        <v>38</v>
      </c>
      <c r="AA241" s="88">
        <v>24</v>
      </c>
      <c r="AB241" s="88">
        <v>16</v>
      </c>
      <c r="AC241" s="89">
        <v>5.7</v>
      </c>
      <c r="AD241" s="89">
        <v>3.5</v>
      </c>
      <c r="AE241" s="324">
        <v>105.1</v>
      </c>
      <c r="AF241" s="340">
        <v>123.6</v>
      </c>
      <c r="AG241" s="89">
        <v>44</v>
      </c>
      <c r="AH241" s="89">
        <v>42</v>
      </c>
      <c r="AI241" s="88">
        <v>1</v>
      </c>
      <c r="AJ241" s="88">
        <v>0.8</v>
      </c>
      <c r="AK241" s="269">
        <f t="shared" si="20"/>
        <v>0</v>
      </c>
      <c r="AL241" s="89">
        <v>4.8</v>
      </c>
      <c r="AM241" s="89">
        <v>3.8</v>
      </c>
      <c r="AN241" s="88">
        <v>8.3000000000000007</v>
      </c>
      <c r="AO241" s="88">
        <v>6.9</v>
      </c>
      <c r="AP241" s="88">
        <v>65</v>
      </c>
      <c r="AQ241" s="88">
        <v>58</v>
      </c>
      <c r="AR241" s="89">
        <v>10.4</v>
      </c>
      <c r="AS241" s="89">
        <v>9.1999999999999993</v>
      </c>
      <c r="AT241" s="89">
        <v>4.5</v>
      </c>
      <c r="AU241" s="89">
        <v>4</v>
      </c>
      <c r="AV241" s="351">
        <v>111</v>
      </c>
      <c r="AW241" s="351">
        <v>95</v>
      </c>
      <c r="AX241" s="88">
        <v>145</v>
      </c>
      <c r="AY241" s="88">
        <v>134</v>
      </c>
      <c r="AZ241" s="89">
        <v>2.2999999999999998</v>
      </c>
      <c r="BA241" s="89">
        <v>2</v>
      </c>
      <c r="BB241" s="88">
        <v>115</v>
      </c>
      <c r="BC241" s="88">
        <v>100</v>
      </c>
      <c r="BD241" s="96">
        <f t="shared" si="21"/>
        <v>306.49499999999995</v>
      </c>
      <c r="BE241" s="96">
        <f t="shared" si="22"/>
        <v>283.74944444444446</v>
      </c>
      <c r="BF241" s="89">
        <v>4.6900000000000004</v>
      </c>
      <c r="BG241" s="108">
        <v>4.4400000000000004</v>
      </c>
      <c r="BH241" s="88">
        <v>13.5</v>
      </c>
      <c r="BI241" s="88">
        <v>12.7</v>
      </c>
      <c r="BJ241" s="89">
        <v>41.3</v>
      </c>
      <c r="BK241" s="108">
        <v>41.2</v>
      </c>
      <c r="BL241" s="88">
        <v>88.1</v>
      </c>
      <c r="BM241" s="95">
        <v>92.8</v>
      </c>
      <c r="BN241" s="89">
        <v>28.8</v>
      </c>
      <c r="BO241" s="108">
        <v>28.6</v>
      </c>
      <c r="BP241" s="63">
        <v>32.700000000000003</v>
      </c>
      <c r="BQ241" s="63">
        <v>30.8</v>
      </c>
      <c r="BR241" s="89">
        <v>304</v>
      </c>
      <c r="BS241" s="89">
        <v>279</v>
      </c>
      <c r="BT241" s="63">
        <v>12.7</v>
      </c>
      <c r="BU241" s="63">
        <v>12.5</v>
      </c>
      <c r="BV241" s="89">
        <v>34.200000000000003</v>
      </c>
      <c r="BW241" s="89">
        <v>32.5</v>
      </c>
      <c r="BX241" s="63">
        <v>6.74</v>
      </c>
      <c r="BY241" s="63">
        <v>5.52</v>
      </c>
      <c r="BZ241" s="149">
        <v>62.166172106824931</v>
      </c>
      <c r="CA241" s="149">
        <v>61.1</v>
      </c>
      <c r="CB241" s="144">
        <v>28.63501483679525</v>
      </c>
      <c r="CC241" s="268">
        <v>28.1</v>
      </c>
      <c r="CD241" s="149">
        <v>8.4569732937685451</v>
      </c>
      <c r="CE241" s="149">
        <v>8.6999999999999993</v>
      </c>
      <c r="CF241" s="144">
        <v>0.59347181008902072</v>
      </c>
      <c r="CG241" s="268">
        <v>1.6</v>
      </c>
      <c r="CH241" s="149">
        <v>0.14836795252225518</v>
      </c>
      <c r="CI241" s="149">
        <v>0.5</v>
      </c>
      <c r="CJ241" s="86" t="b">
        <f t="shared" si="23"/>
        <v>0</v>
      </c>
      <c r="CK241" s="2" t="b">
        <f t="shared" si="24"/>
        <v>0</v>
      </c>
      <c r="CL241" s="98">
        <f t="shared" si="25"/>
        <v>56.283344999999997</v>
      </c>
      <c r="CM241" s="98">
        <v>62.35</v>
      </c>
      <c r="CN241" s="98">
        <v>169</v>
      </c>
      <c r="CO241" s="86">
        <v>52.58</v>
      </c>
      <c r="CP241" s="98">
        <v>44</v>
      </c>
      <c r="CQ241" s="98">
        <v>38</v>
      </c>
      <c r="CR241" s="99">
        <v>9.73</v>
      </c>
    </row>
    <row r="242" spans="1:96" ht="15.75" customHeight="1">
      <c r="A242" s="79">
        <v>2019</v>
      </c>
      <c r="B242" s="79" t="s">
        <v>185</v>
      </c>
      <c r="C242" s="168">
        <v>3235</v>
      </c>
      <c r="D242" s="94">
        <v>28</v>
      </c>
      <c r="E242" s="94">
        <v>89</v>
      </c>
      <c r="F242" s="94">
        <v>1</v>
      </c>
      <c r="G242" s="81" t="s">
        <v>82</v>
      </c>
      <c r="H242" s="52" t="s">
        <v>92</v>
      </c>
      <c r="I242" s="53" t="s">
        <v>93</v>
      </c>
      <c r="J242" s="55" t="s">
        <v>88</v>
      </c>
      <c r="K242" s="53">
        <v>62.5</v>
      </c>
      <c r="L242" s="52">
        <v>37.5</v>
      </c>
      <c r="M242" s="87">
        <v>1308</v>
      </c>
      <c r="N242" s="87">
        <v>1224</v>
      </c>
      <c r="O242" s="88">
        <v>84</v>
      </c>
      <c r="P242" s="88">
        <v>66</v>
      </c>
      <c r="Q242" s="89">
        <v>1.5</v>
      </c>
      <c r="R242" s="89">
        <v>1.5</v>
      </c>
      <c r="S242" s="88">
        <v>696</v>
      </c>
      <c r="T242" s="88">
        <v>507</v>
      </c>
      <c r="U242" s="90">
        <v>142</v>
      </c>
      <c r="V242" s="90">
        <v>98</v>
      </c>
      <c r="W242" s="88">
        <v>4.5</v>
      </c>
      <c r="X242" s="88">
        <v>3.8</v>
      </c>
      <c r="Y242" s="90">
        <v>76</v>
      </c>
      <c r="Z242" s="90">
        <v>75</v>
      </c>
      <c r="AA242" s="88">
        <v>20</v>
      </c>
      <c r="AB242" s="88">
        <v>16</v>
      </c>
      <c r="AC242" s="89">
        <v>6.9</v>
      </c>
      <c r="AD242" s="89">
        <v>5.8</v>
      </c>
      <c r="AE242" s="324">
        <v>76.7</v>
      </c>
      <c r="AF242" s="340">
        <v>105.1</v>
      </c>
      <c r="AG242" s="89">
        <v>47</v>
      </c>
      <c r="AH242" s="89">
        <v>43</v>
      </c>
      <c r="AI242" s="88">
        <v>1.3</v>
      </c>
      <c r="AJ242" s="88">
        <v>1</v>
      </c>
      <c r="AK242" s="269">
        <f t="shared" si="20"/>
        <v>0</v>
      </c>
      <c r="AL242" s="89">
        <v>5.0999999999999996</v>
      </c>
      <c r="AM242" s="89">
        <v>4.4000000000000004</v>
      </c>
      <c r="AN242" s="88">
        <v>7.5</v>
      </c>
      <c r="AO242" s="88">
        <v>6.7</v>
      </c>
      <c r="AP242" s="88">
        <v>46</v>
      </c>
      <c r="AQ242" s="88">
        <v>112</v>
      </c>
      <c r="AR242" s="89">
        <v>9.6999999999999993</v>
      </c>
      <c r="AS242" s="89">
        <v>8.6999999999999993</v>
      </c>
      <c r="AT242" s="89">
        <v>4.7</v>
      </c>
      <c r="AU242" s="89">
        <v>4.3</v>
      </c>
      <c r="AV242" s="351">
        <v>111</v>
      </c>
      <c r="AW242" s="351">
        <v>95</v>
      </c>
      <c r="AX242" s="88">
        <v>144</v>
      </c>
      <c r="AY242" s="88">
        <v>134</v>
      </c>
      <c r="AZ242" s="89">
        <v>2.1</v>
      </c>
      <c r="BA242" s="89">
        <v>1.8</v>
      </c>
      <c r="BB242" s="88">
        <v>116</v>
      </c>
      <c r="BC242" s="88">
        <v>101</v>
      </c>
      <c r="BD242" s="96">
        <f t="shared" si="21"/>
        <v>305.50699999999995</v>
      </c>
      <c r="BE242" s="96">
        <f t="shared" si="22"/>
        <v>284.4741111111112</v>
      </c>
      <c r="BF242" s="89">
        <v>4.4800000000000004</v>
      </c>
      <c r="BG242" s="108">
        <v>4.6399999999999997</v>
      </c>
      <c r="BH242" s="88">
        <v>13</v>
      </c>
      <c r="BI242" s="95">
        <v>13.4</v>
      </c>
      <c r="BJ242" s="89">
        <v>38.6</v>
      </c>
      <c r="BK242" s="108">
        <v>41.5</v>
      </c>
      <c r="BL242" s="88">
        <v>86.2</v>
      </c>
      <c r="BM242" s="95">
        <v>89.4</v>
      </c>
      <c r="BN242" s="89">
        <v>29</v>
      </c>
      <c r="BO242" s="108">
        <v>28.9</v>
      </c>
      <c r="BP242" s="63">
        <v>33.700000000000003</v>
      </c>
      <c r="BQ242" s="63">
        <v>32.299999999999997</v>
      </c>
      <c r="BR242" s="89">
        <v>217</v>
      </c>
      <c r="BS242" s="89">
        <v>219</v>
      </c>
      <c r="BT242" s="63">
        <v>13.1</v>
      </c>
      <c r="BU242" s="63">
        <v>13.1</v>
      </c>
      <c r="BV242" s="89">
        <v>32.6</v>
      </c>
      <c r="BW242" s="89">
        <v>32.9</v>
      </c>
      <c r="BX242" s="63">
        <v>6.08</v>
      </c>
      <c r="BY242" s="63">
        <v>5.67</v>
      </c>
      <c r="BZ242" s="149">
        <v>60.19736842105263</v>
      </c>
      <c r="CA242" s="149">
        <v>49.6</v>
      </c>
      <c r="CB242" s="144">
        <v>27.302631578947366</v>
      </c>
      <c r="CC242" s="268">
        <v>38.6</v>
      </c>
      <c r="CD242" s="149">
        <v>9.2105263157894743</v>
      </c>
      <c r="CE242" s="149">
        <v>7.4</v>
      </c>
      <c r="CF242" s="144">
        <v>2.7960526315789473</v>
      </c>
      <c r="CG242" s="268">
        <v>3.7</v>
      </c>
      <c r="CH242" s="149">
        <v>0.49342105263157893</v>
      </c>
      <c r="CI242" s="149">
        <v>0.7</v>
      </c>
      <c r="CJ242" s="86" t="b">
        <f t="shared" si="23"/>
        <v>0</v>
      </c>
      <c r="CK242" s="2" t="b">
        <f t="shared" si="24"/>
        <v>1</v>
      </c>
      <c r="CL242" s="98">
        <f t="shared" si="25"/>
        <v>76.552520000000001</v>
      </c>
      <c r="CM242" s="98">
        <v>83.6</v>
      </c>
      <c r="CN242" s="98">
        <v>175</v>
      </c>
      <c r="CO242" s="86">
        <v>50.56</v>
      </c>
      <c r="CP242" s="98">
        <v>54</v>
      </c>
      <c r="CQ242" s="98">
        <v>42</v>
      </c>
      <c r="CR242" s="99">
        <v>8.43</v>
      </c>
    </row>
    <row r="243" spans="1:96" ht="15.75" customHeight="1">
      <c r="A243" s="79">
        <v>2019</v>
      </c>
      <c r="B243" s="79" t="s">
        <v>186</v>
      </c>
      <c r="C243" s="168">
        <v>3197</v>
      </c>
      <c r="D243" s="94">
        <v>27</v>
      </c>
      <c r="E243" s="94">
        <v>0</v>
      </c>
      <c r="F243" s="94">
        <v>1</v>
      </c>
      <c r="G243" s="51" t="s">
        <v>86</v>
      </c>
      <c r="H243" s="52" t="s">
        <v>90</v>
      </c>
      <c r="I243" s="53" t="s">
        <v>93</v>
      </c>
      <c r="J243" s="52" t="s">
        <v>85</v>
      </c>
      <c r="K243" s="53">
        <v>50</v>
      </c>
      <c r="L243" s="52">
        <v>50</v>
      </c>
      <c r="M243" s="115">
        <v>172</v>
      </c>
      <c r="N243" s="87">
        <v>225</v>
      </c>
      <c r="O243" s="94" t="s">
        <v>94</v>
      </c>
      <c r="P243" s="88">
        <v>11</v>
      </c>
      <c r="Q243" s="94" t="s">
        <v>94</v>
      </c>
      <c r="R243" s="89">
        <v>2.1</v>
      </c>
      <c r="S243" s="94" t="s">
        <v>94</v>
      </c>
      <c r="T243" s="88">
        <v>130</v>
      </c>
      <c r="U243" s="94" t="s">
        <v>94</v>
      </c>
      <c r="V243" s="90">
        <v>22</v>
      </c>
      <c r="W243" s="119">
        <v>4.7</v>
      </c>
      <c r="X243" s="88">
        <v>3.4</v>
      </c>
      <c r="Y243" s="94" t="s">
        <v>94</v>
      </c>
      <c r="Z243" s="90">
        <v>15</v>
      </c>
      <c r="AA243" s="94" t="s">
        <v>94</v>
      </c>
      <c r="AB243" s="88">
        <v>12</v>
      </c>
      <c r="AC243" s="117">
        <v>5.3</v>
      </c>
      <c r="AD243" s="89">
        <v>6.5</v>
      </c>
      <c r="AE243" s="323">
        <v>85</v>
      </c>
      <c r="AF243" s="339">
        <v>120</v>
      </c>
      <c r="AG243" s="120">
        <v>26</v>
      </c>
      <c r="AH243" s="89">
        <v>30</v>
      </c>
      <c r="AI243" s="119">
        <v>1.2</v>
      </c>
      <c r="AJ243" s="88">
        <v>0.9</v>
      </c>
      <c r="AK243" s="269">
        <f t="shared" si="20"/>
        <v>0</v>
      </c>
      <c r="AL243" s="117">
        <v>4.0999999999999996</v>
      </c>
      <c r="AM243" s="89">
        <v>3.7</v>
      </c>
      <c r="AN243" s="94" t="s">
        <v>94</v>
      </c>
      <c r="AO243" s="88">
        <v>6</v>
      </c>
      <c r="AP243" s="94" t="s">
        <v>94</v>
      </c>
      <c r="AQ243" s="88">
        <v>39</v>
      </c>
      <c r="AR243" s="117">
        <v>9.6</v>
      </c>
      <c r="AS243" s="89">
        <v>8.6</v>
      </c>
      <c r="AT243" s="117">
        <v>4.5</v>
      </c>
      <c r="AU243" s="89">
        <v>4.4000000000000004</v>
      </c>
      <c r="AV243" s="94" t="s">
        <v>94</v>
      </c>
      <c r="AW243" s="82">
        <v>74</v>
      </c>
      <c r="AX243" s="94" t="s">
        <v>94</v>
      </c>
      <c r="AY243" s="88">
        <v>134</v>
      </c>
      <c r="AZ243" s="94" t="s">
        <v>94</v>
      </c>
      <c r="BA243" s="89">
        <v>2</v>
      </c>
      <c r="BB243" s="94" t="s">
        <v>94</v>
      </c>
      <c r="BC243" s="88">
        <v>100</v>
      </c>
      <c r="BD243" s="96" t="e">
        <f t="shared" si="21"/>
        <v>#VALUE!</v>
      </c>
      <c r="BE243" s="96">
        <f t="shared" si="22"/>
        <v>281.1517777777778</v>
      </c>
      <c r="BF243" s="121">
        <v>5</v>
      </c>
      <c r="BG243" s="263">
        <v>4.57</v>
      </c>
      <c r="BH243" s="119">
        <v>15</v>
      </c>
      <c r="BI243" s="88">
        <v>13.8</v>
      </c>
      <c r="BJ243" s="117">
        <v>44.3</v>
      </c>
      <c r="BK243" s="89">
        <v>40.5</v>
      </c>
      <c r="BL243" s="119">
        <v>88.4</v>
      </c>
      <c r="BM243" s="88">
        <v>88.6</v>
      </c>
      <c r="BN243" s="117">
        <v>29.9</v>
      </c>
      <c r="BO243" s="89">
        <v>30.2</v>
      </c>
      <c r="BP243" s="357">
        <v>33.9</v>
      </c>
      <c r="BQ243" s="145">
        <v>34.1</v>
      </c>
      <c r="BR243" s="134">
        <v>414</v>
      </c>
      <c r="BS243" s="89">
        <v>354</v>
      </c>
      <c r="BT243" s="357">
        <v>12.9</v>
      </c>
      <c r="BU243" s="145">
        <v>12.9</v>
      </c>
      <c r="BV243" s="142" t="s">
        <v>94</v>
      </c>
      <c r="BW243" s="142" t="s">
        <v>94</v>
      </c>
      <c r="BX243" s="122">
        <v>11.7</v>
      </c>
      <c r="BY243" s="88">
        <v>11.56</v>
      </c>
      <c r="BZ243" s="134">
        <v>71</v>
      </c>
      <c r="CA243" s="89">
        <v>71.900000000000006</v>
      </c>
      <c r="CB243" s="101">
        <v>21</v>
      </c>
      <c r="CC243" s="145">
        <v>17.7</v>
      </c>
      <c r="CD243" s="97">
        <v>8</v>
      </c>
      <c r="CE243" s="89">
        <v>7.2</v>
      </c>
      <c r="CF243" s="101">
        <v>0</v>
      </c>
      <c r="CG243" s="145">
        <v>2.9</v>
      </c>
      <c r="CH243" s="97">
        <v>0</v>
      </c>
      <c r="CI243" s="89">
        <v>0.3</v>
      </c>
      <c r="CJ243" s="86" t="b">
        <f t="shared" si="23"/>
        <v>0</v>
      </c>
      <c r="CK243" s="2" t="b">
        <f t="shared" si="24"/>
        <v>0</v>
      </c>
      <c r="CL243" s="98">
        <f t="shared" si="25"/>
        <v>76.297020000000003</v>
      </c>
      <c r="CM243" s="98">
        <v>85.65</v>
      </c>
      <c r="CN243" s="98">
        <v>177</v>
      </c>
      <c r="CO243" s="86">
        <v>51.46</v>
      </c>
      <c r="CP243" s="98">
        <v>48</v>
      </c>
      <c r="CQ243" s="98">
        <v>52</v>
      </c>
      <c r="CR243" s="99">
        <v>10.92</v>
      </c>
    </row>
    <row r="244" spans="1:96" ht="15.75" customHeight="1">
      <c r="A244" s="79">
        <v>2019</v>
      </c>
      <c r="B244" s="79" t="s">
        <v>186</v>
      </c>
      <c r="C244" s="168">
        <v>3200</v>
      </c>
      <c r="D244" s="94">
        <v>28</v>
      </c>
      <c r="E244" s="94">
        <v>0</v>
      </c>
      <c r="F244" s="94">
        <v>1</v>
      </c>
      <c r="G244" s="54" t="s">
        <v>82</v>
      </c>
      <c r="H244" s="55" t="s">
        <v>92</v>
      </c>
      <c r="I244" s="56" t="s">
        <v>84</v>
      </c>
      <c r="J244" s="52" t="s">
        <v>85</v>
      </c>
      <c r="K244" s="56">
        <v>37.5</v>
      </c>
      <c r="L244" s="52">
        <v>62.5</v>
      </c>
      <c r="M244" s="115">
        <v>169</v>
      </c>
      <c r="N244" s="87">
        <v>572</v>
      </c>
      <c r="O244" s="94" t="s">
        <v>94</v>
      </c>
      <c r="P244" s="88">
        <v>28</v>
      </c>
      <c r="Q244" s="94" t="s">
        <v>94</v>
      </c>
      <c r="R244" s="89">
        <v>1.3</v>
      </c>
      <c r="S244" s="94" t="s">
        <v>94</v>
      </c>
      <c r="T244" s="88">
        <v>185</v>
      </c>
      <c r="U244" s="94" t="s">
        <v>94</v>
      </c>
      <c r="V244" s="90">
        <v>50</v>
      </c>
      <c r="W244" s="119">
        <v>4.8</v>
      </c>
      <c r="X244" s="88">
        <v>4</v>
      </c>
      <c r="Y244" s="94" t="s">
        <v>94</v>
      </c>
      <c r="Z244" s="90">
        <v>20</v>
      </c>
      <c r="AA244" s="94" t="s">
        <v>94</v>
      </c>
      <c r="AB244" s="88">
        <v>23</v>
      </c>
      <c r="AC244" s="117">
        <v>4.9000000000000004</v>
      </c>
      <c r="AD244" s="89">
        <v>5.4</v>
      </c>
      <c r="AE244" s="323">
        <v>93.8</v>
      </c>
      <c r="AF244" s="339">
        <v>119.3</v>
      </c>
      <c r="AG244" s="120">
        <v>40</v>
      </c>
      <c r="AH244" s="89">
        <v>38</v>
      </c>
      <c r="AI244" s="119">
        <v>1.1000000000000001</v>
      </c>
      <c r="AJ244" s="88">
        <v>0.9</v>
      </c>
      <c r="AK244" s="269">
        <f t="shared" si="20"/>
        <v>0</v>
      </c>
      <c r="AL244" s="117">
        <v>4.8</v>
      </c>
      <c r="AM244" s="89">
        <v>3.8</v>
      </c>
      <c r="AN244" s="94" t="s">
        <v>94</v>
      </c>
      <c r="AO244" s="88">
        <v>6.9</v>
      </c>
      <c r="AP244" s="94" t="s">
        <v>94</v>
      </c>
      <c r="AQ244" s="88">
        <v>57</v>
      </c>
      <c r="AR244" s="117">
        <v>8.5</v>
      </c>
      <c r="AS244" s="89">
        <v>9.3000000000000007</v>
      </c>
      <c r="AT244" s="117">
        <v>4.5999999999999996</v>
      </c>
      <c r="AU244" s="89">
        <v>3.8</v>
      </c>
      <c r="AV244" s="94" t="s">
        <v>94</v>
      </c>
      <c r="AW244" s="82">
        <v>95</v>
      </c>
      <c r="AX244" s="94" t="s">
        <v>94</v>
      </c>
      <c r="AY244" s="88">
        <v>140</v>
      </c>
      <c r="AZ244" s="94" t="s">
        <v>94</v>
      </c>
      <c r="BA244" s="89">
        <v>2.1</v>
      </c>
      <c r="BB244" s="94" t="s">
        <v>94</v>
      </c>
      <c r="BC244" s="88">
        <v>104</v>
      </c>
      <c r="BD244" s="96" t="e">
        <f t="shared" si="21"/>
        <v>#VALUE!</v>
      </c>
      <c r="BE244" s="96">
        <f t="shared" si="22"/>
        <v>293.87077777777779</v>
      </c>
      <c r="BF244" s="121">
        <v>4.7</v>
      </c>
      <c r="BG244" s="263">
        <v>4.8</v>
      </c>
      <c r="BH244" s="119">
        <v>13.9</v>
      </c>
      <c r="BI244" s="88">
        <v>14.3</v>
      </c>
      <c r="BJ244" s="117">
        <v>42.4</v>
      </c>
      <c r="BK244" s="89">
        <v>42.7</v>
      </c>
      <c r="BL244" s="119">
        <v>90.4</v>
      </c>
      <c r="BM244" s="88">
        <v>89</v>
      </c>
      <c r="BN244" s="117">
        <v>29.6</v>
      </c>
      <c r="BO244" s="89">
        <v>29.8</v>
      </c>
      <c r="BP244" s="357">
        <v>32.799999999999997</v>
      </c>
      <c r="BQ244" s="145">
        <v>33.5</v>
      </c>
      <c r="BR244" s="134">
        <v>292</v>
      </c>
      <c r="BS244" s="89">
        <v>272</v>
      </c>
      <c r="BT244" s="357">
        <v>13.5</v>
      </c>
      <c r="BU244" s="145">
        <v>13.2</v>
      </c>
      <c r="BV244" s="142" t="s">
        <v>94</v>
      </c>
      <c r="BW244" s="142" t="s">
        <v>94</v>
      </c>
      <c r="BX244" s="122">
        <v>6.23</v>
      </c>
      <c r="BY244" s="88">
        <v>13</v>
      </c>
      <c r="BZ244" s="134">
        <v>59</v>
      </c>
      <c r="CA244" s="89">
        <v>79.599999999999994</v>
      </c>
      <c r="CB244" s="101">
        <v>22</v>
      </c>
      <c r="CC244" s="145">
        <v>8.9</v>
      </c>
      <c r="CD244" s="97">
        <v>12</v>
      </c>
      <c r="CE244" s="89">
        <v>8.9</v>
      </c>
      <c r="CF244" s="101">
        <v>6</v>
      </c>
      <c r="CG244" s="145">
        <v>2.2000000000000002</v>
      </c>
      <c r="CH244" s="97">
        <v>1</v>
      </c>
      <c r="CI244" s="89">
        <v>0.4</v>
      </c>
      <c r="CJ244" s="86" t="b">
        <f t="shared" si="23"/>
        <v>0</v>
      </c>
      <c r="CK244" s="2" t="b">
        <f t="shared" si="24"/>
        <v>0</v>
      </c>
      <c r="CL244" s="98">
        <f t="shared" si="25"/>
        <v>73.936000000000007</v>
      </c>
      <c r="CM244" s="98">
        <v>80</v>
      </c>
      <c r="CN244" s="98">
        <v>177.5</v>
      </c>
      <c r="CO244" s="86">
        <v>0</v>
      </c>
      <c r="CP244" s="98">
        <v>42</v>
      </c>
      <c r="CQ244" s="98">
        <v>42</v>
      </c>
      <c r="CR244" s="99">
        <v>7.58</v>
      </c>
    </row>
    <row r="245" spans="1:96" ht="15.75" customHeight="1">
      <c r="A245" s="79">
        <v>2019</v>
      </c>
      <c r="B245" s="79" t="s">
        <v>186</v>
      </c>
      <c r="C245" s="168">
        <v>3202</v>
      </c>
      <c r="D245" s="94">
        <v>26</v>
      </c>
      <c r="E245" s="94">
        <v>0</v>
      </c>
      <c r="F245" s="94">
        <v>1</v>
      </c>
      <c r="G245" s="76" t="s">
        <v>82</v>
      </c>
      <c r="H245" s="55" t="s">
        <v>90</v>
      </c>
      <c r="I245" s="56" t="s">
        <v>84</v>
      </c>
      <c r="J245" s="55" t="s">
        <v>88</v>
      </c>
      <c r="K245" s="53">
        <v>25</v>
      </c>
      <c r="L245" s="55">
        <v>75</v>
      </c>
      <c r="M245" s="115">
        <v>166</v>
      </c>
      <c r="N245" s="87">
        <v>187</v>
      </c>
      <c r="O245" s="94" t="s">
        <v>94</v>
      </c>
      <c r="P245" s="88">
        <v>9</v>
      </c>
      <c r="Q245" s="94" t="s">
        <v>94</v>
      </c>
      <c r="R245" s="89">
        <v>1.7</v>
      </c>
      <c r="S245" s="94" t="s">
        <v>94</v>
      </c>
      <c r="T245" s="88">
        <v>183</v>
      </c>
      <c r="U245" s="94" t="s">
        <v>94</v>
      </c>
      <c r="V245" s="90">
        <v>26</v>
      </c>
      <c r="W245" s="119">
        <v>4.7</v>
      </c>
      <c r="X245" s="88">
        <v>3.6</v>
      </c>
      <c r="Y245" s="94" t="s">
        <v>94</v>
      </c>
      <c r="Z245" s="90">
        <v>17</v>
      </c>
      <c r="AA245" s="94" t="s">
        <v>94</v>
      </c>
      <c r="AB245" s="88">
        <v>34</v>
      </c>
      <c r="AC245" s="117">
        <v>3.8</v>
      </c>
      <c r="AD245" s="89">
        <v>4.7</v>
      </c>
      <c r="AE245" s="323">
        <v>120.8</v>
      </c>
      <c r="AF245" s="339">
        <v>125.2</v>
      </c>
      <c r="AG245" s="120">
        <v>35</v>
      </c>
      <c r="AH245" s="89">
        <v>33</v>
      </c>
      <c r="AI245" s="119">
        <v>0.9</v>
      </c>
      <c r="AJ245" s="88">
        <v>0.8</v>
      </c>
      <c r="AK245" s="269">
        <f t="shared" si="20"/>
        <v>0</v>
      </c>
      <c r="AL245" s="117">
        <v>4.5999999999999996</v>
      </c>
      <c r="AM245" s="89">
        <v>3.3</v>
      </c>
      <c r="AN245" s="94" t="s">
        <v>94</v>
      </c>
      <c r="AO245" s="88">
        <v>6.4</v>
      </c>
      <c r="AP245" s="94" t="s">
        <v>94</v>
      </c>
      <c r="AQ245" s="88">
        <v>60</v>
      </c>
      <c r="AR245" s="117">
        <v>9.6</v>
      </c>
      <c r="AS245" s="89">
        <v>8.5</v>
      </c>
      <c r="AT245" s="117">
        <v>4.3</v>
      </c>
      <c r="AU245" s="89">
        <v>4</v>
      </c>
      <c r="AV245" s="94" t="s">
        <v>94</v>
      </c>
      <c r="AW245" s="158">
        <v>93</v>
      </c>
      <c r="AX245" s="94" t="s">
        <v>94</v>
      </c>
      <c r="AY245" s="88">
        <v>133</v>
      </c>
      <c r="AZ245" s="94" t="s">
        <v>94</v>
      </c>
      <c r="BA245" s="89">
        <v>2.1</v>
      </c>
      <c r="BB245" s="94" t="s">
        <v>94</v>
      </c>
      <c r="BC245" s="88">
        <v>107</v>
      </c>
      <c r="BD245" s="96" t="e">
        <f t="shared" si="21"/>
        <v>#VALUE!</v>
      </c>
      <c r="BE245" s="96">
        <f t="shared" si="22"/>
        <v>280.26166666666671</v>
      </c>
      <c r="BF245" s="121">
        <v>4.4000000000000004</v>
      </c>
      <c r="BG245" s="263">
        <v>4.3099999999999996</v>
      </c>
      <c r="BH245" s="119">
        <v>13.6</v>
      </c>
      <c r="BI245" s="88">
        <v>3.4</v>
      </c>
      <c r="BJ245" s="117">
        <v>42.1</v>
      </c>
      <c r="BK245" s="89">
        <v>40.6</v>
      </c>
      <c r="BL245" s="119">
        <v>95.5</v>
      </c>
      <c r="BM245" s="88">
        <v>90.2</v>
      </c>
      <c r="BN245" s="117">
        <v>30.8</v>
      </c>
      <c r="BO245" s="89">
        <v>31.1</v>
      </c>
      <c r="BP245" s="357">
        <v>32.299999999999997</v>
      </c>
      <c r="BQ245" s="145">
        <v>33</v>
      </c>
      <c r="BR245" s="134">
        <v>156</v>
      </c>
      <c r="BS245" s="89">
        <v>155</v>
      </c>
      <c r="BT245" s="357">
        <v>13.1</v>
      </c>
      <c r="BU245" s="145">
        <v>12.7</v>
      </c>
      <c r="BV245" s="142" t="s">
        <v>94</v>
      </c>
      <c r="BW245" s="142" t="s">
        <v>94</v>
      </c>
      <c r="BX245" s="122">
        <v>14.5</v>
      </c>
      <c r="BY245" s="88">
        <v>10.039999999999999</v>
      </c>
      <c r="BZ245" s="134">
        <v>74</v>
      </c>
      <c r="CA245" s="89">
        <v>69.400000000000006</v>
      </c>
      <c r="CB245" s="101">
        <v>14</v>
      </c>
      <c r="CC245" s="145">
        <v>17.100000000000001</v>
      </c>
      <c r="CD245" s="97">
        <v>11</v>
      </c>
      <c r="CE245" s="89">
        <v>10.9</v>
      </c>
      <c r="CF245" s="101">
        <v>1</v>
      </c>
      <c r="CG245" s="145">
        <v>2.1</v>
      </c>
      <c r="CH245" s="97">
        <v>0</v>
      </c>
      <c r="CI245" s="89">
        <v>0.5</v>
      </c>
      <c r="CJ245" s="86" t="b">
        <f t="shared" si="23"/>
        <v>0</v>
      </c>
      <c r="CK245" s="2" t="b">
        <f t="shared" si="24"/>
        <v>0</v>
      </c>
      <c r="CL245" s="98">
        <f t="shared" si="25"/>
        <v>81.37906000000001</v>
      </c>
      <c r="CM245" s="98">
        <v>88.9</v>
      </c>
      <c r="CN245" s="98">
        <v>184.5</v>
      </c>
      <c r="CO245" s="86">
        <v>49.69</v>
      </c>
      <c r="CP245" s="98">
        <v>54</v>
      </c>
      <c r="CQ245" s="98">
        <v>50</v>
      </c>
      <c r="CR245" s="99">
        <v>8.4600000000000009</v>
      </c>
    </row>
    <row r="246" spans="1:96" ht="15.75" customHeight="1">
      <c r="A246" s="79">
        <v>2019</v>
      </c>
      <c r="B246" s="79" t="s">
        <v>186</v>
      </c>
      <c r="C246" s="168">
        <v>3205</v>
      </c>
      <c r="D246" s="94">
        <v>32</v>
      </c>
      <c r="E246" s="94">
        <v>0</v>
      </c>
      <c r="F246" s="94">
        <v>1</v>
      </c>
      <c r="G246" s="54" t="s">
        <v>86</v>
      </c>
      <c r="H246" s="55" t="s">
        <v>94</v>
      </c>
      <c r="I246" s="56" t="s">
        <v>84</v>
      </c>
      <c r="J246" s="55" t="s">
        <v>88</v>
      </c>
      <c r="K246" s="56" t="s">
        <v>94</v>
      </c>
      <c r="L246" s="52" t="s">
        <v>94</v>
      </c>
      <c r="M246" s="115">
        <v>211</v>
      </c>
      <c r="N246" s="87">
        <v>262</v>
      </c>
      <c r="O246" s="94" t="s">
        <v>94</v>
      </c>
      <c r="P246" s="88">
        <v>21</v>
      </c>
      <c r="Q246" s="94" t="s">
        <v>94</v>
      </c>
      <c r="R246" s="89">
        <v>1.5</v>
      </c>
      <c r="S246" s="94" t="s">
        <v>94</v>
      </c>
      <c r="T246" s="88">
        <v>250</v>
      </c>
      <c r="U246" s="94" t="s">
        <v>94</v>
      </c>
      <c r="V246" s="90">
        <v>31</v>
      </c>
      <c r="W246" s="119">
        <v>4.9000000000000004</v>
      </c>
      <c r="X246" s="88">
        <v>4.2</v>
      </c>
      <c r="Y246" s="94" t="s">
        <v>94</v>
      </c>
      <c r="Z246" s="90">
        <v>23</v>
      </c>
      <c r="AA246" s="94" t="s">
        <v>94</v>
      </c>
      <c r="AB246" s="88">
        <v>32</v>
      </c>
      <c r="AC246" s="117">
        <v>5.4</v>
      </c>
      <c r="AD246" s="89">
        <v>6.2</v>
      </c>
      <c r="AE246" s="323">
        <v>91.5</v>
      </c>
      <c r="AF246" s="339">
        <v>116.4</v>
      </c>
      <c r="AG246" s="120">
        <v>42</v>
      </c>
      <c r="AH246" s="89">
        <v>41</v>
      </c>
      <c r="AI246" s="119">
        <v>1.1000000000000001</v>
      </c>
      <c r="AJ246" s="88">
        <v>0.9</v>
      </c>
      <c r="AK246" s="269">
        <f t="shared" si="20"/>
        <v>0</v>
      </c>
      <c r="AL246" s="117">
        <v>5.4</v>
      </c>
      <c r="AM246" s="89">
        <v>3.6</v>
      </c>
      <c r="AN246" s="94" t="s">
        <v>94</v>
      </c>
      <c r="AO246" s="88">
        <v>6.8</v>
      </c>
      <c r="AP246" s="94" t="s">
        <v>94</v>
      </c>
      <c r="AQ246" s="88">
        <v>89</v>
      </c>
      <c r="AR246" s="117">
        <v>9.9</v>
      </c>
      <c r="AS246" s="89">
        <v>9.1</v>
      </c>
      <c r="AT246" s="117">
        <v>5.7</v>
      </c>
      <c r="AU246" s="89">
        <v>4.2</v>
      </c>
      <c r="AV246" s="94" t="s">
        <v>94</v>
      </c>
      <c r="AW246" s="158">
        <v>119</v>
      </c>
      <c r="AX246" s="94" t="s">
        <v>94</v>
      </c>
      <c r="AY246" s="88">
        <v>138</v>
      </c>
      <c r="AZ246" s="94" t="s">
        <v>94</v>
      </c>
      <c r="BA246" s="89">
        <v>2.2000000000000002</v>
      </c>
      <c r="BB246" s="94" t="s">
        <v>94</v>
      </c>
      <c r="BC246" s="88">
        <v>102</v>
      </c>
      <c r="BD246" s="96" t="e">
        <f t="shared" si="21"/>
        <v>#VALUE!</v>
      </c>
      <c r="BE246" s="96">
        <f t="shared" si="22"/>
        <v>292.92811111111109</v>
      </c>
      <c r="BF246" s="121">
        <v>4.8</v>
      </c>
      <c r="BG246" s="263">
        <v>4.63</v>
      </c>
      <c r="BH246" s="119">
        <v>14.1</v>
      </c>
      <c r="BI246" s="88">
        <v>3.8</v>
      </c>
      <c r="BJ246" s="117">
        <v>43</v>
      </c>
      <c r="BK246" s="89">
        <v>41.3</v>
      </c>
      <c r="BL246" s="119">
        <v>90.5</v>
      </c>
      <c r="BM246" s="88">
        <v>89.2</v>
      </c>
      <c r="BN246" s="117">
        <v>29.7</v>
      </c>
      <c r="BO246" s="89">
        <v>29.8</v>
      </c>
      <c r="BP246" s="357">
        <v>32.799999999999997</v>
      </c>
      <c r="BQ246" s="145">
        <v>33.4</v>
      </c>
      <c r="BR246" s="134">
        <v>282</v>
      </c>
      <c r="BS246" s="89">
        <v>251</v>
      </c>
      <c r="BT246" s="357">
        <v>14.5</v>
      </c>
      <c r="BU246" s="145">
        <v>13.8</v>
      </c>
      <c r="BV246" s="142" t="s">
        <v>94</v>
      </c>
      <c r="BW246" s="142" t="s">
        <v>94</v>
      </c>
      <c r="BX246" s="122">
        <v>10.5</v>
      </c>
      <c r="BY246" s="88">
        <v>15.24</v>
      </c>
      <c r="BZ246" s="134">
        <v>58</v>
      </c>
      <c r="CA246" s="89">
        <v>74.099999999999994</v>
      </c>
      <c r="CB246" s="101">
        <v>27</v>
      </c>
      <c r="CC246" s="145">
        <v>16.5</v>
      </c>
      <c r="CD246" s="97">
        <v>9</v>
      </c>
      <c r="CE246" s="89">
        <v>5</v>
      </c>
      <c r="CF246" s="101">
        <v>4</v>
      </c>
      <c r="CG246" s="145">
        <v>3.5</v>
      </c>
      <c r="CH246" s="97">
        <v>2</v>
      </c>
      <c r="CI246" s="89">
        <v>0.9</v>
      </c>
      <c r="CJ246" s="86" t="b">
        <f t="shared" si="23"/>
        <v>0</v>
      </c>
      <c r="CK246" s="2" t="b">
        <f t="shared" si="24"/>
        <v>0</v>
      </c>
      <c r="CL246" s="98">
        <f t="shared" si="25"/>
        <v>70.381349999999998</v>
      </c>
      <c r="CM246" s="98">
        <v>79.5</v>
      </c>
      <c r="CN246" s="98">
        <v>176.5</v>
      </c>
      <c r="CO246" s="86">
        <v>52.51</v>
      </c>
      <c r="CP246" s="98">
        <v>48</v>
      </c>
      <c r="CQ246" s="98">
        <v>52</v>
      </c>
      <c r="CR246" s="99">
        <v>11.47</v>
      </c>
    </row>
    <row r="247" spans="1:96" ht="15.75" customHeight="1">
      <c r="A247" s="79">
        <v>2019</v>
      </c>
      <c r="B247" s="79" t="s">
        <v>186</v>
      </c>
      <c r="C247" s="168">
        <v>3214</v>
      </c>
      <c r="D247" s="94">
        <v>32</v>
      </c>
      <c r="E247" s="94">
        <v>0</v>
      </c>
      <c r="F247" s="94">
        <v>1</v>
      </c>
      <c r="G247" s="76" t="s">
        <v>89</v>
      </c>
      <c r="H247" s="55" t="s">
        <v>90</v>
      </c>
      <c r="I247" s="56" t="s">
        <v>87</v>
      </c>
      <c r="J247" s="55" t="s">
        <v>91</v>
      </c>
      <c r="K247" s="56">
        <v>25</v>
      </c>
      <c r="L247" s="55">
        <v>75</v>
      </c>
      <c r="M247" s="115">
        <v>125</v>
      </c>
      <c r="N247" s="87">
        <v>98</v>
      </c>
      <c r="O247" s="94" t="s">
        <v>94</v>
      </c>
      <c r="P247" s="88">
        <v>5</v>
      </c>
      <c r="Q247" s="94" t="s">
        <v>94</v>
      </c>
      <c r="R247" s="89">
        <v>2.5</v>
      </c>
      <c r="S247" s="94" t="s">
        <v>94</v>
      </c>
      <c r="T247" s="88">
        <v>181</v>
      </c>
      <c r="U247" s="94" t="s">
        <v>94</v>
      </c>
      <c r="V247" s="90">
        <v>21</v>
      </c>
      <c r="W247" s="119">
        <v>4.7</v>
      </c>
      <c r="X247" s="88">
        <v>3.7</v>
      </c>
      <c r="Y247" s="94" t="s">
        <v>94</v>
      </c>
      <c r="Z247" s="90">
        <v>17</v>
      </c>
      <c r="AA247" s="94" t="s">
        <v>94</v>
      </c>
      <c r="AB247" s="88">
        <v>35</v>
      </c>
      <c r="AC247" s="117">
        <v>5.0999999999999996</v>
      </c>
      <c r="AD247" s="89">
        <v>6.2</v>
      </c>
      <c r="AE247" s="323">
        <v>102.6</v>
      </c>
      <c r="AF247" s="339">
        <v>68.5</v>
      </c>
      <c r="AG247" s="120">
        <v>36</v>
      </c>
      <c r="AH247" s="89">
        <v>41</v>
      </c>
      <c r="AI247" s="119">
        <v>1</v>
      </c>
      <c r="AJ247" s="88">
        <v>1.4</v>
      </c>
      <c r="AK247" s="269">
        <f t="shared" si="20"/>
        <v>0.39999999999999991</v>
      </c>
      <c r="AL247" s="117">
        <v>4.2</v>
      </c>
      <c r="AM247" s="89">
        <v>3.9</v>
      </c>
      <c r="AN247" s="94" t="s">
        <v>94</v>
      </c>
      <c r="AO247" s="88">
        <v>6.3</v>
      </c>
      <c r="AP247" s="94" t="s">
        <v>94</v>
      </c>
      <c r="AQ247" s="88">
        <v>15</v>
      </c>
      <c r="AR247" s="117">
        <v>9.3000000000000007</v>
      </c>
      <c r="AS247" s="89">
        <v>8.5</v>
      </c>
      <c r="AT247" s="117">
        <v>4.7</v>
      </c>
      <c r="AU247" s="89">
        <v>4.3</v>
      </c>
      <c r="AV247" s="94" t="s">
        <v>94</v>
      </c>
      <c r="AW247" s="158">
        <v>85</v>
      </c>
      <c r="AX247" s="94" t="s">
        <v>94</v>
      </c>
      <c r="AY247" s="88">
        <v>135</v>
      </c>
      <c r="AZ247" s="94" t="s">
        <v>94</v>
      </c>
      <c r="BA247" s="89">
        <v>2.2000000000000002</v>
      </c>
      <c r="BB247" s="94" t="s">
        <v>94</v>
      </c>
      <c r="BC247" s="88">
        <v>100</v>
      </c>
      <c r="BD247" s="96" t="e">
        <f t="shared" si="21"/>
        <v>#VALUE!</v>
      </c>
      <c r="BE247" s="96">
        <f t="shared" si="22"/>
        <v>285.36188888888887</v>
      </c>
      <c r="BF247" s="121">
        <v>4.5</v>
      </c>
      <c r="BG247" s="263">
        <v>4.5999999999999996</v>
      </c>
      <c r="BH247" s="119">
        <v>13</v>
      </c>
      <c r="BI247" s="88">
        <v>13.5</v>
      </c>
      <c r="BJ247" s="117">
        <v>39.9</v>
      </c>
      <c r="BK247" s="89">
        <v>40.299999999999997</v>
      </c>
      <c r="BL247" s="119">
        <v>88.9</v>
      </c>
      <c r="BM247" s="88">
        <v>87.6</v>
      </c>
      <c r="BN247" s="117">
        <v>29</v>
      </c>
      <c r="BO247" s="89">
        <v>29.3</v>
      </c>
      <c r="BP247" s="357">
        <v>32.6</v>
      </c>
      <c r="BQ247" s="145">
        <v>33.5</v>
      </c>
      <c r="BR247" s="134">
        <v>277</v>
      </c>
      <c r="BS247" s="89">
        <v>243</v>
      </c>
      <c r="BT247" s="357">
        <v>13.9</v>
      </c>
      <c r="BU247" s="145">
        <v>13.5</v>
      </c>
      <c r="BV247" s="142" t="s">
        <v>94</v>
      </c>
      <c r="BW247" s="142" t="s">
        <v>94</v>
      </c>
      <c r="BX247" s="122">
        <v>9.15</v>
      </c>
      <c r="BY247" s="88">
        <v>13.42</v>
      </c>
      <c r="BZ247" s="134">
        <v>70</v>
      </c>
      <c r="CA247" s="89">
        <v>75.099999999999994</v>
      </c>
      <c r="CB247" s="101">
        <v>19</v>
      </c>
      <c r="CC247" s="145">
        <v>15.4</v>
      </c>
      <c r="CD247" s="97">
        <v>9</v>
      </c>
      <c r="CE247" s="89">
        <v>7.4</v>
      </c>
      <c r="CF247" s="101">
        <v>2</v>
      </c>
      <c r="CG247" s="145">
        <v>1.9</v>
      </c>
      <c r="CH247" s="97">
        <v>0</v>
      </c>
      <c r="CI247" s="89">
        <v>0.2</v>
      </c>
      <c r="CJ247" s="86" t="b">
        <f t="shared" si="23"/>
        <v>1</v>
      </c>
      <c r="CK247" s="2" t="b">
        <f t="shared" si="24"/>
        <v>0</v>
      </c>
      <c r="CL247" s="98">
        <f t="shared" si="25"/>
        <v>70.427400000000006</v>
      </c>
      <c r="CM247" s="98">
        <v>80.25</v>
      </c>
      <c r="CN247" s="98">
        <v>178</v>
      </c>
      <c r="CO247" s="86">
        <v>51.39</v>
      </c>
      <c r="CP247" s="98">
        <v>48</v>
      </c>
      <c r="CQ247" s="98">
        <v>47</v>
      </c>
      <c r="CR247" s="99">
        <v>12.24</v>
      </c>
    </row>
    <row r="248" spans="1:96" ht="15.75" customHeight="1">
      <c r="A248" s="79">
        <v>2019</v>
      </c>
      <c r="B248" s="79" t="s">
        <v>186</v>
      </c>
      <c r="C248" s="168">
        <v>3215</v>
      </c>
      <c r="D248" s="94">
        <v>33</v>
      </c>
      <c r="E248" s="94">
        <v>0</v>
      </c>
      <c r="F248" s="94">
        <v>1</v>
      </c>
      <c r="G248" s="81" t="s">
        <v>82</v>
      </c>
      <c r="H248" s="52" t="s">
        <v>90</v>
      </c>
      <c r="I248" s="53" t="s">
        <v>84</v>
      </c>
      <c r="J248" s="55" t="s">
        <v>88</v>
      </c>
      <c r="K248" s="53">
        <v>25</v>
      </c>
      <c r="L248" s="52">
        <v>75</v>
      </c>
      <c r="M248" s="115">
        <v>120</v>
      </c>
      <c r="N248" s="87">
        <v>151</v>
      </c>
      <c r="O248" s="94" t="s">
        <v>94</v>
      </c>
      <c r="P248" s="88">
        <v>11</v>
      </c>
      <c r="Q248" s="94" t="s">
        <v>94</v>
      </c>
      <c r="R248" s="89">
        <v>1.4</v>
      </c>
      <c r="S248" s="94" t="s">
        <v>94</v>
      </c>
      <c r="T248" s="88">
        <v>183</v>
      </c>
      <c r="U248" s="94" t="s">
        <v>94</v>
      </c>
      <c r="V248" s="90">
        <v>27</v>
      </c>
      <c r="W248" s="119">
        <v>4.5999999999999996</v>
      </c>
      <c r="X248" s="88">
        <v>3.6</v>
      </c>
      <c r="Y248" s="94" t="s">
        <v>94</v>
      </c>
      <c r="Z248" s="90">
        <v>20</v>
      </c>
      <c r="AA248" s="94" t="s">
        <v>94</v>
      </c>
      <c r="AB248" s="88">
        <v>26</v>
      </c>
      <c r="AC248" s="117">
        <v>2.6</v>
      </c>
      <c r="AD248" s="89">
        <v>3.8</v>
      </c>
      <c r="AE248" s="323">
        <v>90.9</v>
      </c>
      <c r="AF248" s="339">
        <v>115.7</v>
      </c>
      <c r="AG248" s="120">
        <v>56</v>
      </c>
      <c r="AH248" s="89">
        <v>35</v>
      </c>
      <c r="AI248" s="119">
        <v>1.1000000000000001</v>
      </c>
      <c r="AJ248" s="88">
        <v>0.9</v>
      </c>
      <c r="AK248" s="269">
        <f t="shared" si="20"/>
        <v>0</v>
      </c>
      <c r="AL248" s="117">
        <v>4.3</v>
      </c>
      <c r="AM248" s="89">
        <v>3.7</v>
      </c>
      <c r="AN248" s="94" t="s">
        <v>94</v>
      </c>
      <c r="AO248" s="88">
        <v>6.3</v>
      </c>
      <c r="AP248" s="94" t="s">
        <v>94</v>
      </c>
      <c r="AQ248" s="88">
        <v>55</v>
      </c>
      <c r="AR248" s="117">
        <v>9.3000000000000007</v>
      </c>
      <c r="AS248" s="89">
        <v>8.1</v>
      </c>
      <c r="AT248" s="117">
        <v>4.2</v>
      </c>
      <c r="AU248" s="89">
        <v>4</v>
      </c>
      <c r="AV248" s="94" t="s">
        <v>94</v>
      </c>
      <c r="AW248" s="158">
        <v>77</v>
      </c>
      <c r="AX248" s="94" t="s">
        <v>94</v>
      </c>
      <c r="AY248" s="88">
        <v>129</v>
      </c>
      <c r="AZ248" s="94" t="s">
        <v>94</v>
      </c>
      <c r="BA248" s="89">
        <v>2</v>
      </c>
      <c r="BB248" s="94" t="s">
        <v>94</v>
      </c>
      <c r="BC248" s="88">
        <v>93</v>
      </c>
      <c r="BD248" s="96" t="e">
        <f t="shared" si="21"/>
        <v>#VALUE!</v>
      </c>
      <c r="BE248" s="96">
        <f t="shared" si="22"/>
        <v>272.13277777777779</v>
      </c>
      <c r="BF248" s="121">
        <v>4.5999999999999996</v>
      </c>
      <c r="BG248" s="263">
        <v>4.83</v>
      </c>
      <c r="BH248" s="119">
        <v>13.4</v>
      </c>
      <c r="BI248" s="88">
        <v>14.2</v>
      </c>
      <c r="BJ248" s="117">
        <v>41.7</v>
      </c>
      <c r="BK248" s="89">
        <v>42.8</v>
      </c>
      <c r="BL248" s="119">
        <v>91.2</v>
      </c>
      <c r="BM248" s="88">
        <v>88</v>
      </c>
      <c r="BN248" s="117">
        <v>29.3</v>
      </c>
      <c r="BO248" s="89">
        <v>29.4</v>
      </c>
      <c r="BP248" s="357">
        <v>32.1</v>
      </c>
      <c r="BQ248" s="145">
        <v>33.200000000000003</v>
      </c>
      <c r="BR248" s="134">
        <v>244</v>
      </c>
      <c r="BS248" s="89">
        <v>258</v>
      </c>
      <c r="BT248" s="357">
        <v>14.9</v>
      </c>
      <c r="BU248" s="145">
        <v>14.2</v>
      </c>
      <c r="BV248" s="142" t="s">
        <v>94</v>
      </c>
      <c r="BW248" s="142" t="s">
        <v>94</v>
      </c>
      <c r="BX248" s="122">
        <v>10.19</v>
      </c>
      <c r="BY248" s="88">
        <v>9.6</v>
      </c>
      <c r="BZ248" s="134">
        <v>73</v>
      </c>
      <c r="CA248" s="89">
        <v>68.8</v>
      </c>
      <c r="CB248" s="101">
        <v>15</v>
      </c>
      <c r="CC248" s="145">
        <v>18.600000000000001</v>
      </c>
      <c r="CD248" s="97">
        <v>9</v>
      </c>
      <c r="CE248" s="89">
        <v>9.3000000000000007</v>
      </c>
      <c r="CF248" s="101">
        <v>3</v>
      </c>
      <c r="CG248" s="145">
        <v>2.8</v>
      </c>
      <c r="CH248" s="97">
        <v>0</v>
      </c>
      <c r="CI248" s="89">
        <v>0.5</v>
      </c>
      <c r="CJ248" s="86" t="b">
        <f t="shared" si="23"/>
        <v>0</v>
      </c>
      <c r="CK248" s="2" t="b">
        <f t="shared" si="24"/>
        <v>0</v>
      </c>
      <c r="CL248" s="98">
        <f t="shared" si="25"/>
        <v>66.237339999999989</v>
      </c>
      <c r="CM248" s="98">
        <v>74.599999999999994</v>
      </c>
      <c r="CN248" s="98">
        <v>178.5</v>
      </c>
      <c r="CO248" s="86">
        <v>50</v>
      </c>
      <c r="CP248" s="98">
        <v>62</v>
      </c>
      <c r="CQ248" s="98">
        <v>58</v>
      </c>
      <c r="CR248" s="99">
        <v>11.21</v>
      </c>
    </row>
    <row r="249" spans="1:96" ht="15.75" customHeight="1">
      <c r="A249" s="79">
        <v>2019</v>
      </c>
      <c r="B249" s="79" t="s">
        <v>186</v>
      </c>
      <c r="C249" s="168">
        <v>3216</v>
      </c>
      <c r="D249" s="94">
        <v>32</v>
      </c>
      <c r="E249" s="94">
        <v>0</v>
      </c>
      <c r="F249" s="94">
        <v>1</v>
      </c>
      <c r="G249" s="76" t="s">
        <v>86</v>
      </c>
      <c r="H249" s="55" t="s">
        <v>90</v>
      </c>
      <c r="I249" s="56" t="s">
        <v>84</v>
      </c>
      <c r="J249" s="55" t="s">
        <v>88</v>
      </c>
      <c r="K249" s="53">
        <v>50</v>
      </c>
      <c r="L249" s="55">
        <v>50</v>
      </c>
      <c r="M249" s="115">
        <v>155</v>
      </c>
      <c r="N249" s="87">
        <v>359</v>
      </c>
      <c r="O249" s="94" t="s">
        <v>94</v>
      </c>
      <c r="P249" s="88">
        <v>24</v>
      </c>
      <c r="Q249" s="94" t="s">
        <v>94</v>
      </c>
      <c r="R249" s="89">
        <v>2</v>
      </c>
      <c r="S249" s="94" t="s">
        <v>94</v>
      </c>
      <c r="T249" s="95">
        <v>244</v>
      </c>
      <c r="U249" s="94" t="s">
        <v>94</v>
      </c>
      <c r="V249" s="90">
        <v>35</v>
      </c>
      <c r="W249" s="119">
        <v>4.5999999999999996</v>
      </c>
      <c r="X249" s="88">
        <v>4</v>
      </c>
      <c r="Y249" s="94" t="s">
        <v>94</v>
      </c>
      <c r="Z249" s="90">
        <v>23</v>
      </c>
      <c r="AA249" s="94" t="s">
        <v>94</v>
      </c>
      <c r="AB249" s="88">
        <v>28</v>
      </c>
      <c r="AC249" s="117">
        <v>5.2</v>
      </c>
      <c r="AD249" s="89">
        <v>6.3</v>
      </c>
      <c r="AE249" s="323">
        <v>102.6</v>
      </c>
      <c r="AF249" s="339">
        <v>120.6</v>
      </c>
      <c r="AG249" s="120">
        <v>44</v>
      </c>
      <c r="AH249" s="89">
        <v>37</v>
      </c>
      <c r="AI249" s="119">
        <v>1</v>
      </c>
      <c r="AJ249" s="88">
        <v>0.8</v>
      </c>
      <c r="AK249" s="269">
        <f t="shared" si="20"/>
        <v>0</v>
      </c>
      <c r="AL249" s="117">
        <v>3.4</v>
      </c>
      <c r="AM249" s="89">
        <v>3.1</v>
      </c>
      <c r="AN249" s="94" t="s">
        <v>94</v>
      </c>
      <c r="AO249" s="88">
        <v>6.9</v>
      </c>
      <c r="AP249" s="94" t="s">
        <v>94</v>
      </c>
      <c r="AQ249" s="88">
        <v>75</v>
      </c>
      <c r="AR249" s="117">
        <v>9.6</v>
      </c>
      <c r="AS249" s="89">
        <v>9.1</v>
      </c>
      <c r="AT249" s="117">
        <v>5.0999999999999996</v>
      </c>
      <c r="AU249" s="89">
        <v>4</v>
      </c>
      <c r="AV249" s="94" t="s">
        <v>94</v>
      </c>
      <c r="AW249" s="158">
        <v>114</v>
      </c>
      <c r="AX249" s="94" t="s">
        <v>94</v>
      </c>
      <c r="AY249" s="88">
        <v>140</v>
      </c>
      <c r="AZ249" s="94" t="s">
        <v>94</v>
      </c>
      <c r="BA249" s="89">
        <v>2.2000000000000002</v>
      </c>
      <c r="BB249" s="94" t="s">
        <v>94</v>
      </c>
      <c r="BC249" s="88">
        <v>103</v>
      </c>
      <c r="BD249" s="96" t="e">
        <f t="shared" si="21"/>
        <v>#VALUE!</v>
      </c>
      <c r="BE249" s="96">
        <f t="shared" si="22"/>
        <v>295.29000000000008</v>
      </c>
      <c r="BF249" s="121">
        <v>4.8899999999999997</v>
      </c>
      <c r="BG249" s="263">
        <v>4.8899999999999997</v>
      </c>
      <c r="BH249" s="119">
        <v>15.1</v>
      </c>
      <c r="BI249" s="88">
        <v>15.1</v>
      </c>
      <c r="BJ249" s="117">
        <v>46.1</v>
      </c>
      <c r="BK249" s="89">
        <v>45.2</v>
      </c>
      <c r="BL249" s="119">
        <v>94.3</v>
      </c>
      <c r="BM249" s="88">
        <v>92.4</v>
      </c>
      <c r="BN249" s="117">
        <v>30.9</v>
      </c>
      <c r="BO249" s="89">
        <v>30.9</v>
      </c>
      <c r="BP249" s="357">
        <v>32.799999999999997</v>
      </c>
      <c r="BQ249" s="145">
        <v>33.4</v>
      </c>
      <c r="BR249" s="134">
        <v>205</v>
      </c>
      <c r="BS249" s="89">
        <v>205</v>
      </c>
      <c r="BT249" s="357">
        <v>12.5</v>
      </c>
      <c r="BU249" s="145">
        <v>12.5</v>
      </c>
      <c r="BV249" s="142" t="s">
        <v>94</v>
      </c>
      <c r="BW249" s="142" t="s">
        <v>94</v>
      </c>
      <c r="BX249" s="122">
        <v>8.61</v>
      </c>
      <c r="BY249" s="88">
        <v>9.85</v>
      </c>
      <c r="BZ249" s="134">
        <v>74.599999999999994</v>
      </c>
      <c r="CA249" s="89">
        <v>71.7</v>
      </c>
      <c r="CB249" s="101">
        <v>14.2</v>
      </c>
      <c r="CC249" s="145">
        <v>17.3</v>
      </c>
      <c r="CD249" s="97">
        <v>5.7</v>
      </c>
      <c r="CE249" s="89">
        <v>5.8</v>
      </c>
      <c r="CF249" s="101">
        <v>4.9000000000000004</v>
      </c>
      <c r="CG249" s="145">
        <v>5</v>
      </c>
      <c r="CH249" s="97">
        <v>0.6</v>
      </c>
      <c r="CI249" s="89">
        <v>0.2</v>
      </c>
      <c r="CJ249" s="86" t="b">
        <f t="shared" si="23"/>
        <v>0</v>
      </c>
      <c r="CK249" s="2" t="b">
        <f t="shared" si="24"/>
        <v>0</v>
      </c>
      <c r="CL249" s="98">
        <f t="shared" si="25"/>
        <v>65.387150000000005</v>
      </c>
      <c r="CM249" s="98">
        <v>70.75</v>
      </c>
      <c r="CN249" s="98">
        <v>181.5</v>
      </c>
      <c r="CO249" s="86">
        <v>54.55</v>
      </c>
      <c r="CP249" s="98">
        <v>50</v>
      </c>
      <c r="CQ249" s="98">
        <v>42</v>
      </c>
      <c r="CR249" s="99">
        <v>7.58</v>
      </c>
    </row>
    <row r="250" spans="1:96" ht="15.75" customHeight="1">
      <c r="A250" s="79">
        <v>2019</v>
      </c>
      <c r="B250" s="79" t="s">
        <v>186</v>
      </c>
      <c r="C250" s="168">
        <v>3222</v>
      </c>
      <c r="D250" s="94">
        <v>28</v>
      </c>
      <c r="E250" s="94">
        <v>0</v>
      </c>
      <c r="F250" s="94">
        <v>1</v>
      </c>
      <c r="G250" s="54" t="s">
        <v>86</v>
      </c>
      <c r="H250" s="55" t="s">
        <v>83</v>
      </c>
      <c r="I250" s="56" t="s">
        <v>84</v>
      </c>
      <c r="J250" s="55" t="s">
        <v>85</v>
      </c>
      <c r="K250" s="53">
        <v>50</v>
      </c>
      <c r="L250" s="55">
        <v>50</v>
      </c>
      <c r="M250" s="141">
        <v>121</v>
      </c>
      <c r="N250" s="87">
        <v>86</v>
      </c>
      <c r="O250" s="94" t="s">
        <v>94</v>
      </c>
      <c r="P250" s="88">
        <v>4</v>
      </c>
      <c r="Q250" s="94" t="s">
        <v>94</v>
      </c>
      <c r="R250" s="89">
        <v>2.7</v>
      </c>
      <c r="S250" s="94" t="s">
        <v>94</v>
      </c>
      <c r="T250" s="88">
        <v>227</v>
      </c>
      <c r="U250" s="94" t="s">
        <v>94</v>
      </c>
      <c r="V250" s="90">
        <v>23</v>
      </c>
      <c r="W250" s="94">
        <v>4.5999999999999996</v>
      </c>
      <c r="X250" s="88">
        <v>4</v>
      </c>
      <c r="Y250" s="94" t="s">
        <v>94</v>
      </c>
      <c r="Z250" s="90">
        <v>15</v>
      </c>
      <c r="AA250" s="94" t="s">
        <v>94</v>
      </c>
      <c r="AB250" s="88">
        <v>16</v>
      </c>
      <c r="AC250" s="97">
        <v>4.4000000000000004</v>
      </c>
      <c r="AD250" s="89">
        <v>5</v>
      </c>
      <c r="AE250" s="323">
        <v>93.8</v>
      </c>
      <c r="AF250" s="339">
        <v>119.3</v>
      </c>
      <c r="AG250" s="97">
        <v>39</v>
      </c>
      <c r="AH250" s="89">
        <v>39</v>
      </c>
      <c r="AI250" s="94">
        <v>1.1000000000000001</v>
      </c>
      <c r="AJ250" s="88">
        <v>0.9</v>
      </c>
      <c r="AK250" s="269">
        <f t="shared" si="20"/>
        <v>0</v>
      </c>
      <c r="AL250" s="97">
        <v>4.5</v>
      </c>
      <c r="AM250" s="89">
        <v>2.9</v>
      </c>
      <c r="AN250" s="94" t="s">
        <v>94</v>
      </c>
      <c r="AO250" s="88">
        <v>6.7</v>
      </c>
      <c r="AP250" s="94" t="s">
        <v>94</v>
      </c>
      <c r="AQ250" s="88">
        <v>10</v>
      </c>
      <c r="AR250" s="97">
        <v>8.8000000000000007</v>
      </c>
      <c r="AS250" s="89">
        <v>8.8000000000000007</v>
      </c>
      <c r="AT250" s="97">
        <v>4.5</v>
      </c>
      <c r="AU250" s="89">
        <v>4.3</v>
      </c>
      <c r="AV250" s="94" t="s">
        <v>94</v>
      </c>
      <c r="AW250" s="158">
        <v>117</v>
      </c>
      <c r="AX250" s="94" t="s">
        <v>94</v>
      </c>
      <c r="AY250" s="88">
        <v>138</v>
      </c>
      <c r="AZ250" s="94" t="s">
        <v>94</v>
      </c>
      <c r="BA250" s="89">
        <v>2.2999999999999998</v>
      </c>
      <c r="BB250" s="94" t="s">
        <v>94</v>
      </c>
      <c r="BC250" s="88">
        <v>102</v>
      </c>
      <c r="BD250" s="96" t="e">
        <f t="shared" si="21"/>
        <v>#VALUE!</v>
      </c>
      <c r="BE250" s="96">
        <f t="shared" si="22"/>
        <v>292.65300000000008</v>
      </c>
      <c r="BF250" s="97">
        <v>4.3600000000000003</v>
      </c>
      <c r="BG250" s="108">
        <v>4.4000000000000004</v>
      </c>
      <c r="BH250" s="94">
        <v>12.5</v>
      </c>
      <c r="BI250" s="88">
        <v>12.7</v>
      </c>
      <c r="BJ250" s="97">
        <v>98.5</v>
      </c>
      <c r="BK250" s="89">
        <v>38.5</v>
      </c>
      <c r="BL250" s="94">
        <v>88.3</v>
      </c>
      <c r="BM250" s="88">
        <v>87.1</v>
      </c>
      <c r="BN250" s="97">
        <v>28.7</v>
      </c>
      <c r="BO250" s="89">
        <v>28.7</v>
      </c>
      <c r="BP250" s="357">
        <v>32.5</v>
      </c>
      <c r="BQ250" s="145">
        <v>33</v>
      </c>
      <c r="BR250" s="134">
        <v>315</v>
      </c>
      <c r="BS250" s="89">
        <v>304</v>
      </c>
      <c r="BT250" s="357">
        <v>13.2</v>
      </c>
      <c r="BU250" s="145">
        <v>13.2</v>
      </c>
      <c r="BV250" s="142" t="s">
        <v>94</v>
      </c>
      <c r="BW250" s="142" t="s">
        <v>94</v>
      </c>
      <c r="BX250" s="94">
        <v>6.32</v>
      </c>
      <c r="BY250" s="88">
        <v>9.43</v>
      </c>
      <c r="BZ250" s="134">
        <v>64.7</v>
      </c>
      <c r="CA250" s="89">
        <v>75</v>
      </c>
      <c r="CB250" s="101">
        <v>21.7</v>
      </c>
      <c r="CC250" s="145">
        <v>16</v>
      </c>
      <c r="CD250" s="97">
        <v>10.6</v>
      </c>
      <c r="CE250" s="89">
        <v>8</v>
      </c>
      <c r="CF250" s="101">
        <v>2.2000000000000002</v>
      </c>
      <c r="CG250" s="145">
        <v>1</v>
      </c>
      <c r="CH250" s="97">
        <v>0.8</v>
      </c>
      <c r="CI250" s="89">
        <v>0</v>
      </c>
      <c r="CJ250" s="86" t="b">
        <f t="shared" si="23"/>
        <v>0</v>
      </c>
      <c r="CK250" s="2" t="b">
        <f t="shared" si="24"/>
        <v>0</v>
      </c>
      <c r="CL250" s="98">
        <f t="shared" si="25"/>
        <v>56.283344999999997</v>
      </c>
      <c r="CM250" s="98">
        <v>62.35</v>
      </c>
      <c r="CN250" s="98">
        <v>169</v>
      </c>
      <c r="CO250" s="86">
        <v>52.58</v>
      </c>
      <c r="CP250" s="98">
        <v>44</v>
      </c>
      <c r="CQ250" s="98">
        <v>38</v>
      </c>
      <c r="CR250" s="99">
        <v>9.73</v>
      </c>
    </row>
    <row r="251" spans="1:96" ht="15.75" customHeight="1">
      <c r="A251" s="79">
        <v>2019</v>
      </c>
      <c r="B251" s="79" t="s">
        <v>186</v>
      </c>
      <c r="C251" s="168">
        <v>3235</v>
      </c>
      <c r="D251" s="94">
        <v>28</v>
      </c>
      <c r="E251" s="94">
        <v>0</v>
      </c>
      <c r="F251" s="94">
        <v>1</v>
      </c>
      <c r="G251" s="81" t="s">
        <v>82</v>
      </c>
      <c r="H251" s="52" t="s">
        <v>92</v>
      </c>
      <c r="I251" s="53" t="s">
        <v>93</v>
      </c>
      <c r="J251" s="55" t="s">
        <v>88</v>
      </c>
      <c r="K251" s="53">
        <v>62.5</v>
      </c>
      <c r="L251" s="52">
        <v>37.5</v>
      </c>
      <c r="M251" s="141">
        <v>179</v>
      </c>
      <c r="N251" s="87">
        <v>118</v>
      </c>
      <c r="O251" s="94" t="s">
        <v>94</v>
      </c>
      <c r="P251" s="88">
        <v>12</v>
      </c>
      <c r="Q251" s="94" t="s">
        <v>94</v>
      </c>
      <c r="R251" s="89">
        <v>2.6</v>
      </c>
      <c r="S251" s="94" t="s">
        <v>94</v>
      </c>
      <c r="T251" s="88">
        <v>190</v>
      </c>
      <c r="U251" s="94" t="s">
        <v>94</v>
      </c>
      <c r="V251" s="90">
        <v>31</v>
      </c>
      <c r="W251" s="94">
        <v>4.3</v>
      </c>
      <c r="X251" s="88">
        <v>3.9</v>
      </c>
      <c r="Y251" s="94" t="s">
        <v>94</v>
      </c>
      <c r="Z251" s="90">
        <v>14</v>
      </c>
      <c r="AA251" s="94" t="s">
        <v>94</v>
      </c>
      <c r="AB251" s="88">
        <v>17</v>
      </c>
      <c r="AC251" s="97">
        <v>5.0999999999999996</v>
      </c>
      <c r="AD251" s="89">
        <v>6.5</v>
      </c>
      <c r="AE251" s="323">
        <v>84.5</v>
      </c>
      <c r="AF251" s="339">
        <v>105.1</v>
      </c>
      <c r="AG251" s="97">
        <v>43</v>
      </c>
      <c r="AH251" s="89">
        <v>40</v>
      </c>
      <c r="AI251" s="94">
        <v>1.2</v>
      </c>
      <c r="AJ251" s="88">
        <v>1</v>
      </c>
      <c r="AK251" s="269">
        <f t="shared" si="20"/>
        <v>0</v>
      </c>
      <c r="AL251" s="97">
        <v>6.4</v>
      </c>
      <c r="AM251" s="89">
        <v>3.8</v>
      </c>
      <c r="AN251" s="94" t="s">
        <v>94</v>
      </c>
      <c r="AO251" s="88">
        <v>7.1</v>
      </c>
      <c r="AP251" s="94" t="s">
        <v>94</v>
      </c>
      <c r="AQ251" s="88">
        <v>18</v>
      </c>
      <c r="AR251" s="97">
        <v>9.1</v>
      </c>
      <c r="AS251" s="89">
        <v>8.8000000000000007</v>
      </c>
      <c r="AT251" s="97">
        <v>5</v>
      </c>
      <c r="AU251" s="89">
        <v>4.8</v>
      </c>
      <c r="AV251" s="94" t="s">
        <v>94</v>
      </c>
      <c r="AW251" s="158">
        <v>104</v>
      </c>
      <c r="AX251" s="94" t="s">
        <v>94</v>
      </c>
      <c r="AY251" s="88">
        <v>142</v>
      </c>
      <c r="AZ251" s="94" t="s">
        <v>94</v>
      </c>
      <c r="BA251" s="89">
        <v>2.1</v>
      </c>
      <c r="BB251" s="94" t="s">
        <v>94</v>
      </c>
      <c r="BC251" s="88">
        <v>104</v>
      </c>
      <c r="BD251" s="96" t="e">
        <f t="shared" si="21"/>
        <v>#VALUE!</v>
      </c>
      <c r="BE251" s="96">
        <f t="shared" si="22"/>
        <v>300.35911111111119</v>
      </c>
      <c r="BF251" s="97">
        <v>5.0599999999999996</v>
      </c>
      <c r="BG251" s="263">
        <v>4.97</v>
      </c>
      <c r="BH251" s="94">
        <v>14.8</v>
      </c>
      <c r="BI251" s="88">
        <v>14.5</v>
      </c>
      <c r="BJ251" s="97">
        <v>43.3</v>
      </c>
      <c r="BK251" s="89">
        <v>41.7</v>
      </c>
      <c r="BL251" s="94">
        <v>85.6</v>
      </c>
      <c r="BM251" s="88">
        <v>83.9</v>
      </c>
      <c r="BN251" s="97">
        <v>29.2</v>
      </c>
      <c r="BO251" s="89">
        <v>29.2</v>
      </c>
      <c r="BP251" s="357">
        <v>34.200000000000003</v>
      </c>
      <c r="BQ251" s="145">
        <v>34.799999999999997</v>
      </c>
      <c r="BR251" s="134">
        <v>223</v>
      </c>
      <c r="BS251" s="89">
        <v>213</v>
      </c>
      <c r="BT251" s="357">
        <v>13.7</v>
      </c>
      <c r="BU251" s="145">
        <v>13.3</v>
      </c>
      <c r="BV251" s="142" t="s">
        <v>94</v>
      </c>
      <c r="BW251" s="142" t="s">
        <v>94</v>
      </c>
      <c r="BX251" s="94">
        <v>8.85</v>
      </c>
      <c r="BY251" s="88">
        <v>8.5399999999999991</v>
      </c>
      <c r="BZ251" s="134">
        <v>63.6</v>
      </c>
      <c r="CA251" s="89">
        <v>58.7</v>
      </c>
      <c r="CB251" s="101">
        <v>21.5</v>
      </c>
      <c r="CC251" s="145">
        <v>21.2</v>
      </c>
      <c r="CD251" s="97">
        <v>7.5</v>
      </c>
      <c r="CE251" s="89">
        <v>6.1</v>
      </c>
      <c r="CF251" s="101">
        <v>6.7</v>
      </c>
      <c r="CG251" s="145">
        <v>13.2</v>
      </c>
      <c r="CH251" s="97">
        <v>0.7</v>
      </c>
      <c r="CI251" s="89">
        <v>0.8</v>
      </c>
      <c r="CJ251" s="86" t="b">
        <f t="shared" si="23"/>
        <v>0</v>
      </c>
      <c r="CK251" s="2" t="b">
        <f t="shared" si="24"/>
        <v>0</v>
      </c>
      <c r="CL251" s="98">
        <f t="shared" si="25"/>
        <v>76.552520000000001</v>
      </c>
      <c r="CM251" s="98">
        <v>83.6</v>
      </c>
      <c r="CN251" s="98">
        <v>175</v>
      </c>
      <c r="CO251" s="86">
        <v>50.56</v>
      </c>
      <c r="CP251" s="98">
        <v>54</v>
      </c>
      <c r="CQ251" s="98">
        <v>42</v>
      </c>
      <c r="CR251" s="99">
        <v>8.43</v>
      </c>
    </row>
    <row r="252" spans="1:96" ht="15.75" customHeight="1">
      <c r="A252" s="79">
        <v>2019</v>
      </c>
      <c r="B252" s="79" t="s">
        <v>182</v>
      </c>
      <c r="C252" s="168">
        <v>3197</v>
      </c>
      <c r="D252" s="94">
        <v>27</v>
      </c>
      <c r="E252" s="94">
        <v>81.8</v>
      </c>
      <c r="F252" s="94">
        <v>1</v>
      </c>
      <c r="G252" s="51" t="s">
        <v>86</v>
      </c>
      <c r="H252" s="52" t="s">
        <v>90</v>
      </c>
      <c r="I252" s="53" t="s">
        <v>93</v>
      </c>
      <c r="J252" s="52" t="s">
        <v>85</v>
      </c>
      <c r="K252" s="53">
        <v>50</v>
      </c>
      <c r="L252" s="52">
        <v>50</v>
      </c>
      <c r="M252" s="87">
        <v>99</v>
      </c>
      <c r="N252" s="87">
        <v>2405</v>
      </c>
      <c r="O252" s="88">
        <v>7</v>
      </c>
      <c r="P252" s="88">
        <v>70</v>
      </c>
      <c r="Q252" s="89">
        <v>2.1</v>
      </c>
      <c r="R252" s="89">
        <v>2.5</v>
      </c>
      <c r="S252" s="88">
        <v>140</v>
      </c>
      <c r="T252" s="88">
        <v>319</v>
      </c>
      <c r="U252" s="90">
        <v>20</v>
      </c>
      <c r="V252" s="90">
        <v>79</v>
      </c>
      <c r="W252" s="88">
        <v>3.9</v>
      </c>
      <c r="X252" s="88">
        <v>4.4000000000000004</v>
      </c>
      <c r="Y252" s="90">
        <v>24</v>
      </c>
      <c r="Z252" s="90">
        <v>41</v>
      </c>
      <c r="AA252" s="88">
        <v>19</v>
      </c>
      <c r="AB252" s="88">
        <v>17</v>
      </c>
      <c r="AC252" s="89">
        <v>6.8</v>
      </c>
      <c r="AD252" s="89">
        <v>8.8000000000000007</v>
      </c>
      <c r="AE252" s="166">
        <v>120</v>
      </c>
      <c r="AF252" s="166">
        <v>94.4</v>
      </c>
      <c r="AG252" s="89">
        <v>31</v>
      </c>
      <c r="AH252" s="89">
        <v>38</v>
      </c>
      <c r="AI252" s="88">
        <v>0.9</v>
      </c>
      <c r="AJ252" s="88">
        <v>1.1000000000000001</v>
      </c>
      <c r="AK252" s="269">
        <f t="shared" si="20"/>
        <v>0.20000000000000007</v>
      </c>
      <c r="AL252" s="89">
        <v>5.3</v>
      </c>
      <c r="AM252" s="89">
        <v>4.9000000000000004</v>
      </c>
      <c r="AN252" s="88">
        <v>6.8</v>
      </c>
      <c r="AO252" s="88">
        <v>7.1</v>
      </c>
      <c r="AP252" s="88">
        <v>77</v>
      </c>
      <c r="AQ252" s="88">
        <v>53</v>
      </c>
      <c r="AR252" s="89">
        <v>9.3000000000000007</v>
      </c>
      <c r="AS252" s="89">
        <v>9.4</v>
      </c>
      <c r="AT252" s="89">
        <v>4.5999999999999996</v>
      </c>
      <c r="AU252" s="89">
        <v>4.3</v>
      </c>
      <c r="AV252" s="351">
        <v>87</v>
      </c>
      <c r="AW252" s="82">
        <v>95</v>
      </c>
      <c r="AX252" s="88">
        <v>141</v>
      </c>
      <c r="AY252" s="88">
        <v>138</v>
      </c>
      <c r="AZ252" s="89">
        <v>2.2999999999999998</v>
      </c>
      <c r="BA252" s="89">
        <v>2.2999999999999998</v>
      </c>
      <c r="BB252" s="88">
        <v>102</v>
      </c>
      <c r="BC252" s="88">
        <v>101</v>
      </c>
      <c r="BD252" s="96">
        <f t="shared" si="21"/>
        <v>295.54100000000005</v>
      </c>
      <c r="BE252" s="96">
        <f t="shared" si="22"/>
        <v>291.08077777777783</v>
      </c>
      <c r="BF252" s="89">
        <v>4.3</v>
      </c>
      <c r="BG252" s="89">
        <v>4.3099999999999996</v>
      </c>
      <c r="BH252" s="88">
        <v>13.5</v>
      </c>
      <c r="BI252" s="88">
        <v>13.6</v>
      </c>
      <c r="BJ252" s="89">
        <v>40.700000000000003</v>
      </c>
      <c r="BK252" s="89">
        <v>41.7</v>
      </c>
      <c r="BL252" s="88">
        <v>95.2</v>
      </c>
      <c r="BM252" s="88">
        <v>96.7</v>
      </c>
      <c r="BN252" s="89">
        <v>31.6</v>
      </c>
      <c r="BO252" s="89">
        <v>31.6</v>
      </c>
      <c r="BP252" s="88">
        <v>33.200000000000003</v>
      </c>
      <c r="BQ252" s="88">
        <v>32.6</v>
      </c>
      <c r="BR252" s="89">
        <v>394</v>
      </c>
      <c r="BS252" s="89">
        <v>371</v>
      </c>
      <c r="BT252" s="88">
        <v>14</v>
      </c>
      <c r="BU252" s="88">
        <v>13.5</v>
      </c>
      <c r="BV252" s="89">
        <v>2.89</v>
      </c>
      <c r="BW252" s="89" t="s">
        <v>94</v>
      </c>
      <c r="BX252" s="88">
        <v>5.13</v>
      </c>
      <c r="BY252" s="88">
        <v>10.039999999999999</v>
      </c>
      <c r="BZ252" s="89">
        <v>43.3</v>
      </c>
      <c r="CA252" s="89">
        <v>62.1</v>
      </c>
      <c r="CB252" s="88">
        <v>42.3</v>
      </c>
      <c r="CC252" s="88">
        <v>24.4</v>
      </c>
      <c r="CD252" s="89">
        <v>6.4</v>
      </c>
      <c r="CE252" s="89">
        <v>11.2</v>
      </c>
      <c r="CF252" s="88">
        <v>4.4000000000000004</v>
      </c>
      <c r="CG252" s="88">
        <v>1.3</v>
      </c>
      <c r="CH252" s="89">
        <v>3.6</v>
      </c>
      <c r="CI252" s="89">
        <v>1</v>
      </c>
      <c r="CJ252" s="86" t="b">
        <f t="shared" si="23"/>
        <v>0</v>
      </c>
      <c r="CK252" s="2" t="b">
        <f t="shared" si="24"/>
        <v>1</v>
      </c>
      <c r="CL252" s="98">
        <f t="shared" si="25"/>
        <v>76.297020000000003</v>
      </c>
      <c r="CM252" s="98">
        <v>85.65</v>
      </c>
      <c r="CN252" s="98">
        <v>177</v>
      </c>
      <c r="CO252" s="86">
        <v>51.46</v>
      </c>
      <c r="CP252" s="98">
        <v>48</v>
      </c>
      <c r="CQ252" s="98">
        <v>52</v>
      </c>
      <c r="CR252" s="99">
        <v>10.92</v>
      </c>
    </row>
    <row r="253" spans="1:96" ht="18" customHeight="1">
      <c r="A253" s="79">
        <v>2019</v>
      </c>
      <c r="B253" s="79" t="s">
        <v>182</v>
      </c>
      <c r="C253" s="168">
        <v>3200</v>
      </c>
      <c r="D253" s="94">
        <v>25</v>
      </c>
      <c r="E253" s="94">
        <v>80</v>
      </c>
      <c r="F253" s="94">
        <v>1</v>
      </c>
      <c r="G253" s="54" t="s">
        <v>82</v>
      </c>
      <c r="H253" s="55" t="s">
        <v>92</v>
      </c>
      <c r="I253" s="56" t="s">
        <v>84</v>
      </c>
      <c r="J253" s="52" t="s">
        <v>85</v>
      </c>
      <c r="K253" s="56">
        <v>37.5</v>
      </c>
      <c r="L253" s="52">
        <v>62.5</v>
      </c>
      <c r="M253" s="87">
        <v>128</v>
      </c>
      <c r="N253" s="87">
        <v>608</v>
      </c>
      <c r="O253" s="88">
        <v>13</v>
      </c>
      <c r="P253" s="88">
        <v>31</v>
      </c>
      <c r="Q253" s="89">
        <v>1.7</v>
      </c>
      <c r="R253" s="89">
        <v>1.7</v>
      </c>
      <c r="S253" s="88">
        <v>157</v>
      </c>
      <c r="T253" s="88">
        <v>272</v>
      </c>
      <c r="U253" s="90">
        <v>21</v>
      </c>
      <c r="V253" s="90">
        <v>41</v>
      </c>
      <c r="W253" s="88">
        <v>4.2</v>
      </c>
      <c r="X253" s="88">
        <v>4.4000000000000004</v>
      </c>
      <c r="Y253" s="90">
        <v>22</v>
      </c>
      <c r="Z253" s="90">
        <v>28</v>
      </c>
      <c r="AA253" s="88">
        <v>22</v>
      </c>
      <c r="AB253" s="88">
        <v>18</v>
      </c>
      <c r="AC253" s="89">
        <v>5.0999999999999996</v>
      </c>
      <c r="AD253" s="89">
        <v>5.8</v>
      </c>
      <c r="AE253" s="166">
        <v>121.6</v>
      </c>
      <c r="AF253" s="166">
        <v>121.6</v>
      </c>
      <c r="AG253" s="89">
        <v>43</v>
      </c>
      <c r="AH253" s="89">
        <v>39</v>
      </c>
      <c r="AI253" s="88">
        <v>0.9</v>
      </c>
      <c r="AJ253" s="88">
        <v>0.9</v>
      </c>
      <c r="AK253" s="269">
        <f t="shared" si="20"/>
        <v>0</v>
      </c>
      <c r="AL253" s="89">
        <v>5.5</v>
      </c>
      <c r="AM253" s="89">
        <v>4.3</v>
      </c>
      <c r="AN253" s="88">
        <v>7.3</v>
      </c>
      <c r="AO253" s="88">
        <v>7</v>
      </c>
      <c r="AP253" s="88">
        <v>101</v>
      </c>
      <c r="AQ253" s="88">
        <v>88</v>
      </c>
      <c r="AR253" s="89">
        <v>9.6999999999999993</v>
      </c>
      <c r="AS253" s="89">
        <v>9.5</v>
      </c>
      <c r="AT253" s="89">
        <v>4.5999999999999996</v>
      </c>
      <c r="AU253" s="89">
        <v>4.4000000000000004</v>
      </c>
      <c r="AV253" s="351">
        <v>97</v>
      </c>
      <c r="AW253" s="82">
        <v>103</v>
      </c>
      <c r="AX253" s="88">
        <v>142</v>
      </c>
      <c r="AY253" s="88">
        <v>140</v>
      </c>
      <c r="AZ253" s="89">
        <v>2.4</v>
      </c>
      <c r="BA253" s="89">
        <v>2.2999999999999998</v>
      </c>
      <c r="BB253" s="88">
        <v>102</v>
      </c>
      <c r="BC253" s="88">
        <v>102</v>
      </c>
      <c r="BD253" s="96">
        <f t="shared" si="21"/>
        <v>300.03988888888887</v>
      </c>
      <c r="BE253" s="96">
        <f t="shared" si="22"/>
        <v>295.66455555555558</v>
      </c>
      <c r="BF253" s="89">
        <v>4.8</v>
      </c>
      <c r="BG253" s="89">
        <v>4.2699999999999996</v>
      </c>
      <c r="BH253" s="88">
        <v>14.8</v>
      </c>
      <c r="BI253" s="88">
        <v>13</v>
      </c>
      <c r="BJ253" s="89">
        <v>44.5</v>
      </c>
      <c r="BK253" s="89">
        <v>40.1</v>
      </c>
      <c r="BL253" s="88">
        <v>92.7</v>
      </c>
      <c r="BM253" s="88">
        <v>93.9</v>
      </c>
      <c r="BN253" s="89">
        <v>30.9</v>
      </c>
      <c r="BO253" s="89">
        <v>30.4</v>
      </c>
      <c r="BP253" s="88">
        <v>33.299999999999997</v>
      </c>
      <c r="BQ253" s="88">
        <v>32.4</v>
      </c>
      <c r="BR253" s="89">
        <v>267</v>
      </c>
      <c r="BS253" s="89">
        <v>278</v>
      </c>
      <c r="BT253" s="88">
        <v>15.3</v>
      </c>
      <c r="BU253" s="88">
        <v>14</v>
      </c>
      <c r="BV253" s="89">
        <v>1.42</v>
      </c>
      <c r="BW253" s="89" t="s">
        <v>94</v>
      </c>
      <c r="BX253" s="88">
        <v>3.92</v>
      </c>
      <c r="BY253" s="88">
        <v>7.39</v>
      </c>
      <c r="BZ253" s="89">
        <v>25.3</v>
      </c>
      <c r="CA253" s="89">
        <v>60.5</v>
      </c>
      <c r="CB253" s="88">
        <v>45.6</v>
      </c>
      <c r="CC253" s="88">
        <v>21.5</v>
      </c>
      <c r="CD253" s="89">
        <v>11.1</v>
      </c>
      <c r="CE253" s="89">
        <v>14.5</v>
      </c>
      <c r="CF253" s="88">
        <v>11.3</v>
      </c>
      <c r="CG253" s="88">
        <v>2.9</v>
      </c>
      <c r="CH253" s="89">
        <v>6.7</v>
      </c>
      <c r="CI253" s="89">
        <v>0.6</v>
      </c>
      <c r="CJ253" s="86" t="b">
        <f t="shared" si="23"/>
        <v>0</v>
      </c>
      <c r="CK253" s="2" t="b">
        <f t="shared" si="24"/>
        <v>0</v>
      </c>
      <c r="CL253" s="98">
        <f t="shared" si="25"/>
        <v>73.936000000000007</v>
      </c>
      <c r="CM253" s="98">
        <v>80</v>
      </c>
      <c r="CN253" s="98">
        <v>177.5</v>
      </c>
      <c r="CO253" s="86">
        <v>0</v>
      </c>
      <c r="CP253" s="98">
        <v>42</v>
      </c>
      <c r="CQ253" s="98">
        <v>42</v>
      </c>
      <c r="CR253" s="99">
        <v>7.58</v>
      </c>
    </row>
    <row r="254" spans="1:96" ht="15.75" customHeight="1">
      <c r="A254" s="79">
        <v>2019</v>
      </c>
      <c r="B254" s="79" t="s">
        <v>182</v>
      </c>
      <c r="C254" s="168">
        <v>3202</v>
      </c>
      <c r="D254" s="94">
        <v>26</v>
      </c>
      <c r="E254" s="94">
        <v>0</v>
      </c>
      <c r="F254" s="94">
        <v>1</v>
      </c>
      <c r="G254" s="76" t="s">
        <v>82</v>
      </c>
      <c r="H254" s="55" t="s">
        <v>90</v>
      </c>
      <c r="I254" s="56" t="s">
        <v>84</v>
      </c>
      <c r="J254" s="55" t="s">
        <v>88</v>
      </c>
      <c r="K254" s="53">
        <v>25</v>
      </c>
      <c r="L254" s="55">
        <v>75</v>
      </c>
      <c r="M254" s="87">
        <v>6374</v>
      </c>
      <c r="N254" s="87" t="s">
        <v>94</v>
      </c>
      <c r="O254" s="88">
        <v>135</v>
      </c>
      <c r="P254" s="88" t="s">
        <v>94</v>
      </c>
      <c r="Q254" s="89">
        <v>1.9</v>
      </c>
      <c r="R254" s="89" t="s">
        <v>94</v>
      </c>
      <c r="S254" s="88">
        <v>563</v>
      </c>
      <c r="T254" s="88" t="s">
        <v>94</v>
      </c>
      <c r="U254" s="90">
        <v>200</v>
      </c>
      <c r="V254" s="90" t="s">
        <v>94</v>
      </c>
      <c r="W254" s="88">
        <v>4.3</v>
      </c>
      <c r="X254" s="88" t="s">
        <v>94</v>
      </c>
      <c r="Y254" s="90">
        <v>67</v>
      </c>
      <c r="Z254" s="90" t="s">
        <v>94</v>
      </c>
      <c r="AA254" s="88">
        <v>46</v>
      </c>
      <c r="AB254" s="88" t="s">
        <v>94</v>
      </c>
      <c r="AC254" s="89">
        <v>5.0999999999999996</v>
      </c>
      <c r="AD254" s="89" t="s">
        <v>94</v>
      </c>
      <c r="AE254" s="166">
        <v>125.2</v>
      </c>
      <c r="AF254" s="166" t="s">
        <v>94</v>
      </c>
      <c r="AG254" s="89">
        <v>37</v>
      </c>
      <c r="AH254" s="89" t="s">
        <v>94</v>
      </c>
      <c r="AI254" s="88">
        <v>0.8</v>
      </c>
      <c r="AJ254" s="88" t="s">
        <v>94</v>
      </c>
      <c r="AK254" s="269" t="str">
        <f t="shared" si="20"/>
        <v>Dados Insuficientes</v>
      </c>
      <c r="AL254" s="89">
        <v>4.5999999999999996</v>
      </c>
      <c r="AM254" s="89" t="s">
        <v>94</v>
      </c>
      <c r="AN254" s="88">
        <v>7.5</v>
      </c>
      <c r="AO254" s="88" t="s">
        <v>94</v>
      </c>
      <c r="AP254" s="88">
        <v>92</v>
      </c>
      <c r="AQ254" s="88" t="s">
        <v>94</v>
      </c>
      <c r="AR254" s="89">
        <v>9.5</v>
      </c>
      <c r="AS254" s="89" t="s">
        <v>94</v>
      </c>
      <c r="AT254" s="89">
        <v>4.5999999999999996</v>
      </c>
      <c r="AU254" s="89" t="s">
        <v>94</v>
      </c>
      <c r="AV254" s="351">
        <v>87</v>
      </c>
      <c r="AW254" s="82" t="s">
        <v>94</v>
      </c>
      <c r="AX254" s="88">
        <v>144</v>
      </c>
      <c r="AY254" s="88" t="s">
        <v>94</v>
      </c>
      <c r="AZ254" s="89">
        <v>2.4</v>
      </c>
      <c r="BA254" s="89" t="s">
        <v>94</v>
      </c>
      <c r="BB254" s="88">
        <v>104</v>
      </c>
      <c r="BC254" s="88" t="s">
        <v>94</v>
      </c>
      <c r="BD254" s="96">
        <f t="shared" si="21"/>
        <v>302.12100000000004</v>
      </c>
      <c r="BE254" s="96" t="e">
        <f t="shared" si="22"/>
        <v>#VALUE!</v>
      </c>
      <c r="BF254" s="89">
        <v>4.3</v>
      </c>
      <c r="BG254" s="89" t="s">
        <v>94</v>
      </c>
      <c r="BH254" s="88">
        <v>14.1</v>
      </c>
      <c r="BI254" s="88" t="s">
        <v>94</v>
      </c>
      <c r="BJ254" s="89">
        <v>42.8</v>
      </c>
      <c r="BK254" s="89" t="s">
        <v>94</v>
      </c>
      <c r="BL254" s="88">
        <v>97.2</v>
      </c>
      <c r="BM254" s="88" t="s">
        <v>94</v>
      </c>
      <c r="BN254" s="89">
        <v>32</v>
      </c>
      <c r="BO254" s="89" t="s">
        <v>94</v>
      </c>
      <c r="BP254" s="88">
        <v>32.9</v>
      </c>
      <c r="BQ254" s="88" t="s">
        <v>94</v>
      </c>
      <c r="BR254" s="89">
        <v>113</v>
      </c>
      <c r="BS254" s="89" t="s">
        <v>94</v>
      </c>
      <c r="BT254" s="88">
        <v>15.9</v>
      </c>
      <c r="BU254" s="88" t="s">
        <v>94</v>
      </c>
      <c r="BV254" s="89">
        <v>2.23</v>
      </c>
      <c r="BW254" s="89" t="s">
        <v>94</v>
      </c>
      <c r="BX254" s="88">
        <v>4.93</v>
      </c>
      <c r="BY254" s="88" t="s">
        <v>94</v>
      </c>
      <c r="BZ254" s="89">
        <v>46</v>
      </c>
      <c r="CA254" s="89" t="s">
        <v>94</v>
      </c>
      <c r="CB254" s="88">
        <v>31.7</v>
      </c>
      <c r="CC254" s="88" t="s">
        <v>94</v>
      </c>
      <c r="CD254" s="89">
        <v>14.6</v>
      </c>
      <c r="CE254" s="89" t="s">
        <v>94</v>
      </c>
      <c r="CF254" s="88">
        <v>3.1</v>
      </c>
      <c r="CG254" s="88" t="s">
        <v>94</v>
      </c>
      <c r="CH254" s="89">
        <v>4.5999999999999996</v>
      </c>
      <c r="CI254" s="89" t="s">
        <v>94</v>
      </c>
      <c r="CJ254" s="86" t="e">
        <f t="shared" si="23"/>
        <v>#VALUE!</v>
      </c>
      <c r="CK254" s="2" t="b">
        <f t="shared" si="24"/>
        <v>1</v>
      </c>
      <c r="CL254" s="98">
        <f t="shared" si="25"/>
        <v>81.37906000000001</v>
      </c>
      <c r="CM254" s="98">
        <v>88.9</v>
      </c>
      <c r="CN254" s="98">
        <v>184.5</v>
      </c>
      <c r="CO254" s="86">
        <v>49.69</v>
      </c>
      <c r="CP254" s="98">
        <v>54</v>
      </c>
      <c r="CQ254" s="98">
        <v>50</v>
      </c>
      <c r="CR254" s="99">
        <v>8.4600000000000009</v>
      </c>
    </row>
    <row r="255" spans="1:96" ht="15.75" customHeight="1">
      <c r="A255" s="79">
        <v>2019</v>
      </c>
      <c r="B255" s="79" t="s">
        <v>182</v>
      </c>
      <c r="C255" s="168">
        <v>3205</v>
      </c>
      <c r="D255" s="94">
        <v>32</v>
      </c>
      <c r="E255" s="94">
        <v>76</v>
      </c>
      <c r="F255" s="94">
        <v>1</v>
      </c>
      <c r="G255" s="56" t="s">
        <v>86</v>
      </c>
      <c r="H255" s="73" t="s">
        <v>94</v>
      </c>
      <c r="I255" s="74" t="s">
        <v>84</v>
      </c>
      <c r="J255" s="73" t="s">
        <v>88</v>
      </c>
      <c r="K255" s="310" t="s">
        <v>94</v>
      </c>
      <c r="L255" s="309" t="s">
        <v>94</v>
      </c>
      <c r="M255" s="87">
        <v>152</v>
      </c>
      <c r="N255" s="87">
        <v>1589</v>
      </c>
      <c r="O255" s="88">
        <v>21</v>
      </c>
      <c r="P255" s="88">
        <v>76</v>
      </c>
      <c r="Q255" s="89">
        <v>2.4</v>
      </c>
      <c r="R255" s="89">
        <v>1.8</v>
      </c>
      <c r="S255" s="88">
        <v>178</v>
      </c>
      <c r="T255" s="88">
        <v>367</v>
      </c>
      <c r="U255" s="90">
        <v>25</v>
      </c>
      <c r="V255" s="90">
        <v>90</v>
      </c>
      <c r="W255" s="88">
        <v>4.2</v>
      </c>
      <c r="X255" s="88">
        <v>4.5999999999999996</v>
      </c>
      <c r="Y255" s="90">
        <v>28</v>
      </c>
      <c r="Z255" s="90">
        <v>44</v>
      </c>
      <c r="AA255" s="88">
        <v>32</v>
      </c>
      <c r="AB255" s="88">
        <v>26</v>
      </c>
      <c r="AC255" s="89">
        <v>6.7</v>
      </c>
      <c r="AD255" s="89">
        <v>7.2</v>
      </c>
      <c r="AE255" s="166">
        <v>116.4</v>
      </c>
      <c r="AF255" s="166">
        <v>102.6</v>
      </c>
      <c r="AG255" s="89">
        <v>37</v>
      </c>
      <c r="AH255" s="89">
        <v>41</v>
      </c>
      <c r="AI255" s="88">
        <v>0.9</v>
      </c>
      <c r="AJ255" s="88">
        <v>1</v>
      </c>
      <c r="AK255" s="269">
        <f t="shared" si="20"/>
        <v>9.9999999999999978E-2</v>
      </c>
      <c r="AL255" s="89">
        <v>5.6</v>
      </c>
      <c r="AM255" s="89">
        <v>4.7</v>
      </c>
      <c r="AN255" s="88">
        <v>7.1</v>
      </c>
      <c r="AO255" s="88">
        <v>6.8</v>
      </c>
      <c r="AP255" s="88">
        <v>93</v>
      </c>
      <c r="AQ255" s="88">
        <v>71</v>
      </c>
      <c r="AR255" s="89">
        <v>9.5</v>
      </c>
      <c r="AS255" s="89">
        <v>9.5</v>
      </c>
      <c r="AT255" s="89">
        <v>4.5</v>
      </c>
      <c r="AU255" s="89">
        <v>4.2</v>
      </c>
      <c r="AV255" s="351">
        <v>116</v>
      </c>
      <c r="AW255" s="82">
        <v>108</v>
      </c>
      <c r="AX255" s="88">
        <v>141</v>
      </c>
      <c r="AY255" s="88">
        <v>140</v>
      </c>
      <c r="AZ255" s="89">
        <v>2.2999999999999998</v>
      </c>
      <c r="BA255" s="89">
        <v>2.2999999999999998</v>
      </c>
      <c r="BB255" s="88">
        <v>100</v>
      </c>
      <c r="BC255" s="88">
        <v>104</v>
      </c>
      <c r="BD255" s="96">
        <f t="shared" si="21"/>
        <v>298.20777777777778</v>
      </c>
      <c r="BE255" s="96">
        <f t="shared" si="22"/>
        <v>295.94533333333328</v>
      </c>
      <c r="BF255" s="89">
        <v>4.9000000000000004</v>
      </c>
      <c r="BG255" s="89">
        <v>4.4000000000000004</v>
      </c>
      <c r="BH255" s="88">
        <v>15.1</v>
      </c>
      <c r="BI255" s="88">
        <v>13.3</v>
      </c>
      <c r="BJ255" s="89">
        <v>45.4</v>
      </c>
      <c r="BK255" s="89">
        <v>40.9</v>
      </c>
      <c r="BL255" s="88">
        <v>91.9</v>
      </c>
      <c r="BM255" s="88">
        <v>92.7</v>
      </c>
      <c r="BN255" s="89">
        <v>30.5</v>
      </c>
      <c r="BO255" s="89">
        <v>30.1</v>
      </c>
      <c r="BP255" s="88">
        <v>33.200000000000003</v>
      </c>
      <c r="BQ255" s="88">
        <v>32.5</v>
      </c>
      <c r="BR255" s="89">
        <v>244</v>
      </c>
      <c r="BS255" s="89">
        <v>244</v>
      </c>
      <c r="BT255" s="88">
        <v>15.6</v>
      </c>
      <c r="BU255" s="88">
        <v>14.5</v>
      </c>
      <c r="BV255" s="89">
        <v>1.84</v>
      </c>
      <c r="BW255" s="89" t="s">
        <v>94</v>
      </c>
      <c r="BX255" s="88">
        <v>6.25</v>
      </c>
      <c r="BY255" s="88">
        <v>7.84</v>
      </c>
      <c r="BZ255" s="89">
        <v>37.200000000000003</v>
      </c>
      <c r="CA255" s="89">
        <v>41.3</v>
      </c>
      <c r="CB255" s="88">
        <v>41.2</v>
      </c>
      <c r="CC255" s="88">
        <v>40.799999999999997</v>
      </c>
      <c r="CD255" s="89">
        <v>7.8</v>
      </c>
      <c r="CE255" s="89">
        <v>11.9</v>
      </c>
      <c r="CF255" s="88">
        <v>7.8</v>
      </c>
      <c r="CG255" s="88">
        <v>2.9</v>
      </c>
      <c r="CH255" s="89">
        <v>6</v>
      </c>
      <c r="CI255" s="89">
        <v>3.1</v>
      </c>
      <c r="CJ255" s="86" t="b">
        <f t="shared" si="23"/>
        <v>0</v>
      </c>
      <c r="CK255" s="2" t="b">
        <f t="shared" si="24"/>
        <v>1</v>
      </c>
      <c r="CL255" s="98">
        <f t="shared" si="25"/>
        <v>70.381349999999998</v>
      </c>
      <c r="CM255" s="363">
        <v>79.5</v>
      </c>
      <c r="CN255" s="363">
        <v>176.5</v>
      </c>
      <c r="CO255" s="364">
        <v>52.51</v>
      </c>
      <c r="CP255" s="363">
        <v>48</v>
      </c>
      <c r="CQ255" s="363">
        <v>52</v>
      </c>
      <c r="CR255" s="362">
        <v>11.47</v>
      </c>
    </row>
    <row r="256" spans="1:96" ht="15.75" customHeight="1">
      <c r="A256" s="79">
        <v>2019</v>
      </c>
      <c r="B256" s="79" t="s">
        <v>182</v>
      </c>
      <c r="C256" s="168">
        <v>3222</v>
      </c>
      <c r="D256" s="94">
        <v>28</v>
      </c>
      <c r="E256" s="94">
        <v>61</v>
      </c>
      <c r="F256" s="94">
        <v>1</v>
      </c>
      <c r="G256" s="54" t="s">
        <v>86</v>
      </c>
      <c r="H256" s="55" t="s">
        <v>83</v>
      </c>
      <c r="I256" s="56" t="s">
        <v>84</v>
      </c>
      <c r="J256" s="55" t="s">
        <v>85</v>
      </c>
      <c r="K256" s="53">
        <v>50</v>
      </c>
      <c r="L256" s="55">
        <v>50</v>
      </c>
      <c r="M256" s="87">
        <v>887</v>
      </c>
      <c r="N256" s="87">
        <v>457</v>
      </c>
      <c r="O256" s="88">
        <v>31</v>
      </c>
      <c r="P256" s="88">
        <v>25</v>
      </c>
      <c r="Q256" s="89">
        <v>1.8</v>
      </c>
      <c r="R256" s="89">
        <v>1.9</v>
      </c>
      <c r="S256" s="88">
        <v>251</v>
      </c>
      <c r="T256" s="88">
        <v>310</v>
      </c>
      <c r="U256" s="90">
        <v>54</v>
      </c>
      <c r="V256" s="90">
        <v>47</v>
      </c>
      <c r="W256" s="88">
        <v>4.5999999999999996</v>
      </c>
      <c r="X256" s="88">
        <v>5.0999999999999996</v>
      </c>
      <c r="Y256" s="90">
        <v>36</v>
      </c>
      <c r="Z256" s="90">
        <v>41</v>
      </c>
      <c r="AA256" s="88">
        <v>18</v>
      </c>
      <c r="AB256" s="88">
        <v>17</v>
      </c>
      <c r="AC256" s="89">
        <v>5.0999999999999996</v>
      </c>
      <c r="AD256" s="89">
        <v>6.6</v>
      </c>
      <c r="AE256" s="166">
        <v>119.3</v>
      </c>
      <c r="AF256" s="166">
        <v>93.8</v>
      </c>
      <c r="AG256" s="89">
        <v>44</v>
      </c>
      <c r="AH256" s="89">
        <v>44</v>
      </c>
      <c r="AI256" s="88">
        <v>0.9</v>
      </c>
      <c r="AJ256" s="88">
        <v>1.1000000000000001</v>
      </c>
      <c r="AK256" s="269">
        <f t="shared" si="20"/>
        <v>0.20000000000000007</v>
      </c>
      <c r="AL256" s="89">
        <v>4.8</v>
      </c>
      <c r="AM256" s="89">
        <v>4</v>
      </c>
      <c r="AN256" s="88">
        <v>7.8</v>
      </c>
      <c r="AO256" s="88">
        <v>7.9</v>
      </c>
      <c r="AP256" s="88">
        <v>87</v>
      </c>
      <c r="AQ256" s="88">
        <v>132</v>
      </c>
      <c r="AR256" s="89">
        <v>9.6</v>
      </c>
      <c r="AS256" s="89">
        <v>10</v>
      </c>
      <c r="AT256" s="89">
        <v>4.5999999999999996</v>
      </c>
      <c r="AU256" s="89">
        <v>4.2</v>
      </c>
      <c r="AV256" s="351">
        <v>93</v>
      </c>
      <c r="AW256" s="82">
        <v>102</v>
      </c>
      <c r="AX256" s="88">
        <v>142</v>
      </c>
      <c r="AY256" s="88">
        <v>139</v>
      </c>
      <c r="AZ256" s="89">
        <v>2.2000000000000002</v>
      </c>
      <c r="BA256" s="89">
        <v>2.2999999999999998</v>
      </c>
      <c r="BB256" s="88">
        <v>102</v>
      </c>
      <c r="BC256" s="88">
        <v>100</v>
      </c>
      <c r="BD256" s="96">
        <f t="shared" si="21"/>
        <v>299.95099999999996</v>
      </c>
      <c r="BE256" s="96">
        <f t="shared" si="22"/>
        <v>294.20199999999994</v>
      </c>
      <c r="BF256" s="89">
        <v>4.75</v>
      </c>
      <c r="BG256" s="89">
        <v>4.5</v>
      </c>
      <c r="BH256" s="88">
        <v>14.7</v>
      </c>
      <c r="BI256" s="88">
        <v>13.5</v>
      </c>
      <c r="BJ256" s="89">
        <v>43.7</v>
      </c>
      <c r="BK256" s="89">
        <v>40.6</v>
      </c>
      <c r="BL256" s="88">
        <v>89.9</v>
      </c>
      <c r="BM256" s="88">
        <v>89.8</v>
      </c>
      <c r="BN256" s="89">
        <v>30.1</v>
      </c>
      <c r="BO256" s="89">
        <v>29.8</v>
      </c>
      <c r="BP256" s="88">
        <v>33.5</v>
      </c>
      <c r="BQ256" s="88">
        <v>33.200000000000003</v>
      </c>
      <c r="BR256" s="89">
        <v>257</v>
      </c>
      <c r="BS256" s="89">
        <v>243</v>
      </c>
      <c r="BT256" s="88">
        <v>15.1</v>
      </c>
      <c r="BU256" s="88">
        <v>14.4</v>
      </c>
      <c r="BV256" s="89">
        <v>0.95</v>
      </c>
      <c r="BW256" s="89" t="s">
        <v>94</v>
      </c>
      <c r="BX256" s="88">
        <v>2.98</v>
      </c>
      <c r="BY256" s="88">
        <v>4.42</v>
      </c>
      <c r="BZ256" s="89">
        <v>22.8</v>
      </c>
      <c r="CA256" s="89">
        <v>32.9</v>
      </c>
      <c r="CB256" s="88">
        <v>51.2</v>
      </c>
      <c r="CC256" s="88">
        <v>42</v>
      </c>
      <c r="CD256" s="89">
        <v>9.1</v>
      </c>
      <c r="CE256" s="89">
        <v>14.5</v>
      </c>
      <c r="CF256" s="88">
        <v>8</v>
      </c>
      <c r="CG256" s="88">
        <v>4.8</v>
      </c>
      <c r="CH256" s="89">
        <v>8.9</v>
      </c>
      <c r="CI256" s="89">
        <v>5.8</v>
      </c>
      <c r="CJ256" s="86" t="b">
        <f t="shared" si="23"/>
        <v>0</v>
      </c>
      <c r="CK256" s="2" t="b">
        <f t="shared" si="24"/>
        <v>0</v>
      </c>
      <c r="CL256" s="98">
        <f t="shared" si="25"/>
        <v>56.283344999999997</v>
      </c>
      <c r="CM256" s="98">
        <v>62.35</v>
      </c>
      <c r="CN256" s="98">
        <v>169</v>
      </c>
      <c r="CO256" s="86">
        <v>52.58</v>
      </c>
      <c r="CP256" s="98">
        <v>44</v>
      </c>
      <c r="CQ256" s="98">
        <v>38</v>
      </c>
      <c r="CR256" s="99">
        <v>9.73</v>
      </c>
    </row>
    <row r="257" spans="1:96" ht="15.75" customHeight="1">
      <c r="A257" s="79">
        <v>2019</v>
      </c>
      <c r="B257" s="79" t="s">
        <v>182</v>
      </c>
      <c r="C257" s="168">
        <v>3235</v>
      </c>
      <c r="D257" s="94">
        <v>28</v>
      </c>
      <c r="E257" s="94">
        <v>87</v>
      </c>
      <c r="F257" s="94">
        <v>1</v>
      </c>
      <c r="G257" s="81" t="s">
        <v>82</v>
      </c>
      <c r="H257" s="52" t="s">
        <v>92</v>
      </c>
      <c r="I257" s="53" t="s">
        <v>93</v>
      </c>
      <c r="J257" s="55" t="s">
        <v>88</v>
      </c>
      <c r="K257" s="53">
        <v>62.5</v>
      </c>
      <c r="L257" s="52">
        <v>37.5</v>
      </c>
      <c r="M257" s="87">
        <v>105</v>
      </c>
      <c r="N257" s="87">
        <v>2083</v>
      </c>
      <c r="O257" s="88">
        <v>21</v>
      </c>
      <c r="P257" s="88">
        <v>85</v>
      </c>
      <c r="Q257" s="89">
        <v>1.6</v>
      </c>
      <c r="R257" s="89">
        <v>2</v>
      </c>
      <c r="S257" s="88">
        <v>188</v>
      </c>
      <c r="T257" s="88">
        <v>428</v>
      </c>
      <c r="U257" s="90">
        <v>31</v>
      </c>
      <c r="V257" s="90">
        <v>125</v>
      </c>
      <c r="W257" s="88">
        <v>3.9</v>
      </c>
      <c r="X257" s="88">
        <v>4.3</v>
      </c>
      <c r="Y257" s="90">
        <v>29</v>
      </c>
      <c r="Z257" s="90">
        <v>50</v>
      </c>
      <c r="AA257" s="88">
        <v>20</v>
      </c>
      <c r="AB257" s="88">
        <v>17</v>
      </c>
      <c r="AC257" s="89">
        <v>5.9</v>
      </c>
      <c r="AD257" s="89">
        <v>8.8000000000000007</v>
      </c>
      <c r="AE257" s="166">
        <v>105.1</v>
      </c>
      <c r="AF257" s="166">
        <v>84.5</v>
      </c>
      <c r="AG257" s="89">
        <v>44</v>
      </c>
      <c r="AH257" s="89">
        <v>51</v>
      </c>
      <c r="AI257" s="88">
        <v>1</v>
      </c>
      <c r="AJ257" s="88">
        <v>1.2</v>
      </c>
      <c r="AK257" s="269">
        <f t="shared" si="20"/>
        <v>0.19999999999999996</v>
      </c>
      <c r="AL257" s="89">
        <v>5.4</v>
      </c>
      <c r="AM257" s="89">
        <v>4.8</v>
      </c>
      <c r="AN257" s="88">
        <v>7.4</v>
      </c>
      <c r="AO257" s="88">
        <v>7.5</v>
      </c>
      <c r="AP257" s="88">
        <v>74</v>
      </c>
      <c r="AQ257" s="88">
        <v>48</v>
      </c>
      <c r="AR257" s="89">
        <v>9</v>
      </c>
      <c r="AS257" s="89">
        <v>8.5</v>
      </c>
      <c r="AT257" s="89">
        <v>4.4000000000000004</v>
      </c>
      <c r="AU257" s="89">
        <v>4.0999999999999996</v>
      </c>
      <c r="AV257" s="351">
        <v>93</v>
      </c>
      <c r="AW257" s="82">
        <v>118</v>
      </c>
      <c r="AX257" s="88">
        <v>140</v>
      </c>
      <c r="AY257" s="88">
        <v>135</v>
      </c>
      <c r="AZ257" s="89">
        <v>2.1</v>
      </c>
      <c r="BA257" s="89">
        <v>2.2999999999999998</v>
      </c>
      <c r="BB257" s="88">
        <v>99</v>
      </c>
      <c r="BC257" s="88">
        <v>98</v>
      </c>
      <c r="BD257" s="96">
        <f t="shared" si="21"/>
        <v>295.85899999999998</v>
      </c>
      <c r="BE257" s="96">
        <f t="shared" si="22"/>
        <v>288.76488888888889</v>
      </c>
      <c r="BF257" s="89">
        <v>4.97</v>
      </c>
      <c r="BG257" s="89">
        <v>4.8</v>
      </c>
      <c r="BH257" s="88">
        <v>15.1</v>
      </c>
      <c r="BI257" s="88">
        <v>14.3</v>
      </c>
      <c r="BJ257" s="89">
        <v>46</v>
      </c>
      <c r="BK257" s="89">
        <v>44.6</v>
      </c>
      <c r="BL257" s="88">
        <v>92</v>
      </c>
      <c r="BM257" s="88">
        <v>92.8</v>
      </c>
      <c r="BN257" s="89">
        <v>30.1</v>
      </c>
      <c r="BO257" s="89">
        <v>29.7</v>
      </c>
      <c r="BP257" s="88">
        <v>32.799999999999997</v>
      </c>
      <c r="BQ257" s="88">
        <v>32</v>
      </c>
      <c r="BR257" s="89">
        <v>182</v>
      </c>
      <c r="BS257" s="89">
        <v>208</v>
      </c>
      <c r="BT257" s="88">
        <v>15.9</v>
      </c>
      <c r="BU257" s="88">
        <v>15.3</v>
      </c>
      <c r="BV257" s="89">
        <v>1.64</v>
      </c>
      <c r="BW257" s="89" t="s">
        <v>94</v>
      </c>
      <c r="BX257" s="88">
        <v>4.1399999999999997</v>
      </c>
      <c r="BY257" s="88">
        <v>5.69</v>
      </c>
      <c r="BZ257" s="89">
        <v>37.4</v>
      </c>
      <c r="CA257" s="89">
        <v>48.8</v>
      </c>
      <c r="CB257" s="88">
        <v>42.8</v>
      </c>
      <c r="CC257" s="88">
        <v>32.6</v>
      </c>
      <c r="CD257" s="108">
        <v>7.6</v>
      </c>
      <c r="CE257" s="89">
        <v>14.6</v>
      </c>
      <c r="CF257" s="88">
        <v>4.7</v>
      </c>
      <c r="CG257" s="88">
        <v>0.9</v>
      </c>
      <c r="CH257" s="89">
        <v>7.5</v>
      </c>
      <c r="CI257" s="89">
        <v>3.1</v>
      </c>
      <c r="CJ257" s="86" t="b">
        <f t="shared" si="23"/>
        <v>0</v>
      </c>
      <c r="CK257" s="2" t="b">
        <f t="shared" si="24"/>
        <v>1</v>
      </c>
      <c r="CL257" s="98">
        <f t="shared" si="25"/>
        <v>76.552520000000001</v>
      </c>
      <c r="CM257" s="98">
        <v>83.6</v>
      </c>
      <c r="CN257" s="98">
        <v>175</v>
      </c>
      <c r="CO257" s="86">
        <v>50.56</v>
      </c>
      <c r="CP257" s="98">
        <v>54</v>
      </c>
      <c r="CQ257" s="98">
        <v>42</v>
      </c>
      <c r="CR257" s="99">
        <v>8.43</v>
      </c>
    </row>
    <row r="258" spans="1:96" ht="15.75" customHeight="1">
      <c r="A258" s="79">
        <v>2019</v>
      </c>
      <c r="B258" s="79" t="s">
        <v>187</v>
      </c>
      <c r="C258" s="168">
        <v>3197</v>
      </c>
      <c r="D258" s="94">
        <v>27</v>
      </c>
      <c r="E258" s="94">
        <v>78.5</v>
      </c>
      <c r="F258" s="94">
        <v>1</v>
      </c>
      <c r="G258" s="51" t="s">
        <v>86</v>
      </c>
      <c r="H258" s="52" t="s">
        <v>90</v>
      </c>
      <c r="I258" s="53" t="s">
        <v>93</v>
      </c>
      <c r="J258" s="52" t="s">
        <v>85</v>
      </c>
      <c r="K258" s="53">
        <v>50</v>
      </c>
      <c r="L258" s="52">
        <v>50</v>
      </c>
      <c r="M258" s="87">
        <v>321</v>
      </c>
      <c r="N258" s="87">
        <v>4300</v>
      </c>
      <c r="O258" s="88">
        <v>20</v>
      </c>
      <c r="P258" s="88">
        <v>153</v>
      </c>
      <c r="Q258" s="89">
        <v>2.1</v>
      </c>
      <c r="R258" s="89">
        <v>5.3</v>
      </c>
      <c r="S258" s="88">
        <v>191</v>
      </c>
      <c r="T258" s="88">
        <v>642</v>
      </c>
      <c r="U258" s="90">
        <v>36</v>
      </c>
      <c r="V258" s="90">
        <v>116</v>
      </c>
      <c r="W258" s="88">
        <v>4.4000000000000004</v>
      </c>
      <c r="X258" s="88">
        <v>4.7</v>
      </c>
      <c r="Y258" s="90">
        <v>38</v>
      </c>
      <c r="Z258" s="90">
        <v>42</v>
      </c>
      <c r="AA258" s="88">
        <v>17</v>
      </c>
      <c r="AB258" s="88">
        <v>19</v>
      </c>
      <c r="AC258" s="89">
        <v>6.6</v>
      </c>
      <c r="AD258" s="89">
        <v>8.9</v>
      </c>
      <c r="AE258" s="166">
        <v>120</v>
      </c>
      <c r="AF258" s="166">
        <v>94.4</v>
      </c>
      <c r="AG258" s="89">
        <v>30</v>
      </c>
      <c r="AH258" s="89">
        <v>51</v>
      </c>
      <c r="AI258" s="88">
        <v>0.9</v>
      </c>
      <c r="AJ258" s="88">
        <v>1.1000000000000001</v>
      </c>
      <c r="AK258" s="269">
        <f t="shared" ref="AK258:AK321" si="26">IFERROR(IF((AJ258-AI258)&lt;0,0,(AJ258-AI258)),"Dados Insuficientes")</f>
        <v>0.20000000000000007</v>
      </c>
      <c r="AL258" s="89">
        <v>4.5999999999999996</v>
      </c>
      <c r="AM258" s="89">
        <v>5.5</v>
      </c>
      <c r="AN258" s="88">
        <v>7.2</v>
      </c>
      <c r="AO258" s="88">
        <v>7.9</v>
      </c>
      <c r="AP258" s="88">
        <v>52</v>
      </c>
      <c r="AQ258" s="88">
        <v>77</v>
      </c>
      <c r="AR258" s="89">
        <v>9.6</v>
      </c>
      <c r="AS258" s="89">
        <v>9.9</v>
      </c>
      <c r="AT258" s="89">
        <v>4.7</v>
      </c>
      <c r="AU258" s="89">
        <v>4.3</v>
      </c>
      <c r="AV258" s="82">
        <v>85</v>
      </c>
      <c r="AW258" s="82">
        <v>91</v>
      </c>
      <c r="AX258" s="88">
        <v>139</v>
      </c>
      <c r="AY258" s="88">
        <v>137</v>
      </c>
      <c r="AZ258" s="89">
        <v>2</v>
      </c>
      <c r="BA258" s="89">
        <v>2</v>
      </c>
      <c r="BB258" s="88">
        <v>104</v>
      </c>
      <c r="BC258" s="88">
        <v>95</v>
      </c>
      <c r="BD258" s="96">
        <f t="shared" ref="BD258:BD321" si="27">1.86*(AX258+AT258)+1.15*(AV258/18)+(AG258/6)+14</f>
        <v>291.71255555555553</v>
      </c>
      <c r="BE258" s="96">
        <f t="shared" ref="BE258:BE321" si="28">1.86*(AY258+AU258)+1.15*(AW258/18)+(AH258/6)+14</f>
        <v>291.13188888888891</v>
      </c>
      <c r="BF258" s="89">
        <v>4.58</v>
      </c>
      <c r="BG258" s="89">
        <v>4.4800000000000004</v>
      </c>
      <c r="BH258" s="88">
        <v>14.4</v>
      </c>
      <c r="BI258" s="88">
        <v>16.2</v>
      </c>
      <c r="BJ258" s="89">
        <v>44.2</v>
      </c>
      <c r="BK258" s="89">
        <v>48.4</v>
      </c>
      <c r="BL258" s="88">
        <v>96.4</v>
      </c>
      <c r="BM258" s="88">
        <v>95.4</v>
      </c>
      <c r="BN258" s="89">
        <v>31.4</v>
      </c>
      <c r="BO258" s="89">
        <v>32</v>
      </c>
      <c r="BP258" s="95">
        <v>32.6</v>
      </c>
      <c r="BQ258" s="95">
        <v>33.5</v>
      </c>
      <c r="BR258" s="95">
        <v>411</v>
      </c>
      <c r="BS258" s="95">
        <v>228</v>
      </c>
      <c r="BT258" s="95">
        <v>12.6</v>
      </c>
      <c r="BU258" s="95">
        <v>12.2</v>
      </c>
      <c r="BV258" s="142" t="s">
        <v>94</v>
      </c>
      <c r="BW258" s="142">
        <v>1.56</v>
      </c>
      <c r="BX258" s="88">
        <v>8.07</v>
      </c>
      <c r="BY258" s="88">
        <v>5.35</v>
      </c>
      <c r="BZ258" s="89">
        <v>73.2</v>
      </c>
      <c r="CA258" s="89">
        <v>73.5</v>
      </c>
      <c r="CB258" s="88">
        <v>16.3</v>
      </c>
      <c r="CC258" s="88">
        <v>17.399999999999999</v>
      </c>
      <c r="CD258" s="89">
        <v>6.8</v>
      </c>
      <c r="CE258" s="89">
        <v>7.4</v>
      </c>
      <c r="CF258" s="88">
        <v>3.3</v>
      </c>
      <c r="CG258" s="88">
        <v>1.5</v>
      </c>
      <c r="CH258" s="89">
        <v>0.4</v>
      </c>
      <c r="CI258" s="89">
        <v>0.2</v>
      </c>
      <c r="CJ258" s="86" t="b">
        <f t="shared" ref="CJ258:CJ321" si="29">(AJ258-AI258)&gt;=0.3</f>
        <v>0</v>
      </c>
      <c r="CK258" s="2" t="b">
        <f t="shared" ref="CK258:CK321" si="30">OR(N258&gt;=1000,M258&gt;=1000)</f>
        <v>1</v>
      </c>
      <c r="CL258" s="98">
        <f t="shared" si="25"/>
        <v>76.297020000000003</v>
      </c>
      <c r="CM258" s="98">
        <v>85.65</v>
      </c>
      <c r="CN258" s="98">
        <v>177</v>
      </c>
      <c r="CO258" s="86">
        <v>51.46</v>
      </c>
      <c r="CP258" s="98">
        <v>48</v>
      </c>
      <c r="CQ258" s="98">
        <v>52</v>
      </c>
      <c r="CR258" s="99">
        <v>10.92</v>
      </c>
    </row>
    <row r="259" spans="1:96" ht="15.75" customHeight="1">
      <c r="A259" s="79">
        <v>2019</v>
      </c>
      <c r="B259" s="79" t="s">
        <v>187</v>
      </c>
      <c r="C259" s="168">
        <v>3200</v>
      </c>
      <c r="D259" s="94">
        <v>25</v>
      </c>
      <c r="E259" s="94">
        <v>85.1</v>
      </c>
      <c r="F259" s="94">
        <v>1</v>
      </c>
      <c r="G259" s="54" t="s">
        <v>82</v>
      </c>
      <c r="H259" s="55" t="s">
        <v>92</v>
      </c>
      <c r="I259" s="56" t="s">
        <v>84</v>
      </c>
      <c r="J259" s="52" t="s">
        <v>85</v>
      </c>
      <c r="K259" s="56">
        <v>37.5</v>
      </c>
      <c r="L259" s="52">
        <v>62.5</v>
      </c>
      <c r="M259" s="87">
        <v>233</v>
      </c>
      <c r="N259" s="87">
        <v>832</v>
      </c>
      <c r="O259" s="88">
        <v>20</v>
      </c>
      <c r="P259" s="88">
        <v>45</v>
      </c>
      <c r="Q259" s="89">
        <v>1.6</v>
      </c>
      <c r="R259" s="89">
        <v>3</v>
      </c>
      <c r="S259" s="88">
        <v>190</v>
      </c>
      <c r="T259" s="88">
        <v>751</v>
      </c>
      <c r="U259" s="90">
        <v>29</v>
      </c>
      <c r="V259" s="90">
        <v>59</v>
      </c>
      <c r="W259" s="88">
        <v>4.4000000000000004</v>
      </c>
      <c r="X259" s="88">
        <v>5.0999999999999996</v>
      </c>
      <c r="Y259" s="90">
        <v>25</v>
      </c>
      <c r="Z259" s="90">
        <v>28</v>
      </c>
      <c r="AA259" s="88">
        <v>19</v>
      </c>
      <c r="AB259" s="88">
        <v>22</v>
      </c>
      <c r="AC259" s="89">
        <v>5.7</v>
      </c>
      <c r="AD259" s="89">
        <v>7</v>
      </c>
      <c r="AE259" s="166">
        <v>121.6</v>
      </c>
      <c r="AF259" s="166">
        <v>95.5</v>
      </c>
      <c r="AG259" s="89">
        <v>40</v>
      </c>
      <c r="AH259" s="89">
        <v>52</v>
      </c>
      <c r="AI259" s="88">
        <v>0.9</v>
      </c>
      <c r="AJ259" s="88">
        <v>1.1000000000000001</v>
      </c>
      <c r="AK259" s="269">
        <f t="shared" si="26"/>
        <v>0.20000000000000007</v>
      </c>
      <c r="AL259" s="89">
        <v>4.4000000000000004</v>
      </c>
      <c r="AM259" s="89">
        <v>5.5</v>
      </c>
      <c r="AN259" s="88">
        <v>7.2</v>
      </c>
      <c r="AO259" s="88">
        <v>8.6999999999999993</v>
      </c>
      <c r="AP259" s="88">
        <v>107</v>
      </c>
      <c r="AQ259" s="88">
        <v>91</v>
      </c>
      <c r="AR259" s="89">
        <v>9.5</v>
      </c>
      <c r="AS259" s="89">
        <v>10.3</v>
      </c>
      <c r="AT259" s="89">
        <v>4.4000000000000004</v>
      </c>
      <c r="AU259" s="89">
        <v>4.7</v>
      </c>
      <c r="AV259" s="82">
        <v>91</v>
      </c>
      <c r="AW259" s="82">
        <v>94</v>
      </c>
      <c r="AX259" s="88">
        <v>139</v>
      </c>
      <c r="AY259" s="88">
        <v>138</v>
      </c>
      <c r="AZ259" s="89">
        <v>2</v>
      </c>
      <c r="BA259" s="89">
        <v>2.2999999999999998</v>
      </c>
      <c r="BB259" s="88">
        <v>101</v>
      </c>
      <c r="BC259" s="88">
        <v>95</v>
      </c>
      <c r="BD259" s="96">
        <f t="shared" si="27"/>
        <v>293.2045555555556</v>
      </c>
      <c r="BE259" s="96">
        <f t="shared" si="28"/>
        <v>294.09422222222219</v>
      </c>
      <c r="BF259" s="89">
        <v>4.49</v>
      </c>
      <c r="BG259" s="89">
        <v>5.61</v>
      </c>
      <c r="BH259" s="88">
        <v>13.7</v>
      </c>
      <c r="BI259" s="88">
        <v>11.8</v>
      </c>
      <c r="BJ259" s="89">
        <v>42.2</v>
      </c>
      <c r="BK259" s="89">
        <v>36.5</v>
      </c>
      <c r="BL259" s="88">
        <v>93.8</v>
      </c>
      <c r="BM259" s="88">
        <v>93.7</v>
      </c>
      <c r="BN259" s="89">
        <v>30.4</v>
      </c>
      <c r="BO259" s="89">
        <v>30.3</v>
      </c>
      <c r="BP259" s="95">
        <v>32.4</v>
      </c>
      <c r="BQ259" s="95">
        <v>32.4</v>
      </c>
      <c r="BR259" s="95">
        <v>295</v>
      </c>
      <c r="BS259" s="95">
        <v>238</v>
      </c>
      <c r="BT259" s="95">
        <v>14</v>
      </c>
      <c r="BU259" s="95">
        <v>13.1</v>
      </c>
      <c r="BV259" s="142" t="s">
        <v>94</v>
      </c>
      <c r="BW259" s="142">
        <v>1.1000000000000001</v>
      </c>
      <c r="BX259" s="88">
        <v>4.92</v>
      </c>
      <c r="BY259" s="88">
        <v>6.33</v>
      </c>
      <c r="BZ259" s="89">
        <v>55</v>
      </c>
      <c r="CA259" s="89">
        <v>62.9</v>
      </c>
      <c r="CB259" s="88">
        <v>24.4</v>
      </c>
      <c r="CC259" s="88">
        <v>20.399999999999999</v>
      </c>
      <c r="CD259" s="89">
        <v>14.8</v>
      </c>
      <c r="CE259" s="89">
        <v>13.2</v>
      </c>
      <c r="CF259" s="88">
        <v>5.2</v>
      </c>
      <c r="CG259" s="88">
        <v>3.1</v>
      </c>
      <c r="CH259" s="89">
        <v>0.6</v>
      </c>
      <c r="CI259" s="89">
        <v>0.4</v>
      </c>
      <c r="CJ259" s="86" t="b">
        <f t="shared" si="29"/>
        <v>0</v>
      </c>
      <c r="CK259" s="2" t="b">
        <f t="shared" si="30"/>
        <v>0</v>
      </c>
      <c r="CL259" s="98">
        <f t="shared" si="25"/>
        <v>73.936000000000007</v>
      </c>
      <c r="CM259" s="98">
        <v>80</v>
      </c>
      <c r="CN259" s="98">
        <v>177.5</v>
      </c>
      <c r="CO259" s="86">
        <v>0</v>
      </c>
      <c r="CP259" s="98">
        <v>42</v>
      </c>
      <c r="CQ259" s="98">
        <v>42</v>
      </c>
      <c r="CR259" s="99">
        <v>7.58</v>
      </c>
    </row>
    <row r="260" spans="1:96" ht="15.75" customHeight="1">
      <c r="A260" s="79">
        <v>2019</v>
      </c>
      <c r="B260" s="79" t="s">
        <v>187</v>
      </c>
      <c r="C260" s="168">
        <v>3205</v>
      </c>
      <c r="D260" s="94">
        <v>32</v>
      </c>
      <c r="E260" s="94">
        <v>61.5</v>
      </c>
      <c r="F260" s="94">
        <v>1</v>
      </c>
      <c r="G260" s="54" t="s">
        <v>86</v>
      </c>
      <c r="H260" s="55" t="s">
        <v>94</v>
      </c>
      <c r="I260" s="56" t="s">
        <v>84</v>
      </c>
      <c r="J260" s="55" t="s">
        <v>88</v>
      </c>
      <c r="K260" s="56" t="s">
        <v>94</v>
      </c>
      <c r="L260" s="52" t="s">
        <v>94</v>
      </c>
      <c r="M260" s="87">
        <v>229</v>
      </c>
      <c r="N260" s="87">
        <v>988</v>
      </c>
      <c r="O260" s="88">
        <v>18</v>
      </c>
      <c r="P260" s="88">
        <v>57</v>
      </c>
      <c r="Q260" s="89">
        <v>1.4</v>
      </c>
      <c r="R260" s="89">
        <v>4.9000000000000004</v>
      </c>
      <c r="S260" s="88">
        <v>228</v>
      </c>
      <c r="T260" s="88">
        <v>461</v>
      </c>
      <c r="U260" s="90">
        <v>30</v>
      </c>
      <c r="V260" s="90">
        <v>57</v>
      </c>
      <c r="W260" s="88">
        <v>4.4000000000000004</v>
      </c>
      <c r="X260" s="88">
        <v>5.0999999999999996</v>
      </c>
      <c r="Y260" s="90">
        <v>29</v>
      </c>
      <c r="Z260" s="90">
        <v>43</v>
      </c>
      <c r="AA260" s="88">
        <v>25</v>
      </c>
      <c r="AB260" s="88">
        <v>30</v>
      </c>
      <c r="AC260" s="89">
        <v>6.7</v>
      </c>
      <c r="AD260" s="89">
        <v>7.9</v>
      </c>
      <c r="AE260" s="166">
        <v>116.4</v>
      </c>
      <c r="AF260" s="166">
        <v>102.6</v>
      </c>
      <c r="AG260" s="89">
        <v>37</v>
      </c>
      <c r="AH260" s="89">
        <v>46</v>
      </c>
      <c r="AI260" s="88">
        <v>0.9</v>
      </c>
      <c r="AJ260" s="88">
        <v>1</v>
      </c>
      <c r="AK260" s="269">
        <f t="shared" si="26"/>
        <v>9.9999999999999978E-2</v>
      </c>
      <c r="AL260" s="89">
        <v>4.2</v>
      </c>
      <c r="AM260" s="89">
        <v>5</v>
      </c>
      <c r="AN260" s="88">
        <v>6.7</v>
      </c>
      <c r="AO260" s="88">
        <v>8.1999999999999993</v>
      </c>
      <c r="AP260" s="88">
        <v>81</v>
      </c>
      <c r="AQ260" s="88">
        <v>44</v>
      </c>
      <c r="AR260" s="89">
        <v>9.4</v>
      </c>
      <c r="AS260" s="89">
        <v>9.9</v>
      </c>
      <c r="AT260" s="89">
        <v>4.7</v>
      </c>
      <c r="AU260" s="89">
        <v>4.4000000000000004</v>
      </c>
      <c r="AV260" s="82">
        <v>88</v>
      </c>
      <c r="AW260" s="82">
        <v>101</v>
      </c>
      <c r="AX260" s="88">
        <v>140</v>
      </c>
      <c r="AY260" s="88">
        <v>138</v>
      </c>
      <c r="AZ260" s="89">
        <v>2.1</v>
      </c>
      <c r="BA260" s="89">
        <v>2</v>
      </c>
      <c r="BB260" s="88">
        <v>103</v>
      </c>
      <c r="BC260" s="88">
        <v>95</v>
      </c>
      <c r="BD260" s="96">
        <f t="shared" si="27"/>
        <v>294.93088888888889</v>
      </c>
      <c r="BE260" s="96">
        <f t="shared" si="28"/>
        <v>292.9834444444445</v>
      </c>
      <c r="BF260" s="89">
        <v>4.6100000000000003</v>
      </c>
      <c r="BG260" s="89">
        <v>4.7</v>
      </c>
      <c r="BH260" s="88">
        <v>14</v>
      </c>
      <c r="BI260" s="88">
        <v>12.5</v>
      </c>
      <c r="BJ260" s="89">
        <v>42.7</v>
      </c>
      <c r="BK260" s="89">
        <v>37.9</v>
      </c>
      <c r="BL260" s="88">
        <v>92.5</v>
      </c>
      <c r="BM260" s="88">
        <v>92</v>
      </c>
      <c r="BN260" s="89">
        <v>30.3</v>
      </c>
      <c r="BO260" s="89">
        <v>30.3</v>
      </c>
      <c r="BP260" s="95">
        <v>32.700000000000003</v>
      </c>
      <c r="BQ260" s="95">
        <v>32.9</v>
      </c>
      <c r="BR260" s="95">
        <v>264</v>
      </c>
      <c r="BS260" s="95">
        <v>200</v>
      </c>
      <c r="BT260" s="95">
        <v>14.4</v>
      </c>
      <c r="BU260" s="95">
        <v>14.8</v>
      </c>
      <c r="BV260" s="142" t="s">
        <v>94</v>
      </c>
      <c r="BW260" s="142">
        <v>0.96</v>
      </c>
      <c r="BX260" s="88">
        <v>7.05</v>
      </c>
      <c r="BY260" s="88">
        <v>8.75</v>
      </c>
      <c r="BZ260" s="89">
        <v>52.7</v>
      </c>
      <c r="CA260" s="89">
        <v>67</v>
      </c>
      <c r="CB260" s="88">
        <v>34.1</v>
      </c>
      <c r="CC260" s="95">
        <v>19.5</v>
      </c>
      <c r="CD260" s="89">
        <v>7.7</v>
      </c>
      <c r="CE260" s="89">
        <v>10.3</v>
      </c>
      <c r="CF260" s="88">
        <v>3.7</v>
      </c>
      <c r="CG260" s="88">
        <v>3</v>
      </c>
      <c r="CH260" s="89">
        <v>1.8</v>
      </c>
      <c r="CI260" s="89">
        <v>0.6</v>
      </c>
      <c r="CJ260" s="86" t="b">
        <f t="shared" si="29"/>
        <v>0</v>
      </c>
      <c r="CK260" s="2" t="b">
        <f t="shared" si="30"/>
        <v>0</v>
      </c>
      <c r="CL260" s="98">
        <f t="shared" si="25"/>
        <v>70.381349999999998</v>
      </c>
      <c r="CM260" s="98">
        <v>79.5</v>
      </c>
      <c r="CN260" s="98">
        <v>176.5</v>
      </c>
      <c r="CO260" s="86">
        <v>52.51</v>
      </c>
      <c r="CP260" s="98">
        <v>48</v>
      </c>
      <c r="CQ260" s="98">
        <v>52</v>
      </c>
      <c r="CR260" s="99">
        <v>11.47</v>
      </c>
    </row>
    <row r="261" spans="1:96" ht="15.75" customHeight="1">
      <c r="A261" s="79">
        <v>2019</v>
      </c>
      <c r="B261" s="79" t="s">
        <v>187</v>
      </c>
      <c r="C261" s="168">
        <v>3222</v>
      </c>
      <c r="D261" s="94">
        <v>28</v>
      </c>
      <c r="E261" s="94">
        <v>85</v>
      </c>
      <c r="F261" s="94">
        <v>1</v>
      </c>
      <c r="G261" s="54" t="s">
        <v>86</v>
      </c>
      <c r="H261" s="55" t="s">
        <v>83</v>
      </c>
      <c r="I261" s="56" t="s">
        <v>84</v>
      </c>
      <c r="J261" s="55" t="s">
        <v>85</v>
      </c>
      <c r="K261" s="53">
        <v>50</v>
      </c>
      <c r="L261" s="55">
        <v>50</v>
      </c>
      <c r="M261" s="220">
        <v>153</v>
      </c>
      <c r="N261" s="87">
        <v>1536</v>
      </c>
      <c r="O261" s="88">
        <v>19</v>
      </c>
      <c r="P261" s="88">
        <v>76</v>
      </c>
      <c r="Q261" s="89">
        <v>1.6</v>
      </c>
      <c r="R261" s="89">
        <v>4.0999999999999996</v>
      </c>
      <c r="S261" s="88">
        <v>246</v>
      </c>
      <c r="T261" s="88">
        <v>545</v>
      </c>
      <c r="U261" s="90">
        <v>31</v>
      </c>
      <c r="V261" s="90">
        <v>82</v>
      </c>
      <c r="W261" s="88">
        <v>4.5</v>
      </c>
      <c r="X261" s="88">
        <v>5.5</v>
      </c>
      <c r="Y261" s="90">
        <v>28</v>
      </c>
      <c r="Z261" s="90">
        <v>33</v>
      </c>
      <c r="AA261" s="88">
        <v>17</v>
      </c>
      <c r="AB261" s="88">
        <v>18</v>
      </c>
      <c r="AC261" s="89">
        <v>5.2</v>
      </c>
      <c r="AD261" s="89">
        <v>7</v>
      </c>
      <c r="AE261" s="166">
        <v>123.6</v>
      </c>
      <c r="AF261" s="166">
        <v>105.1</v>
      </c>
      <c r="AG261" s="89">
        <v>38</v>
      </c>
      <c r="AH261" s="89">
        <v>59</v>
      </c>
      <c r="AI261" s="88">
        <v>0.8</v>
      </c>
      <c r="AJ261" s="88">
        <v>1</v>
      </c>
      <c r="AK261" s="269">
        <f t="shared" si="26"/>
        <v>0.19999999999999996</v>
      </c>
      <c r="AL261" s="89">
        <v>4</v>
      </c>
      <c r="AM261" s="89">
        <v>5.8</v>
      </c>
      <c r="AN261" s="88">
        <v>7.3</v>
      </c>
      <c r="AO261" s="88">
        <v>8.6999999999999993</v>
      </c>
      <c r="AP261" s="88">
        <v>82</v>
      </c>
      <c r="AQ261" s="88">
        <v>121</v>
      </c>
      <c r="AR261" s="89">
        <v>9.1999999999999993</v>
      </c>
      <c r="AS261" s="89">
        <v>10</v>
      </c>
      <c r="AT261" s="89">
        <v>4.4000000000000004</v>
      </c>
      <c r="AU261" s="89">
        <v>5</v>
      </c>
      <c r="AV261" s="82">
        <v>93</v>
      </c>
      <c r="AW261" s="82">
        <v>107</v>
      </c>
      <c r="AX261" s="88">
        <v>138</v>
      </c>
      <c r="AY261" s="88">
        <v>139</v>
      </c>
      <c r="AZ261" s="89">
        <v>2.1</v>
      </c>
      <c r="BA261" s="89">
        <v>2.2999999999999998</v>
      </c>
      <c r="BB261" s="88">
        <v>101</v>
      </c>
      <c r="BC261" s="88">
        <v>96</v>
      </c>
      <c r="BD261" s="96">
        <f t="shared" si="27"/>
        <v>291.13900000000001</v>
      </c>
      <c r="BE261" s="96">
        <f t="shared" si="28"/>
        <v>298.50944444444445</v>
      </c>
      <c r="BF261" s="89">
        <v>4.6399999999999997</v>
      </c>
      <c r="BG261" s="89">
        <v>3.24</v>
      </c>
      <c r="BH261" s="88">
        <v>13.8</v>
      </c>
      <c r="BI261" s="88">
        <v>12.3</v>
      </c>
      <c r="BJ261" s="89">
        <v>41.7</v>
      </c>
      <c r="BK261" s="89">
        <v>37.299999999999997</v>
      </c>
      <c r="BL261" s="88">
        <v>89.8</v>
      </c>
      <c r="BM261" s="88">
        <v>89.6</v>
      </c>
      <c r="BN261" s="89">
        <v>29.8</v>
      </c>
      <c r="BO261" s="89">
        <v>29.5</v>
      </c>
      <c r="BP261" s="95">
        <v>33.200000000000003</v>
      </c>
      <c r="BQ261" s="95">
        <v>32.9</v>
      </c>
      <c r="BR261" s="95">
        <v>278</v>
      </c>
      <c r="BS261" s="95">
        <v>239</v>
      </c>
      <c r="BT261" s="95">
        <v>15.1</v>
      </c>
      <c r="BU261" s="95">
        <v>14.6</v>
      </c>
      <c r="BV261" s="142" t="s">
        <v>94</v>
      </c>
      <c r="BW261" s="142">
        <v>0.56999999999999995</v>
      </c>
      <c r="BX261" s="88">
        <v>5.63</v>
      </c>
      <c r="BY261" s="88">
        <v>5.0999999999999996</v>
      </c>
      <c r="BZ261" s="89">
        <v>47.6</v>
      </c>
      <c r="CA261" s="89">
        <v>65</v>
      </c>
      <c r="CB261" s="88">
        <v>30.7</v>
      </c>
      <c r="CC261" s="88">
        <v>20.2</v>
      </c>
      <c r="CD261" s="89">
        <v>11.3</v>
      </c>
      <c r="CE261" s="89">
        <v>12.4</v>
      </c>
      <c r="CF261" s="88">
        <v>8.8000000000000007</v>
      </c>
      <c r="CG261" s="88">
        <v>2</v>
      </c>
      <c r="CH261" s="89">
        <v>1.6</v>
      </c>
      <c r="CI261" s="89">
        <v>0.4</v>
      </c>
      <c r="CJ261" s="86" t="b">
        <f t="shared" si="29"/>
        <v>0</v>
      </c>
      <c r="CK261" s="2" t="b">
        <f t="shared" si="30"/>
        <v>1</v>
      </c>
      <c r="CL261" s="98">
        <f t="shared" si="25"/>
        <v>56.283344999999997</v>
      </c>
      <c r="CM261" s="98">
        <v>62.35</v>
      </c>
      <c r="CN261" s="98">
        <v>169</v>
      </c>
      <c r="CO261" s="86">
        <v>52.58</v>
      </c>
      <c r="CP261" s="98">
        <v>44</v>
      </c>
      <c r="CQ261" s="98">
        <v>38</v>
      </c>
      <c r="CR261" s="99">
        <v>9.73</v>
      </c>
    </row>
    <row r="262" spans="1:96" ht="15.75" customHeight="1">
      <c r="A262" s="79">
        <v>2019</v>
      </c>
      <c r="B262" s="79" t="s">
        <v>187</v>
      </c>
      <c r="C262" s="168">
        <v>3235</v>
      </c>
      <c r="D262" s="94">
        <v>28</v>
      </c>
      <c r="E262" s="94">
        <v>81</v>
      </c>
      <c r="F262" s="94">
        <v>1</v>
      </c>
      <c r="G262" s="81" t="s">
        <v>82</v>
      </c>
      <c r="H262" s="52" t="s">
        <v>92</v>
      </c>
      <c r="I262" s="53" t="s">
        <v>93</v>
      </c>
      <c r="J262" s="55" t="s">
        <v>88</v>
      </c>
      <c r="K262" s="53">
        <v>62.5</v>
      </c>
      <c r="L262" s="52">
        <v>37.5</v>
      </c>
      <c r="M262" s="87">
        <v>468</v>
      </c>
      <c r="N262" s="258">
        <v>3200</v>
      </c>
      <c r="O262" s="88">
        <v>38</v>
      </c>
      <c r="P262" s="88">
        <v>135</v>
      </c>
      <c r="Q262" s="89">
        <v>1.2</v>
      </c>
      <c r="R262" s="89">
        <v>5</v>
      </c>
      <c r="S262" s="88">
        <v>265</v>
      </c>
      <c r="T262" s="88">
        <v>881</v>
      </c>
      <c r="U262" s="90">
        <v>62</v>
      </c>
      <c r="V262" s="90">
        <v>156</v>
      </c>
      <c r="W262" s="88">
        <v>4.0999999999999996</v>
      </c>
      <c r="X262" s="88">
        <v>5.2</v>
      </c>
      <c r="Y262" s="90">
        <v>44</v>
      </c>
      <c r="Z262" s="90">
        <v>51</v>
      </c>
      <c r="AA262" s="88">
        <v>18</v>
      </c>
      <c r="AB262" s="88">
        <v>21</v>
      </c>
      <c r="AC262" s="89">
        <v>6.5</v>
      </c>
      <c r="AD262" s="89">
        <v>10</v>
      </c>
      <c r="AE262" s="166">
        <v>105.1</v>
      </c>
      <c r="AF262" s="166">
        <v>76.7</v>
      </c>
      <c r="AG262" s="89">
        <v>43</v>
      </c>
      <c r="AH262" s="89">
        <v>65</v>
      </c>
      <c r="AI262" s="88">
        <v>1</v>
      </c>
      <c r="AJ262" s="88">
        <v>1.3</v>
      </c>
      <c r="AK262" s="269">
        <f t="shared" si="26"/>
        <v>0.30000000000000004</v>
      </c>
      <c r="AL262" s="89">
        <v>4</v>
      </c>
      <c r="AM262" s="89">
        <v>6.1</v>
      </c>
      <c r="AN262" s="88">
        <v>7.4</v>
      </c>
      <c r="AO262" s="88">
        <v>9.4</v>
      </c>
      <c r="AP262" s="88">
        <v>69</v>
      </c>
      <c r="AQ262" s="88">
        <v>130</v>
      </c>
      <c r="AR262" s="89">
        <v>8.6999999999999993</v>
      </c>
      <c r="AS262" s="89">
        <v>9.9</v>
      </c>
      <c r="AT262" s="89">
        <v>4.4000000000000004</v>
      </c>
      <c r="AU262" s="89">
        <v>5.3</v>
      </c>
      <c r="AV262" s="82">
        <v>102</v>
      </c>
      <c r="AW262" s="82">
        <v>102</v>
      </c>
      <c r="AX262" s="88">
        <v>139</v>
      </c>
      <c r="AY262" s="88">
        <v>140</v>
      </c>
      <c r="AZ262" s="89">
        <v>2</v>
      </c>
      <c r="BA262" s="89">
        <v>2.2999999999999998</v>
      </c>
      <c r="BB262" s="88">
        <v>102</v>
      </c>
      <c r="BC262" s="88">
        <v>94</v>
      </c>
      <c r="BD262" s="96">
        <f t="shared" si="27"/>
        <v>294.40733333333338</v>
      </c>
      <c r="BE262" s="96">
        <f t="shared" si="28"/>
        <v>301.608</v>
      </c>
      <c r="BF262" s="89">
        <v>4.8099999999999996</v>
      </c>
      <c r="BG262" s="89">
        <v>5.41</v>
      </c>
      <c r="BH262" s="88">
        <v>14.4</v>
      </c>
      <c r="BI262" s="88">
        <v>13.2</v>
      </c>
      <c r="BJ262" s="89">
        <v>44.5</v>
      </c>
      <c r="BK262" s="89">
        <v>41.2</v>
      </c>
      <c r="BL262" s="88">
        <v>92.5</v>
      </c>
      <c r="BM262" s="88">
        <v>92.8</v>
      </c>
      <c r="BN262" s="89">
        <v>29.9</v>
      </c>
      <c r="BO262" s="89">
        <v>29.7</v>
      </c>
      <c r="BP262" s="95">
        <v>32.4</v>
      </c>
      <c r="BQ262" s="95">
        <v>32</v>
      </c>
      <c r="BR262" s="95">
        <v>231</v>
      </c>
      <c r="BS262" s="95">
        <v>220</v>
      </c>
      <c r="BT262" s="95">
        <v>15.5</v>
      </c>
      <c r="BU262" s="95">
        <v>14</v>
      </c>
      <c r="BV262" s="142" t="s">
        <v>94</v>
      </c>
      <c r="BW262" s="142">
        <v>1.67</v>
      </c>
      <c r="BX262" s="88">
        <v>7.97</v>
      </c>
      <c r="BY262" s="88">
        <v>5.01</v>
      </c>
      <c r="BZ262" s="89">
        <v>70.8</v>
      </c>
      <c r="CA262" s="89">
        <v>54.3</v>
      </c>
      <c r="CB262" s="88">
        <v>17.8</v>
      </c>
      <c r="CC262" s="88">
        <v>33.4</v>
      </c>
      <c r="CD262" s="89">
        <v>7.4</v>
      </c>
      <c r="CE262" s="89">
        <v>8.9</v>
      </c>
      <c r="CF262" s="88">
        <v>3.1</v>
      </c>
      <c r="CG262" s="88">
        <v>2.2999999999999998</v>
      </c>
      <c r="CH262" s="89">
        <v>0.9</v>
      </c>
      <c r="CI262" s="89">
        <v>1.1000000000000001</v>
      </c>
      <c r="CJ262" s="86" t="b">
        <f t="shared" si="29"/>
        <v>1</v>
      </c>
      <c r="CK262" s="2" t="b">
        <f t="shared" si="30"/>
        <v>1</v>
      </c>
      <c r="CL262" s="98">
        <f t="shared" si="25"/>
        <v>76.552520000000001</v>
      </c>
      <c r="CM262" s="98">
        <v>83.6</v>
      </c>
      <c r="CN262" s="98">
        <v>175</v>
      </c>
      <c r="CO262" s="86">
        <v>50.56</v>
      </c>
      <c r="CP262" s="98">
        <v>54</v>
      </c>
      <c r="CQ262" s="98">
        <v>42</v>
      </c>
      <c r="CR262" s="99">
        <v>8.43</v>
      </c>
    </row>
    <row r="263" spans="1:96" ht="15.75" customHeight="1">
      <c r="A263" s="150">
        <v>2022</v>
      </c>
      <c r="B263" s="150" t="s">
        <v>204</v>
      </c>
      <c r="C263" s="151">
        <v>3236</v>
      </c>
      <c r="D263" s="61">
        <v>27</v>
      </c>
      <c r="E263" s="61">
        <v>72</v>
      </c>
      <c r="F263" s="61">
        <v>1</v>
      </c>
      <c r="G263" s="51" t="s">
        <v>89</v>
      </c>
      <c r="H263" s="52" t="s">
        <v>83</v>
      </c>
      <c r="I263" s="53" t="s">
        <v>84</v>
      </c>
      <c r="J263" s="52" t="s">
        <v>97</v>
      </c>
      <c r="K263" s="53">
        <v>62.5</v>
      </c>
      <c r="L263" s="52">
        <v>37.5</v>
      </c>
      <c r="M263" s="247">
        <v>276</v>
      </c>
      <c r="N263" s="247">
        <v>1150</v>
      </c>
      <c r="O263" s="80" t="s">
        <v>94</v>
      </c>
      <c r="P263" s="80" t="s">
        <v>94</v>
      </c>
      <c r="Q263" s="149">
        <v>2.2999999999999998</v>
      </c>
      <c r="R263" s="149">
        <v>2</v>
      </c>
      <c r="S263" s="248">
        <v>297</v>
      </c>
      <c r="T263" s="248">
        <v>403</v>
      </c>
      <c r="U263" s="90">
        <v>51</v>
      </c>
      <c r="V263" s="249">
        <v>83</v>
      </c>
      <c r="W263" s="80" t="s">
        <v>94</v>
      </c>
      <c r="X263" s="80" t="s">
        <v>94</v>
      </c>
      <c r="Y263" s="143" t="s">
        <v>94</v>
      </c>
      <c r="Z263" s="143" t="s">
        <v>94</v>
      </c>
      <c r="AA263" s="80" t="s">
        <v>94</v>
      </c>
      <c r="AB263" s="80" t="s">
        <v>94</v>
      </c>
      <c r="AC263" s="89">
        <v>3.1</v>
      </c>
      <c r="AD263" s="149">
        <v>4.4000000000000004</v>
      </c>
      <c r="AE263" s="320">
        <v>124.4</v>
      </c>
      <c r="AF263" s="320">
        <v>124.4</v>
      </c>
      <c r="AG263" s="113">
        <v>36</v>
      </c>
      <c r="AH263" s="113">
        <v>45</v>
      </c>
      <c r="AI263" s="144">
        <v>0.8</v>
      </c>
      <c r="AJ263" s="144">
        <v>0.8</v>
      </c>
      <c r="AK263" s="269">
        <f t="shared" si="26"/>
        <v>0</v>
      </c>
      <c r="AL263" s="149">
        <v>4</v>
      </c>
      <c r="AM263" s="149">
        <v>4</v>
      </c>
      <c r="AN263" s="144">
        <v>6.8</v>
      </c>
      <c r="AO263" s="144">
        <v>6.8</v>
      </c>
      <c r="AP263" s="248">
        <v>36</v>
      </c>
      <c r="AQ263" s="248">
        <v>80</v>
      </c>
      <c r="AR263" s="89">
        <v>9.6</v>
      </c>
      <c r="AS263" s="149">
        <v>9.1999999999999993</v>
      </c>
      <c r="AT263" s="149">
        <v>4.5</v>
      </c>
      <c r="AU263" s="149">
        <v>4.3</v>
      </c>
      <c r="AV263" s="248">
        <v>97</v>
      </c>
      <c r="AW263" s="248">
        <v>81</v>
      </c>
      <c r="AX263" s="106">
        <v>144</v>
      </c>
      <c r="AY263" s="106">
        <v>140</v>
      </c>
      <c r="AZ263" s="149">
        <v>1.9</v>
      </c>
      <c r="BA263" s="149">
        <v>2.2000000000000002</v>
      </c>
      <c r="BB263" s="248">
        <v>110</v>
      </c>
      <c r="BC263" s="248">
        <v>102</v>
      </c>
      <c r="BD263" s="96">
        <f t="shared" si="27"/>
        <v>302.40722222222223</v>
      </c>
      <c r="BE263" s="96">
        <f t="shared" si="28"/>
        <v>295.07300000000004</v>
      </c>
      <c r="BF263" s="89">
        <v>5.34</v>
      </c>
      <c r="BG263" s="142">
        <v>5.43</v>
      </c>
      <c r="BH263" s="88">
        <v>14</v>
      </c>
      <c r="BI263" s="80">
        <v>13.9</v>
      </c>
      <c r="BJ263" s="89">
        <v>42.7</v>
      </c>
      <c r="BK263" s="142">
        <v>42.4</v>
      </c>
      <c r="BL263" s="88">
        <v>79</v>
      </c>
      <c r="BM263" s="80">
        <v>78.5</v>
      </c>
      <c r="BN263" s="89">
        <v>25.8</v>
      </c>
      <c r="BO263" s="142">
        <v>25.7</v>
      </c>
      <c r="BP263" s="88">
        <v>32.700000000000003</v>
      </c>
      <c r="BQ263" s="80">
        <v>32.799999999999997</v>
      </c>
      <c r="BR263" s="89">
        <v>352</v>
      </c>
      <c r="BS263" s="142">
        <v>374</v>
      </c>
      <c r="BT263" s="88">
        <v>12.6</v>
      </c>
      <c r="BU263" s="80">
        <v>13.1</v>
      </c>
      <c r="BV263" s="142">
        <v>0.66</v>
      </c>
      <c r="BW263" s="142">
        <v>0.78</v>
      </c>
      <c r="BX263" s="63">
        <v>8.44</v>
      </c>
      <c r="BY263" s="61">
        <v>14.07</v>
      </c>
      <c r="BZ263" s="89">
        <v>56.7</v>
      </c>
      <c r="CA263" s="142">
        <v>75.5</v>
      </c>
      <c r="CB263" s="63">
        <v>27.8</v>
      </c>
      <c r="CC263" s="61">
        <v>13.8</v>
      </c>
      <c r="CD263" s="89">
        <v>12.2</v>
      </c>
      <c r="CE263" s="142">
        <v>8.9</v>
      </c>
      <c r="CF263" s="63">
        <v>2.4</v>
      </c>
      <c r="CG263" s="61">
        <v>1.3</v>
      </c>
      <c r="CH263" s="89">
        <v>0.9</v>
      </c>
      <c r="CI263" s="142">
        <v>0.5</v>
      </c>
      <c r="CJ263" s="86" t="b">
        <f t="shared" si="29"/>
        <v>0</v>
      </c>
      <c r="CK263" s="2" t="b">
        <f t="shared" si="30"/>
        <v>1</v>
      </c>
      <c r="CL263" s="98">
        <f t="shared" si="25"/>
        <v>69.121659999999991</v>
      </c>
      <c r="CM263" s="96">
        <v>77.3</v>
      </c>
      <c r="CN263" s="98">
        <v>170.3</v>
      </c>
      <c r="CO263" s="86">
        <v>49.62</v>
      </c>
      <c r="CP263" s="98">
        <v>50</v>
      </c>
      <c r="CQ263" s="98">
        <v>52</v>
      </c>
      <c r="CR263" s="99">
        <v>10.58</v>
      </c>
    </row>
    <row r="264" spans="1:96" ht="15.75" customHeight="1">
      <c r="A264" s="150">
        <v>2022</v>
      </c>
      <c r="B264" s="150" t="s">
        <v>204</v>
      </c>
      <c r="C264" s="151">
        <v>3237</v>
      </c>
      <c r="D264" s="61">
        <v>24</v>
      </c>
      <c r="E264" s="61">
        <v>77</v>
      </c>
      <c r="F264" s="61">
        <v>1</v>
      </c>
      <c r="G264" s="51" t="s">
        <v>89</v>
      </c>
      <c r="H264" s="52" t="s">
        <v>90</v>
      </c>
      <c r="I264" s="53" t="s">
        <v>87</v>
      </c>
      <c r="J264" s="52" t="s">
        <v>98</v>
      </c>
      <c r="K264" s="53">
        <v>12.5</v>
      </c>
      <c r="L264" s="52">
        <v>87.5</v>
      </c>
      <c r="M264" s="247">
        <v>1349</v>
      </c>
      <c r="N264" s="247">
        <v>998</v>
      </c>
      <c r="O264" s="80" t="s">
        <v>94</v>
      </c>
      <c r="P264" s="80" t="s">
        <v>94</v>
      </c>
      <c r="Q264" s="149">
        <v>2.8</v>
      </c>
      <c r="R264" s="149">
        <v>1.8</v>
      </c>
      <c r="S264" s="248">
        <v>283</v>
      </c>
      <c r="T264" s="248">
        <v>316</v>
      </c>
      <c r="U264" s="90">
        <v>55</v>
      </c>
      <c r="V264" s="249">
        <v>66</v>
      </c>
      <c r="W264" s="80" t="s">
        <v>94</v>
      </c>
      <c r="X264" s="80" t="s">
        <v>94</v>
      </c>
      <c r="Y264" s="143" t="s">
        <v>94</v>
      </c>
      <c r="Z264" s="143" t="s">
        <v>94</v>
      </c>
      <c r="AA264" s="80" t="s">
        <v>94</v>
      </c>
      <c r="AB264" s="80" t="s">
        <v>94</v>
      </c>
      <c r="AC264" s="89">
        <v>3.9</v>
      </c>
      <c r="AD264" s="149">
        <v>4.8</v>
      </c>
      <c r="AE264" s="320">
        <v>122.3</v>
      </c>
      <c r="AF264" s="320">
        <v>122.3</v>
      </c>
      <c r="AG264" s="113">
        <v>43</v>
      </c>
      <c r="AH264" s="113">
        <v>42</v>
      </c>
      <c r="AI264" s="144">
        <v>0.9</v>
      </c>
      <c r="AJ264" s="144">
        <v>0.9</v>
      </c>
      <c r="AK264" s="269">
        <f t="shared" si="26"/>
        <v>0</v>
      </c>
      <c r="AL264" s="149">
        <v>4</v>
      </c>
      <c r="AM264" s="149">
        <v>3.6</v>
      </c>
      <c r="AN264" s="144">
        <v>6.4</v>
      </c>
      <c r="AO264" s="144">
        <v>6.8</v>
      </c>
      <c r="AP264" s="248">
        <v>56</v>
      </c>
      <c r="AQ264" s="248">
        <v>53</v>
      </c>
      <c r="AR264" s="89">
        <v>9.1999999999999993</v>
      </c>
      <c r="AS264" s="149">
        <v>8.8000000000000007</v>
      </c>
      <c r="AT264" s="149">
        <v>4.5</v>
      </c>
      <c r="AU264" s="149">
        <v>3.9</v>
      </c>
      <c r="AV264" s="248">
        <v>99</v>
      </c>
      <c r="AW264" s="248">
        <v>92</v>
      </c>
      <c r="AX264" s="106">
        <v>143</v>
      </c>
      <c r="AY264" s="106">
        <v>141</v>
      </c>
      <c r="AZ264" s="149">
        <v>2</v>
      </c>
      <c r="BA264" s="149">
        <v>2.5</v>
      </c>
      <c r="BB264" s="248">
        <v>105</v>
      </c>
      <c r="BC264" s="248">
        <v>103</v>
      </c>
      <c r="BD264" s="96">
        <f t="shared" si="27"/>
        <v>301.8416666666667</v>
      </c>
      <c r="BE264" s="96">
        <f t="shared" si="28"/>
        <v>296.3917777777778</v>
      </c>
      <c r="BF264" s="89">
        <v>4.3099999999999996</v>
      </c>
      <c r="BG264" s="142">
        <v>4.47</v>
      </c>
      <c r="BH264" s="88">
        <v>13.4</v>
      </c>
      <c r="BI264" s="80">
        <v>14.1</v>
      </c>
      <c r="BJ264" s="89">
        <v>41.4</v>
      </c>
      <c r="BK264" s="142">
        <v>42.5</v>
      </c>
      <c r="BL264" s="88">
        <v>95.7</v>
      </c>
      <c r="BM264" s="80">
        <v>95.6</v>
      </c>
      <c r="BN264" s="89">
        <v>30.9</v>
      </c>
      <c r="BO264" s="142">
        <v>31.7</v>
      </c>
      <c r="BP264" s="88">
        <v>32.200000000000003</v>
      </c>
      <c r="BQ264" s="80">
        <v>33.200000000000003</v>
      </c>
      <c r="BR264" s="108">
        <v>279</v>
      </c>
      <c r="BS264" s="142">
        <v>316</v>
      </c>
      <c r="BT264" s="88">
        <v>12.7</v>
      </c>
      <c r="BU264" s="80">
        <v>13</v>
      </c>
      <c r="BV264" s="142">
        <v>1.02</v>
      </c>
      <c r="BW264" s="142">
        <v>1.06</v>
      </c>
      <c r="BX264" s="63">
        <v>5.41</v>
      </c>
      <c r="BY264" s="61">
        <v>8.36</v>
      </c>
      <c r="BZ264" s="89">
        <v>51.9</v>
      </c>
      <c r="CA264" s="142">
        <v>73.5</v>
      </c>
      <c r="CB264" s="63">
        <v>31.5</v>
      </c>
      <c r="CC264" s="61">
        <v>16.399999999999999</v>
      </c>
      <c r="CD264" s="89">
        <v>11.6</v>
      </c>
      <c r="CE264" s="142">
        <v>8.3000000000000007</v>
      </c>
      <c r="CF264" s="63">
        <v>4.4000000000000004</v>
      </c>
      <c r="CG264" s="61">
        <v>1.1000000000000001</v>
      </c>
      <c r="CH264" s="89">
        <v>0.6</v>
      </c>
      <c r="CI264" s="142">
        <v>0.7</v>
      </c>
      <c r="CJ264" s="86" t="b">
        <f t="shared" si="29"/>
        <v>0</v>
      </c>
      <c r="CK264" s="2" t="b">
        <f t="shared" si="30"/>
        <v>1</v>
      </c>
      <c r="CL264" s="98">
        <f t="shared" si="25"/>
        <v>70.724639999999994</v>
      </c>
      <c r="CM264" s="96">
        <v>77.599999999999994</v>
      </c>
      <c r="CN264" s="98">
        <v>178</v>
      </c>
      <c r="CO264" s="86">
        <v>53.68</v>
      </c>
      <c r="CP264" s="98">
        <v>51</v>
      </c>
      <c r="CQ264" s="98">
        <v>51</v>
      </c>
      <c r="CR264" s="99">
        <v>8.86</v>
      </c>
    </row>
    <row r="265" spans="1:96" ht="15.75" customHeight="1">
      <c r="A265" s="150">
        <v>2022</v>
      </c>
      <c r="B265" s="150" t="s">
        <v>204</v>
      </c>
      <c r="C265" s="151">
        <v>3238</v>
      </c>
      <c r="D265" s="61">
        <v>24</v>
      </c>
      <c r="E265" s="61">
        <v>72</v>
      </c>
      <c r="F265" s="61">
        <v>1</v>
      </c>
      <c r="G265" s="51" t="s">
        <v>82</v>
      </c>
      <c r="H265" s="52" t="s">
        <v>92</v>
      </c>
      <c r="I265" s="53" t="s">
        <v>87</v>
      </c>
      <c r="J265" s="52" t="s">
        <v>98</v>
      </c>
      <c r="K265" s="53">
        <v>25</v>
      </c>
      <c r="L265" s="52">
        <v>75</v>
      </c>
      <c r="M265" s="247">
        <v>484</v>
      </c>
      <c r="N265" s="247">
        <v>464</v>
      </c>
      <c r="O265" s="80" t="s">
        <v>94</v>
      </c>
      <c r="P265" s="80" t="s">
        <v>94</v>
      </c>
      <c r="Q265" s="149">
        <v>2.2999999999999998</v>
      </c>
      <c r="R265" s="149">
        <v>1.6</v>
      </c>
      <c r="S265" s="248">
        <v>261</v>
      </c>
      <c r="T265" s="248">
        <v>302</v>
      </c>
      <c r="U265" s="90">
        <v>40</v>
      </c>
      <c r="V265" s="249">
        <v>62</v>
      </c>
      <c r="W265" s="80" t="s">
        <v>94</v>
      </c>
      <c r="X265" s="80" t="s">
        <v>94</v>
      </c>
      <c r="Y265" s="143" t="s">
        <v>94</v>
      </c>
      <c r="Z265" s="143" t="s">
        <v>94</v>
      </c>
      <c r="AA265" s="80" t="s">
        <v>94</v>
      </c>
      <c r="AB265" s="80" t="s">
        <v>94</v>
      </c>
      <c r="AC265" s="89">
        <v>3.6</v>
      </c>
      <c r="AD265" s="149">
        <v>4.3</v>
      </c>
      <c r="AE265" s="320">
        <v>96.1</v>
      </c>
      <c r="AF265" s="320">
        <v>115.1</v>
      </c>
      <c r="AG265" s="113">
        <v>34</v>
      </c>
      <c r="AH265" s="113">
        <v>32</v>
      </c>
      <c r="AI265" s="144">
        <v>1.1000000000000001</v>
      </c>
      <c r="AJ265" s="144">
        <v>0.9</v>
      </c>
      <c r="AK265" s="269">
        <f t="shared" si="26"/>
        <v>0</v>
      </c>
      <c r="AL265" s="149">
        <v>4.3</v>
      </c>
      <c r="AM265" s="149">
        <v>4.3</v>
      </c>
      <c r="AN265" s="144">
        <v>7.3</v>
      </c>
      <c r="AO265" s="144">
        <v>6.9</v>
      </c>
      <c r="AP265" s="248">
        <v>37</v>
      </c>
      <c r="AQ265" s="248">
        <v>33</v>
      </c>
      <c r="AR265" s="89">
        <v>9.9</v>
      </c>
      <c r="AS265" s="149">
        <v>8.8000000000000007</v>
      </c>
      <c r="AT265" s="149">
        <v>4.4000000000000004</v>
      </c>
      <c r="AU265" s="149">
        <v>4</v>
      </c>
      <c r="AV265" s="248">
        <v>100</v>
      </c>
      <c r="AW265" s="248">
        <v>75</v>
      </c>
      <c r="AX265" s="106">
        <v>141</v>
      </c>
      <c r="AY265" s="262">
        <v>139</v>
      </c>
      <c r="AZ265" s="149">
        <v>1.9</v>
      </c>
      <c r="BA265" s="149">
        <v>2.2000000000000002</v>
      </c>
      <c r="BB265" s="248">
        <v>101</v>
      </c>
      <c r="BC265" s="248">
        <v>101</v>
      </c>
      <c r="BD265" s="96">
        <f t="shared" si="27"/>
        <v>296.49955555555562</v>
      </c>
      <c r="BE265" s="96">
        <f t="shared" si="28"/>
        <v>290.10500000000002</v>
      </c>
      <c r="BF265" s="89">
        <v>5.22</v>
      </c>
      <c r="BG265" s="142">
        <v>5.22</v>
      </c>
      <c r="BH265" s="88">
        <v>14.5</v>
      </c>
      <c r="BI265" s="80">
        <v>14.4</v>
      </c>
      <c r="BJ265" s="89">
        <v>44.1</v>
      </c>
      <c r="BK265" s="142">
        <v>43.1</v>
      </c>
      <c r="BL265" s="88">
        <v>83.7</v>
      </c>
      <c r="BM265" s="80">
        <v>82.3</v>
      </c>
      <c r="BN265" s="89">
        <v>27.5</v>
      </c>
      <c r="BO265" s="142">
        <v>27.4</v>
      </c>
      <c r="BP265" s="88">
        <v>32.799999999999997</v>
      </c>
      <c r="BQ265" s="80">
        <v>33.4</v>
      </c>
      <c r="BR265" s="89">
        <v>319</v>
      </c>
      <c r="BS265" s="142">
        <v>296</v>
      </c>
      <c r="BT265" s="88">
        <v>13.5</v>
      </c>
      <c r="BU265" s="80">
        <v>12.9</v>
      </c>
      <c r="BV265" s="142">
        <v>1.1200000000000001</v>
      </c>
      <c r="BW265" s="142">
        <v>0.53</v>
      </c>
      <c r="BX265" s="63">
        <v>11.77</v>
      </c>
      <c r="BY265" s="61">
        <v>8.2100000000000009</v>
      </c>
      <c r="BZ265" s="89">
        <v>70.900000000000006</v>
      </c>
      <c r="CA265" s="142">
        <v>75</v>
      </c>
      <c r="CB265" s="63">
        <v>17.399999999999999</v>
      </c>
      <c r="CC265" s="61">
        <v>13</v>
      </c>
      <c r="CD265" s="89">
        <v>9.1</v>
      </c>
      <c r="CE265" s="142">
        <v>11.3</v>
      </c>
      <c r="CF265" s="63">
        <v>2.2000000000000002</v>
      </c>
      <c r="CG265" s="61">
        <v>0.3</v>
      </c>
      <c r="CH265" s="89">
        <v>0.4</v>
      </c>
      <c r="CI265" s="142">
        <v>0.4</v>
      </c>
      <c r="CJ265" s="86" t="b">
        <f t="shared" si="29"/>
        <v>0</v>
      </c>
      <c r="CK265" s="2" t="b">
        <f t="shared" si="30"/>
        <v>0</v>
      </c>
      <c r="CL265" s="98">
        <f t="shared" si="25"/>
        <v>66.241470000000007</v>
      </c>
      <c r="CM265" s="96">
        <v>71.900000000000006</v>
      </c>
      <c r="CN265" s="98">
        <v>173.5</v>
      </c>
      <c r="CO265" s="86">
        <v>55.35</v>
      </c>
      <c r="CP265" s="98">
        <v>54</v>
      </c>
      <c r="CQ265" s="98">
        <v>56</v>
      </c>
      <c r="CR265" s="99">
        <v>7.87</v>
      </c>
    </row>
    <row r="266" spans="1:96" ht="15.75" customHeight="1">
      <c r="A266" s="150">
        <v>2022</v>
      </c>
      <c r="B266" s="150" t="s">
        <v>204</v>
      </c>
      <c r="C266" s="151">
        <v>3239</v>
      </c>
      <c r="D266" s="61">
        <v>24</v>
      </c>
      <c r="E266" s="61">
        <v>79.5</v>
      </c>
      <c r="F266" s="61">
        <v>1</v>
      </c>
      <c r="G266" s="51" t="s">
        <v>89</v>
      </c>
      <c r="H266" s="52" t="s">
        <v>92</v>
      </c>
      <c r="I266" s="53" t="s">
        <v>93</v>
      </c>
      <c r="J266" s="52" t="s">
        <v>99</v>
      </c>
      <c r="K266" s="53">
        <v>75</v>
      </c>
      <c r="L266" s="52">
        <v>25</v>
      </c>
      <c r="M266" s="247">
        <v>1351</v>
      </c>
      <c r="N266" s="247">
        <v>1598</v>
      </c>
      <c r="O266" s="80" t="s">
        <v>94</v>
      </c>
      <c r="P266" s="80" t="s">
        <v>94</v>
      </c>
      <c r="Q266" s="149">
        <v>2.9</v>
      </c>
      <c r="R266" s="149">
        <v>3.6</v>
      </c>
      <c r="S266" s="248">
        <v>265</v>
      </c>
      <c r="T266" s="248">
        <v>351</v>
      </c>
      <c r="U266" s="90">
        <v>79</v>
      </c>
      <c r="V266" s="249">
        <v>153</v>
      </c>
      <c r="W266" s="80" t="s">
        <v>94</v>
      </c>
      <c r="X266" s="80" t="s">
        <v>94</v>
      </c>
      <c r="Y266" s="143" t="s">
        <v>94</v>
      </c>
      <c r="Z266" s="143" t="s">
        <v>94</v>
      </c>
      <c r="AA266" s="80" t="s">
        <v>94</v>
      </c>
      <c r="AB266" s="80" t="s">
        <v>94</v>
      </c>
      <c r="AC266" s="89">
        <v>4.5999999999999996</v>
      </c>
      <c r="AD266" s="149">
        <v>4.5999999999999996</v>
      </c>
      <c r="AE266" s="320">
        <v>122.3</v>
      </c>
      <c r="AF266" s="320">
        <v>122.3</v>
      </c>
      <c r="AG266" s="113">
        <v>32</v>
      </c>
      <c r="AH266" s="113">
        <v>57</v>
      </c>
      <c r="AI266" s="144">
        <v>0.9</v>
      </c>
      <c r="AJ266" s="144">
        <v>0.8</v>
      </c>
      <c r="AK266" s="269">
        <f t="shared" si="26"/>
        <v>0</v>
      </c>
      <c r="AL266" s="149">
        <v>4.5</v>
      </c>
      <c r="AM266" s="149">
        <v>4</v>
      </c>
      <c r="AN266" s="144">
        <v>7.3</v>
      </c>
      <c r="AO266" s="144">
        <v>8</v>
      </c>
      <c r="AP266" s="248">
        <v>42</v>
      </c>
      <c r="AQ266" s="248">
        <v>99</v>
      </c>
      <c r="AR266" s="89">
        <v>9.6</v>
      </c>
      <c r="AS266" s="149">
        <v>9.8000000000000007</v>
      </c>
      <c r="AT266" s="149">
        <v>4.7</v>
      </c>
      <c r="AU266" s="149">
        <v>4.9000000000000004</v>
      </c>
      <c r="AV266" s="248">
        <v>105</v>
      </c>
      <c r="AW266" s="248">
        <v>95</v>
      </c>
      <c r="AX266" s="106">
        <v>144</v>
      </c>
      <c r="AY266" s="262">
        <v>141</v>
      </c>
      <c r="AZ266" s="149">
        <v>1.6</v>
      </c>
      <c r="BA266" s="149">
        <v>2</v>
      </c>
      <c r="BB266" s="248">
        <v>104</v>
      </c>
      <c r="BC266" s="248">
        <v>97</v>
      </c>
      <c r="BD266" s="96">
        <f t="shared" si="27"/>
        <v>302.62366666666662</v>
      </c>
      <c r="BE266" s="96">
        <f t="shared" si="28"/>
        <v>300.94344444444448</v>
      </c>
      <c r="BF266" s="89">
        <v>4.25</v>
      </c>
      <c r="BG266" s="142">
        <v>4.54</v>
      </c>
      <c r="BH266" s="88">
        <v>12.1</v>
      </c>
      <c r="BI266" s="80">
        <v>13.1</v>
      </c>
      <c r="BJ266" s="89">
        <v>37.200000000000003</v>
      </c>
      <c r="BK266" s="142">
        <v>39.799999999999997</v>
      </c>
      <c r="BL266" s="88">
        <v>87.9</v>
      </c>
      <c r="BM266" s="80">
        <v>87.6</v>
      </c>
      <c r="BN266" s="89">
        <v>28.6</v>
      </c>
      <c r="BO266" s="142">
        <v>28.9</v>
      </c>
      <c r="BP266" s="88">
        <v>32.6</v>
      </c>
      <c r="BQ266" s="80">
        <v>33</v>
      </c>
      <c r="BR266" s="89">
        <v>305</v>
      </c>
      <c r="BS266" s="142">
        <v>352</v>
      </c>
      <c r="BT266" s="63">
        <v>12.2</v>
      </c>
      <c r="BU266" s="80">
        <v>12.1</v>
      </c>
      <c r="BV266" s="142">
        <v>0.98</v>
      </c>
      <c r="BW266" s="142">
        <v>0.88</v>
      </c>
      <c r="BX266" s="63">
        <v>7.97</v>
      </c>
      <c r="BY266" s="61">
        <v>11.56</v>
      </c>
      <c r="BZ266" s="89">
        <v>55.8</v>
      </c>
      <c r="CA266" s="142">
        <v>75.400000000000006</v>
      </c>
      <c r="CB266" s="63">
        <v>30.9</v>
      </c>
      <c r="CC266" s="61">
        <v>18.399999999999999</v>
      </c>
      <c r="CD266" s="89">
        <v>7.7</v>
      </c>
      <c r="CE266" s="142">
        <v>5.8</v>
      </c>
      <c r="CF266" s="63">
        <v>5.4</v>
      </c>
      <c r="CG266" s="61">
        <v>0.3</v>
      </c>
      <c r="CH266" s="89">
        <v>0.2</v>
      </c>
      <c r="CI266" s="142">
        <v>0.1</v>
      </c>
      <c r="CJ266" s="86" t="b">
        <f t="shared" si="29"/>
        <v>0</v>
      </c>
      <c r="CK266" s="2" t="b">
        <f t="shared" si="30"/>
        <v>1</v>
      </c>
      <c r="CL266" s="98">
        <f t="shared" si="25"/>
        <v>77.330865000000003</v>
      </c>
      <c r="CM266" s="96">
        <v>84.45</v>
      </c>
      <c r="CN266" s="98">
        <v>187</v>
      </c>
      <c r="CO266" s="86">
        <v>0</v>
      </c>
      <c r="CP266" s="98">
        <v>48</v>
      </c>
      <c r="CQ266" s="98">
        <v>52</v>
      </c>
      <c r="CR266" s="99">
        <v>8.43</v>
      </c>
    </row>
    <row r="267" spans="1:96" ht="15.75" customHeight="1">
      <c r="A267" s="150">
        <v>2022</v>
      </c>
      <c r="B267" s="150" t="s">
        <v>204</v>
      </c>
      <c r="C267" s="151">
        <v>3240</v>
      </c>
      <c r="D267" s="61">
        <v>27</v>
      </c>
      <c r="E267" s="61">
        <v>75</v>
      </c>
      <c r="F267" s="61">
        <v>1</v>
      </c>
      <c r="G267" s="51" t="s">
        <v>86</v>
      </c>
      <c r="H267" s="52" t="s">
        <v>92</v>
      </c>
      <c r="I267" s="53" t="s">
        <v>84</v>
      </c>
      <c r="J267" s="52" t="s">
        <v>98</v>
      </c>
      <c r="K267" s="53">
        <v>62.5</v>
      </c>
      <c r="L267" s="52">
        <v>37.5</v>
      </c>
      <c r="M267" s="247">
        <v>339</v>
      </c>
      <c r="N267" s="247">
        <v>938</v>
      </c>
      <c r="O267" s="80" t="s">
        <v>94</v>
      </c>
      <c r="P267" s="80" t="s">
        <v>94</v>
      </c>
      <c r="Q267" s="149">
        <v>2</v>
      </c>
      <c r="R267" s="149">
        <v>2.1</v>
      </c>
      <c r="S267" s="248">
        <v>296</v>
      </c>
      <c r="T267" s="248">
        <v>375</v>
      </c>
      <c r="U267" s="90">
        <v>68</v>
      </c>
      <c r="V267" s="249">
        <v>100</v>
      </c>
      <c r="W267" s="80" t="s">
        <v>94</v>
      </c>
      <c r="X267" s="80" t="s">
        <v>94</v>
      </c>
      <c r="Y267" s="143" t="s">
        <v>94</v>
      </c>
      <c r="Z267" s="143" t="s">
        <v>94</v>
      </c>
      <c r="AA267" s="80" t="s">
        <v>94</v>
      </c>
      <c r="AB267" s="80" t="s">
        <v>94</v>
      </c>
      <c r="AC267" s="89">
        <v>4.5</v>
      </c>
      <c r="AD267" s="149">
        <v>5.0999999999999996</v>
      </c>
      <c r="AE267" s="320">
        <v>124.4</v>
      </c>
      <c r="AF267" s="320">
        <v>124.4</v>
      </c>
      <c r="AG267" s="113">
        <v>22</v>
      </c>
      <c r="AH267" s="113">
        <v>30</v>
      </c>
      <c r="AI267" s="144">
        <v>0.8</v>
      </c>
      <c r="AJ267" s="144">
        <v>0.7</v>
      </c>
      <c r="AK267" s="269">
        <f t="shared" si="26"/>
        <v>0</v>
      </c>
      <c r="AL267" s="149">
        <v>4.0999999999999996</v>
      </c>
      <c r="AM267" s="149">
        <v>3.7</v>
      </c>
      <c r="AN267" s="144">
        <v>6.7</v>
      </c>
      <c r="AO267" s="144">
        <v>6.9</v>
      </c>
      <c r="AP267" s="248">
        <v>28</v>
      </c>
      <c r="AQ267" s="248">
        <v>27</v>
      </c>
      <c r="AR267" s="89">
        <v>9.6</v>
      </c>
      <c r="AS267" s="149">
        <v>8.6</v>
      </c>
      <c r="AT267" s="149">
        <v>4.0999999999999996</v>
      </c>
      <c r="AU267" s="149">
        <v>4.3</v>
      </c>
      <c r="AV267" s="248">
        <v>88</v>
      </c>
      <c r="AW267" s="248">
        <v>88</v>
      </c>
      <c r="AX267" s="106">
        <v>145</v>
      </c>
      <c r="AY267" s="262">
        <v>138</v>
      </c>
      <c r="AZ267" s="149">
        <v>2</v>
      </c>
      <c r="BA267" s="149">
        <v>2.2000000000000002</v>
      </c>
      <c r="BB267" s="248">
        <v>106</v>
      </c>
      <c r="BC267" s="248">
        <v>99</v>
      </c>
      <c r="BD267" s="96">
        <f t="shared" si="27"/>
        <v>300.61488888888891</v>
      </c>
      <c r="BE267" s="96">
        <f t="shared" si="28"/>
        <v>289.30022222222226</v>
      </c>
      <c r="BF267" s="89">
        <v>4.41</v>
      </c>
      <c r="BG267" s="142">
        <v>4.6900000000000004</v>
      </c>
      <c r="BH267" s="88">
        <v>13.2</v>
      </c>
      <c r="BI267" s="80">
        <v>14.2</v>
      </c>
      <c r="BJ267" s="89">
        <v>39.700000000000003</v>
      </c>
      <c r="BK267" s="142">
        <v>42.8</v>
      </c>
      <c r="BL267" s="88">
        <v>90.1</v>
      </c>
      <c r="BM267" s="80">
        <v>89.9</v>
      </c>
      <c r="BN267" s="89">
        <v>29.9</v>
      </c>
      <c r="BO267" s="142">
        <v>29.7</v>
      </c>
      <c r="BP267" s="88">
        <v>33.200000000000003</v>
      </c>
      <c r="BQ267" s="80">
        <v>33</v>
      </c>
      <c r="BR267" s="89">
        <v>298</v>
      </c>
      <c r="BS267" s="142">
        <v>344</v>
      </c>
      <c r="BT267" s="63">
        <v>13</v>
      </c>
      <c r="BU267" s="80">
        <v>12.7</v>
      </c>
      <c r="BV267" s="142">
        <v>0.81</v>
      </c>
      <c r="BW267" s="142">
        <v>0.79</v>
      </c>
      <c r="BX267" s="63">
        <v>5.92</v>
      </c>
      <c r="BY267" s="61">
        <v>7.53</v>
      </c>
      <c r="BZ267" s="89">
        <v>49.9</v>
      </c>
      <c r="CA267" s="142">
        <v>72.8</v>
      </c>
      <c r="CB267" s="63">
        <v>33.4</v>
      </c>
      <c r="CC267" s="61">
        <v>17.399999999999999</v>
      </c>
      <c r="CD267" s="89">
        <v>13</v>
      </c>
      <c r="CE267" s="142">
        <v>8.9</v>
      </c>
      <c r="CF267" s="63">
        <v>3.2</v>
      </c>
      <c r="CG267" s="61">
        <v>0.4</v>
      </c>
      <c r="CH267" s="89">
        <v>0.5</v>
      </c>
      <c r="CI267" s="142">
        <v>0.5</v>
      </c>
      <c r="CJ267" s="86" t="b">
        <f t="shared" si="29"/>
        <v>0</v>
      </c>
      <c r="CK267" s="2" t="b">
        <f t="shared" si="30"/>
        <v>0</v>
      </c>
      <c r="CL267" s="98">
        <f t="shared" si="25"/>
        <v>65.118300000000005</v>
      </c>
      <c r="CM267" s="96">
        <v>76.7</v>
      </c>
      <c r="CN267" s="98">
        <v>171.5</v>
      </c>
      <c r="CO267" s="86">
        <v>47.49</v>
      </c>
      <c r="CP267" s="98">
        <v>54</v>
      </c>
      <c r="CQ267" s="98">
        <v>48</v>
      </c>
      <c r="CR267" s="99">
        <v>15.1</v>
      </c>
    </row>
    <row r="268" spans="1:96" ht="15.75" customHeight="1">
      <c r="A268" s="150">
        <v>2022</v>
      </c>
      <c r="B268" s="150" t="s">
        <v>204</v>
      </c>
      <c r="C268" s="151">
        <v>3241</v>
      </c>
      <c r="D268" s="61">
        <v>25</v>
      </c>
      <c r="E268" s="61">
        <v>91</v>
      </c>
      <c r="F268" s="61">
        <v>1</v>
      </c>
      <c r="G268" s="51" t="s">
        <v>86</v>
      </c>
      <c r="H268" s="52" t="s">
        <v>83</v>
      </c>
      <c r="I268" s="53" t="s">
        <v>84</v>
      </c>
      <c r="J268" s="52" t="s">
        <v>98</v>
      </c>
      <c r="K268" s="53">
        <v>50</v>
      </c>
      <c r="L268" s="52">
        <v>50</v>
      </c>
      <c r="M268" s="247">
        <v>1600</v>
      </c>
      <c r="N268" s="247">
        <v>5247</v>
      </c>
      <c r="O268" s="80" t="s">
        <v>94</v>
      </c>
      <c r="P268" s="80" t="s">
        <v>94</v>
      </c>
      <c r="Q268" s="149">
        <v>2.1</v>
      </c>
      <c r="R268" s="149">
        <v>1.3</v>
      </c>
      <c r="S268" s="248">
        <v>345</v>
      </c>
      <c r="T268" s="248">
        <v>549</v>
      </c>
      <c r="U268" s="90">
        <v>108</v>
      </c>
      <c r="V268" s="249">
        <v>218</v>
      </c>
      <c r="W268" s="80" t="s">
        <v>94</v>
      </c>
      <c r="X268" s="80" t="s">
        <v>94</v>
      </c>
      <c r="Y268" s="143" t="s">
        <v>94</v>
      </c>
      <c r="Z268" s="143" t="s">
        <v>94</v>
      </c>
      <c r="AA268" s="80" t="s">
        <v>94</v>
      </c>
      <c r="AB268" s="80" t="s">
        <v>94</v>
      </c>
      <c r="AC268" s="89">
        <v>4.7</v>
      </c>
      <c r="AD268" s="149">
        <v>7.8</v>
      </c>
      <c r="AE268" s="320">
        <v>107.1</v>
      </c>
      <c r="AF268" s="320">
        <v>107.1</v>
      </c>
      <c r="AG268" s="113">
        <v>35</v>
      </c>
      <c r="AH268" s="113">
        <v>59</v>
      </c>
      <c r="AI268" s="144">
        <v>1</v>
      </c>
      <c r="AJ268" s="144">
        <v>1</v>
      </c>
      <c r="AK268" s="269">
        <f t="shared" si="26"/>
        <v>0</v>
      </c>
      <c r="AL268" s="149">
        <v>4.0999999999999996</v>
      </c>
      <c r="AM268" s="149">
        <v>4.4000000000000004</v>
      </c>
      <c r="AN268" s="144">
        <v>6.8</v>
      </c>
      <c r="AO268" s="144">
        <v>6.9</v>
      </c>
      <c r="AP268" s="248">
        <v>24</v>
      </c>
      <c r="AQ268" s="248">
        <v>19</v>
      </c>
      <c r="AR268" s="89">
        <v>8.8000000000000007</v>
      </c>
      <c r="AS268" s="149">
        <v>8.4</v>
      </c>
      <c r="AT268" s="149">
        <v>4.5</v>
      </c>
      <c r="AU268" s="149">
        <v>4.5999999999999996</v>
      </c>
      <c r="AV268" s="248">
        <v>85</v>
      </c>
      <c r="AW268" s="248">
        <v>89</v>
      </c>
      <c r="AX268" s="106">
        <v>142</v>
      </c>
      <c r="AY268" s="106">
        <v>138</v>
      </c>
      <c r="AZ268" s="149">
        <v>2</v>
      </c>
      <c r="BA268" s="149">
        <v>2.2999999999999998</v>
      </c>
      <c r="BB268" s="248">
        <v>105</v>
      </c>
      <c r="BC268" s="248">
        <v>106</v>
      </c>
      <c r="BD268" s="96">
        <f t="shared" si="27"/>
        <v>297.75388888888887</v>
      </c>
      <c r="BE268" s="96">
        <f t="shared" si="28"/>
        <v>294.75544444444444</v>
      </c>
      <c r="BF268" s="89">
        <v>4.7300000000000004</v>
      </c>
      <c r="BG268" s="142">
        <v>4.71</v>
      </c>
      <c r="BH268" s="88">
        <v>13</v>
      </c>
      <c r="BI268" s="80">
        <v>13</v>
      </c>
      <c r="BJ268" s="89">
        <v>39.4</v>
      </c>
      <c r="BK268" s="142">
        <v>39.1</v>
      </c>
      <c r="BL268" s="88">
        <v>82.4</v>
      </c>
      <c r="BM268" s="80">
        <v>82</v>
      </c>
      <c r="BN268" s="89">
        <v>27.2</v>
      </c>
      <c r="BO268" s="142">
        <v>27.2</v>
      </c>
      <c r="BP268" s="88">
        <v>33</v>
      </c>
      <c r="BQ268" s="80">
        <v>33.200000000000003</v>
      </c>
      <c r="BR268" s="89">
        <v>248</v>
      </c>
      <c r="BS268" s="142">
        <v>310</v>
      </c>
      <c r="BT268" s="63">
        <v>12.9</v>
      </c>
      <c r="BU268" s="80">
        <v>12.6</v>
      </c>
      <c r="BV268" s="142">
        <v>0.85</v>
      </c>
      <c r="BW268" s="142">
        <v>0.57999999999999996</v>
      </c>
      <c r="BX268" s="63">
        <v>5.0599999999999996</v>
      </c>
      <c r="BY268" s="61">
        <v>8.1999999999999993</v>
      </c>
      <c r="BZ268" s="89">
        <v>39.1</v>
      </c>
      <c r="CA268" s="142">
        <v>77.099999999999994</v>
      </c>
      <c r="CB268" s="63">
        <v>34</v>
      </c>
      <c r="CC268" s="61">
        <v>11.7</v>
      </c>
      <c r="CD268" s="89">
        <v>14.5</v>
      </c>
      <c r="CE268" s="142">
        <v>10.3</v>
      </c>
      <c r="CF268" s="63">
        <v>11.8</v>
      </c>
      <c r="CG268" s="61">
        <v>0.4</v>
      </c>
      <c r="CH268" s="89">
        <v>0.6</v>
      </c>
      <c r="CI268" s="142">
        <v>0.5</v>
      </c>
      <c r="CJ268" s="86" t="b">
        <f t="shared" si="29"/>
        <v>0</v>
      </c>
      <c r="CK268" s="2" t="b">
        <f t="shared" si="30"/>
        <v>1</v>
      </c>
      <c r="CL268" s="98">
        <f t="shared" si="25"/>
        <v>81.751800000000003</v>
      </c>
      <c r="CM268" s="96">
        <v>94</v>
      </c>
      <c r="CN268" s="98">
        <v>176.5</v>
      </c>
      <c r="CO268" s="86">
        <v>46.18</v>
      </c>
      <c r="CP268" s="98">
        <v>54</v>
      </c>
      <c r="CQ268" s="98">
        <v>60</v>
      </c>
      <c r="CR268" s="99">
        <v>13.03</v>
      </c>
    </row>
    <row r="269" spans="1:96" ht="15.75" customHeight="1">
      <c r="A269" s="150">
        <v>2022</v>
      </c>
      <c r="B269" s="150" t="s">
        <v>204</v>
      </c>
      <c r="C269" s="151">
        <v>3242</v>
      </c>
      <c r="D269" s="61">
        <v>33</v>
      </c>
      <c r="E269" s="61">
        <v>94</v>
      </c>
      <c r="F269" s="61">
        <v>1</v>
      </c>
      <c r="G269" s="51" t="s">
        <v>86</v>
      </c>
      <c r="H269" s="52" t="s">
        <v>83</v>
      </c>
      <c r="I269" s="53" t="s">
        <v>87</v>
      </c>
      <c r="J269" s="52" t="s">
        <v>99</v>
      </c>
      <c r="K269" s="53">
        <v>50</v>
      </c>
      <c r="L269" s="52">
        <v>50</v>
      </c>
      <c r="M269" s="247">
        <v>597</v>
      </c>
      <c r="N269" s="247">
        <v>1097</v>
      </c>
      <c r="O269" s="80" t="s">
        <v>94</v>
      </c>
      <c r="P269" s="80" t="s">
        <v>94</v>
      </c>
      <c r="Q269" s="149">
        <v>3.2</v>
      </c>
      <c r="R269" s="149">
        <v>2.2000000000000002</v>
      </c>
      <c r="S269" s="248">
        <v>325</v>
      </c>
      <c r="T269" s="248">
        <v>3974</v>
      </c>
      <c r="U269" s="90">
        <v>50</v>
      </c>
      <c r="V269" s="249">
        <v>69</v>
      </c>
      <c r="W269" s="80" t="s">
        <v>94</v>
      </c>
      <c r="X269" s="80" t="s">
        <v>94</v>
      </c>
      <c r="Y269" s="143" t="s">
        <v>94</v>
      </c>
      <c r="Z269" s="143" t="s">
        <v>94</v>
      </c>
      <c r="AA269" s="80" t="s">
        <v>94</v>
      </c>
      <c r="AB269" s="80" t="s">
        <v>94</v>
      </c>
      <c r="AC269" s="89">
        <v>5.4</v>
      </c>
      <c r="AD269" s="149">
        <v>6.1</v>
      </c>
      <c r="AE269" s="320">
        <v>90.9</v>
      </c>
      <c r="AF269" s="320">
        <v>101.9</v>
      </c>
      <c r="AG269" s="113">
        <v>42</v>
      </c>
      <c r="AH269" s="113">
        <v>45</v>
      </c>
      <c r="AI269" s="144">
        <v>1.1000000000000001</v>
      </c>
      <c r="AJ269" s="144">
        <v>1</v>
      </c>
      <c r="AK269" s="269">
        <f t="shared" si="26"/>
        <v>0</v>
      </c>
      <c r="AL269" s="149">
        <v>3.6</v>
      </c>
      <c r="AM269" s="149">
        <v>4.2</v>
      </c>
      <c r="AN269" s="144">
        <v>6.7</v>
      </c>
      <c r="AO269" s="144">
        <v>7</v>
      </c>
      <c r="AP269" s="248">
        <v>33</v>
      </c>
      <c r="AQ269" s="248">
        <v>60</v>
      </c>
      <c r="AR269" s="89">
        <v>9.5</v>
      </c>
      <c r="AS269" s="149">
        <v>9.6</v>
      </c>
      <c r="AT269" s="149">
        <v>5</v>
      </c>
      <c r="AU269" s="149">
        <v>4.2</v>
      </c>
      <c r="AV269" s="248">
        <v>100</v>
      </c>
      <c r="AW269" s="248">
        <v>105</v>
      </c>
      <c r="AX269" s="106">
        <v>144</v>
      </c>
      <c r="AY269" s="106">
        <v>141</v>
      </c>
      <c r="AZ269" s="149">
        <v>2</v>
      </c>
      <c r="BA269" s="149">
        <v>2.1</v>
      </c>
      <c r="BB269" s="248">
        <v>105</v>
      </c>
      <c r="BC269" s="248">
        <v>104</v>
      </c>
      <c r="BD269" s="96">
        <f t="shared" si="27"/>
        <v>304.5288888888889</v>
      </c>
      <c r="BE269" s="96">
        <f t="shared" si="28"/>
        <v>298.28033333333332</v>
      </c>
      <c r="BF269" s="89">
        <v>4.49</v>
      </c>
      <c r="BG269" s="142">
        <v>4.8899999999999997</v>
      </c>
      <c r="BH269" s="88">
        <v>11.9</v>
      </c>
      <c r="BI269" s="80">
        <v>12.9</v>
      </c>
      <c r="BJ269" s="89">
        <v>36.4</v>
      </c>
      <c r="BK269" s="142">
        <v>39.299999999999997</v>
      </c>
      <c r="BL269" s="88">
        <v>80.599999999999994</v>
      </c>
      <c r="BM269" s="80">
        <v>80.2</v>
      </c>
      <c r="BN269" s="89">
        <v>26.4</v>
      </c>
      <c r="BO269" s="142">
        <v>26.2</v>
      </c>
      <c r="BP269" s="88">
        <v>32.700000000000003</v>
      </c>
      <c r="BQ269" s="80">
        <v>32.700000000000003</v>
      </c>
      <c r="BR269" s="89">
        <v>329</v>
      </c>
      <c r="BS269" s="142">
        <v>427</v>
      </c>
      <c r="BT269" s="63">
        <v>13.3</v>
      </c>
      <c r="BU269" s="80">
        <v>13.2</v>
      </c>
      <c r="BV269" s="142">
        <v>0.8</v>
      </c>
      <c r="BW269" s="142">
        <v>0.66</v>
      </c>
      <c r="BX269" s="63">
        <v>7.29</v>
      </c>
      <c r="BY269" s="61">
        <v>9.01</v>
      </c>
      <c r="BZ269" s="89">
        <v>57.2</v>
      </c>
      <c r="CA269" s="142">
        <v>72.5</v>
      </c>
      <c r="CB269" s="63">
        <v>23.7</v>
      </c>
      <c r="CC269" s="61">
        <v>14</v>
      </c>
      <c r="CD269" s="89">
        <v>8.8000000000000007</v>
      </c>
      <c r="CE269" s="142">
        <v>7.4</v>
      </c>
      <c r="CF269" s="63">
        <v>9.4</v>
      </c>
      <c r="CG269" s="61">
        <v>5.5</v>
      </c>
      <c r="CH269" s="89">
        <v>0.9</v>
      </c>
      <c r="CI269" s="142">
        <v>0.6</v>
      </c>
      <c r="CJ269" s="86" t="b">
        <f t="shared" si="29"/>
        <v>0</v>
      </c>
      <c r="CK269" s="2" t="b">
        <f t="shared" si="30"/>
        <v>1</v>
      </c>
      <c r="CL269" s="98">
        <f t="shared" si="25"/>
        <v>77.466380000000001</v>
      </c>
      <c r="CM269" s="96">
        <v>97.1</v>
      </c>
      <c r="CN269" s="98">
        <v>181</v>
      </c>
      <c r="CO269" s="86">
        <v>44.53</v>
      </c>
      <c r="CP269" s="98">
        <v>66</v>
      </c>
      <c r="CQ269" s="98">
        <v>65</v>
      </c>
      <c r="CR269" s="99">
        <v>20.22</v>
      </c>
    </row>
    <row r="270" spans="1:96" ht="15.75" customHeight="1">
      <c r="A270" s="150">
        <v>2022</v>
      </c>
      <c r="B270" s="150" t="s">
        <v>204</v>
      </c>
      <c r="C270" s="151">
        <v>3243</v>
      </c>
      <c r="D270" s="61">
        <v>35</v>
      </c>
      <c r="E270" s="61">
        <v>78</v>
      </c>
      <c r="F270" s="61">
        <v>2</v>
      </c>
      <c r="G270" s="51" t="s">
        <v>89</v>
      </c>
      <c r="H270" s="52" t="s">
        <v>83</v>
      </c>
      <c r="I270" s="53" t="s">
        <v>84</v>
      </c>
      <c r="J270" s="52" t="s">
        <v>98</v>
      </c>
      <c r="K270" s="53">
        <v>37.5</v>
      </c>
      <c r="L270" s="52">
        <v>62.5</v>
      </c>
      <c r="M270" s="247">
        <v>1416</v>
      </c>
      <c r="N270" s="247">
        <v>4091</v>
      </c>
      <c r="O270" s="80" t="s">
        <v>94</v>
      </c>
      <c r="P270" s="80" t="s">
        <v>94</v>
      </c>
      <c r="Q270" s="149">
        <v>1.9</v>
      </c>
      <c r="R270" s="149">
        <v>2.1</v>
      </c>
      <c r="S270" s="248">
        <v>513</v>
      </c>
      <c r="T270" s="248">
        <v>783</v>
      </c>
      <c r="U270" s="90">
        <v>135</v>
      </c>
      <c r="V270" s="249">
        <v>264</v>
      </c>
      <c r="W270" s="80" t="s">
        <v>94</v>
      </c>
      <c r="X270" s="80" t="s">
        <v>94</v>
      </c>
      <c r="Y270" s="143" t="s">
        <v>94</v>
      </c>
      <c r="Z270" s="143" t="s">
        <v>94</v>
      </c>
      <c r="AA270" s="80" t="s">
        <v>94</v>
      </c>
      <c r="AB270" s="80" t="s">
        <v>94</v>
      </c>
      <c r="AC270" s="89">
        <v>5.2</v>
      </c>
      <c r="AD270" s="149">
        <v>10.1</v>
      </c>
      <c r="AE270" s="320">
        <v>100.7</v>
      </c>
      <c r="AF270" s="320">
        <v>100.7</v>
      </c>
      <c r="AG270" s="113">
        <v>42</v>
      </c>
      <c r="AH270" s="113">
        <v>64</v>
      </c>
      <c r="AI270" s="144">
        <v>1</v>
      </c>
      <c r="AJ270" s="144">
        <v>1</v>
      </c>
      <c r="AK270" s="269">
        <f t="shared" si="26"/>
        <v>0</v>
      </c>
      <c r="AL270" s="149">
        <v>4.2</v>
      </c>
      <c r="AM270" s="149">
        <v>4.9000000000000004</v>
      </c>
      <c r="AN270" s="144">
        <v>6.3</v>
      </c>
      <c r="AO270" s="144">
        <v>7.1</v>
      </c>
      <c r="AP270" s="248">
        <v>65</v>
      </c>
      <c r="AQ270" s="248">
        <v>50</v>
      </c>
      <c r="AR270" s="89">
        <v>9.3000000000000007</v>
      </c>
      <c r="AS270" s="149">
        <v>8.9</v>
      </c>
      <c r="AT270" s="149">
        <v>4.5</v>
      </c>
      <c r="AU270" s="149">
        <v>3.7</v>
      </c>
      <c r="AV270" s="248">
        <v>83</v>
      </c>
      <c r="AW270" s="248">
        <v>62</v>
      </c>
      <c r="AX270" s="106">
        <v>139</v>
      </c>
      <c r="AY270" s="106">
        <v>137</v>
      </c>
      <c r="AZ270" s="149">
        <v>1.6</v>
      </c>
      <c r="BA270" s="149">
        <v>1.9</v>
      </c>
      <c r="BB270" s="248">
        <v>104</v>
      </c>
      <c r="BC270" s="248">
        <v>101</v>
      </c>
      <c r="BD270" s="96">
        <f t="shared" si="27"/>
        <v>293.21277777777777</v>
      </c>
      <c r="BE270" s="96">
        <f t="shared" si="28"/>
        <v>290.32977777777779</v>
      </c>
      <c r="BF270" s="89">
        <v>4.33</v>
      </c>
      <c r="BG270" s="142">
        <v>4.5199999999999996</v>
      </c>
      <c r="BH270" s="88">
        <v>13.9</v>
      </c>
      <c r="BI270" s="80">
        <v>14.4</v>
      </c>
      <c r="BJ270" s="89">
        <v>42.4</v>
      </c>
      <c r="BK270" s="142">
        <v>43.4</v>
      </c>
      <c r="BL270" s="88">
        <v>97</v>
      </c>
      <c r="BM270" s="80">
        <v>95.5</v>
      </c>
      <c r="BN270" s="89">
        <v>31.7</v>
      </c>
      <c r="BO270" s="142">
        <v>31.7</v>
      </c>
      <c r="BP270" s="88">
        <v>32.700000000000003</v>
      </c>
      <c r="BQ270" s="80">
        <v>33.200000000000003</v>
      </c>
      <c r="BR270" s="89">
        <v>285</v>
      </c>
      <c r="BS270" s="142">
        <v>304</v>
      </c>
      <c r="BT270" s="63">
        <v>12.5</v>
      </c>
      <c r="BU270" s="80">
        <v>12.2</v>
      </c>
      <c r="BV270" s="142">
        <v>1.21</v>
      </c>
      <c r="BW270" s="142">
        <v>1.05</v>
      </c>
      <c r="BX270" s="63">
        <v>4.96</v>
      </c>
      <c r="BY270" s="61">
        <v>13.01</v>
      </c>
      <c r="BZ270" s="89">
        <v>48.5</v>
      </c>
      <c r="CA270" s="142">
        <v>86</v>
      </c>
      <c r="CB270" s="63">
        <v>38.299999999999997</v>
      </c>
      <c r="CC270" s="61">
        <v>9.3000000000000007</v>
      </c>
      <c r="CD270" s="89">
        <v>11.3</v>
      </c>
      <c r="CE270" s="142">
        <v>4.3</v>
      </c>
      <c r="CF270" s="63">
        <v>0.9</v>
      </c>
      <c r="CG270" s="61">
        <v>0.3</v>
      </c>
      <c r="CH270" s="89">
        <v>1</v>
      </c>
      <c r="CI270" s="142">
        <v>0.1</v>
      </c>
      <c r="CJ270" s="86" t="b">
        <f t="shared" si="29"/>
        <v>0</v>
      </c>
      <c r="CK270" s="2" t="b">
        <f t="shared" si="30"/>
        <v>1</v>
      </c>
      <c r="CL270" s="98">
        <f t="shared" si="25"/>
        <v>73.247245000000007</v>
      </c>
      <c r="CM270" s="96">
        <v>77.650000000000006</v>
      </c>
      <c r="CN270" s="98">
        <v>184.2</v>
      </c>
      <c r="CO270" s="86">
        <v>54.09</v>
      </c>
      <c r="CP270" s="98">
        <v>56</v>
      </c>
      <c r="CQ270" s="98">
        <v>52</v>
      </c>
      <c r="CR270" s="99">
        <v>5.67</v>
      </c>
    </row>
    <row r="271" spans="1:96" ht="15.75" customHeight="1">
      <c r="A271" s="150">
        <v>2022</v>
      </c>
      <c r="B271" s="150" t="s">
        <v>204</v>
      </c>
      <c r="C271" s="151">
        <v>3244</v>
      </c>
      <c r="D271" s="61">
        <v>34</v>
      </c>
      <c r="E271" s="61">
        <v>68</v>
      </c>
      <c r="F271" s="61">
        <v>1</v>
      </c>
      <c r="G271" s="51" t="s">
        <v>94</v>
      </c>
      <c r="H271" s="52" t="s">
        <v>94</v>
      </c>
      <c r="I271" s="53" t="s">
        <v>94</v>
      </c>
      <c r="J271" s="52" t="s">
        <v>94</v>
      </c>
      <c r="K271" s="53" t="s">
        <v>94</v>
      </c>
      <c r="L271" s="52" t="s">
        <v>94</v>
      </c>
      <c r="M271" s="247">
        <v>311</v>
      </c>
      <c r="N271" s="247">
        <v>1230</v>
      </c>
      <c r="O271" s="80" t="s">
        <v>94</v>
      </c>
      <c r="P271" s="80" t="s">
        <v>94</v>
      </c>
      <c r="Q271" s="149">
        <v>2.2000000000000002</v>
      </c>
      <c r="R271" s="149">
        <v>1.8</v>
      </c>
      <c r="S271" s="248">
        <v>291</v>
      </c>
      <c r="T271" s="248">
        <v>403</v>
      </c>
      <c r="U271" s="90">
        <v>48</v>
      </c>
      <c r="V271" s="249">
        <v>94</v>
      </c>
      <c r="W271" s="80" t="s">
        <v>94</v>
      </c>
      <c r="X271" s="80" t="s">
        <v>94</v>
      </c>
      <c r="Y271" s="143" t="s">
        <v>94</v>
      </c>
      <c r="Z271" s="143" t="s">
        <v>94</v>
      </c>
      <c r="AA271" s="80" t="s">
        <v>94</v>
      </c>
      <c r="AB271" s="80" t="s">
        <v>94</v>
      </c>
      <c r="AC271" s="89">
        <v>4</v>
      </c>
      <c r="AD271" s="149">
        <v>4.9000000000000004</v>
      </c>
      <c r="AE271" s="320">
        <v>114.9</v>
      </c>
      <c r="AF271" s="320">
        <v>114.9</v>
      </c>
      <c r="AG271" s="113">
        <v>44</v>
      </c>
      <c r="AH271" s="113">
        <v>50</v>
      </c>
      <c r="AI271" s="144">
        <v>0.9</v>
      </c>
      <c r="AJ271" s="144">
        <v>0.8</v>
      </c>
      <c r="AK271" s="269">
        <f t="shared" si="26"/>
        <v>0</v>
      </c>
      <c r="AL271" s="149">
        <v>4.5999999999999996</v>
      </c>
      <c r="AM271" s="149">
        <v>3.6</v>
      </c>
      <c r="AN271" s="144">
        <v>6.8</v>
      </c>
      <c r="AO271" s="144">
        <v>6.8</v>
      </c>
      <c r="AP271" s="248">
        <v>33</v>
      </c>
      <c r="AQ271" s="248">
        <v>37</v>
      </c>
      <c r="AR271" s="89">
        <v>9.6999999999999993</v>
      </c>
      <c r="AS271" s="149">
        <v>9.4</v>
      </c>
      <c r="AT271" s="149">
        <v>4.3</v>
      </c>
      <c r="AU271" s="149">
        <v>3.8</v>
      </c>
      <c r="AV271" s="248">
        <v>92</v>
      </c>
      <c r="AW271" s="248">
        <v>71</v>
      </c>
      <c r="AX271" s="106">
        <v>144</v>
      </c>
      <c r="AY271" s="106">
        <v>143</v>
      </c>
      <c r="AZ271" s="149">
        <v>1.7</v>
      </c>
      <c r="BA271" s="149">
        <v>2.1</v>
      </c>
      <c r="BB271" s="248">
        <v>105</v>
      </c>
      <c r="BC271" s="248">
        <v>105</v>
      </c>
      <c r="BD271" s="96">
        <f t="shared" si="27"/>
        <v>303.04911111111113</v>
      </c>
      <c r="BE271" s="96">
        <f t="shared" si="28"/>
        <v>299.91744444444447</v>
      </c>
      <c r="BF271" s="89">
        <v>4.8899999999999997</v>
      </c>
      <c r="BG271" s="142">
        <v>4.6100000000000003</v>
      </c>
      <c r="BH271" s="88">
        <v>14.2</v>
      </c>
      <c r="BI271" s="80">
        <v>13.5</v>
      </c>
      <c r="BJ271" s="89">
        <v>41.8</v>
      </c>
      <c r="BK271" s="142">
        <v>41.2</v>
      </c>
      <c r="BL271" s="88">
        <v>85.4</v>
      </c>
      <c r="BM271" s="80">
        <v>87.1</v>
      </c>
      <c r="BN271" s="89">
        <v>29</v>
      </c>
      <c r="BO271" s="142">
        <v>28.5</v>
      </c>
      <c r="BP271" s="88">
        <v>34</v>
      </c>
      <c r="BQ271" s="80">
        <v>32.799999999999997</v>
      </c>
      <c r="BR271" s="89">
        <v>303</v>
      </c>
      <c r="BS271" s="142">
        <v>287</v>
      </c>
      <c r="BT271" s="63">
        <v>13.9</v>
      </c>
      <c r="BU271" s="80">
        <v>13.4</v>
      </c>
      <c r="BV271" s="142">
        <v>0.82</v>
      </c>
      <c r="BW271" s="142">
        <v>0.7</v>
      </c>
      <c r="BX271" s="63">
        <v>6.25</v>
      </c>
      <c r="BY271" s="61">
        <v>7.92</v>
      </c>
      <c r="BZ271" s="89">
        <v>57</v>
      </c>
      <c r="CA271" s="142">
        <v>68.900000000000006</v>
      </c>
      <c r="CB271" s="63">
        <v>27.5</v>
      </c>
      <c r="CC271" s="61">
        <v>18.8</v>
      </c>
      <c r="CD271" s="89">
        <v>10.7</v>
      </c>
      <c r="CE271" s="142">
        <v>9.6999999999999993</v>
      </c>
      <c r="CF271" s="63">
        <v>4.0999999999999996</v>
      </c>
      <c r="CG271" s="61">
        <v>1.9</v>
      </c>
      <c r="CH271" s="89">
        <v>0.7</v>
      </c>
      <c r="CI271" s="142">
        <v>0.7</v>
      </c>
      <c r="CJ271" s="86" t="b">
        <f t="shared" si="29"/>
        <v>0</v>
      </c>
      <c r="CK271" s="2" t="b">
        <f t="shared" si="30"/>
        <v>1</v>
      </c>
      <c r="CL271" s="98">
        <f t="shared" si="25"/>
        <v>60.020625000000003</v>
      </c>
      <c r="CM271" s="96">
        <v>67.25</v>
      </c>
      <c r="CN271" s="98">
        <v>168.5</v>
      </c>
      <c r="CO271" s="86">
        <v>53.38</v>
      </c>
      <c r="CP271" s="98">
        <v>54</v>
      </c>
      <c r="CQ271" s="98">
        <v>54</v>
      </c>
      <c r="CR271" s="99">
        <v>10.75</v>
      </c>
    </row>
    <row r="272" spans="1:96" ht="15.75" customHeight="1">
      <c r="A272" s="150">
        <v>2022</v>
      </c>
      <c r="B272" s="150" t="s">
        <v>204</v>
      </c>
      <c r="C272" s="151">
        <v>3245</v>
      </c>
      <c r="D272" s="61">
        <v>0</v>
      </c>
      <c r="E272" s="61">
        <v>80</v>
      </c>
      <c r="F272" s="61">
        <v>1</v>
      </c>
      <c r="G272" s="53" t="s">
        <v>94</v>
      </c>
      <c r="H272" s="309" t="s">
        <v>94</v>
      </c>
      <c r="I272" s="60" t="s">
        <v>94</v>
      </c>
      <c r="J272" s="309" t="s">
        <v>94</v>
      </c>
      <c r="K272" s="75" t="s">
        <v>94</v>
      </c>
      <c r="L272" s="309" t="s">
        <v>94</v>
      </c>
      <c r="M272" s="247">
        <v>651</v>
      </c>
      <c r="N272" s="247">
        <v>868</v>
      </c>
      <c r="O272" s="80" t="s">
        <v>94</v>
      </c>
      <c r="P272" s="80" t="s">
        <v>94</v>
      </c>
      <c r="Q272" s="149">
        <v>1.8</v>
      </c>
      <c r="R272" s="149">
        <v>2.2999999999999998</v>
      </c>
      <c r="S272" s="248">
        <v>309</v>
      </c>
      <c r="T272" s="248">
        <v>358</v>
      </c>
      <c r="U272" s="90">
        <v>63</v>
      </c>
      <c r="V272" s="249">
        <v>81</v>
      </c>
      <c r="W272" s="80" t="s">
        <v>94</v>
      </c>
      <c r="X272" s="80" t="s">
        <v>94</v>
      </c>
      <c r="Y272" s="143" t="s">
        <v>94</v>
      </c>
      <c r="Z272" s="143" t="s">
        <v>94</v>
      </c>
      <c r="AA272" s="80" t="s">
        <v>94</v>
      </c>
      <c r="AB272" s="80" t="s">
        <v>94</v>
      </c>
      <c r="AC272" s="89">
        <v>5.5</v>
      </c>
      <c r="AD272" s="149">
        <v>4.9000000000000004</v>
      </c>
      <c r="AE272" s="320">
        <v>142</v>
      </c>
      <c r="AF272" s="320">
        <v>142</v>
      </c>
      <c r="AG272" s="113">
        <v>29</v>
      </c>
      <c r="AH272" s="113">
        <v>32</v>
      </c>
      <c r="AI272" s="144">
        <v>0.9</v>
      </c>
      <c r="AJ272" s="144">
        <v>0.8</v>
      </c>
      <c r="AK272" s="269">
        <f t="shared" si="26"/>
        <v>0</v>
      </c>
      <c r="AL272" s="149">
        <v>4.4000000000000004</v>
      </c>
      <c r="AM272" s="149">
        <v>4.08</v>
      </c>
      <c r="AN272" s="144">
        <v>6.7</v>
      </c>
      <c r="AO272" s="144">
        <v>7.7</v>
      </c>
      <c r="AP272" s="248">
        <v>42</v>
      </c>
      <c r="AQ272" s="248">
        <v>109</v>
      </c>
      <c r="AR272" s="89">
        <v>9.8000000000000007</v>
      </c>
      <c r="AS272" s="149">
        <v>9.8000000000000007</v>
      </c>
      <c r="AT272" s="149">
        <v>4.5</v>
      </c>
      <c r="AU272" s="149">
        <v>4.8</v>
      </c>
      <c r="AV272" s="248">
        <v>94</v>
      </c>
      <c r="AW272" s="248">
        <v>99</v>
      </c>
      <c r="AX272" s="106">
        <v>144</v>
      </c>
      <c r="AY272" s="106">
        <v>140</v>
      </c>
      <c r="AZ272" s="113" t="s">
        <v>94</v>
      </c>
      <c r="BA272" s="149">
        <v>2.1</v>
      </c>
      <c r="BB272" s="248">
        <v>108</v>
      </c>
      <c r="BC272" s="248">
        <v>104</v>
      </c>
      <c r="BD272" s="96">
        <f t="shared" si="27"/>
        <v>301.04888888888888</v>
      </c>
      <c r="BE272" s="96">
        <f t="shared" si="28"/>
        <v>294.98633333333333</v>
      </c>
      <c r="BF272" s="89">
        <v>4.45</v>
      </c>
      <c r="BG272" s="142">
        <v>4.71</v>
      </c>
      <c r="BH272" s="88">
        <v>13.4</v>
      </c>
      <c r="BI272" s="80">
        <v>14.2</v>
      </c>
      <c r="BJ272" s="89">
        <v>39.6</v>
      </c>
      <c r="BK272" s="142">
        <v>42.8</v>
      </c>
      <c r="BL272" s="88">
        <v>88.9</v>
      </c>
      <c r="BM272" s="80">
        <v>89.6</v>
      </c>
      <c r="BN272" s="89">
        <v>30.1</v>
      </c>
      <c r="BO272" s="142">
        <v>29.6</v>
      </c>
      <c r="BP272" s="88">
        <v>33.9</v>
      </c>
      <c r="BQ272" s="80">
        <v>33.1</v>
      </c>
      <c r="BR272" s="89">
        <v>324</v>
      </c>
      <c r="BS272" s="142">
        <v>338</v>
      </c>
      <c r="BT272" s="63">
        <v>14.6</v>
      </c>
      <c r="BU272" s="80">
        <v>13.4</v>
      </c>
      <c r="BV272" s="142">
        <v>0.83</v>
      </c>
      <c r="BW272" s="142">
        <v>0.8</v>
      </c>
      <c r="BX272" s="63">
        <v>5.2</v>
      </c>
      <c r="BY272" s="52">
        <v>6.98</v>
      </c>
      <c r="BZ272" s="89">
        <v>59</v>
      </c>
      <c r="CA272" s="142">
        <v>83.1</v>
      </c>
      <c r="CB272" s="63">
        <v>23</v>
      </c>
      <c r="CC272" s="52">
        <v>11.7</v>
      </c>
      <c r="CD272" s="89">
        <v>12.1</v>
      </c>
      <c r="CE272" s="142">
        <v>4.8</v>
      </c>
      <c r="CF272" s="63">
        <v>4.9000000000000004</v>
      </c>
      <c r="CG272" s="52">
        <v>0.4</v>
      </c>
      <c r="CH272" s="89">
        <v>1</v>
      </c>
      <c r="CI272" s="142">
        <v>0</v>
      </c>
      <c r="CJ272" s="86" t="b">
        <f t="shared" si="29"/>
        <v>0</v>
      </c>
      <c r="CK272" s="2" t="b">
        <f t="shared" si="30"/>
        <v>0</v>
      </c>
      <c r="CL272" s="98">
        <f t="shared" ref="CL272:CL335" si="31">$CM272-($CM272*(0.01*$CR272))</f>
        <v>71.693685000000002</v>
      </c>
      <c r="CM272" s="362">
        <v>82.95</v>
      </c>
      <c r="CN272" s="363">
        <v>171</v>
      </c>
      <c r="CO272" s="364">
        <v>45.46</v>
      </c>
      <c r="CP272" s="363">
        <v>60</v>
      </c>
      <c r="CQ272" s="363">
        <v>65</v>
      </c>
      <c r="CR272" s="362">
        <v>13.57</v>
      </c>
    </row>
    <row r="273" spans="1:96" ht="15.75" customHeight="1">
      <c r="A273" s="150">
        <v>2022</v>
      </c>
      <c r="B273" s="150" t="s">
        <v>204</v>
      </c>
      <c r="C273" s="151">
        <v>3246</v>
      </c>
      <c r="D273" s="61">
        <v>32</v>
      </c>
      <c r="E273" s="61">
        <v>80</v>
      </c>
      <c r="F273" s="61">
        <v>1</v>
      </c>
      <c r="G273" s="51" t="s">
        <v>94</v>
      </c>
      <c r="H273" s="52" t="s">
        <v>94</v>
      </c>
      <c r="I273" s="53" t="s">
        <v>94</v>
      </c>
      <c r="J273" s="52" t="s">
        <v>94</v>
      </c>
      <c r="K273" s="53" t="s">
        <v>94</v>
      </c>
      <c r="L273" s="52" t="s">
        <v>94</v>
      </c>
      <c r="M273" s="247">
        <v>172</v>
      </c>
      <c r="N273" s="247">
        <v>800</v>
      </c>
      <c r="O273" s="80" t="s">
        <v>94</v>
      </c>
      <c r="P273" s="80" t="s">
        <v>94</v>
      </c>
      <c r="Q273" s="149">
        <v>1.8</v>
      </c>
      <c r="R273" s="149">
        <v>1.7</v>
      </c>
      <c r="S273" s="248">
        <v>255</v>
      </c>
      <c r="T273" s="248">
        <v>338</v>
      </c>
      <c r="U273" s="90">
        <v>36</v>
      </c>
      <c r="V273" s="249">
        <v>57</v>
      </c>
      <c r="W273" s="80" t="s">
        <v>94</v>
      </c>
      <c r="X273" s="80" t="s">
        <v>94</v>
      </c>
      <c r="Y273" s="143" t="s">
        <v>94</v>
      </c>
      <c r="Z273" s="143" t="s">
        <v>94</v>
      </c>
      <c r="AA273" s="80" t="s">
        <v>94</v>
      </c>
      <c r="AB273" s="80" t="s">
        <v>94</v>
      </c>
      <c r="AC273" s="89">
        <v>5</v>
      </c>
      <c r="AD273" s="149">
        <v>6.4</v>
      </c>
      <c r="AE273" s="320">
        <v>116.4</v>
      </c>
      <c r="AF273" s="320">
        <v>116.4</v>
      </c>
      <c r="AG273" s="113">
        <v>37</v>
      </c>
      <c r="AH273" s="113">
        <v>38</v>
      </c>
      <c r="AI273" s="144">
        <v>0.9</v>
      </c>
      <c r="AJ273" s="144">
        <v>0.9</v>
      </c>
      <c r="AK273" s="269">
        <f t="shared" si="26"/>
        <v>0</v>
      </c>
      <c r="AL273" s="149">
        <v>4</v>
      </c>
      <c r="AM273" s="149">
        <v>3.6</v>
      </c>
      <c r="AN273" s="144">
        <v>7.1</v>
      </c>
      <c r="AO273" s="144">
        <v>7.2</v>
      </c>
      <c r="AP273" s="248">
        <v>52</v>
      </c>
      <c r="AQ273" s="248">
        <v>55</v>
      </c>
      <c r="AR273" s="89">
        <v>9.6</v>
      </c>
      <c r="AS273" s="149">
        <v>9.9</v>
      </c>
      <c r="AT273" s="149">
        <v>4.5999999999999996</v>
      </c>
      <c r="AU273" s="149">
        <v>4.0999999999999996</v>
      </c>
      <c r="AV273" s="248">
        <v>104</v>
      </c>
      <c r="AW273" s="248">
        <v>86</v>
      </c>
      <c r="AX273" s="106">
        <v>143</v>
      </c>
      <c r="AY273" s="106">
        <v>140</v>
      </c>
      <c r="AZ273" s="149">
        <v>2.1</v>
      </c>
      <c r="BA273" s="149">
        <v>2.2999999999999998</v>
      </c>
      <c r="BB273" s="248">
        <v>104</v>
      </c>
      <c r="BC273" s="248">
        <v>102</v>
      </c>
      <c r="BD273" s="96">
        <f t="shared" si="27"/>
        <v>301.34711111111113</v>
      </c>
      <c r="BE273" s="96">
        <f t="shared" si="28"/>
        <v>293.85377777777779</v>
      </c>
      <c r="BF273" s="89">
        <v>4.9800000000000004</v>
      </c>
      <c r="BG273" s="142">
        <v>4.95</v>
      </c>
      <c r="BH273" s="88">
        <v>13.7</v>
      </c>
      <c r="BI273" s="80">
        <v>13.2</v>
      </c>
      <c r="BJ273" s="89">
        <v>40.299999999999997</v>
      </c>
      <c r="BK273" s="142">
        <v>40.200000000000003</v>
      </c>
      <c r="BL273" s="88">
        <v>80.900000000000006</v>
      </c>
      <c r="BM273" s="80">
        <v>81</v>
      </c>
      <c r="BN273" s="89">
        <v>27.4</v>
      </c>
      <c r="BO273" s="142">
        <v>26.6</v>
      </c>
      <c r="BP273" s="88">
        <v>33.9</v>
      </c>
      <c r="BQ273" s="80">
        <v>32.9</v>
      </c>
      <c r="BR273" s="89">
        <v>520</v>
      </c>
      <c r="BS273" s="142">
        <v>489</v>
      </c>
      <c r="BT273" s="63">
        <v>13.6</v>
      </c>
      <c r="BU273" s="80">
        <v>12.3</v>
      </c>
      <c r="BV273" s="142">
        <v>1.05</v>
      </c>
      <c r="BW273" s="142">
        <v>0.77</v>
      </c>
      <c r="BX273" s="63">
        <v>9.59</v>
      </c>
      <c r="BY273" s="61">
        <v>13.3</v>
      </c>
      <c r="BZ273" s="89">
        <v>69.3</v>
      </c>
      <c r="CA273" s="142">
        <v>74.599999999999994</v>
      </c>
      <c r="CB273" s="63">
        <v>20</v>
      </c>
      <c r="CC273" s="61">
        <v>16.2</v>
      </c>
      <c r="CD273" s="89">
        <v>6.9</v>
      </c>
      <c r="CE273" s="142">
        <v>8.4</v>
      </c>
      <c r="CF273" s="63">
        <v>3</v>
      </c>
      <c r="CG273" s="61">
        <v>0.7</v>
      </c>
      <c r="CH273" s="89">
        <v>0.8</v>
      </c>
      <c r="CI273" s="142">
        <v>0.1</v>
      </c>
      <c r="CJ273" s="86" t="b">
        <f t="shared" si="29"/>
        <v>0</v>
      </c>
      <c r="CK273" s="2" t="b">
        <f t="shared" si="30"/>
        <v>0</v>
      </c>
      <c r="CL273" s="98">
        <f t="shared" si="31"/>
        <v>70.071784999999991</v>
      </c>
      <c r="CM273" s="96">
        <v>81.849999999999994</v>
      </c>
      <c r="CN273" s="98">
        <v>181</v>
      </c>
      <c r="CO273" s="86">
        <v>52.98</v>
      </c>
      <c r="CP273" s="98">
        <v>60</v>
      </c>
      <c r="CQ273" s="98">
        <v>60</v>
      </c>
      <c r="CR273" s="99">
        <v>14.39</v>
      </c>
    </row>
    <row r="274" spans="1:96" ht="15.75" customHeight="1">
      <c r="A274" s="150">
        <v>2022</v>
      </c>
      <c r="B274" s="150" t="s">
        <v>204</v>
      </c>
      <c r="C274" s="151">
        <v>3247</v>
      </c>
      <c r="D274" s="61">
        <v>35</v>
      </c>
      <c r="E274" s="61">
        <v>76</v>
      </c>
      <c r="F274" s="61">
        <v>1</v>
      </c>
      <c r="G274" s="51" t="s">
        <v>89</v>
      </c>
      <c r="H274" s="52" t="s">
        <v>90</v>
      </c>
      <c r="I274" s="53" t="s">
        <v>84</v>
      </c>
      <c r="J274" s="52" t="s">
        <v>97</v>
      </c>
      <c r="K274" s="53">
        <v>50</v>
      </c>
      <c r="L274" s="52">
        <v>50</v>
      </c>
      <c r="M274" s="247">
        <v>305</v>
      </c>
      <c r="N274" s="247">
        <v>887</v>
      </c>
      <c r="O274" s="80" t="s">
        <v>94</v>
      </c>
      <c r="P274" s="80" t="s">
        <v>94</v>
      </c>
      <c r="Q274" s="149">
        <v>1.5</v>
      </c>
      <c r="R274" s="149">
        <v>2.4</v>
      </c>
      <c r="S274" s="248">
        <v>255</v>
      </c>
      <c r="T274" s="248">
        <v>349</v>
      </c>
      <c r="U274" s="90">
        <v>48</v>
      </c>
      <c r="V274" s="249">
        <v>73</v>
      </c>
      <c r="W274" s="80" t="s">
        <v>94</v>
      </c>
      <c r="X274" s="80" t="s">
        <v>94</v>
      </c>
      <c r="Y274" s="143" t="s">
        <v>94</v>
      </c>
      <c r="Z274" s="143" t="s">
        <v>94</v>
      </c>
      <c r="AA274" s="80" t="s">
        <v>94</v>
      </c>
      <c r="AB274" s="80" t="s">
        <v>94</v>
      </c>
      <c r="AC274" s="89">
        <v>4.2</v>
      </c>
      <c r="AD274" s="149">
        <v>5.2</v>
      </c>
      <c r="AE274" s="320">
        <v>73.5</v>
      </c>
      <c r="AF274" s="320">
        <v>102.2</v>
      </c>
      <c r="AG274" s="113">
        <v>43</v>
      </c>
      <c r="AH274" s="113">
        <v>55</v>
      </c>
      <c r="AI274" s="144">
        <v>1.3</v>
      </c>
      <c r="AJ274" s="144">
        <v>0.9</v>
      </c>
      <c r="AK274" s="269">
        <f t="shared" si="26"/>
        <v>0</v>
      </c>
      <c r="AL274" s="149">
        <v>4.3</v>
      </c>
      <c r="AM274" s="149">
        <v>3.7</v>
      </c>
      <c r="AN274" s="144">
        <v>6.3</v>
      </c>
      <c r="AO274" s="144">
        <v>6.3</v>
      </c>
      <c r="AP274" s="248">
        <v>44</v>
      </c>
      <c r="AQ274" s="248">
        <v>74</v>
      </c>
      <c r="AR274" s="89">
        <v>9.3000000000000007</v>
      </c>
      <c r="AS274" s="149">
        <v>9</v>
      </c>
      <c r="AT274" s="149">
        <v>4.5999999999999996</v>
      </c>
      <c r="AU274" s="149">
        <v>4</v>
      </c>
      <c r="AV274" s="248">
        <v>94</v>
      </c>
      <c r="AW274" s="248">
        <v>107</v>
      </c>
      <c r="AX274" s="106">
        <v>145</v>
      </c>
      <c r="AY274" s="106">
        <v>144</v>
      </c>
      <c r="AZ274" s="149">
        <v>1.8</v>
      </c>
      <c r="BA274" s="149">
        <v>2.2000000000000002</v>
      </c>
      <c r="BB274" s="248">
        <v>105</v>
      </c>
      <c r="BC274" s="248">
        <v>104</v>
      </c>
      <c r="BD274" s="96">
        <f t="shared" si="27"/>
        <v>305.42822222222225</v>
      </c>
      <c r="BE274" s="96">
        <f t="shared" si="28"/>
        <v>305.28277777777782</v>
      </c>
      <c r="BF274" s="89">
        <v>4.6500000000000004</v>
      </c>
      <c r="BG274" s="142">
        <v>4.72</v>
      </c>
      <c r="BH274" s="88">
        <v>14.1</v>
      </c>
      <c r="BI274" s="80">
        <v>14.5</v>
      </c>
      <c r="BJ274" s="89">
        <v>41.4</v>
      </c>
      <c r="BK274" s="142">
        <v>44.2</v>
      </c>
      <c r="BL274" s="88">
        <v>89.1</v>
      </c>
      <c r="BM274" s="80">
        <v>91</v>
      </c>
      <c r="BN274" s="89">
        <v>30.4</v>
      </c>
      <c r="BO274" s="142">
        <v>29.9</v>
      </c>
      <c r="BP274" s="88">
        <v>34.200000000000003</v>
      </c>
      <c r="BQ274" s="80">
        <v>32.9</v>
      </c>
      <c r="BR274" s="89">
        <v>212</v>
      </c>
      <c r="BS274" s="142">
        <v>230</v>
      </c>
      <c r="BT274" s="63">
        <v>14.6</v>
      </c>
      <c r="BU274" s="80">
        <v>15</v>
      </c>
      <c r="BV274" s="142">
        <v>0.71</v>
      </c>
      <c r="BW274" s="142">
        <v>0.82</v>
      </c>
      <c r="BX274" s="63">
        <v>6.27</v>
      </c>
      <c r="BY274" s="61">
        <v>9.6999999999999993</v>
      </c>
      <c r="BZ274" s="89">
        <v>55.5</v>
      </c>
      <c r="CA274" s="142">
        <v>68.400000000000006</v>
      </c>
      <c r="CB274" s="63">
        <v>29.9</v>
      </c>
      <c r="CC274" s="61">
        <v>22.9</v>
      </c>
      <c r="CD274" s="89">
        <v>10.5</v>
      </c>
      <c r="CE274" s="142">
        <v>7.3</v>
      </c>
      <c r="CF274" s="63">
        <v>3.1</v>
      </c>
      <c r="CG274" s="61">
        <v>0.8</v>
      </c>
      <c r="CH274" s="89">
        <v>1</v>
      </c>
      <c r="CI274" s="142">
        <v>0.6</v>
      </c>
      <c r="CJ274" s="86" t="b">
        <f t="shared" si="29"/>
        <v>0</v>
      </c>
      <c r="CK274" s="2" t="b">
        <f t="shared" si="30"/>
        <v>0</v>
      </c>
      <c r="CL274" s="98">
        <f t="shared" si="31"/>
        <v>65.962705</v>
      </c>
      <c r="CM274" s="96">
        <v>75.55</v>
      </c>
      <c r="CN274" s="98">
        <v>177.5</v>
      </c>
      <c r="CO274" s="86">
        <v>50.61</v>
      </c>
      <c r="CP274" s="98">
        <v>56</v>
      </c>
      <c r="CQ274" s="98">
        <v>50</v>
      </c>
      <c r="CR274" s="99">
        <v>12.69</v>
      </c>
    </row>
    <row r="275" spans="1:96" ht="15.75" customHeight="1">
      <c r="A275" s="150">
        <v>2022</v>
      </c>
      <c r="B275" s="150" t="s">
        <v>204</v>
      </c>
      <c r="C275" s="151">
        <v>3248</v>
      </c>
      <c r="D275" s="61">
        <v>31</v>
      </c>
      <c r="E275" s="61">
        <v>76</v>
      </c>
      <c r="F275" s="61">
        <v>1</v>
      </c>
      <c r="G275" s="51" t="s">
        <v>82</v>
      </c>
      <c r="H275" s="52" t="s">
        <v>83</v>
      </c>
      <c r="I275" s="53" t="s">
        <v>84</v>
      </c>
      <c r="J275" s="52" t="s">
        <v>97</v>
      </c>
      <c r="K275" s="53">
        <v>50</v>
      </c>
      <c r="L275" s="52">
        <v>50</v>
      </c>
      <c r="M275" s="247">
        <v>202</v>
      </c>
      <c r="N275" s="247">
        <v>608</v>
      </c>
      <c r="O275" s="80" t="s">
        <v>94</v>
      </c>
      <c r="P275" s="80" t="s">
        <v>94</v>
      </c>
      <c r="Q275" s="149">
        <v>1.5</v>
      </c>
      <c r="R275" s="149">
        <v>2.7</v>
      </c>
      <c r="S275" s="248">
        <v>310</v>
      </c>
      <c r="T275" s="248">
        <v>418</v>
      </c>
      <c r="U275" s="90">
        <v>53</v>
      </c>
      <c r="V275" s="249">
        <v>73</v>
      </c>
      <c r="W275" s="80" t="s">
        <v>94</v>
      </c>
      <c r="X275" s="80" t="s">
        <v>94</v>
      </c>
      <c r="Y275" s="143" t="s">
        <v>94</v>
      </c>
      <c r="Z275" s="143" t="s">
        <v>94</v>
      </c>
      <c r="AA275" s="80" t="s">
        <v>94</v>
      </c>
      <c r="AB275" s="80" t="s">
        <v>94</v>
      </c>
      <c r="AC275" s="89">
        <v>4.5</v>
      </c>
      <c r="AD275" s="149">
        <v>4.9000000000000004</v>
      </c>
      <c r="AE275" s="320">
        <v>103.2</v>
      </c>
      <c r="AF275" s="320">
        <v>113.4</v>
      </c>
      <c r="AG275" s="113">
        <v>45</v>
      </c>
      <c r="AH275" s="113">
        <v>55</v>
      </c>
      <c r="AI275" s="144">
        <v>1</v>
      </c>
      <c r="AJ275" s="144">
        <v>0.9</v>
      </c>
      <c r="AK275" s="269">
        <f t="shared" si="26"/>
        <v>0</v>
      </c>
      <c r="AL275" s="149">
        <v>3.8</v>
      </c>
      <c r="AM275" s="149">
        <v>4.5</v>
      </c>
      <c r="AN275" s="144">
        <v>7.2</v>
      </c>
      <c r="AO275" s="144">
        <v>7.2</v>
      </c>
      <c r="AP275" s="248">
        <v>70</v>
      </c>
      <c r="AQ275" s="248">
        <v>54</v>
      </c>
      <c r="AR275" s="89">
        <v>9.3000000000000007</v>
      </c>
      <c r="AS275" s="149">
        <v>9.3000000000000007</v>
      </c>
      <c r="AT275" s="149">
        <v>4.2</v>
      </c>
      <c r="AU275" s="149">
        <v>4.0999999999999996</v>
      </c>
      <c r="AV275" s="248">
        <v>101</v>
      </c>
      <c r="AW275" s="248">
        <v>104</v>
      </c>
      <c r="AX275" s="106">
        <v>146</v>
      </c>
      <c r="AY275" s="106">
        <v>144</v>
      </c>
      <c r="AZ275" s="149" t="s">
        <v>94</v>
      </c>
      <c r="BA275" s="149">
        <v>2.1</v>
      </c>
      <c r="BB275" s="248">
        <v>105</v>
      </c>
      <c r="BC275" s="248">
        <v>105</v>
      </c>
      <c r="BD275" s="96">
        <f t="shared" si="27"/>
        <v>307.3247777777778</v>
      </c>
      <c r="BE275" s="96">
        <f t="shared" si="28"/>
        <v>305.27711111111114</v>
      </c>
      <c r="BF275" s="89">
        <v>4.66</v>
      </c>
      <c r="BG275" s="142">
        <v>4.68</v>
      </c>
      <c r="BH275" s="88">
        <v>14.8</v>
      </c>
      <c r="BI275" s="80">
        <v>14.4</v>
      </c>
      <c r="BJ275" s="89">
        <v>42.5</v>
      </c>
      <c r="BK275" s="142">
        <v>44.3</v>
      </c>
      <c r="BL275" s="88">
        <v>91.2</v>
      </c>
      <c r="BM275" s="80">
        <v>94</v>
      </c>
      <c r="BN275" s="89">
        <v>31.7</v>
      </c>
      <c r="BO275" s="142">
        <v>30.6</v>
      </c>
      <c r="BP275" s="88">
        <v>34.700000000000003</v>
      </c>
      <c r="BQ275" s="80">
        <v>32.5</v>
      </c>
      <c r="BR275" s="89">
        <v>302</v>
      </c>
      <c r="BS275" s="142">
        <v>253</v>
      </c>
      <c r="BT275" s="63">
        <v>13.9</v>
      </c>
      <c r="BU275" s="80">
        <v>13.2</v>
      </c>
      <c r="BV275" s="142">
        <v>0.73</v>
      </c>
      <c r="BW275" s="142">
        <v>0.42</v>
      </c>
      <c r="BX275" s="63">
        <v>5.64</v>
      </c>
      <c r="BY275" s="61">
        <v>9.86</v>
      </c>
      <c r="BZ275" s="89">
        <v>49.3</v>
      </c>
      <c r="CA275" s="142">
        <v>70.900000000000006</v>
      </c>
      <c r="CB275" s="63">
        <v>32.9</v>
      </c>
      <c r="CC275" s="61">
        <v>19.399999999999999</v>
      </c>
      <c r="CD275" s="89">
        <v>12.2</v>
      </c>
      <c r="CE275" s="142">
        <v>7.9</v>
      </c>
      <c r="CF275" s="63">
        <v>4.2</v>
      </c>
      <c r="CG275" s="61">
        <v>1.5</v>
      </c>
      <c r="CH275" s="89">
        <v>1.4</v>
      </c>
      <c r="CI275" s="142">
        <v>0.3</v>
      </c>
      <c r="CJ275" s="86" t="b">
        <f t="shared" si="29"/>
        <v>0</v>
      </c>
      <c r="CK275" s="2" t="b">
        <f t="shared" si="30"/>
        <v>0</v>
      </c>
      <c r="CL275" s="98">
        <f t="shared" si="31"/>
        <v>71.403599999999997</v>
      </c>
      <c r="CM275" s="96">
        <v>78.5</v>
      </c>
      <c r="CN275" s="98">
        <v>173.5</v>
      </c>
      <c r="CO275" s="86">
        <v>51.8</v>
      </c>
      <c r="CP275" s="98">
        <v>57</v>
      </c>
      <c r="CQ275" s="98">
        <v>60</v>
      </c>
      <c r="CR275" s="99">
        <v>9.0399999999999991</v>
      </c>
    </row>
    <row r="276" spans="1:96" ht="15.75" customHeight="1">
      <c r="A276" s="150">
        <v>2022</v>
      </c>
      <c r="B276" s="150" t="s">
        <v>204</v>
      </c>
      <c r="C276" s="151">
        <v>3249</v>
      </c>
      <c r="D276" s="61">
        <v>32</v>
      </c>
      <c r="E276" s="61">
        <v>78</v>
      </c>
      <c r="F276" s="61">
        <v>2</v>
      </c>
      <c r="G276" s="51" t="s">
        <v>86</v>
      </c>
      <c r="H276" s="52" t="s">
        <v>92</v>
      </c>
      <c r="I276" s="53" t="s">
        <v>84</v>
      </c>
      <c r="J276" s="52" t="s">
        <v>97</v>
      </c>
      <c r="K276" s="53">
        <v>87.5</v>
      </c>
      <c r="L276" s="52">
        <v>12.5</v>
      </c>
      <c r="M276" s="247">
        <v>462</v>
      </c>
      <c r="N276" s="247">
        <v>1189</v>
      </c>
      <c r="O276" s="80" t="s">
        <v>94</v>
      </c>
      <c r="P276" s="80" t="s">
        <v>94</v>
      </c>
      <c r="Q276" s="149">
        <v>1.8</v>
      </c>
      <c r="R276" s="149">
        <v>2.2999999999999998</v>
      </c>
      <c r="S276" s="248">
        <v>337</v>
      </c>
      <c r="T276" s="248">
        <v>476</v>
      </c>
      <c r="U276" s="90">
        <v>45</v>
      </c>
      <c r="V276" s="249">
        <v>78</v>
      </c>
      <c r="W276" s="80" t="s">
        <v>94</v>
      </c>
      <c r="X276" s="80" t="s">
        <v>94</v>
      </c>
      <c r="Y276" s="143" t="s">
        <v>94</v>
      </c>
      <c r="Z276" s="143" t="s">
        <v>94</v>
      </c>
      <c r="AA276" s="80" t="s">
        <v>94</v>
      </c>
      <c r="AB276" s="80" t="s">
        <v>94</v>
      </c>
      <c r="AC276" s="89">
        <v>4.9000000000000004</v>
      </c>
      <c r="AD276" s="149">
        <v>7.2</v>
      </c>
      <c r="AE276" s="320">
        <v>102.6</v>
      </c>
      <c r="AF276" s="320">
        <v>102.6</v>
      </c>
      <c r="AG276" s="113">
        <v>32</v>
      </c>
      <c r="AH276" s="113">
        <v>49</v>
      </c>
      <c r="AI276" s="144">
        <v>1</v>
      </c>
      <c r="AJ276" s="144">
        <v>1</v>
      </c>
      <c r="AK276" s="269">
        <f t="shared" si="26"/>
        <v>0</v>
      </c>
      <c r="AL276" s="149">
        <v>4.2</v>
      </c>
      <c r="AM276" s="149">
        <v>4.4000000000000004</v>
      </c>
      <c r="AN276" s="144">
        <v>6.6</v>
      </c>
      <c r="AO276" s="144">
        <v>7.7</v>
      </c>
      <c r="AP276" s="248">
        <v>23</v>
      </c>
      <c r="AQ276" s="248">
        <v>95</v>
      </c>
      <c r="AR276" s="89">
        <v>9.8000000000000007</v>
      </c>
      <c r="AS276" s="149">
        <v>10.5</v>
      </c>
      <c r="AT276" s="149">
        <v>4.0999999999999996</v>
      </c>
      <c r="AU276" s="149">
        <v>4.8</v>
      </c>
      <c r="AV276" s="248">
        <v>94</v>
      </c>
      <c r="AW276" s="248">
        <v>99</v>
      </c>
      <c r="AX276" s="106">
        <v>142</v>
      </c>
      <c r="AY276" s="106">
        <v>150</v>
      </c>
      <c r="AZ276" s="271">
        <v>2.2000000000000002</v>
      </c>
      <c r="BA276" s="149">
        <v>2.4</v>
      </c>
      <c r="BB276" s="248">
        <v>103</v>
      </c>
      <c r="BC276" s="248">
        <v>110</v>
      </c>
      <c r="BD276" s="96">
        <f t="shared" si="27"/>
        <v>297.08488888888883</v>
      </c>
      <c r="BE276" s="96">
        <f t="shared" si="28"/>
        <v>316.41966666666673</v>
      </c>
      <c r="BF276" s="89">
        <v>4.49</v>
      </c>
      <c r="BG276" s="142">
        <v>4.87</v>
      </c>
      <c r="BH276" s="88">
        <v>14</v>
      </c>
      <c r="BI276" s="80">
        <v>15</v>
      </c>
      <c r="BJ276" s="89">
        <v>40.799999999999997</v>
      </c>
      <c r="BK276" s="142">
        <v>45.3</v>
      </c>
      <c r="BL276" s="88">
        <v>90.8</v>
      </c>
      <c r="BM276" s="80">
        <v>92</v>
      </c>
      <c r="BN276" s="89">
        <v>31.2</v>
      </c>
      <c r="BO276" s="142">
        <v>30.5</v>
      </c>
      <c r="BP276" s="88">
        <v>34.299999999999997</v>
      </c>
      <c r="BQ276" s="80">
        <v>33.1</v>
      </c>
      <c r="BR276" s="89">
        <v>341</v>
      </c>
      <c r="BS276" s="142">
        <v>350</v>
      </c>
      <c r="BT276" s="63">
        <v>14.5</v>
      </c>
      <c r="BU276" s="80">
        <v>12.5</v>
      </c>
      <c r="BV276" s="142">
        <v>1.3</v>
      </c>
      <c r="BW276" s="142">
        <v>0.87</v>
      </c>
      <c r="BX276" s="63">
        <v>7.12</v>
      </c>
      <c r="BY276" s="61">
        <v>10.07</v>
      </c>
      <c r="BZ276" s="89">
        <v>76.5</v>
      </c>
      <c r="CA276" s="142">
        <v>72.599999999999994</v>
      </c>
      <c r="CB276" s="63">
        <v>9.6</v>
      </c>
      <c r="CC276" s="61">
        <v>18</v>
      </c>
      <c r="CD276" s="89">
        <v>12.7</v>
      </c>
      <c r="CE276" s="142">
        <v>7.6</v>
      </c>
      <c r="CF276" s="63">
        <v>0.8</v>
      </c>
      <c r="CG276" s="61">
        <v>1.2</v>
      </c>
      <c r="CH276" s="89">
        <v>0.4</v>
      </c>
      <c r="CI276" s="142">
        <v>0.6</v>
      </c>
      <c r="CJ276" s="86" t="b">
        <f t="shared" si="29"/>
        <v>0</v>
      </c>
      <c r="CK276" s="2" t="b">
        <f t="shared" si="30"/>
        <v>1</v>
      </c>
      <c r="CL276" s="98">
        <f t="shared" si="31"/>
        <v>71.568749999999994</v>
      </c>
      <c r="CM276" s="96">
        <v>82.5</v>
      </c>
      <c r="CN276" s="98">
        <v>174</v>
      </c>
      <c r="CO276" s="86">
        <v>50.33</v>
      </c>
      <c r="CP276" s="98">
        <v>56</v>
      </c>
      <c r="CQ276" s="98">
        <v>53</v>
      </c>
      <c r="CR276" s="99">
        <v>13.25</v>
      </c>
    </row>
    <row r="277" spans="1:96" ht="15.75" customHeight="1">
      <c r="A277" s="150">
        <v>2022</v>
      </c>
      <c r="B277" s="150" t="s">
        <v>204</v>
      </c>
      <c r="C277" s="151">
        <v>3250</v>
      </c>
      <c r="D277" s="61">
        <v>33</v>
      </c>
      <c r="E277" s="61">
        <v>68</v>
      </c>
      <c r="F277" s="61">
        <v>1</v>
      </c>
      <c r="G277" s="51" t="s">
        <v>86</v>
      </c>
      <c r="H277" s="52" t="s">
        <v>83</v>
      </c>
      <c r="I277" s="53" t="s">
        <v>84</v>
      </c>
      <c r="J277" s="52" t="s">
        <v>97</v>
      </c>
      <c r="K277" s="53">
        <v>75</v>
      </c>
      <c r="L277" s="52">
        <v>25</v>
      </c>
      <c r="M277" s="247">
        <v>228</v>
      </c>
      <c r="N277" s="247">
        <v>1407</v>
      </c>
      <c r="O277" s="80" t="s">
        <v>94</v>
      </c>
      <c r="P277" s="80" t="s">
        <v>94</v>
      </c>
      <c r="Q277" s="149">
        <v>3</v>
      </c>
      <c r="R277" s="149">
        <v>3.2</v>
      </c>
      <c r="S277" s="248">
        <v>318</v>
      </c>
      <c r="T277" s="248">
        <v>564</v>
      </c>
      <c r="U277" s="90">
        <v>57</v>
      </c>
      <c r="V277" s="249">
        <v>157</v>
      </c>
      <c r="W277" s="80" t="s">
        <v>94</v>
      </c>
      <c r="X277" s="80" t="s">
        <v>94</v>
      </c>
      <c r="Y277" s="143" t="s">
        <v>94</v>
      </c>
      <c r="Z277" s="143" t="s">
        <v>94</v>
      </c>
      <c r="AA277" s="80" t="s">
        <v>94</v>
      </c>
      <c r="AB277" s="80" t="s">
        <v>94</v>
      </c>
      <c r="AC277" s="89">
        <v>5.3</v>
      </c>
      <c r="AD277" s="149">
        <v>8.9</v>
      </c>
      <c r="AE277" s="320">
        <v>101.9</v>
      </c>
      <c r="AF277" s="320">
        <v>90.9</v>
      </c>
      <c r="AG277" s="113">
        <v>33</v>
      </c>
      <c r="AH277" s="113">
        <v>62</v>
      </c>
      <c r="AI277" s="144">
        <v>1</v>
      </c>
      <c r="AJ277" s="144">
        <v>1.1000000000000001</v>
      </c>
      <c r="AK277" s="269">
        <f t="shared" si="26"/>
        <v>0.10000000000000009</v>
      </c>
      <c r="AL277" s="149">
        <v>4.2</v>
      </c>
      <c r="AM277" s="149">
        <v>4.5</v>
      </c>
      <c r="AN277" s="144">
        <v>6.5</v>
      </c>
      <c r="AO277" s="144">
        <v>7.3</v>
      </c>
      <c r="AP277" s="248">
        <v>45</v>
      </c>
      <c r="AQ277" s="248">
        <v>28</v>
      </c>
      <c r="AR277" s="89">
        <v>9.4</v>
      </c>
      <c r="AS277" s="149">
        <v>10.4</v>
      </c>
      <c r="AT277" s="149">
        <v>4.2</v>
      </c>
      <c r="AU277" s="149">
        <v>4.5999999999999996</v>
      </c>
      <c r="AV277" s="248">
        <v>100</v>
      </c>
      <c r="AW277" s="248">
        <v>123</v>
      </c>
      <c r="AX277" s="106">
        <v>144</v>
      </c>
      <c r="AY277" s="106">
        <v>159</v>
      </c>
      <c r="AZ277" s="271">
        <v>2</v>
      </c>
      <c r="BA277" s="149">
        <v>2.4</v>
      </c>
      <c r="BB277" s="248">
        <v>103</v>
      </c>
      <c r="BC277" s="248">
        <v>120</v>
      </c>
      <c r="BD277" s="96">
        <f t="shared" si="27"/>
        <v>301.5408888888889</v>
      </c>
      <c r="BE277" s="96">
        <f t="shared" si="28"/>
        <v>336.48766666666666</v>
      </c>
      <c r="BF277" s="89">
        <v>4.2300000000000004</v>
      </c>
      <c r="BG277" s="142">
        <v>3.91</v>
      </c>
      <c r="BH277" s="88">
        <v>12.9</v>
      </c>
      <c r="BI277" s="80">
        <v>12</v>
      </c>
      <c r="BJ277" s="89">
        <v>37.299999999999997</v>
      </c>
      <c r="BK277" s="142">
        <v>36</v>
      </c>
      <c r="BL277" s="88">
        <v>88</v>
      </c>
      <c r="BM277" s="80">
        <v>89.8</v>
      </c>
      <c r="BN277" s="89">
        <v>30.5</v>
      </c>
      <c r="BO277" s="142">
        <v>29.9</v>
      </c>
      <c r="BP277" s="88">
        <v>34.700000000000003</v>
      </c>
      <c r="BQ277" s="80">
        <v>33.299999999999997</v>
      </c>
      <c r="BR277" s="89">
        <v>348</v>
      </c>
      <c r="BS277" s="142">
        <v>328</v>
      </c>
      <c r="BT277" s="63">
        <v>14.2</v>
      </c>
      <c r="BU277" s="80">
        <v>12.8</v>
      </c>
      <c r="BV277" s="142">
        <v>0.74</v>
      </c>
      <c r="BW277" s="142">
        <v>0.94</v>
      </c>
      <c r="BX277" s="63">
        <v>5.93</v>
      </c>
      <c r="BY277" s="61">
        <v>16.239999999999998</v>
      </c>
      <c r="BZ277" s="89">
        <v>65.599999999999994</v>
      </c>
      <c r="CA277" s="142">
        <v>89.2</v>
      </c>
      <c r="CB277" s="63">
        <v>23.8</v>
      </c>
      <c r="CC277" s="61">
        <v>5.7</v>
      </c>
      <c r="CD277" s="89">
        <v>7.4</v>
      </c>
      <c r="CE277" s="142">
        <v>4.5</v>
      </c>
      <c r="CF277" s="63">
        <v>2</v>
      </c>
      <c r="CG277" s="61">
        <v>0.6</v>
      </c>
      <c r="CH277" s="89">
        <v>1.2</v>
      </c>
      <c r="CI277" s="142">
        <v>0</v>
      </c>
      <c r="CJ277" s="86" t="b">
        <f t="shared" si="29"/>
        <v>0</v>
      </c>
      <c r="CK277" s="2" t="b">
        <f t="shared" si="30"/>
        <v>1</v>
      </c>
      <c r="CL277" s="98">
        <f t="shared" si="31"/>
        <v>64.357799999999997</v>
      </c>
      <c r="CM277" s="96">
        <v>74</v>
      </c>
      <c r="CN277" s="98">
        <v>172</v>
      </c>
      <c r="CO277" s="86">
        <v>52.46</v>
      </c>
      <c r="CP277" s="98">
        <v>60</v>
      </c>
      <c r="CQ277" s="98">
        <v>58</v>
      </c>
      <c r="CR277" s="99">
        <v>13.03</v>
      </c>
    </row>
    <row r="278" spans="1:96" ht="15.75" customHeight="1">
      <c r="A278" s="150">
        <v>2022</v>
      </c>
      <c r="B278" s="150" t="s">
        <v>204</v>
      </c>
      <c r="C278" s="151">
        <v>3251</v>
      </c>
      <c r="D278" s="61">
        <v>31</v>
      </c>
      <c r="E278" s="61">
        <v>82</v>
      </c>
      <c r="F278" s="61">
        <v>1</v>
      </c>
      <c r="G278" s="51" t="s">
        <v>89</v>
      </c>
      <c r="H278" s="52" t="s">
        <v>83</v>
      </c>
      <c r="I278" s="53" t="s">
        <v>87</v>
      </c>
      <c r="J278" s="52" t="s">
        <v>97</v>
      </c>
      <c r="K278" s="53">
        <v>50</v>
      </c>
      <c r="L278" s="52">
        <v>50</v>
      </c>
      <c r="M278" s="247">
        <v>405</v>
      </c>
      <c r="N278" s="247">
        <v>888</v>
      </c>
      <c r="O278" s="80" t="s">
        <v>94</v>
      </c>
      <c r="P278" s="80" t="s">
        <v>94</v>
      </c>
      <c r="Q278" s="149">
        <v>2</v>
      </c>
      <c r="R278" s="149">
        <v>2.8</v>
      </c>
      <c r="S278" s="248">
        <v>255</v>
      </c>
      <c r="T278" s="248">
        <v>301</v>
      </c>
      <c r="U278" s="90">
        <v>49</v>
      </c>
      <c r="V278" s="249">
        <v>68</v>
      </c>
      <c r="W278" s="80" t="s">
        <v>94</v>
      </c>
      <c r="X278" s="80" t="s">
        <v>94</v>
      </c>
      <c r="Y278" s="143" t="s">
        <v>94</v>
      </c>
      <c r="Z278" s="143" t="s">
        <v>94</v>
      </c>
      <c r="AA278" s="80" t="s">
        <v>94</v>
      </c>
      <c r="AB278" s="80" t="s">
        <v>94</v>
      </c>
      <c r="AC278" s="89">
        <v>4.5999999999999996</v>
      </c>
      <c r="AD278" s="149">
        <v>5.4</v>
      </c>
      <c r="AE278" s="320">
        <v>103.2</v>
      </c>
      <c r="AF278" s="320">
        <v>113.4</v>
      </c>
      <c r="AG278" s="113">
        <v>41</v>
      </c>
      <c r="AH278" s="113">
        <v>42</v>
      </c>
      <c r="AI278" s="144">
        <v>1</v>
      </c>
      <c r="AJ278" s="144">
        <v>0.9</v>
      </c>
      <c r="AK278" s="269">
        <f t="shared" si="26"/>
        <v>0</v>
      </c>
      <c r="AL278" s="149">
        <v>4.2</v>
      </c>
      <c r="AM278" s="149">
        <v>3.5</v>
      </c>
      <c r="AN278" s="144">
        <v>6.9</v>
      </c>
      <c r="AO278" s="144">
        <v>6.6</v>
      </c>
      <c r="AP278" s="248">
        <v>33</v>
      </c>
      <c r="AQ278" s="248">
        <v>82</v>
      </c>
      <c r="AR278" s="89">
        <v>9.5</v>
      </c>
      <c r="AS278" s="149">
        <v>9.5</v>
      </c>
      <c r="AT278" s="149">
        <v>4.3</v>
      </c>
      <c r="AU278" s="149">
        <v>4.4000000000000004</v>
      </c>
      <c r="AV278" s="248">
        <v>108</v>
      </c>
      <c r="AW278" s="248">
        <v>117</v>
      </c>
      <c r="AX278" s="106">
        <v>141</v>
      </c>
      <c r="AY278" s="106">
        <v>138</v>
      </c>
      <c r="AZ278" s="271">
        <v>1.8</v>
      </c>
      <c r="BA278" s="149">
        <v>2.1</v>
      </c>
      <c r="BB278" s="248">
        <v>102</v>
      </c>
      <c r="BC278" s="248">
        <v>100</v>
      </c>
      <c r="BD278" s="96">
        <f t="shared" si="27"/>
        <v>297.99133333333333</v>
      </c>
      <c r="BE278" s="96">
        <f t="shared" si="28"/>
        <v>293.33900000000006</v>
      </c>
      <c r="BF278" s="89">
        <v>4.3899999999999997</v>
      </c>
      <c r="BG278" s="142">
        <v>4.24</v>
      </c>
      <c r="BH278" s="88">
        <v>13.4</v>
      </c>
      <c r="BI278" s="80">
        <v>12.6</v>
      </c>
      <c r="BJ278" s="89">
        <v>38.4</v>
      </c>
      <c r="BK278" s="142">
        <v>38.200000000000003</v>
      </c>
      <c r="BL278" s="88">
        <v>87.4</v>
      </c>
      <c r="BM278" s="80">
        <v>89</v>
      </c>
      <c r="BN278" s="89">
        <v>30.4</v>
      </c>
      <c r="BO278" s="142">
        <v>29.3</v>
      </c>
      <c r="BP278" s="88">
        <v>34.799999999999997</v>
      </c>
      <c r="BQ278" s="80">
        <v>32.9</v>
      </c>
      <c r="BR278" s="89">
        <v>433</v>
      </c>
      <c r="BS278" s="142">
        <v>390</v>
      </c>
      <c r="BT278" s="63">
        <v>14.5</v>
      </c>
      <c r="BU278" s="80">
        <v>14.3</v>
      </c>
      <c r="BV278" s="142">
        <v>1.1100000000000001</v>
      </c>
      <c r="BW278" s="142">
        <v>0.62</v>
      </c>
      <c r="BX278" s="63">
        <v>7.59</v>
      </c>
      <c r="BY278" s="61">
        <v>8.69</v>
      </c>
      <c r="BZ278" s="89">
        <v>59.8</v>
      </c>
      <c r="CA278" s="142">
        <v>71.7</v>
      </c>
      <c r="CB278" s="63">
        <v>29.3</v>
      </c>
      <c r="CC278" s="61">
        <v>20.5</v>
      </c>
      <c r="CD278" s="89">
        <v>8.1</v>
      </c>
      <c r="CE278" s="142">
        <v>6.5</v>
      </c>
      <c r="CF278" s="63">
        <v>1.7</v>
      </c>
      <c r="CG278" s="61">
        <v>0.9</v>
      </c>
      <c r="CH278" s="89">
        <v>1.1000000000000001</v>
      </c>
      <c r="CI278" s="142">
        <v>0.4</v>
      </c>
      <c r="CJ278" s="86" t="b">
        <f t="shared" si="29"/>
        <v>0</v>
      </c>
      <c r="CK278" s="2" t="b">
        <f t="shared" si="30"/>
        <v>0</v>
      </c>
      <c r="CL278" s="98">
        <f t="shared" si="31"/>
        <v>75.540360000000007</v>
      </c>
      <c r="CM278" s="96">
        <v>81.2</v>
      </c>
      <c r="CN278" s="98">
        <v>174</v>
      </c>
      <c r="CO278" s="86">
        <v>49.27</v>
      </c>
      <c r="CP278" s="98">
        <v>64</v>
      </c>
      <c r="CQ278" s="98">
        <v>64</v>
      </c>
      <c r="CR278" s="99">
        <v>6.97</v>
      </c>
    </row>
    <row r="279" spans="1:96" ht="15.75" customHeight="1">
      <c r="A279" s="150">
        <v>2022</v>
      </c>
      <c r="B279" s="150" t="s">
        <v>204</v>
      </c>
      <c r="C279" s="151">
        <v>3254</v>
      </c>
      <c r="D279" s="61">
        <v>32</v>
      </c>
      <c r="E279" s="61">
        <v>68</v>
      </c>
      <c r="F279" s="61">
        <v>1</v>
      </c>
      <c r="G279" s="51" t="s">
        <v>94</v>
      </c>
      <c r="H279" s="52" t="s">
        <v>94</v>
      </c>
      <c r="I279" s="53" t="s">
        <v>94</v>
      </c>
      <c r="J279" s="52" t="s">
        <v>94</v>
      </c>
      <c r="K279" s="53" t="s">
        <v>94</v>
      </c>
      <c r="L279" s="52" t="s">
        <v>94</v>
      </c>
      <c r="M279" s="152">
        <v>272</v>
      </c>
      <c r="N279" s="272">
        <v>596</v>
      </c>
      <c r="O279" s="80" t="s">
        <v>94</v>
      </c>
      <c r="P279" s="80" t="s">
        <v>94</v>
      </c>
      <c r="Q279" s="149">
        <v>1.6</v>
      </c>
      <c r="R279" s="149">
        <v>2.1</v>
      </c>
      <c r="S279" s="248">
        <v>242</v>
      </c>
      <c r="T279" s="248">
        <v>358</v>
      </c>
      <c r="U279" s="90">
        <v>76</v>
      </c>
      <c r="V279" s="249">
        <v>94</v>
      </c>
      <c r="W279" s="80" t="s">
        <v>94</v>
      </c>
      <c r="X279" s="80" t="s">
        <v>94</v>
      </c>
      <c r="Y279" s="143" t="s">
        <v>94</v>
      </c>
      <c r="Z279" s="143" t="s">
        <v>94</v>
      </c>
      <c r="AA279" s="80" t="s">
        <v>94</v>
      </c>
      <c r="AB279" s="80" t="s">
        <v>94</v>
      </c>
      <c r="AC279" s="89">
        <v>6</v>
      </c>
      <c r="AD279" s="149">
        <v>5.2</v>
      </c>
      <c r="AE279" s="320">
        <v>82.4</v>
      </c>
      <c r="AF279" s="320">
        <v>106.7</v>
      </c>
      <c r="AG279" s="113">
        <v>36</v>
      </c>
      <c r="AH279" s="113">
        <v>50</v>
      </c>
      <c r="AI279" s="144">
        <v>1.2</v>
      </c>
      <c r="AJ279" s="144">
        <v>0.8</v>
      </c>
      <c r="AK279" s="269">
        <f t="shared" si="26"/>
        <v>0</v>
      </c>
      <c r="AL279" s="149">
        <v>4.3</v>
      </c>
      <c r="AM279" s="149">
        <v>4.4000000000000004</v>
      </c>
      <c r="AN279" s="144">
        <v>7.7</v>
      </c>
      <c r="AO279" s="144">
        <v>7.9</v>
      </c>
      <c r="AP279" s="248">
        <v>30</v>
      </c>
      <c r="AQ279" s="248">
        <v>35</v>
      </c>
      <c r="AR279" s="89">
        <v>9.6</v>
      </c>
      <c r="AS279" s="149">
        <v>9.5</v>
      </c>
      <c r="AT279" s="149">
        <v>4.0999999999999996</v>
      </c>
      <c r="AU279" s="149">
        <v>3.8</v>
      </c>
      <c r="AV279" s="248">
        <v>88</v>
      </c>
      <c r="AW279" s="248">
        <v>86</v>
      </c>
      <c r="AX279" s="106">
        <v>141</v>
      </c>
      <c r="AY279" s="106">
        <v>142</v>
      </c>
      <c r="AZ279" s="271">
        <v>1.8</v>
      </c>
      <c r="BA279" s="149">
        <v>2.1</v>
      </c>
      <c r="BB279" s="248">
        <v>106</v>
      </c>
      <c r="BC279" s="248">
        <v>101</v>
      </c>
      <c r="BD279" s="96">
        <f t="shared" si="27"/>
        <v>295.50822222222223</v>
      </c>
      <c r="BE279" s="96">
        <f t="shared" si="28"/>
        <v>299.01577777777783</v>
      </c>
      <c r="BF279" s="89">
        <v>5.1100000000000003</v>
      </c>
      <c r="BG279" s="142">
        <v>4.8600000000000003</v>
      </c>
      <c r="BH279" s="88">
        <v>15.2</v>
      </c>
      <c r="BI279" s="80">
        <v>14.1</v>
      </c>
      <c r="BJ279" s="89">
        <v>44.5</v>
      </c>
      <c r="BK279" s="142">
        <v>43.2</v>
      </c>
      <c r="BL279" s="88">
        <v>87.1</v>
      </c>
      <c r="BM279" s="80">
        <v>88.3</v>
      </c>
      <c r="BN279" s="89">
        <v>29.8</v>
      </c>
      <c r="BO279" s="142">
        <v>28.8</v>
      </c>
      <c r="BP279" s="88">
        <v>34.200000000000003</v>
      </c>
      <c r="BQ279" s="80">
        <v>32.6</v>
      </c>
      <c r="BR279" s="89">
        <v>270</v>
      </c>
      <c r="BS279" s="142">
        <v>305</v>
      </c>
      <c r="BT279" s="63">
        <v>14.6</v>
      </c>
      <c r="BU279" s="80">
        <v>13.2</v>
      </c>
      <c r="BV279" s="142">
        <v>0.68</v>
      </c>
      <c r="BW279" s="142">
        <v>0.6</v>
      </c>
      <c r="BX279" s="63">
        <v>6.85</v>
      </c>
      <c r="BY279" s="61">
        <v>12.25</v>
      </c>
      <c r="BZ279" s="89">
        <v>55</v>
      </c>
      <c r="CA279" s="142">
        <v>69.8</v>
      </c>
      <c r="CB279" s="63">
        <v>31</v>
      </c>
      <c r="CC279" s="61">
        <v>22.2</v>
      </c>
      <c r="CD279" s="89">
        <v>12.2</v>
      </c>
      <c r="CE279" s="142">
        <v>7</v>
      </c>
      <c r="CF279" s="63">
        <v>0.9</v>
      </c>
      <c r="CG279" s="61">
        <v>0.9</v>
      </c>
      <c r="CH279" s="89">
        <v>0.9</v>
      </c>
      <c r="CI279" s="142">
        <v>0.1</v>
      </c>
      <c r="CJ279" s="86" t="b">
        <f t="shared" si="29"/>
        <v>0</v>
      </c>
      <c r="CK279" s="2" t="b">
        <f t="shared" si="30"/>
        <v>0</v>
      </c>
      <c r="CL279" s="98">
        <f t="shared" si="31"/>
        <v>64.545389999999998</v>
      </c>
      <c r="CM279" s="96">
        <v>74.55</v>
      </c>
      <c r="CN279" s="98">
        <v>176.6</v>
      </c>
      <c r="CO279" s="86">
        <v>49.15</v>
      </c>
      <c r="CP279" s="98">
        <v>58</v>
      </c>
      <c r="CQ279" s="98">
        <v>56</v>
      </c>
      <c r="CR279" s="99">
        <v>13.42</v>
      </c>
    </row>
    <row r="280" spans="1:96" ht="15.75" customHeight="1">
      <c r="A280" s="150">
        <v>2022</v>
      </c>
      <c r="B280" s="150" t="s">
        <v>204</v>
      </c>
      <c r="C280" s="151">
        <v>3255</v>
      </c>
      <c r="D280" s="61">
        <v>28</v>
      </c>
      <c r="E280" s="61">
        <v>77</v>
      </c>
      <c r="F280" s="61">
        <v>1</v>
      </c>
      <c r="G280" s="51" t="s">
        <v>86</v>
      </c>
      <c r="H280" s="52" t="s">
        <v>83</v>
      </c>
      <c r="I280" s="53" t="s">
        <v>84</v>
      </c>
      <c r="J280" s="52" t="s">
        <v>98</v>
      </c>
      <c r="K280" s="53">
        <v>50</v>
      </c>
      <c r="L280" s="52">
        <v>50</v>
      </c>
      <c r="M280" s="152">
        <v>279</v>
      </c>
      <c r="N280" s="247">
        <v>1039</v>
      </c>
      <c r="O280" s="80" t="s">
        <v>94</v>
      </c>
      <c r="P280" s="80" t="s">
        <v>94</v>
      </c>
      <c r="Q280" s="149">
        <v>2.1</v>
      </c>
      <c r="R280" s="149">
        <v>1.7</v>
      </c>
      <c r="S280" s="154">
        <v>271</v>
      </c>
      <c r="T280" s="248">
        <v>378</v>
      </c>
      <c r="U280" s="143">
        <v>42</v>
      </c>
      <c r="V280" s="249">
        <v>69</v>
      </c>
      <c r="W280" s="80" t="s">
        <v>94</v>
      </c>
      <c r="X280" s="80" t="s">
        <v>94</v>
      </c>
      <c r="Y280" s="143" t="s">
        <v>94</v>
      </c>
      <c r="Z280" s="143" t="s">
        <v>94</v>
      </c>
      <c r="AA280" s="80" t="s">
        <v>94</v>
      </c>
      <c r="AB280" s="80" t="s">
        <v>94</v>
      </c>
      <c r="AC280" s="142">
        <v>4.2</v>
      </c>
      <c r="AD280" s="149">
        <v>5</v>
      </c>
      <c r="AE280" s="320">
        <v>119.3</v>
      </c>
      <c r="AF280" s="320">
        <v>119.3</v>
      </c>
      <c r="AG280" s="156">
        <v>42</v>
      </c>
      <c r="AH280" s="113">
        <v>50</v>
      </c>
      <c r="AI280" s="119">
        <v>0.9</v>
      </c>
      <c r="AJ280" s="144">
        <v>0.9</v>
      </c>
      <c r="AK280" s="269">
        <f t="shared" si="26"/>
        <v>0</v>
      </c>
      <c r="AL280" s="153">
        <v>4.5</v>
      </c>
      <c r="AM280" s="149">
        <v>4.0999999999999996</v>
      </c>
      <c r="AN280" s="157">
        <v>4.7</v>
      </c>
      <c r="AO280" s="144">
        <v>7.1</v>
      </c>
      <c r="AP280" s="154">
        <v>50</v>
      </c>
      <c r="AQ280" s="248">
        <v>65</v>
      </c>
      <c r="AR280" s="142">
        <v>9.1999999999999993</v>
      </c>
      <c r="AS280" s="149">
        <v>9.4</v>
      </c>
      <c r="AT280" s="153">
        <v>4.7</v>
      </c>
      <c r="AU280" s="149">
        <v>4.5</v>
      </c>
      <c r="AV280" s="158">
        <v>77</v>
      </c>
      <c r="AW280" s="248">
        <v>114</v>
      </c>
      <c r="AX280" s="159">
        <v>140</v>
      </c>
      <c r="AY280" s="106">
        <v>143</v>
      </c>
      <c r="AZ280" s="153">
        <v>2</v>
      </c>
      <c r="BA280" s="149">
        <v>2.2999999999999998</v>
      </c>
      <c r="BB280" s="154">
        <v>104</v>
      </c>
      <c r="BC280" s="248">
        <v>105</v>
      </c>
      <c r="BD280" s="96">
        <f t="shared" si="27"/>
        <v>295.06144444444442</v>
      </c>
      <c r="BE280" s="96">
        <f t="shared" si="28"/>
        <v>303.9666666666667</v>
      </c>
      <c r="BF280" s="89">
        <v>4.43</v>
      </c>
      <c r="BG280" s="142">
        <v>4.43</v>
      </c>
      <c r="BH280" s="88">
        <v>13.2</v>
      </c>
      <c r="BI280" s="80">
        <v>13.1</v>
      </c>
      <c r="BJ280" s="89">
        <v>39.299999999999997</v>
      </c>
      <c r="BK280" s="142">
        <v>40.299999999999997</v>
      </c>
      <c r="BL280" s="88">
        <v>88.6</v>
      </c>
      <c r="BM280" s="80">
        <v>90.4</v>
      </c>
      <c r="BN280" s="89">
        <v>29.9</v>
      </c>
      <c r="BO280" s="142">
        <v>29.3</v>
      </c>
      <c r="BP280" s="88">
        <v>33.700000000000003</v>
      </c>
      <c r="BQ280" s="80">
        <v>32.5</v>
      </c>
      <c r="BR280" s="89">
        <v>347</v>
      </c>
      <c r="BS280" s="142">
        <v>297</v>
      </c>
      <c r="BT280" s="63">
        <v>14.4</v>
      </c>
      <c r="BU280" s="80">
        <v>13.8</v>
      </c>
      <c r="BV280" s="142">
        <v>0.48</v>
      </c>
      <c r="BW280" s="142">
        <v>0.37</v>
      </c>
      <c r="BX280" s="63">
        <v>4.6399999999999997</v>
      </c>
      <c r="BY280" s="61">
        <v>7.94</v>
      </c>
      <c r="BZ280" s="89">
        <v>52.5</v>
      </c>
      <c r="CA280" s="142">
        <v>71.2</v>
      </c>
      <c r="CB280" s="63">
        <v>37.4</v>
      </c>
      <c r="CC280" s="61">
        <v>21</v>
      </c>
      <c r="CD280" s="89">
        <v>8.4</v>
      </c>
      <c r="CE280" s="142">
        <v>7.7</v>
      </c>
      <c r="CF280" s="63">
        <v>0.2</v>
      </c>
      <c r="CG280" s="61">
        <v>0.01</v>
      </c>
      <c r="CH280" s="89">
        <v>1.5</v>
      </c>
      <c r="CI280" s="142">
        <v>0</v>
      </c>
      <c r="CJ280" s="86" t="b">
        <f t="shared" si="29"/>
        <v>0</v>
      </c>
      <c r="CK280" s="2" t="b">
        <f t="shared" si="30"/>
        <v>1</v>
      </c>
      <c r="CL280" s="98">
        <f t="shared" si="31"/>
        <v>71.013225000000006</v>
      </c>
      <c r="CM280" s="96">
        <v>80.25</v>
      </c>
      <c r="CN280" s="98">
        <v>179</v>
      </c>
      <c r="CO280" s="86">
        <v>49.57</v>
      </c>
      <c r="CP280" s="98">
        <v>57</v>
      </c>
      <c r="CQ280" s="98">
        <v>52</v>
      </c>
      <c r="CR280" s="99">
        <v>11.51</v>
      </c>
    </row>
    <row r="281" spans="1:96" ht="15.75" customHeight="1">
      <c r="A281" s="150">
        <v>2022</v>
      </c>
      <c r="B281" s="150" t="s">
        <v>204</v>
      </c>
      <c r="C281" s="151">
        <v>3256</v>
      </c>
      <c r="D281" s="61">
        <v>29</v>
      </c>
      <c r="E281" s="61">
        <v>83</v>
      </c>
      <c r="F281" s="61">
        <v>1</v>
      </c>
      <c r="G281" s="51" t="s">
        <v>89</v>
      </c>
      <c r="H281" s="52" t="s">
        <v>92</v>
      </c>
      <c r="I281" s="53" t="s">
        <v>93</v>
      </c>
      <c r="J281" s="52" t="s">
        <v>97</v>
      </c>
      <c r="K281" s="53">
        <v>87.5</v>
      </c>
      <c r="L281" s="52">
        <v>12.5</v>
      </c>
      <c r="M281" s="152">
        <v>356</v>
      </c>
      <c r="N281" s="247">
        <v>435</v>
      </c>
      <c r="O281" s="80" t="s">
        <v>94</v>
      </c>
      <c r="P281" s="80" t="s">
        <v>94</v>
      </c>
      <c r="Q281" s="149">
        <v>1.4</v>
      </c>
      <c r="R281" s="149">
        <v>1.5</v>
      </c>
      <c r="S281" s="154">
        <v>261</v>
      </c>
      <c r="T281" s="248">
        <v>342</v>
      </c>
      <c r="U281" s="143">
        <v>44</v>
      </c>
      <c r="V281" s="249">
        <v>44</v>
      </c>
      <c r="W281" s="80" t="s">
        <v>94</v>
      </c>
      <c r="X281" s="80" t="s">
        <v>94</v>
      </c>
      <c r="Y281" s="143" t="s">
        <v>94</v>
      </c>
      <c r="Z281" s="143" t="s">
        <v>94</v>
      </c>
      <c r="AA281" s="80" t="s">
        <v>94</v>
      </c>
      <c r="AB281" s="80" t="s">
        <v>94</v>
      </c>
      <c r="AC281" s="142">
        <v>3.6</v>
      </c>
      <c r="AD281" s="149">
        <v>3.9</v>
      </c>
      <c r="AE281" s="320">
        <v>122.9</v>
      </c>
      <c r="AF281" s="320">
        <v>122.9</v>
      </c>
      <c r="AG281" s="156">
        <v>26</v>
      </c>
      <c r="AH281" s="113">
        <v>34</v>
      </c>
      <c r="AI281" s="119">
        <v>0.8</v>
      </c>
      <c r="AJ281" s="144">
        <v>0.7</v>
      </c>
      <c r="AK281" s="269">
        <f t="shared" si="26"/>
        <v>0</v>
      </c>
      <c r="AL281" s="153">
        <v>3.7</v>
      </c>
      <c r="AM281" s="149">
        <v>3.8</v>
      </c>
      <c r="AN281" s="157">
        <v>4.5</v>
      </c>
      <c r="AO281" s="144">
        <v>7.4</v>
      </c>
      <c r="AP281" s="154">
        <v>78</v>
      </c>
      <c r="AQ281" s="248">
        <v>45</v>
      </c>
      <c r="AR281" s="142">
        <v>10</v>
      </c>
      <c r="AS281" s="149">
        <v>9.1999999999999993</v>
      </c>
      <c r="AT281" s="153">
        <v>4.5</v>
      </c>
      <c r="AU281" s="149">
        <v>4.0999999999999996</v>
      </c>
      <c r="AV281" s="158">
        <v>93</v>
      </c>
      <c r="AW281" s="248">
        <v>85</v>
      </c>
      <c r="AX281" s="159">
        <v>141</v>
      </c>
      <c r="AY281" s="106">
        <v>143</v>
      </c>
      <c r="AZ281" s="153">
        <v>2.2999999999999998</v>
      </c>
      <c r="BA281" s="149">
        <v>2.4</v>
      </c>
      <c r="BB281" s="154">
        <v>102</v>
      </c>
      <c r="BC281" s="248">
        <v>104</v>
      </c>
      <c r="BD281" s="96">
        <f t="shared" si="27"/>
        <v>294.90499999999997</v>
      </c>
      <c r="BE281" s="96">
        <f t="shared" si="28"/>
        <v>298.70322222222222</v>
      </c>
      <c r="BF281" s="89">
        <v>5.58</v>
      </c>
      <c r="BG281" s="142">
        <v>5.17</v>
      </c>
      <c r="BH281" s="88">
        <v>15</v>
      </c>
      <c r="BI281" s="80">
        <v>14</v>
      </c>
      <c r="BJ281" s="89">
        <v>44.6</v>
      </c>
      <c r="BK281" s="142">
        <v>42.1</v>
      </c>
      <c r="BL281" s="88">
        <v>80</v>
      </c>
      <c r="BM281" s="80">
        <v>80.400000000000006</v>
      </c>
      <c r="BN281" s="89">
        <v>26.9</v>
      </c>
      <c r="BO281" s="142">
        <v>26.7</v>
      </c>
      <c r="BP281" s="88">
        <v>33.6</v>
      </c>
      <c r="BQ281" s="80">
        <v>33.200000000000003</v>
      </c>
      <c r="BR281" s="89">
        <v>343</v>
      </c>
      <c r="BS281" s="142">
        <v>305</v>
      </c>
      <c r="BT281" s="63">
        <v>14</v>
      </c>
      <c r="BU281" s="80">
        <v>12.7</v>
      </c>
      <c r="BV281" s="142">
        <v>0.56000000000000005</v>
      </c>
      <c r="BW281" s="142">
        <v>0.41</v>
      </c>
      <c r="BX281" s="63">
        <v>5.12</v>
      </c>
      <c r="BY281" s="61">
        <v>6.4</v>
      </c>
      <c r="BZ281" s="89">
        <v>56.9</v>
      </c>
      <c r="CA281" s="142">
        <v>67.2</v>
      </c>
      <c r="CB281" s="63">
        <v>29.9</v>
      </c>
      <c r="CC281" s="61">
        <v>22.3</v>
      </c>
      <c r="CD281" s="89">
        <v>8.6999999999999993</v>
      </c>
      <c r="CE281" s="142">
        <v>9.4</v>
      </c>
      <c r="CF281" s="63">
        <v>3.3</v>
      </c>
      <c r="CG281" s="61">
        <v>0.7</v>
      </c>
      <c r="CH281" s="89">
        <v>1.2</v>
      </c>
      <c r="CI281" s="142">
        <v>0.4</v>
      </c>
      <c r="CJ281" s="86" t="b">
        <f t="shared" si="29"/>
        <v>0</v>
      </c>
      <c r="CK281" s="2" t="b">
        <f t="shared" si="30"/>
        <v>0</v>
      </c>
      <c r="CL281" s="98">
        <f t="shared" si="31"/>
        <v>71.552219999999991</v>
      </c>
      <c r="CM281" s="96">
        <v>83.55</v>
      </c>
      <c r="CN281" s="98">
        <v>182.6</v>
      </c>
      <c r="CO281" s="86">
        <v>51.94</v>
      </c>
      <c r="CP281" s="98">
        <v>56</v>
      </c>
      <c r="CQ281" s="98">
        <v>52</v>
      </c>
      <c r="CR281" s="99">
        <v>14.36</v>
      </c>
    </row>
    <row r="282" spans="1:96" ht="15.75" customHeight="1">
      <c r="A282" s="150">
        <v>2022</v>
      </c>
      <c r="B282" s="150" t="s">
        <v>204</v>
      </c>
      <c r="C282" s="151">
        <v>3257</v>
      </c>
      <c r="D282" s="61">
        <v>28</v>
      </c>
      <c r="E282" s="61">
        <v>92</v>
      </c>
      <c r="F282" s="61">
        <v>2</v>
      </c>
      <c r="G282" s="51" t="s">
        <v>89</v>
      </c>
      <c r="H282" s="52" t="s">
        <v>92</v>
      </c>
      <c r="I282" s="53" t="s">
        <v>87</v>
      </c>
      <c r="J282" s="52" t="s">
        <v>97</v>
      </c>
      <c r="K282" s="53">
        <v>62.5</v>
      </c>
      <c r="L282" s="52">
        <v>37.5</v>
      </c>
      <c r="M282" s="152">
        <v>261</v>
      </c>
      <c r="N282" s="247">
        <v>760</v>
      </c>
      <c r="O282" s="80" t="s">
        <v>94</v>
      </c>
      <c r="P282" s="80" t="s">
        <v>94</v>
      </c>
      <c r="Q282" s="149">
        <v>2.1</v>
      </c>
      <c r="R282" s="149">
        <v>1.9</v>
      </c>
      <c r="S282" s="154">
        <v>254</v>
      </c>
      <c r="T282" s="248">
        <v>333</v>
      </c>
      <c r="U282" s="143">
        <v>53</v>
      </c>
      <c r="V282" s="249">
        <v>88</v>
      </c>
      <c r="W282" s="80" t="s">
        <v>94</v>
      </c>
      <c r="X282" s="80" t="s">
        <v>94</v>
      </c>
      <c r="Y282" s="143" t="s">
        <v>94</v>
      </c>
      <c r="Z282" s="143" t="s">
        <v>94</v>
      </c>
      <c r="AA282" s="80" t="s">
        <v>94</v>
      </c>
      <c r="AB282" s="80" t="s">
        <v>94</v>
      </c>
      <c r="AC282" s="142">
        <v>5.9</v>
      </c>
      <c r="AD282" s="149">
        <v>5.7</v>
      </c>
      <c r="AE282" s="320">
        <v>123.6</v>
      </c>
      <c r="AF282" s="320">
        <v>123.6</v>
      </c>
      <c r="AG282" s="156">
        <v>31</v>
      </c>
      <c r="AH282" s="113">
        <v>46</v>
      </c>
      <c r="AI282" s="119">
        <v>0.8</v>
      </c>
      <c r="AJ282" s="144">
        <v>0.9</v>
      </c>
      <c r="AK282" s="269">
        <f t="shared" si="26"/>
        <v>9.9999999999999978E-2</v>
      </c>
      <c r="AL282" s="153">
        <v>4.5</v>
      </c>
      <c r="AM282" s="149">
        <v>4</v>
      </c>
      <c r="AN282" s="157">
        <v>4.5</v>
      </c>
      <c r="AO282" s="144">
        <v>7.3</v>
      </c>
      <c r="AP282" s="154">
        <v>53</v>
      </c>
      <c r="AQ282" s="248">
        <v>65</v>
      </c>
      <c r="AR282" s="142">
        <v>9.3000000000000007</v>
      </c>
      <c r="AS282" s="149">
        <v>9.6</v>
      </c>
      <c r="AT282" s="153">
        <v>4.5</v>
      </c>
      <c r="AU282" s="149">
        <v>3.7</v>
      </c>
      <c r="AV282" s="158">
        <v>95</v>
      </c>
      <c r="AW282" s="248">
        <v>73</v>
      </c>
      <c r="AX282" s="159">
        <v>141</v>
      </c>
      <c r="AY282" s="106">
        <v>142</v>
      </c>
      <c r="AZ282" s="153">
        <v>1.9</v>
      </c>
      <c r="BA282" s="149">
        <v>2.1</v>
      </c>
      <c r="BB282" s="154">
        <v>105</v>
      </c>
      <c r="BC282" s="248">
        <v>104</v>
      </c>
      <c r="BD282" s="96">
        <f t="shared" si="27"/>
        <v>295.86611111111114</v>
      </c>
      <c r="BE282" s="96">
        <f t="shared" si="28"/>
        <v>297.33255555555559</v>
      </c>
      <c r="BF282" s="89">
        <v>4.58</v>
      </c>
      <c r="BG282" s="142">
        <v>4.76</v>
      </c>
      <c r="BH282" s="88">
        <v>14.3</v>
      </c>
      <c r="BI282" s="80">
        <v>14.8</v>
      </c>
      <c r="BJ282" s="89">
        <v>42.2</v>
      </c>
      <c r="BK282" s="142">
        <v>45.4</v>
      </c>
      <c r="BL282" s="88">
        <v>92</v>
      </c>
      <c r="BM282" s="80">
        <v>94.9</v>
      </c>
      <c r="BN282" s="89">
        <v>31.3</v>
      </c>
      <c r="BO282" s="142">
        <v>30.9</v>
      </c>
      <c r="BP282" s="88">
        <v>34</v>
      </c>
      <c r="BQ282" s="80">
        <v>32.5</v>
      </c>
      <c r="BR282" s="89">
        <v>284</v>
      </c>
      <c r="BS282" s="142">
        <v>289</v>
      </c>
      <c r="BT282" s="63">
        <v>13.8</v>
      </c>
      <c r="BU282" s="80">
        <v>12.8</v>
      </c>
      <c r="BV282" s="142">
        <v>0.63</v>
      </c>
      <c r="BW282" s="142">
        <v>0.67</v>
      </c>
      <c r="BX282" s="63">
        <v>2.74</v>
      </c>
      <c r="BY282" s="61">
        <v>4.09</v>
      </c>
      <c r="BZ282" s="89">
        <v>20.6</v>
      </c>
      <c r="CA282" s="142">
        <v>41</v>
      </c>
      <c r="CB282" s="63">
        <v>57</v>
      </c>
      <c r="CC282" s="61">
        <v>45.8</v>
      </c>
      <c r="CD282" s="89">
        <v>11.1</v>
      </c>
      <c r="CE282" s="142">
        <v>8.3000000000000007</v>
      </c>
      <c r="CF282" s="63">
        <v>9.1</v>
      </c>
      <c r="CG282" s="61">
        <v>4</v>
      </c>
      <c r="CH282" s="89">
        <v>2.2000000000000002</v>
      </c>
      <c r="CI282" s="142">
        <v>0.9</v>
      </c>
      <c r="CJ282" s="86" t="b">
        <f t="shared" si="29"/>
        <v>0</v>
      </c>
      <c r="CK282" s="2" t="b">
        <f t="shared" si="30"/>
        <v>0</v>
      </c>
      <c r="CL282" s="98">
        <f t="shared" si="31"/>
        <v>79.259819999999991</v>
      </c>
      <c r="CM282" s="96">
        <v>92.55</v>
      </c>
      <c r="CN282" s="98">
        <v>183.2</v>
      </c>
      <c r="CO282" s="86">
        <v>45.83</v>
      </c>
      <c r="CP282" s="98">
        <v>58</v>
      </c>
      <c r="CQ282" s="98">
        <v>62</v>
      </c>
      <c r="CR282" s="99">
        <v>14.36</v>
      </c>
    </row>
    <row r="283" spans="1:96" ht="15.75" customHeight="1">
      <c r="A283" s="150">
        <v>2022</v>
      </c>
      <c r="B283" s="150" t="s">
        <v>204</v>
      </c>
      <c r="C283" s="151">
        <v>3258</v>
      </c>
      <c r="D283" s="61">
        <v>26</v>
      </c>
      <c r="E283" s="61">
        <v>82</v>
      </c>
      <c r="F283" s="61">
        <v>1</v>
      </c>
      <c r="G283" s="51" t="s">
        <v>82</v>
      </c>
      <c r="H283" s="52" t="s">
        <v>83</v>
      </c>
      <c r="I283" s="53" t="s">
        <v>84</v>
      </c>
      <c r="J283" s="52" t="s">
        <v>99</v>
      </c>
      <c r="K283" s="53">
        <v>37.5</v>
      </c>
      <c r="L283" s="52">
        <v>62.5</v>
      </c>
      <c r="M283" s="152">
        <v>233</v>
      </c>
      <c r="N283" s="247">
        <v>812</v>
      </c>
      <c r="O283" s="80" t="s">
        <v>94</v>
      </c>
      <c r="P283" s="80" t="s">
        <v>94</v>
      </c>
      <c r="Q283" s="149">
        <v>3.5</v>
      </c>
      <c r="R283" s="149">
        <v>2.1</v>
      </c>
      <c r="S283" s="248">
        <v>241</v>
      </c>
      <c r="T283" s="248">
        <v>286</v>
      </c>
      <c r="U283" s="90">
        <v>40</v>
      </c>
      <c r="V283" s="249">
        <v>52</v>
      </c>
      <c r="W283" s="80" t="s">
        <v>94</v>
      </c>
      <c r="X283" s="80" t="s">
        <v>94</v>
      </c>
      <c r="Y283" s="143" t="s">
        <v>94</v>
      </c>
      <c r="Z283" s="143" t="s">
        <v>94</v>
      </c>
      <c r="AA283" s="80" t="s">
        <v>94</v>
      </c>
      <c r="AB283" s="80" t="s">
        <v>94</v>
      </c>
      <c r="AC283" s="89">
        <v>4.5</v>
      </c>
      <c r="AD283" s="149">
        <v>5.4</v>
      </c>
      <c r="AE283" s="320">
        <v>106.5</v>
      </c>
      <c r="AF283" s="320">
        <v>106.5</v>
      </c>
      <c r="AG283" s="113">
        <v>42</v>
      </c>
      <c r="AH283" s="113">
        <v>43</v>
      </c>
      <c r="AI283" s="144">
        <v>1</v>
      </c>
      <c r="AJ283" s="144">
        <v>1</v>
      </c>
      <c r="AK283" s="269">
        <f t="shared" si="26"/>
        <v>0</v>
      </c>
      <c r="AL283" s="149">
        <v>4.8</v>
      </c>
      <c r="AM283" s="149">
        <v>3.8</v>
      </c>
      <c r="AN283" s="144">
        <v>7.5</v>
      </c>
      <c r="AO283" s="144">
        <v>7.4</v>
      </c>
      <c r="AP283" s="248">
        <v>76</v>
      </c>
      <c r="AQ283" s="248">
        <v>99</v>
      </c>
      <c r="AR283" s="89">
        <v>10.1</v>
      </c>
      <c r="AS283" s="149">
        <v>9.6999999999999993</v>
      </c>
      <c r="AT283" s="149">
        <v>5</v>
      </c>
      <c r="AU283" s="149">
        <v>4</v>
      </c>
      <c r="AV283" s="248">
        <v>90</v>
      </c>
      <c r="AW283" s="248">
        <v>97</v>
      </c>
      <c r="AX283" s="106">
        <v>144</v>
      </c>
      <c r="AY283" s="106">
        <v>141</v>
      </c>
      <c r="AZ283" s="149">
        <v>2.2000000000000002</v>
      </c>
      <c r="BA283" s="149">
        <v>2.2000000000000002</v>
      </c>
      <c r="BB283" s="248">
        <v>104</v>
      </c>
      <c r="BC283" s="248">
        <v>105</v>
      </c>
      <c r="BD283" s="96">
        <f t="shared" si="27"/>
        <v>303.89</v>
      </c>
      <c r="BE283" s="96">
        <f t="shared" si="28"/>
        <v>297.06388888888887</v>
      </c>
      <c r="BF283" s="89">
        <v>5.05</v>
      </c>
      <c r="BG283" s="142">
        <v>5.0199999999999996</v>
      </c>
      <c r="BH283" s="88">
        <v>15.8</v>
      </c>
      <c r="BI283" s="80">
        <v>15.7</v>
      </c>
      <c r="BJ283" s="89">
        <v>46.5</v>
      </c>
      <c r="BK283" s="142">
        <v>47.9</v>
      </c>
      <c r="BL283" s="88">
        <v>92.2</v>
      </c>
      <c r="BM283" s="80">
        <v>94.5</v>
      </c>
      <c r="BN283" s="89">
        <v>31.3</v>
      </c>
      <c r="BO283" s="142">
        <v>30.9</v>
      </c>
      <c r="BP283" s="88">
        <v>34</v>
      </c>
      <c r="BQ283" s="80">
        <v>32.799999999999997</v>
      </c>
      <c r="BR283" s="89">
        <v>342</v>
      </c>
      <c r="BS283" s="142">
        <v>308</v>
      </c>
      <c r="BT283" s="63">
        <v>14</v>
      </c>
      <c r="BU283" s="80">
        <v>12.9</v>
      </c>
      <c r="BV283" s="142">
        <v>0.39</v>
      </c>
      <c r="BW283" s="142">
        <v>0.3</v>
      </c>
      <c r="BX283" s="63">
        <v>7.67</v>
      </c>
      <c r="BY283" s="61">
        <v>10.57</v>
      </c>
      <c r="BZ283" s="89">
        <v>51</v>
      </c>
      <c r="CA283" s="142">
        <v>63.1</v>
      </c>
      <c r="CB283" s="63">
        <v>36.200000000000003</v>
      </c>
      <c r="CC283" s="61">
        <v>24.9</v>
      </c>
      <c r="CD283" s="89">
        <v>9.5</v>
      </c>
      <c r="CE283" s="142">
        <v>8.4</v>
      </c>
      <c r="CF283" s="63">
        <v>2.1</v>
      </c>
      <c r="CG283" s="61">
        <v>2.6</v>
      </c>
      <c r="CH283" s="89">
        <v>1.2</v>
      </c>
      <c r="CI283" s="142">
        <v>1</v>
      </c>
      <c r="CJ283" s="86" t="b">
        <f t="shared" si="29"/>
        <v>0</v>
      </c>
      <c r="CK283" s="2" t="b">
        <f t="shared" si="30"/>
        <v>0</v>
      </c>
      <c r="CL283" s="98">
        <f t="shared" si="31"/>
        <v>72.216679999999997</v>
      </c>
      <c r="CM283" s="96">
        <v>87.05</v>
      </c>
      <c r="CN283" s="98">
        <v>173.3</v>
      </c>
      <c r="CO283" s="86">
        <v>46.36</v>
      </c>
      <c r="CP283" s="98">
        <v>50</v>
      </c>
      <c r="CQ283" s="98">
        <v>46</v>
      </c>
      <c r="CR283" s="99">
        <v>17.04</v>
      </c>
    </row>
    <row r="284" spans="1:96" ht="15.75" customHeight="1">
      <c r="A284" s="150">
        <v>2022</v>
      </c>
      <c r="B284" s="150" t="s">
        <v>204</v>
      </c>
      <c r="C284" s="151">
        <v>3259</v>
      </c>
      <c r="D284" s="61">
        <v>25</v>
      </c>
      <c r="E284" s="61">
        <v>68.7</v>
      </c>
      <c r="F284" s="61">
        <v>1</v>
      </c>
      <c r="G284" s="51" t="s">
        <v>86</v>
      </c>
      <c r="H284" s="52" t="s">
        <v>92</v>
      </c>
      <c r="I284" s="53" t="s">
        <v>84</v>
      </c>
      <c r="J284" s="52" t="s">
        <v>99</v>
      </c>
      <c r="K284" s="53">
        <v>75</v>
      </c>
      <c r="L284" s="52">
        <v>25</v>
      </c>
      <c r="M284" s="152">
        <v>322</v>
      </c>
      <c r="N284" s="247">
        <v>1486</v>
      </c>
      <c r="O284" s="80" t="s">
        <v>94</v>
      </c>
      <c r="P284" s="80" t="s">
        <v>94</v>
      </c>
      <c r="Q284" s="149">
        <v>1.8</v>
      </c>
      <c r="R284" s="149">
        <v>2.2999999999999998</v>
      </c>
      <c r="S284" s="248">
        <v>222</v>
      </c>
      <c r="T284" s="248">
        <v>377</v>
      </c>
      <c r="U284" s="90">
        <v>44</v>
      </c>
      <c r="V284" s="249">
        <v>140</v>
      </c>
      <c r="W284" s="80" t="s">
        <v>94</v>
      </c>
      <c r="X284" s="80" t="s">
        <v>94</v>
      </c>
      <c r="Y284" s="143" t="s">
        <v>94</v>
      </c>
      <c r="Z284" s="143" t="s">
        <v>94</v>
      </c>
      <c r="AA284" s="80" t="s">
        <v>94</v>
      </c>
      <c r="AB284" s="80" t="s">
        <v>94</v>
      </c>
      <c r="AC284" s="89">
        <v>4.7</v>
      </c>
      <c r="AD284" s="149">
        <v>6.3</v>
      </c>
      <c r="AE284" s="320">
        <v>95.5</v>
      </c>
      <c r="AF284" s="320">
        <v>86.1</v>
      </c>
      <c r="AG284" s="113">
        <v>36</v>
      </c>
      <c r="AH284" s="113">
        <v>56</v>
      </c>
      <c r="AI284" s="144">
        <v>1.1000000000000001</v>
      </c>
      <c r="AJ284" s="144">
        <v>1.2</v>
      </c>
      <c r="AK284" s="269">
        <f t="shared" si="26"/>
        <v>9.9999999999999867E-2</v>
      </c>
      <c r="AL284" s="149">
        <v>4.4000000000000004</v>
      </c>
      <c r="AM284" s="149">
        <v>3.9</v>
      </c>
      <c r="AN284" s="144">
        <v>6.5</v>
      </c>
      <c r="AO284" s="144">
        <v>7.2</v>
      </c>
      <c r="AP284" s="248">
        <v>62</v>
      </c>
      <c r="AQ284" s="248">
        <v>103</v>
      </c>
      <c r="AR284" s="89">
        <v>9.3000000000000007</v>
      </c>
      <c r="AS284" s="149">
        <v>10.199999999999999</v>
      </c>
      <c r="AT284" s="149">
        <v>4.3</v>
      </c>
      <c r="AU284" s="149">
        <v>4.7</v>
      </c>
      <c r="AV284" s="248">
        <v>85</v>
      </c>
      <c r="AW284" s="248">
        <v>121</v>
      </c>
      <c r="AX284" s="159" t="s">
        <v>94</v>
      </c>
      <c r="AY284" s="106">
        <v>157</v>
      </c>
      <c r="AZ284" s="149">
        <v>2</v>
      </c>
      <c r="BA284" s="149">
        <v>2.2999999999999998</v>
      </c>
      <c r="BB284" s="154" t="s">
        <v>94</v>
      </c>
      <c r="BC284" s="248">
        <v>120</v>
      </c>
      <c r="BD284" s="96" t="e">
        <f t="shared" si="27"/>
        <v>#VALUE!</v>
      </c>
      <c r="BE284" s="96">
        <f t="shared" si="28"/>
        <v>331.82588888888887</v>
      </c>
      <c r="BF284" s="89">
        <v>4.63</v>
      </c>
      <c r="BG284" s="142">
        <v>4.62</v>
      </c>
      <c r="BH284" s="88">
        <v>14.2</v>
      </c>
      <c r="BI284" s="80">
        <v>14.1</v>
      </c>
      <c r="BJ284" s="89">
        <v>41.3</v>
      </c>
      <c r="BK284" s="142">
        <v>43.2</v>
      </c>
      <c r="BL284" s="88">
        <v>89.2</v>
      </c>
      <c r="BM284" s="80">
        <v>92.5</v>
      </c>
      <c r="BN284" s="89">
        <v>30.7</v>
      </c>
      <c r="BO284" s="142">
        <v>30.2</v>
      </c>
      <c r="BP284" s="88">
        <v>34.5</v>
      </c>
      <c r="BQ284" s="80">
        <v>32.6</v>
      </c>
      <c r="BR284" s="89">
        <v>252</v>
      </c>
      <c r="BS284" s="142">
        <v>238</v>
      </c>
      <c r="BT284" s="63">
        <v>14.2</v>
      </c>
      <c r="BU284" s="80">
        <v>13.4</v>
      </c>
      <c r="BV284" s="142">
        <v>0.81</v>
      </c>
      <c r="BW284" s="142">
        <v>1.24</v>
      </c>
      <c r="BX284" s="63">
        <v>5.16</v>
      </c>
      <c r="BY284" s="61">
        <v>9.6999999999999993</v>
      </c>
      <c r="BZ284" s="89">
        <v>52</v>
      </c>
      <c r="CA284" s="142">
        <v>78.900000000000006</v>
      </c>
      <c r="CB284" s="63">
        <v>32</v>
      </c>
      <c r="CC284" s="61">
        <v>14.6</v>
      </c>
      <c r="CD284" s="89">
        <v>10.7</v>
      </c>
      <c r="CE284" s="142">
        <v>5.5</v>
      </c>
      <c r="CF284" s="63">
        <v>4.0999999999999996</v>
      </c>
      <c r="CG284" s="61">
        <v>0.8</v>
      </c>
      <c r="CH284" s="89">
        <v>1.2</v>
      </c>
      <c r="CI284" s="142">
        <v>0.2</v>
      </c>
      <c r="CJ284" s="86" t="b">
        <f t="shared" si="29"/>
        <v>0</v>
      </c>
      <c r="CK284" s="2" t="b">
        <f t="shared" si="30"/>
        <v>1</v>
      </c>
      <c r="CL284" s="98">
        <f t="shared" si="31"/>
        <v>66.786999999999992</v>
      </c>
      <c r="CM284" s="96">
        <v>71.05</v>
      </c>
      <c r="CN284" s="98">
        <v>172.4</v>
      </c>
      <c r="CO284" s="86">
        <v>56.66</v>
      </c>
      <c r="CP284" s="98">
        <v>58</v>
      </c>
      <c r="CQ284" s="98">
        <v>44</v>
      </c>
      <c r="CR284" s="99">
        <v>6</v>
      </c>
    </row>
    <row r="285" spans="1:96" ht="15.75" customHeight="1">
      <c r="A285" s="150">
        <v>2022</v>
      </c>
      <c r="B285" s="150" t="s">
        <v>204</v>
      </c>
      <c r="C285" s="151">
        <v>3260</v>
      </c>
      <c r="D285" s="61">
        <v>25</v>
      </c>
      <c r="E285" s="61">
        <v>82</v>
      </c>
      <c r="F285" s="61">
        <v>1</v>
      </c>
      <c r="G285" s="51" t="s">
        <v>86</v>
      </c>
      <c r="H285" s="52" t="s">
        <v>83</v>
      </c>
      <c r="I285" s="53" t="s">
        <v>84</v>
      </c>
      <c r="J285" s="52" t="s">
        <v>97</v>
      </c>
      <c r="K285" s="53">
        <v>75</v>
      </c>
      <c r="L285" s="52">
        <v>25</v>
      </c>
      <c r="M285" s="152">
        <v>427</v>
      </c>
      <c r="N285" s="247" t="s">
        <v>94</v>
      </c>
      <c r="O285" s="80" t="s">
        <v>94</v>
      </c>
      <c r="P285" s="80" t="s">
        <v>94</v>
      </c>
      <c r="Q285" s="153">
        <v>2</v>
      </c>
      <c r="R285" s="149">
        <v>1.8</v>
      </c>
      <c r="S285" s="154">
        <v>279</v>
      </c>
      <c r="T285" s="248">
        <v>814</v>
      </c>
      <c r="U285" s="143">
        <v>63</v>
      </c>
      <c r="V285" s="249">
        <v>432</v>
      </c>
      <c r="W285" s="80" t="s">
        <v>94</v>
      </c>
      <c r="X285" s="80" t="s">
        <v>94</v>
      </c>
      <c r="Y285" s="143" t="s">
        <v>94</v>
      </c>
      <c r="Z285" s="143" t="s">
        <v>94</v>
      </c>
      <c r="AA285" s="80" t="s">
        <v>94</v>
      </c>
      <c r="AB285" s="80" t="s">
        <v>94</v>
      </c>
      <c r="AC285" s="142">
        <v>3.7</v>
      </c>
      <c r="AD285" s="149">
        <v>5.0999999999999996</v>
      </c>
      <c r="AE285" s="320">
        <v>107.1</v>
      </c>
      <c r="AF285" s="320">
        <v>95.5</v>
      </c>
      <c r="AG285" s="156">
        <v>53</v>
      </c>
      <c r="AH285" s="113">
        <v>66</v>
      </c>
      <c r="AI285" s="119">
        <v>1</v>
      </c>
      <c r="AJ285" s="144">
        <v>1.1000000000000001</v>
      </c>
      <c r="AK285" s="269">
        <f t="shared" si="26"/>
        <v>0.10000000000000009</v>
      </c>
      <c r="AL285" s="153">
        <v>3.7</v>
      </c>
      <c r="AM285" s="149">
        <v>3.8</v>
      </c>
      <c r="AN285" s="157">
        <v>4.0999999999999996</v>
      </c>
      <c r="AO285" s="144">
        <v>6.5</v>
      </c>
      <c r="AP285" s="154">
        <v>50</v>
      </c>
      <c r="AQ285" s="248">
        <v>46</v>
      </c>
      <c r="AR285" s="142">
        <v>9.1999999999999993</v>
      </c>
      <c r="AS285" s="149">
        <v>9.5</v>
      </c>
      <c r="AT285" s="153">
        <v>4.0999999999999996</v>
      </c>
      <c r="AU285" s="149">
        <v>4.4000000000000004</v>
      </c>
      <c r="AV285" s="158">
        <v>91</v>
      </c>
      <c r="AW285" s="248">
        <v>76</v>
      </c>
      <c r="AX285" s="154">
        <v>143</v>
      </c>
      <c r="AY285" s="248">
        <v>142</v>
      </c>
      <c r="AZ285" s="153">
        <v>1.9</v>
      </c>
      <c r="BA285" s="149">
        <v>2.4</v>
      </c>
      <c r="BB285" s="154">
        <v>107</v>
      </c>
      <c r="BC285" s="248">
        <v>104</v>
      </c>
      <c r="BD285" s="96">
        <f t="shared" si="27"/>
        <v>302.25322222222218</v>
      </c>
      <c r="BE285" s="96">
        <f t="shared" si="28"/>
        <v>302.15955555555558</v>
      </c>
      <c r="BF285" s="89">
        <v>5.0199999999999996</v>
      </c>
      <c r="BG285" s="142">
        <v>4.91</v>
      </c>
      <c r="BH285" s="88">
        <v>13.8</v>
      </c>
      <c r="BI285" s="80">
        <v>13.5</v>
      </c>
      <c r="BJ285" s="89">
        <v>42.2</v>
      </c>
      <c r="BK285" s="142">
        <v>41.6</v>
      </c>
      <c r="BL285" s="88">
        <v>84.1</v>
      </c>
      <c r="BM285" s="80">
        <v>84.5</v>
      </c>
      <c r="BN285" s="89">
        <v>27.5</v>
      </c>
      <c r="BO285" s="142">
        <v>27.3</v>
      </c>
      <c r="BP285" s="88">
        <v>32.700000000000003</v>
      </c>
      <c r="BQ285" s="80">
        <v>32.4</v>
      </c>
      <c r="BR285" s="89">
        <v>303</v>
      </c>
      <c r="BS285" s="142">
        <v>350</v>
      </c>
      <c r="BT285" s="63">
        <v>14.3</v>
      </c>
      <c r="BU285" s="80">
        <v>13.5</v>
      </c>
      <c r="BV285" s="142">
        <v>0.44</v>
      </c>
      <c r="BW285" s="142">
        <v>0.83</v>
      </c>
      <c r="BX285" s="63">
        <v>4.25</v>
      </c>
      <c r="BY285" s="61">
        <v>9.4</v>
      </c>
      <c r="BZ285" s="89">
        <v>59.6</v>
      </c>
      <c r="CA285" s="142">
        <v>75.2</v>
      </c>
      <c r="CB285" s="63">
        <v>27.5</v>
      </c>
      <c r="CC285" s="61">
        <v>18</v>
      </c>
      <c r="CD285" s="89">
        <v>8.6999999999999993</v>
      </c>
      <c r="CE285" s="142">
        <v>6.4</v>
      </c>
      <c r="CF285" s="63">
        <v>3</v>
      </c>
      <c r="CG285" s="61">
        <v>0.4</v>
      </c>
      <c r="CH285" s="89">
        <v>1.2</v>
      </c>
      <c r="CI285" s="142">
        <v>0</v>
      </c>
      <c r="CJ285" s="86" t="b">
        <f t="shared" si="29"/>
        <v>0</v>
      </c>
      <c r="CK285" s="2" t="b">
        <f t="shared" si="30"/>
        <v>1</v>
      </c>
      <c r="CL285" s="98">
        <f t="shared" si="31"/>
        <v>72.202060000000003</v>
      </c>
      <c r="CM285" s="96">
        <v>78.2</v>
      </c>
      <c r="CN285" s="98">
        <v>182.1</v>
      </c>
      <c r="CO285" s="86">
        <v>51.94</v>
      </c>
      <c r="CP285" s="98">
        <v>62</v>
      </c>
      <c r="CQ285" s="98">
        <v>65</v>
      </c>
      <c r="CR285" s="99">
        <v>7.67</v>
      </c>
    </row>
    <row r="286" spans="1:96" ht="15.75" customHeight="1">
      <c r="A286" s="150">
        <v>2022</v>
      </c>
      <c r="B286" s="160" t="s">
        <v>184</v>
      </c>
      <c r="C286" s="163">
        <v>3236</v>
      </c>
      <c r="D286" s="52">
        <v>27</v>
      </c>
      <c r="E286" s="52">
        <v>71</v>
      </c>
      <c r="F286" s="80">
        <v>0</v>
      </c>
      <c r="G286" s="51" t="s">
        <v>89</v>
      </c>
      <c r="H286" s="52" t="s">
        <v>83</v>
      </c>
      <c r="I286" s="53" t="s">
        <v>84</v>
      </c>
      <c r="J286" s="52" t="s">
        <v>97</v>
      </c>
      <c r="K286" s="53">
        <v>62.5</v>
      </c>
      <c r="L286" s="52">
        <v>37.5</v>
      </c>
      <c r="M286" s="87">
        <v>534</v>
      </c>
      <c r="N286" s="247">
        <v>4743</v>
      </c>
      <c r="O286" s="88" t="s">
        <v>94</v>
      </c>
      <c r="P286" s="88" t="s">
        <v>94</v>
      </c>
      <c r="Q286" s="153">
        <v>3.1</v>
      </c>
      <c r="R286" s="142">
        <v>2</v>
      </c>
      <c r="S286" s="88">
        <v>324</v>
      </c>
      <c r="T286" s="88">
        <v>480</v>
      </c>
      <c r="U286" s="249">
        <v>63</v>
      </c>
      <c r="V286" s="249">
        <v>175</v>
      </c>
      <c r="W286" s="88" t="s">
        <v>94</v>
      </c>
      <c r="X286" s="88" t="s">
        <v>94</v>
      </c>
      <c r="Y286" s="90" t="s">
        <v>94</v>
      </c>
      <c r="Z286" s="90" t="s">
        <v>94</v>
      </c>
      <c r="AA286" s="88" t="s">
        <v>94</v>
      </c>
      <c r="AB286" s="88" t="s">
        <v>94</v>
      </c>
      <c r="AC286" s="89">
        <v>3.2</v>
      </c>
      <c r="AD286" s="89">
        <v>4.5999999999999996</v>
      </c>
      <c r="AE286" s="320">
        <v>124.4</v>
      </c>
      <c r="AF286" s="320">
        <v>94.4</v>
      </c>
      <c r="AG286" s="89">
        <v>51</v>
      </c>
      <c r="AH286" s="89">
        <v>70</v>
      </c>
      <c r="AI286" s="88">
        <v>0.8</v>
      </c>
      <c r="AJ286" s="88">
        <v>1.1000000000000001</v>
      </c>
      <c r="AK286" s="269">
        <f t="shared" si="26"/>
        <v>0.30000000000000004</v>
      </c>
      <c r="AL286" s="89">
        <v>4.0999999999999996</v>
      </c>
      <c r="AM286" s="89">
        <v>5.8</v>
      </c>
      <c r="AN286" s="88">
        <v>7.2</v>
      </c>
      <c r="AO286" s="88">
        <v>6.4</v>
      </c>
      <c r="AP286" s="88">
        <v>77</v>
      </c>
      <c r="AQ286" s="88">
        <v>13</v>
      </c>
      <c r="AR286" s="142">
        <v>11.3</v>
      </c>
      <c r="AS286" s="142">
        <v>10.7</v>
      </c>
      <c r="AT286" s="89">
        <v>4.5</v>
      </c>
      <c r="AU286" s="89">
        <v>4.0999999999999996</v>
      </c>
      <c r="AV286" s="88">
        <v>98</v>
      </c>
      <c r="AW286" s="88">
        <v>109</v>
      </c>
      <c r="AX286" s="88">
        <v>143</v>
      </c>
      <c r="AY286" s="88">
        <v>138</v>
      </c>
      <c r="AZ286" s="142">
        <v>2</v>
      </c>
      <c r="BA286" s="142">
        <v>2</v>
      </c>
      <c r="BB286" s="61">
        <v>105</v>
      </c>
      <c r="BC286" s="61">
        <v>97</v>
      </c>
      <c r="BD286" s="96">
        <f t="shared" si="27"/>
        <v>303.11111111111114</v>
      </c>
      <c r="BE286" s="96">
        <f t="shared" si="28"/>
        <v>296.93655555555557</v>
      </c>
      <c r="BF286" s="89" t="s">
        <v>94</v>
      </c>
      <c r="BG286" s="89" t="s">
        <v>94</v>
      </c>
      <c r="BH286" s="80">
        <v>14.5</v>
      </c>
      <c r="BI286" s="80">
        <v>14.2</v>
      </c>
      <c r="BJ286" s="142">
        <v>45</v>
      </c>
      <c r="BK286" s="142">
        <v>44.1</v>
      </c>
      <c r="BL286" s="80">
        <v>79.3</v>
      </c>
      <c r="BM286" s="80">
        <v>80.400000000000006</v>
      </c>
      <c r="BN286" s="142">
        <v>25.6</v>
      </c>
      <c r="BO286" s="142">
        <v>25.9</v>
      </c>
      <c r="BP286" s="61">
        <v>32.299999999999997</v>
      </c>
      <c r="BQ286" s="61">
        <v>32.200000000000003</v>
      </c>
      <c r="BR286" s="142">
        <v>363</v>
      </c>
      <c r="BS286" s="142">
        <v>399</v>
      </c>
      <c r="BT286" s="80">
        <v>13.9</v>
      </c>
      <c r="BU286" s="80">
        <v>14</v>
      </c>
      <c r="BV286" s="142">
        <v>0.79</v>
      </c>
      <c r="BW286" s="142">
        <v>0.76</v>
      </c>
      <c r="BX286" s="80">
        <v>7.77</v>
      </c>
      <c r="BY286" s="80">
        <v>15.94</v>
      </c>
      <c r="BZ286" s="142">
        <v>61.8</v>
      </c>
      <c r="CA286" s="142">
        <v>11.59</v>
      </c>
      <c r="CB286" s="61">
        <v>61.8</v>
      </c>
      <c r="CC286" s="61">
        <v>11.59</v>
      </c>
      <c r="CD286" s="142">
        <v>10.8</v>
      </c>
      <c r="CE286" s="142">
        <v>1.73</v>
      </c>
      <c r="CF286" s="80">
        <v>1.5</v>
      </c>
      <c r="CG286" s="80">
        <v>0.05</v>
      </c>
      <c r="CH286" s="142">
        <v>1.3</v>
      </c>
      <c r="CI286" s="142">
        <v>0.06</v>
      </c>
      <c r="CJ286" s="86" t="b">
        <f t="shared" si="29"/>
        <v>1</v>
      </c>
      <c r="CK286" s="2" t="b">
        <f t="shared" si="30"/>
        <v>1</v>
      </c>
      <c r="CL286" s="98">
        <f t="shared" si="31"/>
        <v>69.121659999999991</v>
      </c>
      <c r="CM286" s="96">
        <v>77.3</v>
      </c>
      <c r="CN286" s="98">
        <v>170.3</v>
      </c>
      <c r="CO286" s="86">
        <v>49.62</v>
      </c>
      <c r="CP286" s="98">
        <v>50</v>
      </c>
      <c r="CQ286" s="98">
        <v>52</v>
      </c>
      <c r="CR286" s="99">
        <v>10.58</v>
      </c>
    </row>
    <row r="287" spans="1:96" ht="15.75" customHeight="1">
      <c r="A287" s="150">
        <v>2022</v>
      </c>
      <c r="B287" s="160" t="s">
        <v>184</v>
      </c>
      <c r="C287" s="163">
        <v>3237</v>
      </c>
      <c r="D287" s="52">
        <v>24</v>
      </c>
      <c r="E287" s="52">
        <v>77</v>
      </c>
      <c r="F287" s="80">
        <v>0</v>
      </c>
      <c r="G287" s="51" t="s">
        <v>89</v>
      </c>
      <c r="H287" s="52" t="s">
        <v>90</v>
      </c>
      <c r="I287" s="53" t="s">
        <v>87</v>
      </c>
      <c r="J287" s="52" t="s">
        <v>98</v>
      </c>
      <c r="K287" s="53">
        <v>12.5</v>
      </c>
      <c r="L287" s="52">
        <v>87.5</v>
      </c>
      <c r="M287" s="87">
        <v>446</v>
      </c>
      <c r="N287" s="247">
        <v>885</v>
      </c>
      <c r="O287" s="88" t="s">
        <v>94</v>
      </c>
      <c r="P287" s="88" t="s">
        <v>94</v>
      </c>
      <c r="Q287" s="153">
        <v>3.4</v>
      </c>
      <c r="R287" s="142">
        <v>2</v>
      </c>
      <c r="S287" s="88">
        <v>226</v>
      </c>
      <c r="T287" s="88">
        <v>267</v>
      </c>
      <c r="U287" s="249">
        <v>44</v>
      </c>
      <c r="V287" s="249">
        <v>70</v>
      </c>
      <c r="W287" s="88" t="s">
        <v>94</v>
      </c>
      <c r="X287" s="88" t="s">
        <v>94</v>
      </c>
      <c r="Y287" s="90" t="s">
        <v>94</v>
      </c>
      <c r="Z287" s="90" t="s">
        <v>94</v>
      </c>
      <c r="AA287" s="88" t="s">
        <v>94</v>
      </c>
      <c r="AB287" s="88" t="s">
        <v>94</v>
      </c>
      <c r="AC287" s="89">
        <v>4.5</v>
      </c>
      <c r="AD287" s="89">
        <v>5.3</v>
      </c>
      <c r="AE287" s="320">
        <v>122.3</v>
      </c>
      <c r="AF287" s="320">
        <v>96.1</v>
      </c>
      <c r="AG287" s="89">
        <v>58</v>
      </c>
      <c r="AH287" s="89">
        <v>58</v>
      </c>
      <c r="AI287" s="88">
        <v>0.9</v>
      </c>
      <c r="AJ287" s="88">
        <v>1.1000000000000001</v>
      </c>
      <c r="AK287" s="269">
        <f t="shared" si="26"/>
        <v>0.20000000000000007</v>
      </c>
      <c r="AL287" s="89">
        <v>3.9</v>
      </c>
      <c r="AM287" s="89">
        <v>4.5999999999999996</v>
      </c>
      <c r="AN287" s="88">
        <v>6.9</v>
      </c>
      <c r="AO287" s="88">
        <v>6.5</v>
      </c>
      <c r="AP287" s="88">
        <v>138</v>
      </c>
      <c r="AQ287" s="88">
        <v>19</v>
      </c>
      <c r="AR287" s="153">
        <v>12</v>
      </c>
      <c r="AS287" s="153">
        <v>9.3000000000000007</v>
      </c>
      <c r="AT287" s="89">
        <v>4.5</v>
      </c>
      <c r="AU287" s="89">
        <v>3.9</v>
      </c>
      <c r="AV287" s="88">
        <v>118</v>
      </c>
      <c r="AW287" s="88">
        <v>97</v>
      </c>
      <c r="AX287" s="88">
        <v>142</v>
      </c>
      <c r="AY287" s="88">
        <v>139</v>
      </c>
      <c r="AZ287" s="153">
        <v>2.7</v>
      </c>
      <c r="BA287" s="153">
        <v>1.8</v>
      </c>
      <c r="BB287" s="98">
        <v>118</v>
      </c>
      <c r="BC287" s="159">
        <v>98</v>
      </c>
      <c r="BD287" s="96">
        <f t="shared" si="27"/>
        <v>303.69555555555559</v>
      </c>
      <c r="BE287" s="96">
        <f t="shared" si="28"/>
        <v>295.65788888888892</v>
      </c>
      <c r="BF287" s="89" t="s">
        <v>94</v>
      </c>
      <c r="BG287" s="89" t="s">
        <v>94</v>
      </c>
      <c r="BH287" s="80">
        <v>14.2</v>
      </c>
      <c r="BI287" s="80">
        <v>13.1</v>
      </c>
      <c r="BJ287" s="142">
        <v>44.3</v>
      </c>
      <c r="BK287" s="142">
        <v>39</v>
      </c>
      <c r="BL287" s="80">
        <v>96.5</v>
      </c>
      <c r="BM287" s="80">
        <v>95.8</v>
      </c>
      <c r="BN287" s="142">
        <v>30.9</v>
      </c>
      <c r="BO287" s="142">
        <v>32.200000000000003</v>
      </c>
      <c r="BP287" s="61">
        <v>32</v>
      </c>
      <c r="BQ287" s="61">
        <v>33.700000000000003</v>
      </c>
      <c r="BR287" s="142">
        <v>285</v>
      </c>
      <c r="BS287" s="142">
        <v>248</v>
      </c>
      <c r="BT287" s="80">
        <v>13.4</v>
      </c>
      <c r="BU287" s="80">
        <v>14.3</v>
      </c>
      <c r="BV287" s="142">
        <v>1.21</v>
      </c>
      <c r="BW287" s="142">
        <v>0.94</v>
      </c>
      <c r="BX287" s="80">
        <v>7.26</v>
      </c>
      <c r="BY287" s="80">
        <v>7.35</v>
      </c>
      <c r="BZ287" s="142">
        <v>64</v>
      </c>
      <c r="CA287" s="142">
        <v>5.78</v>
      </c>
      <c r="CB287" s="61">
        <v>64</v>
      </c>
      <c r="CC287" s="61">
        <v>5.78</v>
      </c>
      <c r="CD287" s="142">
        <v>8.6</v>
      </c>
      <c r="CE287" s="142">
        <v>0.66</v>
      </c>
      <c r="CF287" s="80">
        <v>1.4</v>
      </c>
      <c r="CG287" s="80">
        <v>0.01</v>
      </c>
      <c r="CH287" s="142">
        <v>0.7</v>
      </c>
      <c r="CI287" s="142">
        <v>0.03</v>
      </c>
      <c r="CJ287" s="86" t="b">
        <f t="shared" si="29"/>
        <v>0</v>
      </c>
      <c r="CK287" s="2" t="b">
        <f t="shared" si="30"/>
        <v>0</v>
      </c>
      <c r="CL287" s="98">
        <f t="shared" si="31"/>
        <v>70.724639999999994</v>
      </c>
      <c r="CM287" s="96">
        <v>77.599999999999994</v>
      </c>
      <c r="CN287" s="98">
        <v>178</v>
      </c>
      <c r="CO287" s="86">
        <v>53.68</v>
      </c>
      <c r="CP287" s="98">
        <v>51</v>
      </c>
      <c r="CQ287" s="98">
        <v>51</v>
      </c>
      <c r="CR287" s="99">
        <v>8.86</v>
      </c>
    </row>
    <row r="288" spans="1:96" ht="15.75" customHeight="1">
      <c r="A288" s="150">
        <v>2022</v>
      </c>
      <c r="B288" s="160" t="s">
        <v>184</v>
      </c>
      <c r="C288" s="163">
        <v>3238</v>
      </c>
      <c r="D288" s="52">
        <v>24</v>
      </c>
      <c r="E288" s="52">
        <v>70</v>
      </c>
      <c r="F288" s="80">
        <v>0</v>
      </c>
      <c r="G288" s="51" t="s">
        <v>82</v>
      </c>
      <c r="H288" s="52" t="s">
        <v>92</v>
      </c>
      <c r="I288" s="53" t="s">
        <v>87</v>
      </c>
      <c r="J288" s="52" t="s">
        <v>98</v>
      </c>
      <c r="K288" s="53">
        <v>25</v>
      </c>
      <c r="L288" s="52">
        <v>75</v>
      </c>
      <c r="M288" s="87">
        <v>1253</v>
      </c>
      <c r="N288" s="247">
        <v>1253</v>
      </c>
      <c r="O288" s="88" t="s">
        <v>94</v>
      </c>
      <c r="P288" s="88" t="s">
        <v>94</v>
      </c>
      <c r="Q288" s="153">
        <v>3.3</v>
      </c>
      <c r="R288" s="142">
        <v>3.9</v>
      </c>
      <c r="S288" s="88">
        <v>262</v>
      </c>
      <c r="T288" s="88">
        <v>371</v>
      </c>
      <c r="U288" s="249">
        <v>61</v>
      </c>
      <c r="V288" s="249">
        <v>84</v>
      </c>
      <c r="W288" s="88" t="s">
        <v>94</v>
      </c>
      <c r="X288" s="88" t="s">
        <v>94</v>
      </c>
      <c r="Y288" s="90" t="s">
        <v>94</v>
      </c>
      <c r="Z288" s="90" t="s">
        <v>94</v>
      </c>
      <c r="AA288" s="88" t="s">
        <v>94</v>
      </c>
      <c r="AB288" s="88" t="s">
        <v>94</v>
      </c>
      <c r="AC288" s="89">
        <v>3.3</v>
      </c>
      <c r="AD288" s="89">
        <v>5.4</v>
      </c>
      <c r="AE288" s="320">
        <v>78.7</v>
      </c>
      <c r="AF288" s="320">
        <v>78.7</v>
      </c>
      <c r="AG288" s="89">
        <v>60</v>
      </c>
      <c r="AH288" s="89">
        <v>60</v>
      </c>
      <c r="AI288" s="88">
        <v>1.3</v>
      </c>
      <c r="AJ288" s="88">
        <v>1.3</v>
      </c>
      <c r="AK288" s="269">
        <f t="shared" si="26"/>
        <v>0</v>
      </c>
      <c r="AL288" s="89">
        <v>6.3</v>
      </c>
      <c r="AM288" s="89">
        <v>6.3</v>
      </c>
      <c r="AN288" s="88">
        <v>8.1</v>
      </c>
      <c r="AO288" s="88">
        <v>7.7</v>
      </c>
      <c r="AP288" s="88">
        <v>59</v>
      </c>
      <c r="AQ288" s="88">
        <v>21</v>
      </c>
      <c r="AR288" s="153">
        <v>12.8</v>
      </c>
      <c r="AS288" s="153">
        <v>12.6</v>
      </c>
      <c r="AT288" s="89">
        <v>4.5999999999999996</v>
      </c>
      <c r="AU288" s="89">
        <v>4.5999999999999996</v>
      </c>
      <c r="AV288" s="88">
        <v>82</v>
      </c>
      <c r="AW288" s="88">
        <v>82</v>
      </c>
      <c r="AX288" s="88">
        <v>141</v>
      </c>
      <c r="AY288" s="88">
        <v>141</v>
      </c>
      <c r="AZ288" s="153">
        <v>2.6</v>
      </c>
      <c r="BA288" s="153">
        <v>2.6</v>
      </c>
      <c r="BB288" s="98">
        <v>111</v>
      </c>
      <c r="BC288" s="159">
        <v>113</v>
      </c>
      <c r="BD288" s="96">
        <f t="shared" si="27"/>
        <v>300.05488888888891</v>
      </c>
      <c r="BE288" s="96">
        <f t="shared" si="28"/>
        <v>300.05488888888891</v>
      </c>
      <c r="BF288" s="89" t="s">
        <v>94</v>
      </c>
      <c r="BG288" s="89" t="s">
        <v>94</v>
      </c>
      <c r="BH288" s="80">
        <v>14.7</v>
      </c>
      <c r="BI288" s="80">
        <v>14.1</v>
      </c>
      <c r="BJ288" s="142">
        <v>44.4</v>
      </c>
      <c r="BK288" s="142">
        <v>43.3</v>
      </c>
      <c r="BL288" s="80">
        <v>81.5</v>
      </c>
      <c r="BM288" s="80">
        <v>83.5</v>
      </c>
      <c r="BN288" s="142">
        <v>27.1</v>
      </c>
      <c r="BO288" s="142">
        <v>27.2</v>
      </c>
      <c r="BP288" s="61">
        <v>33.200000000000003</v>
      </c>
      <c r="BQ288" s="61">
        <v>32.6</v>
      </c>
      <c r="BR288" s="142">
        <v>424</v>
      </c>
      <c r="BS288" s="142">
        <v>483</v>
      </c>
      <c r="BT288" s="61">
        <v>13</v>
      </c>
      <c r="BU288" s="61">
        <v>13.9</v>
      </c>
      <c r="BV288" s="142">
        <v>1.24</v>
      </c>
      <c r="BW288" s="142">
        <v>1.1299999999999999</v>
      </c>
      <c r="BX288" s="80">
        <v>11.27</v>
      </c>
      <c r="BY288" s="80">
        <v>16.54</v>
      </c>
      <c r="BZ288" s="142">
        <v>67.2</v>
      </c>
      <c r="CA288" s="142">
        <v>12.83</v>
      </c>
      <c r="CB288" s="61">
        <v>67.2</v>
      </c>
      <c r="CC288" s="61">
        <v>12.83</v>
      </c>
      <c r="CD288" s="142">
        <v>8.4</v>
      </c>
      <c r="CE288" s="142">
        <v>1.21</v>
      </c>
      <c r="CF288" s="80">
        <v>2.2000000000000002</v>
      </c>
      <c r="CG288" s="80">
        <v>0.09</v>
      </c>
      <c r="CH288" s="142">
        <v>0.6</v>
      </c>
      <c r="CI288" s="142">
        <v>7.0000000000000007E-2</v>
      </c>
      <c r="CJ288" s="86" t="b">
        <f t="shared" si="29"/>
        <v>0</v>
      </c>
      <c r="CK288" s="2" t="b">
        <f t="shared" si="30"/>
        <v>1</v>
      </c>
      <c r="CL288" s="98">
        <f t="shared" si="31"/>
        <v>66.241470000000007</v>
      </c>
      <c r="CM288" s="96">
        <v>71.900000000000006</v>
      </c>
      <c r="CN288" s="98">
        <v>173.5</v>
      </c>
      <c r="CO288" s="86">
        <v>55.35</v>
      </c>
      <c r="CP288" s="98">
        <v>54</v>
      </c>
      <c r="CQ288" s="98">
        <v>56</v>
      </c>
      <c r="CR288" s="99">
        <v>7.87</v>
      </c>
    </row>
    <row r="289" spans="1:96" ht="15.75" customHeight="1">
      <c r="A289" s="150">
        <v>2022</v>
      </c>
      <c r="B289" s="160" t="s">
        <v>184</v>
      </c>
      <c r="C289" s="163">
        <v>3239</v>
      </c>
      <c r="D289" s="52">
        <v>24</v>
      </c>
      <c r="E289" s="61">
        <v>0</v>
      </c>
      <c r="F289" s="80">
        <v>0</v>
      </c>
      <c r="G289" s="53" t="s">
        <v>89</v>
      </c>
      <c r="H289" s="309" t="s">
        <v>92</v>
      </c>
      <c r="I289" s="60" t="s">
        <v>93</v>
      </c>
      <c r="J289" s="309" t="s">
        <v>99</v>
      </c>
      <c r="K289" s="75">
        <v>75</v>
      </c>
      <c r="L289" s="309">
        <v>25</v>
      </c>
      <c r="M289" s="87">
        <v>383</v>
      </c>
      <c r="N289" s="247">
        <v>3195</v>
      </c>
      <c r="O289" s="88" t="s">
        <v>94</v>
      </c>
      <c r="P289" s="88" t="s">
        <v>94</v>
      </c>
      <c r="Q289" s="153">
        <v>2.7</v>
      </c>
      <c r="R289" s="142">
        <v>3.2</v>
      </c>
      <c r="S289" s="88">
        <v>315</v>
      </c>
      <c r="T289" s="88">
        <v>345</v>
      </c>
      <c r="U289" s="249">
        <v>100</v>
      </c>
      <c r="V289" s="249">
        <v>167</v>
      </c>
      <c r="W289" s="88" t="s">
        <v>94</v>
      </c>
      <c r="X289" s="88" t="s">
        <v>94</v>
      </c>
      <c r="Y289" s="90" t="s">
        <v>94</v>
      </c>
      <c r="Z289" s="90" t="s">
        <v>94</v>
      </c>
      <c r="AA289" s="88" t="s">
        <v>94</v>
      </c>
      <c r="AB289" s="88" t="s">
        <v>94</v>
      </c>
      <c r="AC289" s="89">
        <v>5.7</v>
      </c>
      <c r="AD289" s="89">
        <v>5.4</v>
      </c>
      <c r="AE289" s="320">
        <v>107.8</v>
      </c>
      <c r="AF289" s="320">
        <v>122.3</v>
      </c>
      <c r="AG289" s="89">
        <v>48</v>
      </c>
      <c r="AH289" s="89">
        <v>61</v>
      </c>
      <c r="AI289" s="88">
        <v>1</v>
      </c>
      <c r="AJ289" s="88">
        <v>0.9</v>
      </c>
      <c r="AK289" s="269">
        <f t="shared" si="26"/>
        <v>0</v>
      </c>
      <c r="AL289" s="89">
        <v>4.3</v>
      </c>
      <c r="AM289" s="89">
        <v>5.0999999999999996</v>
      </c>
      <c r="AN289" s="88">
        <v>8</v>
      </c>
      <c r="AO289" s="88">
        <v>7.3</v>
      </c>
      <c r="AP289" s="88">
        <v>108</v>
      </c>
      <c r="AQ289" s="88">
        <v>50</v>
      </c>
      <c r="AR289" s="153">
        <v>13.9</v>
      </c>
      <c r="AS289" s="153">
        <v>13.6</v>
      </c>
      <c r="AT289" s="89">
        <v>4.5999999999999996</v>
      </c>
      <c r="AU289" s="89">
        <v>4.5</v>
      </c>
      <c r="AV289" s="88">
        <v>107</v>
      </c>
      <c r="AW289" s="88">
        <v>98</v>
      </c>
      <c r="AX289" s="88">
        <v>139</v>
      </c>
      <c r="AY289" s="88">
        <v>138</v>
      </c>
      <c r="AZ289" s="153">
        <v>2.2999999999999998</v>
      </c>
      <c r="BA289" s="153">
        <v>2.4</v>
      </c>
      <c r="BB289" s="98">
        <v>127</v>
      </c>
      <c r="BC289" s="159">
        <v>127</v>
      </c>
      <c r="BD289" s="96">
        <f t="shared" si="27"/>
        <v>295.93211111111111</v>
      </c>
      <c r="BE289" s="96">
        <f t="shared" si="28"/>
        <v>295.47777777777782</v>
      </c>
      <c r="BF289" s="89" t="s">
        <v>94</v>
      </c>
      <c r="BG289" s="89" t="s">
        <v>94</v>
      </c>
      <c r="BH289" s="80">
        <v>13.2</v>
      </c>
      <c r="BI289" s="80">
        <v>12</v>
      </c>
      <c r="BJ289" s="142">
        <v>40.6</v>
      </c>
      <c r="BK289" s="142">
        <v>35.9</v>
      </c>
      <c r="BL289" s="80">
        <v>88.2</v>
      </c>
      <c r="BM289" s="80">
        <v>88.6</v>
      </c>
      <c r="BN289" s="142">
        <v>28.8</v>
      </c>
      <c r="BO289" s="142">
        <v>29.5</v>
      </c>
      <c r="BP289" s="61">
        <v>32.6</v>
      </c>
      <c r="BQ289" s="61">
        <v>33.299999999999997</v>
      </c>
      <c r="BR289" s="142">
        <v>344</v>
      </c>
      <c r="BS289" s="142">
        <v>343</v>
      </c>
      <c r="BT289" s="61">
        <v>12.9</v>
      </c>
      <c r="BU289" s="61">
        <v>14</v>
      </c>
      <c r="BV289" s="142">
        <v>0.46</v>
      </c>
      <c r="BW289" s="142">
        <v>0.7</v>
      </c>
      <c r="BX289" s="80">
        <v>9.27</v>
      </c>
      <c r="BY289" s="80">
        <v>15.25</v>
      </c>
      <c r="BZ289" s="142">
        <v>63.7</v>
      </c>
      <c r="CA289" s="142">
        <v>11.29</v>
      </c>
      <c r="CB289" s="61">
        <v>63.7</v>
      </c>
      <c r="CC289" s="61">
        <v>11.29</v>
      </c>
      <c r="CD289" s="142">
        <v>14.8</v>
      </c>
      <c r="CE289" s="142">
        <v>1.06</v>
      </c>
      <c r="CF289" s="80">
        <v>0.8</v>
      </c>
      <c r="CG289" s="80">
        <v>0.04</v>
      </c>
      <c r="CH289" s="142">
        <v>0.5</v>
      </c>
      <c r="CI289" s="142">
        <v>7.0000000000000007E-2</v>
      </c>
      <c r="CJ289" s="86" t="b">
        <f t="shared" si="29"/>
        <v>0</v>
      </c>
      <c r="CK289" s="2" t="b">
        <f t="shared" si="30"/>
        <v>1</v>
      </c>
      <c r="CL289" s="98">
        <f t="shared" si="31"/>
        <v>77.330865000000003</v>
      </c>
      <c r="CM289" s="362">
        <v>84.45</v>
      </c>
      <c r="CN289" s="363">
        <v>187</v>
      </c>
      <c r="CO289" s="364">
        <v>0</v>
      </c>
      <c r="CP289" s="363">
        <v>48</v>
      </c>
      <c r="CQ289" s="363">
        <v>52</v>
      </c>
      <c r="CR289" s="362">
        <v>8.43</v>
      </c>
    </row>
    <row r="290" spans="1:96" ht="15.75" customHeight="1">
      <c r="A290" s="150">
        <v>2022</v>
      </c>
      <c r="B290" s="160" t="s">
        <v>184</v>
      </c>
      <c r="C290" s="163">
        <v>3240</v>
      </c>
      <c r="D290" s="52">
        <v>27</v>
      </c>
      <c r="E290" s="61">
        <v>0</v>
      </c>
      <c r="F290" s="80">
        <v>0</v>
      </c>
      <c r="G290" s="51" t="s">
        <v>86</v>
      </c>
      <c r="H290" s="52" t="s">
        <v>92</v>
      </c>
      <c r="I290" s="53" t="s">
        <v>84</v>
      </c>
      <c r="J290" s="52" t="s">
        <v>98</v>
      </c>
      <c r="K290" s="53">
        <v>62.5</v>
      </c>
      <c r="L290" s="52">
        <v>37.5</v>
      </c>
      <c r="M290" s="87">
        <v>586</v>
      </c>
      <c r="N290" s="247">
        <v>4013</v>
      </c>
      <c r="O290" s="88" t="s">
        <v>94</v>
      </c>
      <c r="P290" s="88" t="s">
        <v>94</v>
      </c>
      <c r="Q290" s="153">
        <v>4.5</v>
      </c>
      <c r="R290" s="142">
        <v>2.5</v>
      </c>
      <c r="S290" s="88">
        <v>330</v>
      </c>
      <c r="T290" s="88">
        <v>552</v>
      </c>
      <c r="U290" s="249">
        <v>92</v>
      </c>
      <c r="V290" s="249">
        <v>204</v>
      </c>
      <c r="W290" s="88" t="s">
        <v>94</v>
      </c>
      <c r="X290" s="88" t="s">
        <v>94</v>
      </c>
      <c r="Y290" s="90" t="s">
        <v>94</v>
      </c>
      <c r="Z290" s="90" t="s">
        <v>94</v>
      </c>
      <c r="AA290" s="88" t="s">
        <v>94</v>
      </c>
      <c r="AB290" s="88" t="s">
        <v>94</v>
      </c>
      <c r="AC290" s="108">
        <v>4.2</v>
      </c>
      <c r="AD290" s="89">
        <v>6.5</v>
      </c>
      <c r="AE290" s="320">
        <v>129.5</v>
      </c>
      <c r="AF290" s="320">
        <v>120</v>
      </c>
      <c r="AG290" s="89">
        <v>47</v>
      </c>
      <c r="AH290" s="89">
        <v>59</v>
      </c>
      <c r="AI290" s="88">
        <v>0.7</v>
      </c>
      <c r="AJ290" s="88">
        <v>0.9</v>
      </c>
      <c r="AK290" s="269">
        <f t="shared" si="26"/>
        <v>0.20000000000000007</v>
      </c>
      <c r="AL290" s="89">
        <v>4.9000000000000004</v>
      </c>
      <c r="AM290" s="89">
        <v>5.9</v>
      </c>
      <c r="AN290" s="88">
        <v>7.2</v>
      </c>
      <c r="AO290" s="88">
        <v>7.7</v>
      </c>
      <c r="AP290" s="88">
        <v>61</v>
      </c>
      <c r="AQ290" s="88">
        <v>10</v>
      </c>
      <c r="AR290" s="153">
        <v>13.8</v>
      </c>
      <c r="AS290" s="153">
        <v>9.5</v>
      </c>
      <c r="AT290" s="89">
        <v>5.0999999999999996</v>
      </c>
      <c r="AU290" s="89">
        <v>4.5</v>
      </c>
      <c r="AV290" s="88">
        <v>86</v>
      </c>
      <c r="AW290" s="88">
        <v>69</v>
      </c>
      <c r="AX290" s="88">
        <v>143</v>
      </c>
      <c r="AY290" s="88">
        <v>137</v>
      </c>
      <c r="AZ290" s="153">
        <v>2.6</v>
      </c>
      <c r="BA290" s="153">
        <v>1.9</v>
      </c>
      <c r="BB290" s="98">
        <v>125</v>
      </c>
      <c r="BC290" s="159">
        <v>84</v>
      </c>
      <c r="BD290" s="96">
        <f t="shared" si="27"/>
        <v>302.79377777777779</v>
      </c>
      <c r="BE290" s="96">
        <f t="shared" si="28"/>
        <v>291.43166666666667</v>
      </c>
      <c r="BF290" s="89" t="s">
        <v>94</v>
      </c>
      <c r="BG290" s="89" t="s">
        <v>94</v>
      </c>
      <c r="BH290" s="80">
        <v>13.8</v>
      </c>
      <c r="BI290" s="80">
        <v>13.8</v>
      </c>
      <c r="BJ290" s="142">
        <v>41.8</v>
      </c>
      <c r="BK290" s="142">
        <v>42.5</v>
      </c>
      <c r="BL290" s="61">
        <v>88.3</v>
      </c>
      <c r="BM290" s="61">
        <v>90.2</v>
      </c>
      <c r="BN290" s="142">
        <v>29.3</v>
      </c>
      <c r="BO290" s="142">
        <v>29.3</v>
      </c>
      <c r="BP290" s="61">
        <v>33.1</v>
      </c>
      <c r="BQ290" s="61">
        <v>32.5</v>
      </c>
      <c r="BR290" s="142">
        <v>419</v>
      </c>
      <c r="BS290" s="142">
        <v>411</v>
      </c>
      <c r="BT290" s="61">
        <v>12.7</v>
      </c>
      <c r="BU290" s="61">
        <v>14.2</v>
      </c>
      <c r="BV290" s="142">
        <v>0.95</v>
      </c>
      <c r="BW290" s="142">
        <v>1.18</v>
      </c>
      <c r="BX290" s="80">
        <v>10.35</v>
      </c>
      <c r="BY290" s="80">
        <v>12.44</v>
      </c>
      <c r="BZ290" s="142">
        <v>70.2</v>
      </c>
      <c r="CA290" s="142">
        <v>9.0299999999999994</v>
      </c>
      <c r="CB290" s="61">
        <v>70.2</v>
      </c>
      <c r="CC290" s="61">
        <v>9.0299999999999994</v>
      </c>
      <c r="CD290" s="142">
        <v>7.1</v>
      </c>
      <c r="CE290" s="142">
        <v>1.19</v>
      </c>
      <c r="CF290" s="80">
        <v>1.9</v>
      </c>
      <c r="CG290" s="80">
        <v>0.03</v>
      </c>
      <c r="CH290" s="142">
        <v>0.3</v>
      </c>
      <c r="CI290" s="142">
        <v>0.08</v>
      </c>
      <c r="CJ290" s="86" t="b">
        <f t="shared" si="29"/>
        <v>0</v>
      </c>
      <c r="CK290" s="2" t="b">
        <f t="shared" si="30"/>
        <v>1</v>
      </c>
      <c r="CL290" s="98">
        <f t="shared" si="31"/>
        <v>65.118300000000005</v>
      </c>
      <c r="CM290" s="96">
        <v>76.7</v>
      </c>
      <c r="CN290" s="98">
        <v>171.5</v>
      </c>
      <c r="CO290" s="86">
        <v>47.49</v>
      </c>
      <c r="CP290" s="98">
        <v>54</v>
      </c>
      <c r="CQ290" s="98">
        <v>48</v>
      </c>
      <c r="CR290" s="99">
        <v>15.1</v>
      </c>
    </row>
    <row r="291" spans="1:96" ht="15.75" customHeight="1">
      <c r="A291" s="150">
        <v>2022</v>
      </c>
      <c r="B291" s="160" t="s">
        <v>184</v>
      </c>
      <c r="C291" s="163">
        <v>3241</v>
      </c>
      <c r="D291" s="52">
        <v>25</v>
      </c>
      <c r="E291" s="61">
        <v>0</v>
      </c>
      <c r="F291" s="80">
        <v>0</v>
      </c>
      <c r="G291" s="51" t="s">
        <v>86</v>
      </c>
      <c r="H291" s="52" t="s">
        <v>83</v>
      </c>
      <c r="I291" s="53" t="s">
        <v>84</v>
      </c>
      <c r="J291" s="52" t="s">
        <v>98</v>
      </c>
      <c r="K291" s="53">
        <v>50</v>
      </c>
      <c r="L291" s="52">
        <v>50</v>
      </c>
      <c r="M291" s="87">
        <v>914</v>
      </c>
      <c r="N291" s="247">
        <v>6198</v>
      </c>
      <c r="O291" s="88" t="s">
        <v>94</v>
      </c>
      <c r="P291" s="88" t="s">
        <v>94</v>
      </c>
      <c r="Q291" s="153">
        <v>2.2999999999999998</v>
      </c>
      <c r="R291" s="142">
        <v>1.8</v>
      </c>
      <c r="S291" s="88">
        <v>308</v>
      </c>
      <c r="T291" s="88">
        <v>480</v>
      </c>
      <c r="U291" s="249">
        <v>109</v>
      </c>
      <c r="V291" s="249">
        <v>217</v>
      </c>
      <c r="W291" s="88" t="s">
        <v>94</v>
      </c>
      <c r="X291" s="88" t="s">
        <v>94</v>
      </c>
      <c r="Y291" s="90" t="s">
        <v>94</v>
      </c>
      <c r="Z291" s="90" t="s">
        <v>94</v>
      </c>
      <c r="AA291" s="88" t="s">
        <v>94</v>
      </c>
      <c r="AB291" s="88" t="s">
        <v>94</v>
      </c>
      <c r="AC291" s="89">
        <v>4.2</v>
      </c>
      <c r="AD291" s="89">
        <v>5.5</v>
      </c>
      <c r="AE291" s="320">
        <v>121.6</v>
      </c>
      <c r="AF291" s="320">
        <v>86.1</v>
      </c>
      <c r="AG291" s="89">
        <v>56</v>
      </c>
      <c r="AH291" s="89">
        <v>65</v>
      </c>
      <c r="AI291" s="88">
        <v>0.9</v>
      </c>
      <c r="AJ291" s="88">
        <v>1.2</v>
      </c>
      <c r="AK291" s="269">
        <f t="shared" si="26"/>
        <v>0.29999999999999993</v>
      </c>
      <c r="AL291" s="89">
        <v>4.0999999999999996</v>
      </c>
      <c r="AM291" s="89">
        <v>4.5</v>
      </c>
      <c r="AN291" s="88">
        <v>6.7</v>
      </c>
      <c r="AO291" s="88">
        <v>6.7</v>
      </c>
      <c r="AP291" s="88">
        <v>43</v>
      </c>
      <c r="AQ291" s="88">
        <v>10</v>
      </c>
      <c r="AR291" s="153">
        <v>10.3</v>
      </c>
      <c r="AS291" s="153">
        <v>9.6</v>
      </c>
      <c r="AT291" s="89">
        <v>4.8</v>
      </c>
      <c r="AU291" s="89">
        <v>4.5</v>
      </c>
      <c r="AV291" s="88">
        <v>100</v>
      </c>
      <c r="AW291" s="88">
        <v>96</v>
      </c>
      <c r="AX291" s="88">
        <v>139</v>
      </c>
      <c r="AY291" s="88">
        <v>140</v>
      </c>
      <c r="AZ291" s="153">
        <v>2.1</v>
      </c>
      <c r="BA291" s="153">
        <v>2.1</v>
      </c>
      <c r="BB291" s="98">
        <v>105</v>
      </c>
      <c r="BC291" s="159">
        <v>93</v>
      </c>
      <c r="BD291" s="96">
        <f t="shared" si="27"/>
        <v>297.19022222222225</v>
      </c>
      <c r="BE291" s="96">
        <f t="shared" si="28"/>
        <v>299.73666666666668</v>
      </c>
      <c r="BF291" s="89" t="s">
        <v>94</v>
      </c>
      <c r="BG291" s="89" t="s">
        <v>94</v>
      </c>
      <c r="BH291" s="80">
        <v>12.8</v>
      </c>
      <c r="BI291" s="80">
        <v>12.7</v>
      </c>
      <c r="BJ291" s="142">
        <v>39.200000000000003</v>
      </c>
      <c r="BK291" s="142">
        <v>37.9</v>
      </c>
      <c r="BL291" s="61">
        <v>82.7</v>
      </c>
      <c r="BM291" s="61">
        <v>84.1</v>
      </c>
      <c r="BN291" s="142">
        <v>27</v>
      </c>
      <c r="BO291" s="142">
        <v>28.1</v>
      </c>
      <c r="BP291" s="61">
        <v>32.6</v>
      </c>
      <c r="BQ291" s="61">
        <v>33.5</v>
      </c>
      <c r="BR291" s="142">
        <v>384</v>
      </c>
      <c r="BS291" s="142">
        <v>377</v>
      </c>
      <c r="BT291" s="61">
        <v>12.4</v>
      </c>
      <c r="BU291" s="61">
        <v>13.9</v>
      </c>
      <c r="BV291" s="142">
        <v>1.42</v>
      </c>
      <c r="BW291" s="142">
        <v>1.64</v>
      </c>
      <c r="BX291" s="80">
        <v>6.57</v>
      </c>
      <c r="BY291" s="80">
        <v>9.4700000000000006</v>
      </c>
      <c r="BZ291" s="142">
        <v>55</v>
      </c>
      <c r="CA291" s="142">
        <v>6.97</v>
      </c>
      <c r="CB291" s="61">
        <v>55</v>
      </c>
      <c r="CC291" s="61">
        <v>6.97</v>
      </c>
      <c r="CD291" s="142">
        <v>10</v>
      </c>
      <c r="CE291" s="142">
        <v>1.24</v>
      </c>
      <c r="CF291" s="80">
        <v>3.4</v>
      </c>
      <c r="CG291" s="80">
        <v>0.06</v>
      </c>
      <c r="CH291" s="142">
        <v>0.7</v>
      </c>
      <c r="CI291" s="142">
        <v>0.02</v>
      </c>
      <c r="CJ291" s="86" t="b">
        <f t="shared" si="29"/>
        <v>1</v>
      </c>
      <c r="CK291" s="2" t="b">
        <f t="shared" si="30"/>
        <v>1</v>
      </c>
      <c r="CL291" s="98">
        <f t="shared" si="31"/>
        <v>81.751800000000003</v>
      </c>
      <c r="CM291" s="96">
        <v>94</v>
      </c>
      <c r="CN291" s="98">
        <v>176.5</v>
      </c>
      <c r="CO291" s="86">
        <v>46.18</v>
      </c>
      <c r="CP291" s="98">
        <v>54</v>
      </c>
      <c r="CQ291" s="98">
        <v>60</v>
      </c>
      <c r="CR291" s="99">
        <v>13.03</v>
      </c>
    </row>
    <row r="292" spans="1:96" ht="15.75" customHeight="1">
      <c r="A292" s="150">
        <v>2022</v>
      </c>
      <c r="B292" s="160" t="s">
        <v>184</v>
      </c>
      <c r="C292" s="163">
        <v>3242</v>
      </c>
      <c r="D292" s="52">
        <v>33</v>
      </c>
      <c r="E292" s="61">
        <v>0</v>
      </c>
      <c r="F292" s="80">
        <v>0</v>
      </c>
      <c r="G292" s="51" t="s">
        <v>86</v>
      </c>
      <c r="H292" s="52" t="s">
        <v>83</v>
      </c>
      <c r="I292" s="53" t="s">
        <v>87</v>
      </c>
      <c r="J292" s="52" t="s">
        <v>99</v>
      </c>
      <c r="K292" s="53">
        <v>50</v>
      </c>
      <c r="L292" s="52">
        <v>50</v>
      </c>
      <c r="M292" s="87">
        <v>710</v>
      </c>
      <c r="N292" s="247">
        <v>4260</v>
      </c>
      <c r="O292" s="88" t="s">
        <v>94</v>
      </c>
      <c r="P292" s="88" t="s">
        <v>94</v>
      </c>
      <c r="Q292" s="153">
        <v>2.2000000000000002</v>
      </c>
      <c r="R292" s="142">
        <v>4.3</v>
      </c>
      <c r="S292" s="88">
        <v>314</v>
      </c>
      <c r="T292" s="88">
        <v>482</v>
      </c>
      <c r="U292" s="249">
        <v>61</v>
      </c>
      <c r="V292" s="249">
        <v>153</v>
      </c>
      <c r="W292" s="88" t="s">
        <v>94</v>
      </c>
      <c r="X292" s="88" t="s">
        <v>94</v>
      </c>
      <c r="Y292" s="90" t="s">
        <v>94</v>
      </c>
      <c r="Z292" s="90" t="s">
        <v>94</v>
      </c>
      <c r="AA292" s="88" t="s">
        <v>94</v>
      </c>
      <c r="AB292" s="88" t="s">
        <v>94</v>
      </c>
      <c r="AC292" s="89">
        <v>5.5</v>
      </c>
      <c r="AD292" s="89">
        <v>7.9</v>
      </c>
      <c r="AE292" s="328">
        <v>101.9</v>
      </c>
      <c r="AF292" s="328">
        <v>62.7</v>
      </c>
      <c r="AG292" s="89">
        <v>51</v>
      </c>
      <c r="AH292" s="89">
        <v>77</v>
      </c>
      <c r="AI292" s="88">
        <v>1</v>
      </c>
      <c r="AJ292" s="88">
        <v>1.5</v>
      </c>
      <c r="AK292" s="269">
        <f t="shared" si="26"/>
        <v>0.5</v>
      </c>
      <c r="AL292" s="89">
        <v>3.8</v>
      </c>
      <c r="AM292" s="89">
        <v>5.2</v>
      </c>
      <c r="AN292" s="88">
        <v>7.3</v>
      </c>
      <c r="AO292" s="88">
        <v>7.1</v>
      </c>
      <c r="AP292" s="88">
        <v>56</v>
      </c>
      <c r="AQ292" s="88">
        <v>28</v>
      </c>
      <c r="AR292" s="153">
        <v>11.2</v>
      </c>
      <c r="AS292" s="153">
        <v>11.4</v>
      </c>
      <c r="AT292" s="89">
        <v>4.5999999999999996</v>
      </c>
      <c r="AU292" s="89">
        <v>4.8</v>
      </c>
      <c r="AV292" s="88">
        <v>118</v>
      </c>
      <c r="AW292" s="88">
        <v>81</v>
      </c>
      <c r="AX292" s="88">
        <v>139</v>
      </c>
      <c r="AY292" s="88">
        <v>141</v>
      </c>
      <c r="AZ292" s="153">
        <v>2</v>
      </c>
      <c r="BA292" s="153">
        <v>2</v>
      </c>
      <c r="BB292" s="98">
        <v>103</v>
      </c>
      <c r="BC292" s="159">
        <v>103</v>
      </c>
      <c r="BD292" s="96">
        <f t="shared" si="27"/>
        <v>297.1348888888889</v>
      </c>
      <c r="BE292" s="96">
        <f t="shared" si="28"/>
        <v>303.19633333333337</v>
      </c>
      <c r="BF292" s="89" t="s">
        <v>94</v>
      </c>
      <c r="BG292" s="89" t="s">
        <v>94</v>
      </c>
      <c r="BH292" s="80">
        <v>13.5</v>
      </c>
      <c r="BI292" s="80">
        <v>12.7</v>
      </c>
      <c r="BJ292" s="142">
        <v>41.5</v>
      </c>
      <c r="BK292" s="142">
        <v>39.200000000000003</v>
      </c>
      <c r="BL292" s="61">
        <v>81.099999999999994</v>
      </c>
      <c r="BM292" s="61">
        <v>82.3</v>
      </c>
      <c r="BN292" s="142">
        <v>26.3</v>
      </c>
      <c r="BO292" s="142">
        <v>26.7</v>
      </c>
      <c r="BP292" s="61">
        <v>32.4</v>
      </c>
      <c r="BQ292" s="61">
        <v>32.4</v>
      </c>
      <c r="BR292" s="142">
        <v>393</v>
      </c>
      <c r="BS292" s="142">
        <v>378</v>
      </c>
      <c r="BT292" s="61">
        <v>13.5</v>
      </c>
      <c r="BU292" s="61">
        <v>13.8</v>
      </c>
      <c r="BV292" s="142">
        <v>0.84</v>
      </c>
      <c r="BW292" s="142">
        <v>0.71</v>
      </c>
      <c r="BX292" s="80">
        <v>6.8</v>
      </c>
      <c r="BY292" s="80">
        <v>9.52</v>
      </c>
      <c r="BZ292" s="142">
        <v>55.5</v>
      </c>
      <c r="CA292" s="142">
        <v>7.64</v>
      </c>
      <c r="CB292" s="61">
        <v>55.5</v>
      </c>
      <c r="CC292" s="61">
        <v>7.64</v>
      </c>
      <c r="CD292" s="142">
        <v>12.6</v>
      </c>
      <c r="CE292" s="142">
        <v>0.67</v>
      </c>
      <c r="CF292" s="80">
        <v>7.9</v>
      </c>
      <c r="CG292" s="80">
        <v>0.02</v>
      </c>
      <c r="CH292" s="142">
        <v>1</v>
      </c>
      <c r="CI292" s="142">
        <v>0.05</v>
      </c>
      <c r="CJ292" s="86" t="b">
        <f t="shared" si="29"/>
        <v>1</v>
      </c>
      <c r="CK292" s="2" t="b">
        <f t="shared" si="30"/>
        <v>1</v>
      </c>
      <c r="CL292" s="98">
        <f t="shared" si="31"/>
        <v>77.466380000000001</v>
      </c>
      <c r="CM292" s="96">
        <v>97.1</v>
      </c>
      <c r="CN292" s="98">
        <v>181</v>
      </c>
      <c r="CO292" s="86">
        <v>44.53</v>
      </c>
      <c r="CP292" s="98">
        <v>66</v>
      </c>
      <c r="CQ292" s="98">
        <v>65</v>
      </c>
      <c r="CR292" s="99">
        <v>20.22</v>
      </c>
    </row>
    <row r="293" spans="1:96" ht="15.75" customHeight="1">
      <c r="A293" s="150">
        <v>2022</v>
      </c>
      <c r="B293" s="160" t="s">
        <v>184</v>
      </c>
      <c r="C293" s="163">
        <v>3243</v>
      </c>
      <c r="D293" s="52">
        <v>35</v>
      </c>
      <c r="E293" s="52">
        <v>75</v>
      </c>
      <c r="F293" s="80">
        <v>0</v>
      </c>
      <c r="G293" s="51" t="s">
        <v>89</v>
      </c>
      <c r="H293" s="52" t="s">
        <v>83</v>
      </c>
      <c r="I293" s="53" t="s">
        <v>84</v>
      </c>
      <c r="J293" s="52" t="s">
        <v>98</v>
      </c>
      <c r="K293" s="53">
        <v>37.5</v>
      </c>
      <c r="L293" s="52">
        <v>62.5</v>
      </c>
      <c r="M293" s="87">
        <v>6153</v>
      </c>
      <c r="N293" s="247">
        <v>9377</v>
      </c>
      <c r="O293" s="88" t="s">
        <v>94</v>
      </c>
      <c r="P293" s="88" t="s">
        <v>94</v>
      </c>
      <c r="Q293" s="153">
        <v>2.8</v>
      </c>
      <c r="R293" s="142">
        <v>2.9</v>
      </c>
      <c r="S293" s="88">
        <v>974</v>
      </c>
      <c r="T293" s="88">
        <v>1199</v>
      </c>
      <c r="U293" s="249">
        <v>424</v>
      </c>
      <c r="V293" s="249">
        <v>419</v>
      </c>
      <c r="W293" s="88" t="s">
        <v>94</v>
      </c>
      <c r="X293" s="88" t="s">
        <v>94</v>
      </c>
      <c r="Y293" s="90" t="s">
        <v>94</v>
      </c>
      <c r="Z293" s="90" t="s">
        <v>94</v>
      </c>
      <c r="AA293" s="88" t="s">
        <v>94</v>
      </c>
      <c r="AB293" s="88" t="s">
        <v>94</v>
      </c>
      <c r="AC293" s="89">
        <v>5.7</v>
      </c>
      <c r="AD293" s="89">
        <v>6.5</v>
      </c>
      <c r="AE293" s="320">
        <v>100.7</v>
      </c>
      <c r="AF293" s="320">
        <v>73.5</v>
      </c>
      <c r="AG293" s="89">
        <v>54</v>
      </c>
      <c r="AH293" s="89">
        <v>65</v>
      </c>
      <c r="AI293" s="88">
        <v>1</v>
      </c>
      <c r="AJ293" s="88">
        <v>1.3</v>
      </c>
      <c r="AK293" s="269">
        <f t="shared" si="26"/>
        <v>0.30000000000000004</v>
      </c>
      <c r="AL293" s="89">
        <v>4.3</v>
      </c>
      <c r="AM293" s="89">
        <v>5.6</v>
      </c>
      <c r="AN293" s="88">
        <v>8.1999999999999993</v>
      </c>
      <c r="AO293" s="88">
        <v>7.9</v>
      </c>
      <c r="AP293" s="88">
        <v>129</v>
      </c>
      <c r="AQ293" s="88">
        <v>18</v>
      </c>
      <c r="AR293" s="153">
        <v>12.3</v>
      </c>
      <c r="AS293" s="153">
        <v>11.4</v>
      </c>
      <c r="AT293" s="89">
        <v>4.5</v>
      </c>
      <c r="AU293" s="89">
        <v>4.5</v>
      </c>
      <c r="AV293" s="88">
        <v>80</v>
      </c>
      <c r="AW293" s="88">
        <v>108</v>
      </c>
      <c r="AX293" s="88">
        <v>137</v>
      </c>
      <c r="AY293" s="88">
        <v>137</v>
      </c>
      <c r="AZ293" s="153">
        <v>2.2999999999999998</v>
      </c>
      <c r="BA293" s="153">
        <v>2.4</v>
      </c>
      <c r="BB293" s="98">
        <v>110</v>
      </c>
      <c r="BC293" s="159">
        <v>94</v>
      </c>
      <c r="BD293" s="224">
        <f t="shared" si="27"/>
        <v>291.30111111111108</v>
      </c>
      <c r="BE293" s="224">
        <f t="shared" si="28"/>
        <v>294.92333333333329</v>
      </c>
      <c r="BF293" s="89" t="s">
        <v>94</v>
      </c>
      <c r="BG293" s="89" t="s">
        <v>94</v>
      </c>
      <c r="BH293" s="80">
        <v>16</v>
      </c>
      <c r="BI293" s="80">
        <v>14.8</v>
      </c>
      <c r="BJ293" s="142">
        <v>49.1</v>
      </c>
      <c r="BK293" s="142">
        <v>45.4</v>
      </c>
      <c r="BL293" s="61">
        <v>97.3</v>
      </c>
      <c r="BM293" s="61">
        <v>96.3</v>
      </c>
      <c r="BN293" s="142">
        <v>31.7</v>
      </c>
      <c r="BO293" s="142">
        <v>31.4</v>
      </c>
      <c r="BP293" s="61">
        <v>32.5</v>
      </c>
      <c r="BQ293" s="61">
        <v>32.6</v>
      </c>
      <c r="BR293" s="142">
        <v>322</v>
      </c>
      <c r="BS293" s="142">
        <v>333</v>
      </c>
      <c r="BT293" s="61">
        <v>12.7</v>
      </c>
      <c r="BU293" s="61">
        <v>14.5</v>
      </c>
      <c r="BV293" s="142">
        <v>1.43</v>
      </c>
      <c r="BW293" s="142">
        <v>1.62</v>
      </c>
      <c r="BX293" s="80">
        <v>6.09</v>
      </c>
      <c r="BY293" s="80">
        <v>11.32</v>
      </c>
      <c r="BZ293" s="142">
        <v>72.099999999999994</v>
      </c>
      <c r="CA293" s="142">
        <v>6.64</v>
      </c>
      <c r="CB293" s="61">
        <v>72.099999999999994</v>
      </c>
      <c r="CC293" s="61">
        <v>6.64</v>
      </c>
      <c r="CD293" s="142">
        <v>6.7</v>
      </c>
      <c r="CE293" s="142">
        <v>1.05</v>
      </c>
      <c r="CF293" s="80">
        <v>0.5</v>
      </c>
      <c r="CG293" s="80">
        <v>0.04</v>
      </c>
      <c r="CH293" s="142">
        <v>0.8</v>
      </c>
      <c r="CI293" s="361">
        <v>0.04</v>
      </c>
      <c r="CJ293" s="225" t="b">
        <f t="shared" si="29"/>
        <v>1</v>
      </c>
      <c r="CK293" s="226" t="b">
        <f t="shared" si="30"/>
        <v>1</v>
      </c>
      <c r="CL293" s="227">
        <f t="shared" si="31"/>
        <v>73.247245000000007</v>
      </c>
      <c r="CM293" s="224">
        <v>77.650000000000006</v>
      </c>
      <c r="CN293" s="227">
        <v>184.2</v>
      </c>
      <c r="CO293" s="225">
        <v>54.09</v>
      </c>
      <c r="CP293" s="227">
        <v>56</v>
      </c>
      <c r="CQ293" s="227">
        <v>52</v>
      </c>
      <c r="CR293" s="228">
        <v>5.67</v>
      </c>
    </row>
    <row r="294" spans="1:96" ht="15.75" customHeight="1">
      <c r="A294" s="150">
        <v>2022</v>
      </c>
      <c r="B294" s="160" t="s">
        <v>184</v>
      </c>
      <c r="C294" s="163">
        <v>3244</v>
      </c>
      <c r="D294" s="52">
        <v>34</v>
      </c>
      <c r="E294" s="52">
        <v>65</v>
      </c>
      <c r="F294" s="80">
        <v>0</v>
      </c>
      <c r="G294" s="51" t="s">
        <v>94</v>
      </c>
      <c r="H294" s="52" t="s">
        <v>94</v>
      </c>
      <c r="I294" s="53" t="s">
        <v>94</v>
      </c>
      <c r="J294" s="52" t="s">
        <v>94</v>
      </c>
      <c r="K294" s="53" t="s">
        <v>94</v>
      </c>
      <c r="L294" s="52" t="s">
        <v>94</v>
      </c>
      <c r="M294" s="87">
        <v>672</v>
      </c>
      <c r="N294" s="247">
        <v>7844</v>
      </c>
      <c r="O294" s="88" t="s">
        <v>94</v>
      </c>
      <c r="P294" s="88" t="s">
        <v>94</v>
      </c>
      <c r="Q294" s="153">
        <v>2</v>
      </c>
      <c r="R294" s="142">
        <v>3.6</v>
      </c>
      <c r="S294" s="88">
        <v>271</v>
      </c>
      <c r="T294" s="88">
        <v>642</v>
      </c>
      <c r="U294" s="249">
        <v>46</v>
      </c>
      <c r="V294" s="249">
        <v>332</v>
      </c>
      <c r="W294" s="88" t="s">
        <v>94</v>
      </c>
      <c r="X294" s="88" t="s">
        <v>94</v>
      </c>
      <c r="Y294" s="90" t="s">
        <v>94</v>
      </c>
      <c r="Z294" s="90" t="s">
        <v>94</v>
      </c>
      <c r="AA294" s="88" t="s">
        <v>94</v>
      </c>
      <c r="AB294" s="88" t="s">
        <v>94</v>
      </c>
      <c r="AC294" s="89">
        <v>5</v>
      </c>
      <c r="AD294" s="250">
        <v>7.5</v>
      </c>
      <c r="AE294" s="329">
        <v>114.9</v>
      </c>
      <c r="AF294" s="329">
        <v>53.6</v>
      </c>
      <c r="AG294" s="244">
        <v>53</v>
      </c>
      <c r="AH294" s="244">
        <v>96</v>
      </c>
      <c r="AI294" s="245">
        <v>0.9</v>
      </c>
      <c r="AJ294" s="245">
        <v>1.7</v>
      </c>
      <c r="AK294" s="269">
        <f t="shared" si="26"/>
        <v>0.79999999999999993</v>
      </c>
      <c r="AL294" s="244">
        <v>3.6</v>
      </c>
      <c r="AM294" s="244">
        <v>4.5</v>
      </c>
      <c r="AN294" s="245">
        <v>7.8</v>
      </c>
      <c r="AO294" s="245">
        <v>8</v>
      </c>
      <c r="AP294" s="245">
        <v>76</v>
      </c>
      <c r="AQ294" s="245">
        <v>10</v>
      </c>
      <c r="AR294" s="349">
        <v>10.8</v>
      </c>
      <c r="AS294" s="349">
        <v>12.8</v>
      </c>
      <c r="AT294" s="244">
        <v>3.9</v>
      </c>
      <c r="AU294" s="244">
        <v>5.2</v>
      </c>
      <c r="AV294" s="245">
        <v>85</v>
      </c>
      <c r="AW294" s="245">
        <v>91</v>
      </c>
      <c r="AX294" s="245">
        <v>141</v>
      </c>
      <c r="AY294" s="245">
        <v>136</v>
      </c>
      <c r="AZ294" s="349">
        <v>2</v>
      </c>
      <c r="BA294" s="349">
        <v>1.8</v>
      </c>
      <c r="BB294" s="242">
        <v>107</v>
      </c>
      <c r="BC294" s="355">
        <v>115</v>
      </c>
      <c r="BD294" s="238">
        <f t="shared" si="27"/>
        <v>297.77788888888887</v>
      </c>
      <c r="BE294" s="238">
        <f t="shared" si="28"/>
        <v>298.44588888888887</v>
      </c>
      <c r="BF294" s="244" t="s">
        <v>94</v>
      </c>
      <c r="BG294" s="244" t="s">
        <v>94</v>
      </c>
      <c r="BH294" s="237">
        <v>13.5</v>
      </c>
      <c r="BI294" s="237">
        <v>14.2</v>
      </c>
      <c r="BJ294" s="239">
        <v>41.3</v>
      </c>
      <c r="BK294" s="239">
        <v>42.2</v>
      </c>
      <c r="BL294" s="356">
        <v>87.4</v>
      </c>
      <c r="BM294" s="356">
        <v>88</v>
      </c>
      <c r="BN294" s="239">
        <v>28.6</v>
      </c>
      <c r="BO294" s="239">
        <v>29.5</v>
      </c>
      <c r="BP294" s="356">
        <v>32.799999999999997</v>
      </c>
      <c r="BQ294" s="356">
        <v>33.6</v>
      </c>
      <c r="BR294" s="239">
        <v>287</v>
      </c>
      <c r="BS294" s="239">
        <v>299</v>
      </c>
      <c r="BT294" s="356">
        <v>12.9</v>
      </c>
      <c r="BU294" s="356">
        <v>14</v>
      </c>
      <c r="BV294" s="239">
        <v>0.79</v>
      </c>
      <c r="BW294" s="239">
        <v>0.67</v>
      </c>
      <c r="BX294" s="237">
        <v>6.72</v>
      </c>
      <c r="BY294" s="237">
        <v>11.18</v>
      </c>
      <c r="BZ294" s="239">
        <v>63.6</v>
      </c>
      <c r="CA294" s="239">
        <v>8.84</v>
      </c>
      <c r="CB294" s="356">
        <v>63.6</v>
      </c>
      <c r="CC294" s="356">
        <v>8.84</v>
      </c>
      <c r="CD294" s="239">
        <v>13.7</v>
      </c>
      <c r="CE294" s="239">
        <v>0.98</v>
      </c>
      <c r="CF294" s="237">
        <v>2.6</v>
      </c>
      <c r="CG294" s="237">
        <v>0.03</v>
      </c>
      <c r="CH294" s="239">
        <v>0.7</v>
      </c>
      <c r="CI294" s="239">
        <v>0.03</v>
      </c>
      <c r="CJ294" s="240" t="b">
        <f t="shared" si="29"/>
        <v>1</v>
      </c>
      <c r="CK294" s="241" t="b">
        <f t="shared" si="30"/>
        <v>1</v>
      </c>
      <c r="CL294" s="242">
        <f t="shared" si="31"/>
        <v>60.020625000000003</v>
      </c>
      <c r="CM294" s="238">
        <v>67.25</v>
      </c>
      <c r="CN294" s="242">
        <v>168.5</v>
      </c>
      <c r="CO294" s="240">
        <v>53.38</v>
      </c>
      <c r="CP294" s="242">
        <v>54</v>
      </c>
      <c r="CQ294" s="242">
        <v>54</v>
      </c>
      <c r="CR294" s="238">
        <v>10.75</v>
      </c>
    </row>
    <row r="295" spans="1:96" ht="15.75" customHeight="1">
      <c r="A295" s="150">
        <v>2022</v>
      </c>
      <c r="B295" s="160" t="s">
        <v>184</v>
      </c>
      <c r="C295" s="163">
        <v>3246</v>
      </c>
      <c r="D295" s="52">
        <v>32</v>
      </c>
      <c r="E295" s="52">
        <v>80</v>
      </c>
      <c r="F295" s="80">
        <v>0</v>
      </c>
      <c r="G295" s="51" t="s">
        <v>94</v>
      </c>
      <c r="H295" s="52" t="s">
        <v>94</v>
      </c>
      <c r="I295" s="53" t="s">
        <v>94</v>
      </c>
      <c r="J295" s="52" t="s">
        <v>94</v>
      </c>
      <c r="K295" s="53" t="s">
        <v>94</v>
      </c>
      <c r="L295" s="52" t="s">
        <v>94</v>
      </c>
      <c r="M295" s="87">
        <v>308</v>
      </c>
      <c r="N295" s="247">
        <v>2459</v>
      </c>
      <c r="O295" s="88" t="s">
        <v>94</v>
      </c>
      <c r="P295" s="88" t="s">
        <v>94</v>
      </c>
      <c r="Q295" s="153">
        <v>2</v>
      </c>
      <c r="R295" s="142">
        <v>2.2999999999999998</v>
      </c>
      <c r="S295" s="88">
        <v>349</v>
      </c>
      <c r="T295" s="88">
        <v>386</v>
      </c>
      <c r="U295" s="249">
        <v>68</v>
      </c>
      <c r="V295" s="249">
        <v>115</v>
      </c>
      <c r="W295" s="88" t="s">
        <v>94</v>
      </c>
      <c r="X295" s="88" t="s">
        <v>94</v>
      </c>
      <c r="Y295" s="90" t="s">
        <v>94</v>
      </c>
      <c r="Z295" s="90" t="s">
        <v>94</v>
      </c>
      <c r="AA295" s="88" t="s">
        <v>94</v>
      </c>
      <c r="AB295" s="88" t="s">
        <v>94</v>
      </c>
      <c r="AC295" s="89">
        <v>3.8</v>
      </c>
      <c r="AD295" s="250">
        <v>6.7</v>
      </c>
      <c r="AE295" s="223">
        <v>116.4</v>
      </c>
      <c r="AF295" s="223">
        <v>82.4</v>
      </c>
      <c r="AG295" s="244">
        <v>59</v>
      </c>
      <c r="AH295" s="244">
        <v>76</v>
      </c>
      <c r="AI295" s="245">
        <v>0.9</v>
      </c>
      <c r="AJ295" s="245">
        <v>1.2</v>
      </c>
      <c r="AK295" s="269">
        <f t="shared" si="26"/>
        <v>0.29999999999999993</v>
      </c>
      <c r="AL295" s="244">
        <v>4.4000000000000004</v>
      </c>
      <c r="AM295" s="244">
        <v>5.6</v>
      </c>
      <c r="AN295" s="245">
        <v>7.4</v>
      </c>
      <c r="AO295" s="245">
        <v>7.9</v>
      </c>
      <c r="AP295" s="245">
        <v>36</v>
      </c>
      <c r="AQ295" s="245">
        <v>11</v>
      </c>
      <c r="AR295" s="349">
        <v>8.9</v>
      </c>
      <c r="AS295" s="349">
        <v>11.1</v>
      </c>
      <c r="AT295" s="244">
        <v>5</v>
      </c>
      <c r="AU295" s="244">
        <v>5.0999999999999996</v>
      </c>
      <c r="AV295" s="245">
        <v>109</v>
      </c>
      <c r="AW295" s="245">
        <v>83</v>
      </c>
      <c r="AX295" s="245">
        <v>140</v>
      </c>
      <c r="AY295" s="245">
        <v>142</v>
      </c>
      <c r="AZ295" s="349">
        <v>1.9</v>
      </c>
      <c r="BA295" s="349">
        <v>2.1</v>
      </c>
      <c r="BB295" s="242">
        <v>84</v>
      </c>
      <c r="BC295" s="355">
        <v>99</v>
      </c>
      <c r="BD295" s="238">
        <f t="shared" si="27"/>
        <v>300.49722222222221</v>
      </c>
      <c r="BE295" s="238">
        <f t="shared" si="28"/>
        <v>305.57544444444449</v>
      </c>
      <c r="BF295" s="244" t="s">
        <v>94</v>
      </c>
      <c r="BG295" s="244" t="s">
        <v>94</v>
      </c>
      <c r="BH295" s="237">
        <v>13.6</v>
      </c>
      <c r="BI295" s="237">
        <v>13.7</v>
      </c>
      <c r="BJ295" s="239">
        <v>41.4</v>
      </c>
      <c r="BK295" s="239">
        <v>41.1</v>
      </c>
      <c r="BL295" s="356">
        <v>81.2</v>
      </c>
      <c r="BM295" s="356">
        <v>82.4</v>
      </c>
      <c r="BN295" s="239">
        <v>26.7</v>
      </c>
      <c r="BO295" s="239">
        <v>27.3</v>
      </c>
      <c r="BP295" s="356">
        <v>32.799999999999997</v>
      </c>
      <c r="BQ295" s="356">
        <v>33.200000000000003</v>
      </c>
      <c r="BR295" s="239">
        <v>448</v>
      </c>
      <c r="BS295" s="239">
        <v>425</v>
      </c>
      <c r="BT295" s="356">
        <v>12.7</v>
      </c>
      <c r="BU295" s="356">
        <v>13.9</v>
      </c>
      <c r="BV295" s="239">
        <v>1.08</v>
      </c>
      <c r="BW295" s="239">
        <v>0.7</v>
      </c>
      <c r="BX295" s="237">
        <v>8.1999999999999993</v>
      </c>
      <c r="BY295" s="237">
        <v>9.35</v>
      </c>
      <c r="BZ295" s="239">
        <v>67.599999999999994</v>
      </c>
      <c r="CA295" s="239">
        <v>6.89</v>
      </c>
      <c r="CB295" s="356">
        <v>67.599999999999994</v>
      </c>
      <c r="CC295" s="356">
        <v>6.89</v>
      </c>
      <c r="CD295" s="239">
        <v>9.3000000000000007</v>
      </c>
      <c r="CE295" s="239">
        <v>0.79</v>
      </c>
      <c r="CF295" s="237">
        <v>1.2</v>
      </c>
      <c r="CG295" s="237">
        <v>0.03</v>
      </c>
      <c r="CH295" s="239">
        <v>0.4</v>
      </c>
      <c r="CI295" s="239">
        <v>0.06</v>
      </c>
      <c r="CJ295" s="240" t="b">
        <f t="shared" si="29"/>
        <v>1</v>
      </c>
      <c r="CK295" s="241" t="b">
        <f t="shared" si="30"/>
        <v>1</v>
      </c>
      <c r="CL295" s="242">
        <f t="shared" si="31"/>
        <v>70.071784999999991</v>
      </c>
      <c r="CM295" s="238">
        <v>81.849999999999994</v>
      </c>
      <c r="CN295" s="242">
        <v>181</v>
      </c>
      <c r="CO295" s="240">
        <v>52.98</v>
      </c>
      <c r="CP295" s="242">
        <v>60</v>
      </c>
      <c r="CQ295" s="242">
        <v>60</v>
      </c>
      <c r="CR295" s="238">
        <v>14.39</v>
      </c>
    </row>
    <row r="296" spans="1:96" ht="15.75" customHeight="1">
      <c r="A296" s="150">
        <v>2022</v>
      </c>
      <c r="B296" s="160" t="s">
        <v>184</v>
      </c>
      <c r="C296" s="163">
        <v>3247</v>
      </c>
      <c r="D296" s="52">
        <v>35</v>
      </c>
      <c r="E296" s="52">
        <v>75</v>
      </c>
      <c r="F296" s="80">
        <v>0</v>
      </c>
      <c r="G296" s="51" t="s">
        <v>89</v>
      </c>
      <c r="H296" s="52" t="s">
        <v>90</v>
      </c>
      <c r="I296" s="53" t="s">
        <v>84</v>
      </c>
      <c r="J296" s="52" t="s">
        <v>97</v>
      </c>
      <c r="K296" s="53">
        <v>50</v>
      </c>
      <c r="L296" s="52">
        <v>50</v>
      </c>
      <c r="M296" s="87">
        <v>289</v>
      </c>
      <c r="N296" s="247">
        <v>1402</v>
      </c>
      <c r="O296" s="88" t="s">
        <v>94</v>
      </c>
      <c r="P296" s="88" t="s">
        <v>94</v>
      </c>
      <c r="Q296" s="153">
        <v>2.2000000000000002</v>
      </c>
      <c r="R296" s="142">
        <v>2.1</v>
      </c>
      <c r="S296" s="88">
        <v>280</v>
      </c>
      <c r="T296" s="88">
        <v>407</v>
      </c>
      <c r="U296" s="249">
        <v>88</v>
      </c>
      <c r="V296" s="249">
        <v>122</v>
      </c>
      <c r="W296" s="88" t="s">
        <v>94</v>
      </c>
      <c r="X296" s="88" t="s">
        <v>94</v>
      </c>
      <c r="Y296" s="90" t="s">
        <v>94</v>
      </c>
      <c r="Z296" s="90" t="s">
        <v>94</v>
      </c>
      <c r="AA296" s="88" t="s">
        <v>94</v>
      </c>
      <c r="AB296" s="88" t="s">
        <v>94</v>
      </c>
      <c r="AC296" s="89">
        <v>4.7</v>
      </c>
      <c r="AD296" s="250">
        <v>4.5999999999999996</v>
      </c>
      <c r="AE296" s="223">
        <v>89.8</v>
      </c>
      <c r="AF296" s="223">
        <v>80.900000000000006</v>
      </c>
      <c r="AG296" s="244">
        <v>61</v>
      </c>
      <c r="AH296" s="244">
        <v>63</v>
      </c>
      <c r="AI296" s="245">
        <v>1.1000000000000001</v>
      </c>
      <c r="AJ296" s="245">
        <v>1.2</v>
      </c>
      <c r="AK296" s="269">
        <f t="shared" si="26"/>
        <v>9.9999999999999867E-2</v>
      </c>
      <c r="AL296" s="244">
        <v>5</v>
      </c>
      <c r="AM296" s="244">
        <v>4.9000000000000004</v>
      </c>
      <c r="AN296" s="245">
        <v>6.9</v>
      </c>
      <c r="AO296" s="245">
        <v>7.1</v>
      </c>
      <c r="AP296" s="245">
        <v>95</v>
      </c>
      <c r="AQ296" s="245">
        <v>79</v>
      </c>
      <c r="AR296" s="349">
        <v>13.5</v>
      </c>
      <c r="AS296" s="349">
        <v>9</v>
      </c>
      <c r="AT296" s="244">
        <v>4.5999999999999996</v>
      </c>
      <c r="AU296" s="244">
        <v>4.7</v>
      </c>
      <c r="AV296" s="245">
        <v>92</v>
      </c>
      <c r="AW296" s="245">
        <v>104</v>
      </c>
      <c r="AX296" s="245">
        <v>142</v>
      </c>
      <c r="AY296" s="245">
        <v>143</v>
      </c>
      <c r="AZ296" s="349">
        <v>2.4</v>
      </c>
      <c r="BA296" s="349">
        <v>1.8</v>
      </c>
      <c r="BB296" s="242">
        <v>126</v>
      </c>
      <c r="BC296" s="355">
        <v>88</v>
      </c>
      <c r="BD296" s="238">
        <f t="shared" si="27"/>
        <v>302.72044444444447</v>
      </c>
      <c r="BE296" s="238">
        <f t="shared" si="28"/>
        <v>305.86644444444443</v>
      </c>
      <c r="BF296" s="244" t="s">
        <v>94</v>
      </c>
      <c r="BG296" s="244" t="s">
        <v>94</v>
      </c>
      <c r="BH296" s="237">
        <v>15.5</v>
      </c>
      <c r="BI296" s="237">
        <v>15.4</v>
      </c>
      <c r="BJ296" s="239">
        <v>47.5</v>
      </c>
      <c r="BK296" s="239">
        <v>46.7</v>
      </c>
      <c r="BL296" s="356">
        <v>91.9</v>
      </c>
      <c r="BM296" s="356">
        <v>91.6</v>
      </c>
      <c r="BN296" s="239">
        <v>29.9</v>
      </c>
      <c r="BO296" s="239">
        <v>30.1</v>
      </c>
      <c r="BP296" s="356">
        <v>32.6</v>
      </c>
      <c r="BQ296" s="356">
        <v>32.9</v>
      </c>
      <c r="BR296" s="239">
        <v>235</v>
      </c>
      <c r="BS296" s="239">
        <v>217</v>
      </c>
      <c r="BT296" s="356">
        <v>14.7</v>
      </c>
      <c r="BU296" s="356">
        <v>15.3</v>
      </c>
      <c r="BV296" s="239">
        <v>1.05</v>
      </c>
      <c r="BW296" s="239">
        <v>1</v>
      </c>
      <c r="BX296" s="237">
        <v>9.17</v>
      </c>
      <c r="BY296" s="237">
        <v>13.16</v>
      </c>
      <c r="BZ296" s="239">
        <v>55.7</v>
      </c>
      <c r="CA296" s="239">
        <v>10.130000000000001</v>
      </c>
      <c r="CB296" s="356">
        <v>55.7</v>
      </c>
      <c r="CC296" s="356">
        <v>10.130000000000001</v>
      </c>
      <c r="CD296" s="239">
        <v>9.9</v>
      </c>
      <c r="CE296" s="239">
        <v>1</v>
      </c>
      <c r="CF296" s="237">
        <v>1.2</v>
      </c>
      <c r="CG296" s="237">
        <v>0.02</v>
      </c>
      <c r="CH296" s="239">
        <v>0.9</v>
      </c>
      <c r="CI296" s="239">
        <v>7.0000000000000007E-2</v>
      </c>
      <c r="CJ296" s="240" t="b">
        <f t="shared" si="29"/>
        <v>0</v>
      </c>
      <c r="CK296" s="241" t="b">
        <f t="shared" si="30"/>
        <v>1</v>
      </c>
      <c r="CL296" s="242">
        <f t="shared" si="31"/>
        <v>65.962705</v>
      </c>
      <c r="CM296" s="238">
        <v>75.55</v>
      </c>
      <c r="CN296" s="242">
        <v>177.5</v>
      </c>
      <c r="CO296" s="240">
        <v>50.61</v>
      </c>
      <c r="CP296" s="242">
        <v>56</v>
      </c>
      <c r="CQ296" s="242">
        <v>50</v>
      </c>
      <c r="CR296" s="238">
        <v>12.69</v>
      </c>
    </row>
    <row r="297" spans="1:96" ht="15.75" customHeight="1">
      <c r="A297" s="150">
        <v>2022</v>
      </c>
      <c r="B297" s="160" t="s">
        <v>184</v>
      </c>
      <c r="C297" s="163">
        <v>3248</v>
      </c>
      <c r="D297" s="52">
        <v>31</v>
      </c>
      <c r="E297" s="61">
        <v>0</v>
      </c>
      <c r="F297" s="80">
        <v>0</v>
      </c>
      <c r="G297" s="51" t="s">
        <v>82</v>
      </c>
      <c r="H297" s="52" t="s">
        <v>83</v>
      </c>
      <c r="I297" s="53" t="s">
        <v>84</v>
      </c>
      <c r="J297" s="52" t="s">
        <v>97</v>
      </c>
      <c r="K297" s="53">
        <v>50</v>
      </c>
      <c r="L297" s="52">
        <v>50</v>
      </c>
      <c r="M297" s="87">
        <v>640</v>
      </c>
      <c r="N297" s="247">
        <v>1044</v>
      </c>
      <c r="O297" s="88" t="s">
        <v>94</v>
      </c>
      <c r="P297" s="88" t="s">
        <v>94</v>
      </c>
      <c r="Q297" s="153">
        <v>2.2000000000000002</v>
      </c>
      <c r="R297" s="142">
        <v>2.6</v>
      </c>
      <c r="S297" s="88">
        <v>386</v>
      </c>
      <c r="T297" s="88">
        <v>391</v>
      </c>
      <c r="U297" s="249">
        <v>105</v>
      </c>
      <c r="V297" s="249">
        <v>127</v>
      </c>
      <c r="W297" s="88" t="s">
        <v>94</v>
      </c>
      <c r="X297" s="88" t="s">
        <v>94</v>
      </c>
      <c r="Y297" s="90" t="s">
        <v>94</v>
      </c>
      <c r="Z297" s="90" t="s">
        <v>94</v>
      </c>
      <c r="AA297" s="88" t="s">
        <v>94</v>
      </c>
      <c r="AB297" s="88" t="s">
        <v>94</v>
      </c>
      <c r="AC297" s="89">
        <v>4.9000000000000004</v>
      </c>
      <c r="AD297" s="250">
        <v>6.5</v>
      </c>
      <c r="AE297" s="223">
        <v>117.1</v>
      </c>
      <c r="AF297" s="223">
        <v>92</v>
      </c>
      <c r="AG297" s="244">
        <v>61</v>
      </c>
      <c r="AH297" s="244">
        <v>67</v>
      </c>
      <c r="AI297" s="245">
        <v>0.9</v>
      </c>
      <c r="AJ297" s="245">
        <v>1.1000000000000001</v>
      </c>
      <c r="AK297" s="269">
        <f t="shared" si="26"/>
        <v>0.20000000000000007</v>
      </c>
      <c r="AL297" s="244">
        <v>3.9</v>
      </c>
      <c r="AM297" s="244">
        <v>5.3</v>
      </c>
      <c r="AN297" s="245">
        <v>7.6</v>
      </c>
      <c r="AO297" s="245">
        <v>7.5</v>
      </c>
      <c r="AP297" s="245">
        <v>123</v>
      </c>
      <c r="AQ297" s="245">
        <v>20</v>
      </c>
      <c r="AR297" s="349">
        <v>11.5</v>
      </c>
      <c r="AS297" s="349">
        <v>13.2</v>
      </c>
      <c r="AT297" s="244">
        <v>5.0999999999999996</v>
      </c>
      <c r="AU297" s="244">
        <v>4.9000000000000004</v>
      </c>
      <c r="AV297" s="245">
        <v>106</v>
      </c>
      <c r="AW297" s="245">
        <v>114</v>
      </c>
      <c r="AX297" s="245">
        <v>140</v>
      </c>
      <c r="AY297" s="245">
        <v>143</v>
      </c>
      <c r="AZ297" s="349">
        <v>2.1</v>
      </c>
      <c r="BA297" s="349">
        <v>2.5</v>
      </c>
      <c r="BB297" s="242">
        <v>105</v>
      </c>
      <c r="BC297" s="355">
        <v>118</v>
      </c>
      <c r="BD297" s="238">
        <f t="shared" si="27"/>
        <v>300.82488888888895</v>
      </c>
      <c r="BE297" s="238">
        <f t="shared" si="28"/>
        <v>307.5440000000001</v>
      </c>
      <c r="BF297" s="244" t="s">
        <v>94</v>
      </c>
      <c r="BG297" s="244" t="s">
        <v>94</v>
      </c>
      <c r="BH297" s="237">
        <v>15.5</v>
      </c>
      <c r="BI297" s="237">
        <v>14.9</v>
      </c>
      <c r="BJ297" s="239">
        <v>48.2</v>
      </c>
      <c r="BK297" s="239">
        <v>44.7</v>
      </c>
      <c r="BL297" s="356">
        <v>94.6</v>
      </c>
      <c r="BM297" s="356">
        <v>93.2</v>
      </c>
      <c r="BN297" s="239">
        <v>30.4</v>
      </c>
      <c r="BO297" s="239">
        <v>31</v>
      </c>
      <c r="BP297" s="356">
        <v>32.200000000000003</v>
      </c>
      <c r="BQ297" s="356">
        <v>33.299999999999997</v>
      </c>
      <c r="BR297" s="239">
        <v>248</v>
      </c>
      <c r="BS297" s="239">
        <v>251</v>
      </c>
      <c r="BT297" s="356">
        <v>12.9</v>
      </c>
      <c r="BU297" s="356">
        <v>13.6</v>
      </c>
      <c r="BV297" s="239">
        <v>0.57999999999999996</v>
      </c>
      <c r="BW297" s="239">
        <v>0.59</v>
      </c>
      <c r="BX297" s="237">
        <v>7.25</v>
      </c>
      <c r="BY297" s="237">
        <v>7.63</v>
      </c>
      <c r="BZ297" s="239">
        <v>58.9</v>
      </c>
      <c r="CA297" s="239">
        <v>5.43</v>
      </c>
      <c r="CB297" s="356">
        <v>58.9</v>
      </c>
      <c r="CC297" s="356">
        <v>5.43</v>
      </c>
      <c r="CD297" s="239">
        <v>11.3</v>
      </c>
      <c r="CE297" s="239">
        <v>0.71</v>
      </c>
      <c r="CF297" s="237">
        <v>1.9</v>
      </c>
      <c r="CG297" s="237">
        <v>0.04</v>
      </c>
      <c r="CH297" s="239">
        <v>0.5</v>
      </c>
      <c r="CI297" s="239">
        <v>0.04</v>
      </c>
      <c r="CJ297" s="240" t="b">
        <f t="shared" si="29"/>
        <v>0</v>
      </c>
      <c r="CK297" s="241" t="b">
        <f t="shared" si="30"/>
        <v>1</v>
      </c>
      <c r="CL297" s="242">
        <f t="shared" si="31"/>
        <v>71.403599999999997</v>
      </c>
      <c r="CM297" s="238">
        <v>78.5</v>
      </c>
      <c r="CN297" s="242">
        <v>173.5</v>
      </c>
      <c r="CO297" s="240">
        <v>51.8</v>
      </c>
      <c r="CP297" s="242">
        <v>57</v>
      </c>
      <c r="CQ297" s="242">
        <v>60</v>
      </c>
      <c r="CR297" s="238">
        <v>9.0399999999999991</v>
      </c>
    </row>
    <row r="298" spans="1:96" ht="15.75" customHeight="1">
      <c r="A298" s="150">
        <v>2022</v>
      </c>
      <c r="B298" s="160" t="s">
        <v>184</v>
      </c>
      <c r="C298" s="163">
        <v>3249</v>
      </c>
      <c r="D298" s="52">
        <v>32</v>
      </c>
      <c r="E298" s="52">
        <v>86</v>
      </c>
      <c r="F298" s="80">
        <v>0</v>
      </c>
      <c r="G298" s="51" t="s">
        <v>86</v>
      </c>
      <c r="H298" s="52" t="s">
        <v>92</v>
      </c>
      <c r="I298" s="53" t="s">
        <v>84</v>
      </c>
      <c r="J298" s="52" t="s">
        <v>97</v>
      </c>
      <c r="K298" s="53">
        <v>87.5</v>
      </c>
      <c r="L298" s="52">
        <v>12.5</v>
      </c>
      <c r="M298" s="87">
        <v>659</v>
      </c>
      <c r="N298" s="247">
        <v>11779</v>
      </c>
      <c r="O298" s="88" t="s">
        <v>94</v>
      </c>
      <c r="P298" s="88" t="s">
        <v>94</v>
      </c>
      <c r="Q298" s="153">
        <v>2.8</v>
      </c>
      <c r="R298" s="142">
        <v>2.7</v>
      </c>
      <c r="S298" s="88">
        <v>333</v>
      </c>
      <c r="T298" s="88">
        <v>713</v>
      </c>
      <c r="U298" s="249">
        <v>57</v>
      </c>
      <c r="V298" s="249">
        <v>297</v>
      </c>
      <c r="W298" s="88" t="s">
        <v>94</v>
      </c>
      <c r="X298" s="88" t="s">
        <v>94</v>
      </c>
      <c r="Y298" s="90" t="s">
        <v>94</v>
      </c>
      <c r="Z298" s="90" t="s">
        <v>94</v>
      </c>
      <c r="AA298" s="88" t="s">
        <v>94</v>
      </c>
      <c r="AB298" s="88" t="s">
        <v>94</v>
      </c>
      <c r="AC298" s="89">
        <v>5.9</v>
      </c>
      <c r="AD298" s="250">
        <v>8.1999999999999993</v>
      </c>
      <c r="AE298" s="223">
        <v>102.6</v>
      </c>
      <c r="AF298" s="223">
        <v>82.4</v>
      </c>
      <c r="AG298" s="244">
        <v>57</v>
      </c>
      <c r="AH298" s="244">
        <v>87</v>
      </c>
      <c r="AI298" s="245">
        <v>1</v>
      </c>
      <c r="AJ298" s="245">
        <v>1.2</v>
      </c>
      <c r="AK298" s="269">
        <f t="shared" si="26"/>
        <v>0.19999999999999996</v>
      </c>
      <c r="AL298" s="244">
        <v>3.5</v>
      </c>
      <c r="AM298" s="244">
        <v>6.1</v>
      </c>
      <c r="AN298" s="245">
        <v>7.1</v>
      </c>
      <c r="AO298" s="245">
        <v>7.1</v>
      </c>
      <c r="AP298" s="245">
        <v>110</v>
      </c>
      <c r="AQ298" s="245">
        <v>10</v>
      </c>
      <c r="AR298" s="349">
        <v>13.6</v>
      </c>
      <c r="AS298" s="349">
        <v>11.1</v>
      </c>
      <c r="AT298" s="244">
        <v>4</v>
      </c>
      <c r="AU298" s="244">
        <v>4.5</v>
      </c>
      <c r="AV298" s="245">
        <v>107</v>
      </c>
      <c r="AW298" s="245">
        <v>101</v>
      </c>
      <c r="AX298" s="245">
        <v>140</v>
      </c>
      <c r="AY298" s="245">
        <v>144</v>
      </c>
      <c r="AZ298" s="349">
        <v>2.8</v>
      </c>
      <c r="BA298" s="349">
        <v>2.4</v>
      </c>
      <c r="BB298" s="242">
        <v>126</v>
      </c>
      <c r="BC298" s="355">
        <v>102</v>
      </c>
      <c r="BD298" s="238">
        <f t="shared" si="27"/>
        <v>298.17611111111114</v>
      </c>
      <c r="BE298" s="238">
        <f t="shared" si="28"/>
        <v>311.16277777777782</v>
      </c>
      <c r="BF298" s="244" t="s">
        <v>94</v>
      </c>
      <c r="BG298" s="244" t="s">
        <v>94</v>
      </c>
      <c r="BH298" s="237">
        <v>14.9</v>
      </c>
      <c r="BI298" s="237">
        <v>13.9</v>
      </c>
      <c r="BJ298" s="239">
        <v>45.3</v>
      </c>
      <c r="BK298" s="239">
        <v>40.9</v>
      </c>
      <c r="BL298" s="356">
        <v>93.4</v>
      </c>
      <c r="BM298" s="356">
        <v>93.6</v>
      </c>
      <c r="BN298" s="239">
        <v>30.6</v>
      </c>
      <c r="BO298" s="239">
        <v>31.7</v>
      </c>
      <c r="BP298" s="356">
        <v>32.799999999999997</v>
      </c>
      <c r="BQ298" s="356">
        <v>33.9</v>
      </c>
      <c r="BR298" s="239">
        <v>295</v>
      </c>
      <c r="BS298" s="239">
        <v>304</v>
      </c>
      <c r="BT298" s="356">
        <v>13.3</v>
      </c>
      <c r="BU298" s="356">
        <v>14.5</v>
      </c>
      <c r="BV298" s="239">
        <v>1.29</v>
      </c>
      <c r="BW298" s="239">
        <v>0.97</v>
      </c>
      <c r="BX298" s="237">
        <v>9.5</v>
      </c>
      <c r="BY298" s="237">
        <v>13.29</v>
      </c>
      <c r="BZ298" s="239">
        <v>8.6999999999999993</v>
      </c>
      <c r="CA298" s="239">
        <v>10.7</v>
      </c>
      <c r="CB298" s="356">
        <v>8.6999999999999993</v>
      </c>
      <c r="CC298" s="356">
        <v>10.7</v>
      </c>
      <c r="CD298" s="239">
        <v>8.6999999999999993</v>
      </c>
      <c r="CE298" s="239">
        <v>1.25</v>
      </c>
      <c r="CF298" s="237">
        <v>2.1</v>
      </c>
      <c r="CG298" s="237">
        <v>0.02</v>
      </c>
      <c r="CH298" s="239">
        <v>0.2</v>
      </c>
      <c r="CI298" s="239">
        <v>0.03</v>
      </c>
      <c r="CJ298" s="240" t="b">
        <f t="shared" si="29"/>
        <v>0</v>
      </c>
      <c r="CK298" s="241" t="b">
        <f t="shared" si="30"/>
        <v>1</v>
      </c>
      <c r="CL298" s="242">
        <f t="shared" si="31"/>
        <v>71.568749999999994</v>
      </c>
      <c r="CM298" s="238">
        <v>82.5</v>
      </c>
      <c r="CN298" s="242">
        <v>174</v>
      </c>
      <c r="CO298" s="240">
        <v>50.33</v>
      </c>
      <c r="CP298" s="242">
        <v>56</v>
      </c>
      <c r="CQ298" s="242">
        <v>53</v>
      </c>
      <c r="CR298" s="238">
        <v>13.25</v>
      </c>
    </row>
    <row r="299" spans="1:96" ht="15.75" customHeight="1">
      <c r="A299" s="150">
        <v>2022</v>
      </c>
      <c r="B299" s="160" t="s">
        <v>184</v>
      </c>
      <c r="C299" s="163">
        <v>3250</v>
      </c>
      <c r="D299" s="52">
        <v>33</v>
      </c>
      <c r="E299" s="61">
        <v>0</v>
      </c>
      <c r="F299" s="80">
        <v>0</v>
      </c>
      <c r="G299" s="51" t="s">
        <v>86</v>
      </c>
      <c r="H299" s="52" t="s">
        <v>83</v>
      </c>
      <c r="I299" s="53" t="s">
        <v>84</v>
      </c>
      <c r="J299" s="52" t="s">
        <v>97</v>
      </c>
      <c r="K299" s="53">
        <v>75</v>
      </c>
      <c r="L299" s="52">
        <v>25</v>
      </c>
      <c r="M299" s="87">
        <v>856</v>
      </c>
      <c r="N299" s="247" t="s">
        <v>94</v>
      </c>
      <c r="O299" s="88" t="s">
        <v>94</v>
      </c>
      <c r="P299" s="88" t="s">
        <v>94</v>
      </c>
      <c r="Q299" s="153">
        <v>3</v>
      </c>
      <c r="R299" s="142">
        <v>3</v>
      </c>
      <c r="S299" s="88">
        <v>376</v>
      </c>
      <c r="T299" s="88">
        <v>548</v>
      </c>
      <c r="U299" s="249">
        <v>135</v>
      </c>
      <c r="V299" s="249">
        <v>245</v>
      </c>
      <c r="W299" s="88" t="s">
        <v>94</v>
      </c>
      <c r="X299" s="88" t="s">
        <v>94</v>
      </c>
      <c r="Y299" s="90" t="s">
        <v>94</v>
      </c>
      <c r="Z299" s="90" t="s">
        <v>94</v>
      </c>
      <c r="AA299" s="88" t="s">
        <v>94</v>
      </c>
      <c r="AB299" s="88" t="s">
        <v>94</v>
      </c>
      <c r="AC299" s="89">
        <v>4.5</v>
      </c>
      <c r="AD299" s="250">
        <v>6.9</v>
      </c>
      <c r="AE299" s="223">
        <v>115.7</v>
      </c>
      <c r="AF299" s="223">
        <v>81.900000000000006</v>
      </c>
      <c r="AG299" s="244">
        <v>51</v>
      </c>
      <c r="AH299" s="244">
        <v>70</v>
      </c>
      <c r="AI299" s="245">
        <v>0.9</v>
      </c>
      <c r="AJ299" s="245">
        <v>1.2</v>
      </c>
      <c r="AK299" s="269">
        <f t="shared" si="26"/>
        <v>0.29999999999999993</v>
      </c>
      <c r="AL299" s="244">
        <v>3.3</v>
      </c>
      <c r="AM299" s="244">
        <v>5</v>
      </c>
      <c r="AN299" s="245">
        <v>6.3</v>
      </c>
      <c r="AO299" s="245">
        <v>6.7</v>
      </c>
      <c r="AP299" s="245">
        <v>66</v>
      </c>
      <c r="AQ299" s="245">
        <v>18</v>
      </c>
      <c r="AR299" s="349">
        <v>12.1</v>
      </c>
      <c r="AS299" s="349">
        <v>12.8</v>
      </c>
      <c r="AT299" s="244">
        <v>4.4000000000000004</v>
      </c>
      <c r="AU299" s="244">
        <v>4.3</v>
      </c>
      <c r="AV299" s="245">
        <v>89</v>
      </c>
      <c r="AW299" s="245">
        <v>133</v>
      </c>
      <c r="AX299" s="245">
        <v>140</v>
      </c>
      <c r="AY299" s="245">
        <v>140</v>
      </c>
      <c r="AZ299" s="349">
        <v>2.7</v>
      </c>
      <c r="BA299" s="349">
        <v>2.7</v>
      </c>
      <c r="BB299" s="242">
        <v>122</v>
      </c>
      <c r="BC299" s="355">
        <v>123</v>
      </c>
      <c r="BD299" s="238">
        <f t="shared" si="27"/>
        <v>296.77011111111113</v>
      </c>
      <c r="BE299" s="238">
        <f t="shared" si="28"/>
        <v>302.56188888888892</v>
      </c>
      <c r="BF299" s="244" t="s">
        <v>94</v>
      </c>
      <c r="BG299" s="244" t="s">
        <v>94</v>
      </c>
      <c r="BH299" s="237">
        <v>12.4</v>
      </c>
      <c r="BI299" s="237">
        <v>12.9</v>
      </c>
      <c r="BJ299" s="239">
        <v>38</v>
      </c>
      <c r="BK299" s="239">
        <v>38</v>
      </c>
      <c r="BL299" s="356">
        <v>89.7</v>
      </c>
      <c r="BM299" s="356">
        <v>90.8</v>
      </c>
      <c r="BN299" s="239">
        <v>29.3</v>
      </c>
      <c r="BO299" s="239">
        <v>30.9</v>
      </c>
      <c r="BP299" s="356">
        <v>32.700000000000003</v>
      </c>
      <c r="BQ299" s="356">
        <v>34</v>
      </c>
      <c r="BR299" s="239">
        <v>352</v>
      </c>
      <c r="BS299" s="239">
        <v>385</v>
      </c>
      <c r="BT299" s="356">
        <v>13.2</v>
      </c>
      <c r="BU299" s="356">
        <v>14.5</v>
      </c>
      <c r="BV299" s="239">
        <v>1.1000000000000001</v>
      </c>
      <c r="BW299" s="239">
        <v>1.19</v>
      </c>
      <c r="BX299" s="237">
        <v>5.45</v>
      </c>
      <c r="BY299" s="237">
        <v>12.31</v>
      </c>
      <c r="BZ299" s="239">
        <v>58</v>
      </c>
      <c r="CA299" s="239">
        <v>9.6</v>
      </c>
      <c r="CB299" s="356">
        <v>58</v>
      </c>
      <c r="CC299" s="356">
        <v>9.6</v>
      </c>
      <c r="CD299" s="239">
        <v>12.4</v>
      </c>
      <c r="CE299" s="239">
        <v>0.79</v>
      </c>
      <c r="CF299" s="237">
        <v>2</v>
      </c>
      <c r="CG299" s="237">
        <v>0.03</v>
      </c>
      <c r="CH299" s="239">
        <v>0.6</v>
      </c>
      <c r="CI299" s="239">
        <v>7.0000000000000007E-2</v>
      </c>
      <c r="CJ299" s="240" t="b">
        <f t="shared" si="29"/>
        <v>1</v>
      </c>
      <c r="CK299" s="241" t="b">
        <f t="shared" si="30"/>
        <v>1</v>
      </c>
      <c r="CL299" s="242">
        <f t="shared" si="31"/>
        <v>64.357799999999997</v>
      </c>
      <c r="CM299" s="238">
        <v>74</v>
      </c>
      <c r="CN299" s="242">
        <v>172</v>
      </c>
      <c r="CO299" s="240">
        <v>52.46</v>
      </c>
      <c r="CP299" s="242">
        <v>60</v>
      </c>
      <c r="CQ299" s="242">
        <v>58</v>
      </c>
      <c r="CR299" s="238">
        <v>13.03</v>
      </c>
    </row>
    <row r="300" spans="1:96" ht="15.75" customHeight="1">
      <c r="A300" s="150">
        <v>2022</v>
      </c>
      <c r="B300" s="160" t="s">
        <v>184</v>
      </c>
      <c r="C300" s="163">
        <v>3251</v>
      </c>
      <c r="D300" s="61">
        <v>31</v>
      </c>
      <c r="E300" s="61">
        <v>80</v>
      </c>
      <c r="F300" s="80">
        <v>0</v>
      </c>
      <c r="G300" s="51" t="s">
        <v>89</v>
      </c>
      <c r="H300" s="52" t="s">
        <v>83</v>
      </c>
      <c r="I300" s="53" t="s">
        <v>87</v>
      </c>
      <c r="J300" s="52" t="s">
        <v>97</v>
      </c>
      <c r="K300" s="53">
        <v>50</v>
      </c>
      <c r="L300" s="52">
        <v>50</v>
      </c>
      <c r="M300" s="87">
        <v>757</v>
      </c>
      <c r="N300" s="247">
        <v>1109</v>
      </c>
      <c r="O300" s="88" t="s">
        <v>94</v>
      </c>
      <c r="P300" s="88" t="s">
        <v>94</v>
      </c>
      <c r="Q300" s="153">
        <v>2.8</v>
      </c>
      <c r="R300" s="142">
        <v>1.8</v>
      </c>
      <c r="S300" s="88">
        <v>254</v>
      </c>
      <c r="T300" s="95">
        <v>271</v>
      </c>
      <c r="U300" s="249">
        <v>83</v>
      </c>
      <c r="V300" s="249">
        <v>91</v>
      </c>
      <c r="W300" s="88" t="s">
        <v>94</v>
      </c>
      <c r="X300" s="88" t="s">
        <v>94</v>
      </c>
      <c r="Y300" s="90" t="s">
        <v>94</v>
      </c>
      <c r="Z300" s="90" t="s">
        <v>94</v>
      </c>
      <c r="AA300" s="88" t="s">
        <v>94</v>
      </c>
      <c r="AB300" s="88" t="s">
        <v>94</v>
      </c>
      <c r="AC300" s="89">
        <v>5.0999999999999996</v>
      </c>
      <c r="AD300" s="250">
        <v>6.7</v>
      </c>
      <c r="AE300" s="223">
        <v>117.1</v>
      </c>
      <c r="AF300" s="223">
        <v>82.9</v>
      </c>
      <c r="AG300" s="244">
        <v>39</v>
      </c>
      <c r="AH300" s="244">
        <v>49</v>
      </c>
      <c r="AI300" s="245">
        <v>0.9</v>
      </c>
      <c r="AJ300" s="245">
        <v>1.2</v>
      </c>
      <c r="AK300" s="269">
        <f t="shared" si="26"/>
        <v>0.29999999999999993</v>
      </c>
      <c r="AL300" s="244">
        <v>4.0999999999999996</v>
      </c>
      <c r="AM300" s="244">
        <v>5.0999999999999996</v>
      </c>
      <c r="AN300" s="245">
        <v>7.1</v>
      </c>
      <c r="AO300" s="245">
        <v>6.5</v>
      </c>
      <c r="AP300" s="245">
        <v>56</v>
      </c>
      <c r="AQ300" s="245">
        <v>29</v>
      </c>
      <c r="AR300" s="349">
        <v>10</v>
      </c>
      <c r="AS300" s="349">
        <v>13.4</v>
      </c>
      <c r="AT300" s="244">
        <v>4.3</v>
      </c>
      <c r="AU300" s="244">
        <v>4.9000000000000004</v>
      </c>
      <c r="AV300" s="245">
        <v>103</v>
      </c>
      <c r="AW300" s="245">
        <v>113</v>
      </c>
      <c r="AX300" s="245">
        <v>138</v>
      </c>
      <c r="AY300" s="245">
        <v>141</v>
      </c>
      <c r="AZ300" s="349">
        <v>1.9</v>
      </c>
      <c r="BA300" s="349">
        <v>2.5</v>
      </c>
      <c r="BB300" s="242">
        <v>101</v>
      </c>
      <c r="BC300" s="355">
        <v>132</v>
      </c>
      <c r="BD300" s="238">
        <f t="shared" si="27"/>
        <v>291.75855555555563</v>
      </c>
      <c r="BE300" s="238">
        <f t="shared" si="28"/>
        <v>300.76011111111114</v>
      </c>
      <c r="BF300" s="244" t="s">
        <v>94</v>
      </c>
      <c r="BG300" s="244" t="s">
        <v>94</v>
      </c>
      <c r="BH300" s="237">
        <v>13.2</v>
      </c>
      <c r="BI300" s="237">
        <v>12.9</v>
      </c>
      <c r="BJ300" s="239">
        <v>40</v>
      </c>
      <c r="BK300" s="239">
        <v>39.200000000000003</v>
      </c>
      <c r="BL300" s="356">
        <v>89.4</v>
      </c>
      <c r="BM300" s="356">
        <v>90.2</v>
      </c>
      <c r="BN300" s="239">
        <v>29.5</v>
      </c>
      <c r="BO300" s="239">
        <v>29.7</v>
      </c>
      <c r="BP300" s="356">
        <v>33</v>
      </c>
      <c r="BQ300" s="356">
        <v>33</v>
      </c>
      <c r="BR300" s="239">
        <v>324</v>
      </c>
      <c r="BS300" s="239">
        <v>281</v>
      </c>
      <c r="BT300" s="356">
        <v>14.1</v>
      </c>
      <c r="BU300" s="356">
        <v>14.6</v>
      </c>
      <c r="BV300" s="239">
        <v>0.98</v>
      </c>
      <c r="BW300" s="239">
        <v>0.79</v>
      </c>
      <c r="BX300" s="237">
        <v>6.79</v>
      </c>
      <c r="BY300" s="237">
        <v>6.48</v>
      </c>
      <c r="BZ300" s="239">
        <v>64.7</v>
      </c>
      <c r="CA300" s="239">
        <v>3.73</v>
      </c>
      <c r="CB300" s="356">
        <v>64.7</v>
      </c>
      <c r="CC300" s="356">
        <v>3.73</v>
      </c>
      <c r="CD300" s="239">
        <v>9.9</v>
      </c>
      <c r="CE300" s="239">
        <v>0.66</v>
      </c>
      <c r="CF300" s="237">
        <v>1.7</v>
      </c>
      <c r="CG300" s="237">
        <v>0.09</v>
      </c>
      <c r="CH300" s="239">
        <v>0.5</v>
      </c>
      <c r="CI300" s="239">
        <v>0.04</v>
      </c>
      <c r="CJ300" s="240" t="b">
        <f t="shared" si="29"/>
        <v>1</v>
      </c>
      <c r="CK300" s="241" t="b">
        <f t="shared" si="30"/>
        <v>1</v>
      </c>
      <c r="CL300" s="242">
        <f t="shared" si="31"/>
        <v>75.540360000000007</v>
      </c>
      <c r="CM300" s="238">
        <v>81.2</v>
      </c>
      <c r="CN300" s="242">
        <v>174</v>
      </c>
      <c r="CO300" s="240">
        <v>49.27</v>
      </c>
      <c r="CP300" s="242">
        <v>64</v>
      </c>
      <c r="CQ300" s="242">
        <v>64</v>
      </c>
      <c r="CR300" s="238">
        <v>6.97</v>
      </c>
    </row>
    <row r="301" spans="1:96" ht="15.75" customHeight="1">
      <c r="A301" s="150">
        <v>2022</v>
      </c>
      <c r="B301" s="160" t="s">
        <v>184</v>
      </c>
      <c r="C301" s="163">
        <v>3254</v>
      </c>
      <c r="D301" s="61">
        <v>32</v>
      </c>
      <c r="E301" s="61">
        <v>71</v>
      </c>
      <c r="F301" s="80">
        <v>0</v>
      </c>
      <c r="G301" s="51" t="s">
        <v>94</v>
      </c>
      <c r="H301" s="52" t="s">
        <v>94</v>
      </c>
      <c r="I301" s="53" t="s">
        <v>94</v>
      </c>
      <c r="J301" s="52" t="s">
        <v>94</v>
      </c>
      <c r="K301" s="53" t="s">
        <v>94</v>
      </c>
      <c r="L301" s="52" t="s">
        <v>94</v>
      </c>
      <c r="M301" s="87">
        <v>502</v>
      </c>
      <c r="N301" s="247">
        <v>1531</v>
      </c>
      <c r="O301" s="88" t="s">
        <v>94</v>
      </c>
      <c r="P301" s="88" t="s">
        <v>94</v>
      </c>
      <c r="Q301" s="153">
        <v>3.6</v>
      </c>
      <c r="R301" s="142">
        <v>2.8</v>
      </c>
      <c r="S301" s="88">
        <v>316</v>
      </c>
      <c r="T301" s="88">
        <v>413</v>
      </c>
      <c r="U301" s="249">
        <v>111</v>
      </c>
      <c r="V301" s="249">
        <v>141</v>
      </c>
      <c r="W301" s="88" t="s">
        <v>94</v>
      </c>
      <c r="X301" s="88" t="s">
        <v>94</v>
      </c>
      <c r="Y301" s="90" t="s">
        <v>94</v>
      </c>
      <c r="Z301" s="90" t="s">
        <v>94</v>
      </c>
      <c r="AA301" s="88" t="s">
        <v>94</v>
      </c>
      <c r="AB301" s="88" t="s">
        <v>94</v>
      </c>
      <c r="AC301" s="89">
        <v>5.3</v>
      </c>
      <c r="AD301" s="250">
        <v>8.1</v>
      </c>
      <c r="AE301" s="331">
        <v>116.4</v>
      </c>
      <c r="AF301" s="331">
        <v>68.5</v>
      </c>
      <c r="AG301" s="244">
        <v>46</v>
      </c>
      <c r="AH301" s="244">
        <v>78</v>
      </c>
      <c r="AI301" s="245">
        <v>0.9</v>
      </c>
      <c r="AJ301" s="245">
        <v>1.4</v>
      </c>
      <c r="AK301" s="269">
        <f t="shared" si="26"/>
        <v>0.49999999999999989</v>
      </c>
      <c r="AL301" s="244">
        <v>5</v>
      </c>
      <c r="AM301" s="244">
        <v>7.4</v>
      </c>
      <c r="AN301" s="245">
        <v>8.6999999999999993</v>
      </c>
      <c r="AO301" s="245">
        <v>8.9</v>
      </c>
      <c r="AP301" s="245">
        <v>82</v>
      </c>
      <c r="AQ301" s="245">
        <v>10</v>
      </c>
      <c r="AR301" s="349">
        <v>13.2</v>
      </c>
      <c r="AS301" s="349">
        <v>14.2</v>
      </c>
      <c r="AT301" s="244">
        <v>4.2</v>
      </c>
      <c r="AU301" s="244">
        <v>5.6</v>
      </c>
      <c r="AV301" s="245">
        <v>91</v>
      </c>
      <c r="AW301" s="245">
        <v>96</v>
      </c>
      <c r="AX301" s="245">
        <v>142</v>
      </c>
      <c r="AY301" s="245">
        <v>141</v>
      </c>
      <c r="AZ301" s="349">
        <v>2.7</v>
      </c>
      <c r="BA301" s="349">
        <v>2.9</v>
      </c>
      <c r="BB301" s="354">
        <v>134</v>
      </c>
      <c r="BC301" s="353">
        <v>136</v>
      </c>
      <c r="BD301" s="238">
        <f t="shared" si="27"/>
        <v>299.41255555555557</v>
      </c>
      <c r="BE301" s="238">
        <f t="shared" si="28"/>
        <v>305.80933333333331</v>
      </c>
      <c r="BF301" s="244" t="s">
        <v>94</v>
      </c>
      <c r="BG301" s="244" t="s">
        <v>94</v>
      </c>
      <c r="BH301" s="237">
        <v>14.2</v>
      </c>
      <c r="BI301" s="237">
        <v>14</v>
      </c>
      <c r="BJ301" s="239">
        <v>43.9</v>
      </c>
      <c r="BK301" s="239">
        <v>43</v>
      </c>
      <c r="BL301" s="356">
        <v>88.7</v>
      </c>
      <c r="BM301" s="356">
        <v>89.7</v>
      </c>
      <c r="BN301" s="239">
        <v>28.6</v>
      </c>
      <c r="BO301" s="239">
        <v>29.1</v>
      </c>
      <c r="BP301" s="356">
        <v>32.299999999999997</v>
      </c>
      <c r="BQ301" s="356">
        <v>32.5</v>
      </c>
      <c r="BR301" s="239">
        <v>361</v>
      </c>
      <c r="BS301" s="239">
        <v>368</v>
      </c>
      <c r="BT301" s="356">
        <v>12.9</v>
      </c>
      <c r="BU301" s="356">
        <v>14.7</v>
      </c>
      <c r="BV301" s="239">
        <v>0.67</v>
      </c>
      <c r="BW301" s="239">
        <v>0.86</v>
      </c>
      <c r="BX301" s="237">
        <v>13.26</v>
      </c>
      <c r="BY301" s="237">
        <v>17.309999999999999</v>
      </c>
      <c r="BZ301" s="239">
        <v>69.099999999999994</v>
      </c>
      <c r="CA301" s="239">
        <v>12.28</v>
      </c>
      <c r="CB301" s="356">
        <v>69.099999999999994</v>
      </c>
      <c r="CC301" s="356">
        <v>12.28</v>
      </c>
      <c r="CD301" s="239">
        <v>8.1</v>
      </c>
      <c r="CE301" s="239">
        <v>1.41</v>
      </c>
      <c r="CF301" s="237">
        <v>1</v>
      </c>
      <c r="CG301" s="237">
        <v>0.05</v>
      </c>
      <c r="CH301" s="239">
        <v>0.2</v>
      </c>
      <c r="CI301" s="239">
        <v>7.0000000000000007E-2</v>
      </c>
      <c r="CJ301" s="240" t="b">
        <f t="shared" si="29"/>
        <v>1</v>
      </c>
      <c r="CK301" s="241" t="b">
        <f t="shared" si="30"/>
        <v>1</v>
      </c>
      <c r="CL301" s="242">
        <f t="shared" si="31"/>
        <v>64.545389999999998</v>
      </c>
      <c r="CM301" s="238">
        <v>74.55</v>
      </c>
      <c r="CN301" s="242">
        <v>176.6</v>
      </c>
      <c r="CO301" s="240">
        <v>49.15</v>
      </c>
      <c r="CP301" s="242">
        <v>58</v>
      </c>
      <c r="CQ301" s="242">
        <v>56</v>
      </c>
      <c r="CR301" s="238">
        <v>13.42</v>
      </c>
    </row>
    <row r="302" spans="1:96" ht="15.75" customHeight="1">
      <c r="A302" s="150">
        <v>2022</v>
      </c>
      <c r="B302" s="160" t="s">
        <v>184</v>
      </c>
      <c r="C302" s="163">
        <v>3255</v>
      </c>
      <c r="D302" s="61">
        <v>28</v>
      </c>
      <c r="E302" s="61">
        <v>0</v>
      </c>
      <c r="F302" s="80">
        <v>0</v>
      </c>
      <c r="G302" s="51" t="s">
        <v>86</v>
      </c>
      <c r="H302" s="52" t="s">
        <v>83</v>
      </c>
      <c r="I302" s="53" t="s">
        <v>84</v>
      </c>
      <c r="J302" s="52" t="s">
        <v>98</v>
      </c>
      <c r="K302" s="53">
        <v>50</v>
      </c>
      <c r="L302" s="52">
        <v>50</v>
      </c>
      <c r="M302" s="87">
        <v>448</v>
      </c>
      <c r="N302" s="247">
        <v>3067</v>
      </c>
      <c r="O302" s="88" t="s">
        <v>94</v>
      </c>
      <c r="P302" s="88" t="s">
        <v>94</v>
      </c>
      <c r="Q302" s="153">
        <v>3</v>
      </c>
      <c r="R302" s="142">
        <v>2.2000000000000002</v>
      </c>
      <c r="S302" s="88">
        <v>298</v>
      </c>
      <c r="T302" s="88">
        <v>450</v>
      </c>
      <c r="U302" s="249">
        <v>51</v>
      </c>
      <c r="V302" s="249">
        <v>132</v>
      </c>
      <c r="W302" s="88" t="s">
        <v>94</v>
      </c>
      <c r="X302" s="88" t="s">
        <v>94</v>
      </c>
      <c r="Y302" s="90" t="s">
        <v>94</v>
      </c>
      <c r="Z302" s="90" t="s">
        <v>94</v>
      </c>
      <c r="AA302" s="88" t="s">
        <v>94</v>
      </c>
      <c r="AB302" s="88" t="s">
        <v>94</v>
      </c>
      <c r="AC302" s="89">
        <v>4.4000000000000004</v>
      </c>
      <c r="AD302" s="250">
        <v>3.5</v>
      </c>
      <c r="AE302" s="223">
        <v>105.1</v>
      </c>
      <c r="AF302" s="223">
        <v>93.8</v>
      </c>
      <c r="AG302" s="244">
        <v>44</v>
      </c>
      <c r="AH302" s="244">
        <v>54</v>
      </c>
      <c r="AI302" s="245">
        <v>1</v>
      </c>
      <c r="AJ302" s="245">
        <v>1.1000000000000001</v>
      </c>
      <c r="AK302" s="269">
        <f t="shared" si="26"/>
        <v>0.10000000000000009</v>
      </c>
      <c r="AL302" s="244">
        <v>4.0999999999999996</v>
      </c>
      <c r="AM302" s="244">
        <v>5.6</v>
      </c>
      <c r="AN302" s="245">
        <v>7.9</v>
      </c>
      <c r="AO302" s="245">
        <v>7.7</v>
      </c>
      <c r="AP302" s="246">
        <v>21</v>
      </c>
      <c r="AQ302" s="245">
        <v>46</v>
      </c>
      <c r="AR302" s="349">
        <v>11.5</v>
      </c>
      <c r="AS302" s="349">
        <v>12.9</v>
      </c>
      <c r="AT302" s="244">
        <v>4.3</v>
      </c>
      <c r="AU302" s="244">
        <v>4.5</v>
      </c>
      <c r="AV302" s="245">
        <v>117</v>
      </c>
      <c r="AW302" s="245">
        <v>97</v>
      </c>
      <c r="AX302" s="245">
        <v>137</v>
      </c>
      <c r="AY302" s="245">
        <v>144</v>
      </c>
      <c r="AZ302" s="349">
        <v>2.4</v>
      </c>
      <c r="BA302" s="349">
        <v>2.8</v>
      </c>
      <c r="BB302" s="354">
        <v>105</v>
      </c>
      <c r="BC302" s="353">
        <v>118</v>
      </c>
      <c r="BD302" s="238">
        <f t="shared" si="27"/>
        <v>291.62633333333338</v>
      </c>
      <c r="BE302" s="238">
        <f t="shared" si="28"/>
        <v>305.40722222222223</v>
      </c>
      <c r="BF302" s="244" t="s">
        <v>94</v>
      </c>
      <c r="BG302" s="244" t="s">
        <v>94</v>
      </c>
      <c r="BH302" s="237">
        <v>14.1</v>
      </c>
      <c r="BI302" s="237">
        <v>13.4</v>
      </c>
      <c r="BJ302" s="239">
        <v>43.4</v>
      </c>
      <c r="BK302" s="239">
        <v>42</v>
      </c>
      <c r="BL302" s="356">
        <v>90.8</v>
      </c>
      <c r="BM302" s="356">
        <v>91.2</v>
      </c>
      <c r="BN302" s="239">
        <v>29.4</v>
      </c>
      <c r="BO302" s="239">
        <v>29.2</v>
      </c>
      <c r="BP302" s="356">
        <v>32.4</v>
      </c>
      <c r="BQ302" s="356">
        <v>32</v>
      </c>
      <c r="BR302" s="239">
        <v>295</v>
      </c>
      <c r="BS302" s="239">
        <v>344</v>
      </c>
      <c r="BT302" s="356">
        <v>14.1</v>
      </c>
      <c r="BU302" s="356">
        <v>14.2</v>
      </c>
      <c r="BV302" s="239">
        <v>0.56999999999999995</v>
      </c>
      <c r="BW302" s="239">
        <v>0.63</v>
      </c>
      <c r="BX302" s="237">
        <v>11.73</v>
      </c>
      <c r="BY302" s="237">
        <v>9.02</v>
      </c>
      <c r="BZ302" s="239">
        <v>75.599999999999994</v>
      </c>
      <c r="CA302" s="239">
        <v>5.72</v>
      </c>
      <c r="CB302" s="356">
        <v>75.599999999999994</v>
      </c>
      <c r="CC302" s="356">
        <v>5.72</v>
      </c>
      <c r="CD302" s="239">
        <v>10.5</v>
      </c>
      <c r="CE302" s="239">
        <v>0.68</v>
      </c>
      <c r="CF302" s="237">
        <v>0.2</v>
      </c>
      <c r="CG302" s="237">
        <v>0.01</v>
      </c>
      <c r="CH302" s="239">
        <v>0</v>
      </c>
      <c r="CI302" s="239">
        <v>0.08</v>
      </c>
      <c r="CJ302" s="240" t="b">
        <f t="shared" si="29"/>
        <v>0</v>
      </c>
      <c r="CK302" s="241" t="b">
        <f t="shared" si="30"/>
        <v>1</v>
      </c>
      <c r="CL302" s="242">
        <f t="shared" si="31"/>
        <v>71.013225000000006</v>
      </c>
      <c r="CM302" s="238">
        <v>80.25</v>
      </c>
      <c r="CN302" s="242">
        <v>179</v>
      </c>
      <c r="CO302" s="240">
        <v>49.57</v>
      </c>
      <c r="CP302" s="242">
        <v>57</v>
      </c>
      <c r="CQ302" s="242">
        <v>52</v>
      </c>
      <c r="CR302" s="238">
        <v>11.51</v>
      </c>
    </row>
    <row r="303" spans="1:96" ht="15.75" customHeight="1">
      <c r="A303" s="150">
        <v>2022</v>
      </c>
      <c r="B303" s="160" t="s">
        <v>184</v>
      </c>
      <c r="C303" s="163">
        <v>3256</v>
      </c>
      <c r="D303" s="61">
        <v>29</v>
      </c>
      <c r="E303" s="61">
        <v>0</v>
      </c>
      <c r="F303" s="80">
        <v>0</v>
      </c>
      <c r="G303" s="51" t="s">
        <v>89</v>
      </c>
      <c r="H303" s="52" t="s">
        <v>92</v>
      </c>
      <c r="I303" s="53" t="s">
        <v>93</v>
      </c>
      <c r="J303" s="52" t="s">
        <v>97</v>
      </c>
      <c r="K303" s="53">
        <v>87.5</v>
      </c>
      <c r="L303" s="52">
        <v>12.5</v>
      </c>
      <c r="M303" s="87">
        <v>400</v>
      </c>
      <c r="N303" s="247">
        <v>481</v>
      </c>
      <c r="O303" s="88" t="s">
        <v>94</v>
      </c>
      <c r="P303" s="88" t="s">
        <v>94</v>
      </c>
      <c r="Q303" s="153">
        <v>2.8</v>
      </c>
      <c r="R303" s="142">
        <v>3.1</v>
      </c>
      <c r="S303" s="88">
        <v>299</v>
      </c>
      <c r="T303" s="88">
        <v>339</v>
      </c>
      <c r="U303" s="249">
        <v>54</v>
      </c>
      <c r="V303" s="249">
        <v>61</v>
      </c>
      <c r="W303" s="88" t="s">
        <v>94</v>
      </c>
      <c r="X303" s="88" t="s">
        <v>94</v>
      </c>
      <c r="Y303" s="90" t="s">
        <v>94</v>
      </c>
      <c r="Z303" s="90" t="s">
        <v>94</v>
      </c>
      <c r="AA303" s="88" t="s">
        <v>94</v>
      </c>
      <c r="AB303" s="88" t="s">
        <v>94</v>
      </c>
      <c r="AC303" s="89">
        <v>4</v>
      </c>
      <c r="AD303" s="250">
        <v>5.7</v>
      </c>
      <c r="AE303" s="223">
        <v>122.9</v>
      </c>
      <c r="AF303" s="223">
        <v>104.5</v>
      </c>
      <c r="AG303" s="244">
        <v>45</v>
      </c>
      <c r="AH303" s="244">
        <v>59</v>
      </c>
      <c r="AI303" s="245">
        <v>0.8</v>
      </c>
      <c r="AJ303" s="245">
        <v>1</v>
      </c>
      <c r="AK303" s="269">
        <f t="shared" si="26"/>
        <v>0.19999999999999996</v>
      </c>
      <c r="AL303" s="244">
        <v>4.5999999999999996</v>
      </c>
      <c r="AM303" s="244">
        <v>6</v>
      </c>
      <c r="AN303" s="245">
        <v>8.6999999999999993</v>
      </c>
      <c r="AO303" s="245">
        <v>8.6</v>
      </c>
      <c r="AP303" s="245">
        <v>92</v>
      </c>
      <c r="AQ303" s="245">
        <v>22</v>
      </c>
      <c r="AR303" s="349">
        <v>13.9</v>
      </c>
      <c r="AS303" s="349">
        <v>13.2</v>
      </c>
      <c r="AT303" s="244">
        <v>5.0999999999999996</v>
      </c>
      <c r="AU303" s="244">
        <v>5.0999999999999996</v>
      </c>
      <c r="AV303" s="245">
        <v>94</v>
      </c>
      <c r="AW303" s="245">
        <v>109</v>
      </c>
      <c r="AX303" s="245">
        <v>140</v>
      </c>
      <c r="AY303" s="245">
        <v>141</v>
      </c>
      <c r="AZ303" s="349">
        <v>2.9</v>
      </c>
      <c r="BA303" s="349">
        <v>3.2</v>
      </c>
      <c r="BB303" s="354">
        <v>122</v>
      </c>
      <c r="BC303" s="353">
        <v>121</v>
      </c>
      <c r="BD303" s="238">
        <f t="shared" si="27"/>
        <v>297.39155555555556</v>
      </c>
      <c r="BE303" s="238">
        <f t="shared" si="28"/>
        <v>302.5432222222222</v>
      </c>
      <c r="BF303" s="244" t="s">
        <v>94</v>
      </c>
      <c r="BG303" s="244" t="s">
        <v>94</v>
      </c>
      <c r="BH303" s="237">
        <v>15.2</v>
      </c>
      <c r="BI303" s="237">
        <v>15.7</v>
      </c>
      <c r="BJ303" s="239">
        <v>47.1</v>
      </c>
      <c r="BK303" s="239">
        <v>46.7</v>
      </c>
      <c r="BL303" s="356">
        <v>81</v>
      </c>
      <c r="BM303" s="356">
        <v>82.6</v>
      </c>
      <c r="BN303" s="239">
        <v>26.2</v>
      </c>
      <c r="BO303" s="239">
        <v>27.7</v>
      </c>
      <c r="BP303" s="356">
        <v>32.299999999999997</v>
      </c>
      <c r="BQ303" s="356">
        <v>33.6</v>
      </c>
      <c r="BR303" s="239">
        <v>356</v>
      </c>
      <c r="BS303" s="239">
        <v>321</v>
      </c>
      <c r="BT303" s="356">
        <v>12.9</v>
      </c>
      <c r="BU303" s="356">
        <v>13.9</v>
      </c>
      <c r="BV303" s="239">
        <v>0.82</v>
      </c>
      <c r="BW303" s="239">
        <v>0.71</v>
      </c>
      <c r="BX303" s="237">
        <v>8.32</v>
      </c>
      <c r="BY303" s="237">
        <v>8.25</v>
      </c>
      <c r="BZ303" s="239">
        <v>67.400000000000006</v>
      </c>
      <c r="CA303" s="239">
        <v>5.95</v>
      </c>
      <c r="CB303" s="356">
        <v>67.400000000000006</v>
      </c>
      <c r="CC303" s="356">
        <v>5.95</v>
      </c>
      <c r="CD303" s="239">
        <v>7.9</v>
      </c>
      <c r="CE303" s="239">
        <v>0.68</v>
      </c>
      <c r="CF303" s="237">
        <v>2.7</v>
      </c>
      <c r="CG303" s="237">
        <v>0.02</v>
      </c>
      <c r="CH303" s="239">
        <v>0.3</v>
      </c>
      <c r="CI303" s="239">
        <v>0.04</v>
      </c>
      <c r="CJ303" s="240" t="b">
        <f t="shared" si="29"/>
        <v>0</v>
      </c>
      <c r="CK303" s="241" t="b">
        <f t="shared" si="30"/>
        <v>0</v>
      </c>
      <c r="CL303" s="242">
        <f t="shared" si="31"/>
        <v>71.552219999999991</v>
      </c>
      <c r="CM303" s="238">
        <v>83.55</v>
      </c>
      <c r="CN303" s="242">
        <v>182.6</v>
      </c>
      <c r="CO303" s="240">
        <v>51.94</v>
      </c>
      <c r="CP303" s="242">
        <v>56</v>
      </c>
      <c r="CQ303" s="242">
        <v>52</v>
      </c>
      <c r="CR303" s="238">
        <v>14.36</v>
      </c>
    </row>
    <row r="304" spans="1:96" ht="15.75" customHeight="1">
      <c r="A304" s="150">
        <v>2022</v>
      </c>
      <c r="B304" s="160" t="s">
        <v>184</v>
      </c>
      <c r="C304" s="163">
        <v>3257</v>
      </c>
      <c r="D304" s="61">
        <v>28</v>
      </c>
      <c r="E304" s="61">
        <v>0</v>
      </c>
      <c r="F304" s="80">
        <v>0</v>
      </c>
      <c r="G304" s="51" t="s">
        <v>89</v>
      </c>
      <c r="H304" s="52" t="s">
        <v>92</v>
      </c>
      <c r="I304" s="53" t="s">
        <v>87</v>
      </c>
      <c r="J304" s="52" t="s">
        <v>97</v>
      </c>
      <c r="K304" s="53">
        <v>62.5</v>
      </c>
      <c r="L304" s="52">
        <v>37.5</v>
      </c>
      <c r="M304" s="87">
        <v>625</v>
      </c>
      <c r="N304" s="247">
        <v>673</v>
      </c>
      <c r="O304" s="88" t="s">
        <v>94</v>
      </c>
      <c r="P304" s="88" t="s">
        <v>94</v>
      </c>
      <c r="Q304" s="153">
        <v>1.6</v>
      </c>
      <c r="R304" s="142">
        <v>1.7</v>
      </c>
      <c r="S304" s="88">
        <v>332</v>
      </c>
      <c r="T304" s="88">
        <v>344</v>
      </c>
      <c r="U304" s="249">
        <v>115</v>
      </c>
      <c r="V304" s="249">
        <v>99</v>
      </c>
      <c r="W304" s="88" t="s">
        <v>94</v>
      </c>
      <c r="X304" s="88" t="s">
        <v>94</v>
      </c>
      <c r="Y304" s="90" t="s">
        <v>94</v>
      </c>
      <c r="Z304" s="90" t="s">
        <v>94</v>
      </c>
      <c r="AA304" s="88" t="s">
        <v>94</v>
      </c>
      <c r="AB304" s="88" t="s">
        <v>94</v>
      </c>
      <c r="AC304" s="89">
        <v>5.4</v>
      </c>
      <c r="AD304" s="250">
        <v>5.2</v>
      </c>
      <c r="AE304" s="223">
        <v>123.6</v>
      </c>
      <c r="AF304" s="223">
        <v>119.3</v>
      </c>
      <c r="AG304" s="244">
        <v>37</v>
      </c>
      <c r="AH304" s="244">
        <v>37</v>
      </c>
      <c r="AI304" s="245">
        <v>0.8</v>
      </c>
      <c r="AJ304" s="245">
        <v>0.9</v>
      </c>
      <c r="AK304" s="269">
        <f t="shared" si="26"/>
        <v>9.9999999999999978E-2</v>
      </c>
      <c r="AL304" s="244">
        <v>4.2</v>
      </c>
      <c r="AM304" s="244">
        <v>4.4000000000000004</v>
      </c>
      <c r="AN304" s="245">
        <v>7.7</v>
      </c>
      <c r="AO304" s="245">
        <v>7.3</v>
      </c>
      <c r="AP304" s="245">
        <v>41</v>
      </c>
      <c r="AQ304" s="245">
        <v>10</v>
      </c>
      <c r="AR304" s="349">
        <v>12.2</v>
      </c>
      <c r="AS304" s="349">
        <v>11.9</v>
      </c>
      <c r="AT304" s="244">
        <v>4</v>
      </c>
      <c r="AU304" s="244">
        <v>4</v>
      </c>
      <c r="AV304" s="245">
        <v>99</v>
      </c>
      <c r="AW304" s="245">
        <v>115</v>
      </c>
      <c r="AX304" s="245">
        <v>141</v>
      </c>
      <c r="AY304" s="245">
        <v>143</v>
      </c>
      <c r="AZ304" s="349">
        <v>2.6</v>
      </c>
      <c r="BA304" s="349">
        <v>2.4</v>
      </c>
      <c r="BB304" s="354">
        <v>125</v>
      </c>
      <c r="BC304" s="353">
        <v>117</v>
      </c>
      <c r="BD304" s="238">
        <f t="shared" si="27"/>
        <v>296.19166666666666</v>
      </c>
      <c r="BE304" s="238">
        <f t="shared" si="28"/>
        <v>300.93388888888893</v>
      </c>
      <c r="BF304" s="244" t="s">
        <v>94</v>
      </c>
      <c r="BG304" s="244" t="s">
        <v>94</v>
      </c>
      <c r="BH304" s="237">
        <v>15.3</v>
      </c>
      <c r="BI304" s="237">
        <v>14.3</v>
      </c>
      <c r="BJ304" s="239">
        <v>46.8</v>
      </c>
      <c r="BK304" s="239">
        <v>43.3</v>
      </c>
      <c r="BL304" s="356">
        <v>94.3</v>
      </c>
      <c r="BM304" s="356">
        <v>94.4</v>
      </c>
      <c r="BN304" s="239">
        <v>30.8</v>
      </c>
      <c r="BO304" s="239">
        <v>31.1</v>
      </c>
      <c r="BP304" s="356">
        <v>32.6</v>
      </c>
      <c r="BQ304" s="356">
        <v>32.9</v>
      </c>
      <c r="BR304" s="239">
        <v>259</v>
      </c>
      <c r="BS304" s="239">
        <v>267</v>
      </c>
      <c r="BT304" s="356">
        <v>13</v>
      </c>
      <c r="BU304" s="356">
        <v>14.1</v>
      </c>
      <c r="BV304" s="239">
        <v>0.65</v>
      </c>
      <c r="BW304" s="239">
        <v>0.64</v>
      </c>
      <c r="BX304" s="237">
        <v>3.72</v>
      </c>
      <c r="BY304" s="237">
        <v>7.82</v>
      </c>
      <c r="BZ304" s="239">
        <v>40.1</v>
      </c>
      <c r="CA304" s="239">
        <v>5.15</v>
      </c>
      <c r="CB304" s="356">
        <v>40.1</v>
      </c>
      <c r="CC304" s="356">
        <v>5.15</v>
      </c>
      <c r="CD304" s="239">
        <v>18.2</v>
      </c>
      <c r="CE304" s="239">
        <v>0.76</v>
      </c>
      <c r="CF304" s="237">
        <v>5.3</v>
      </c>
      <c r="CG304" s="237">
        <v>0.05</v>
      </c>
      <c r="CH304" s="239">
        <v>2.2000000000000002</v>
      </c>
      <c r="CI304" s="239">
        <v>0.06</v>
      </c>
      <c r="CJ304" s="240" t="b">
        <f t="shared" si="29"/>
        <v>0</v>
      </c>
      <c r="CK304" s="241" t="b">
        <f t="shared" si="30"/>
        <v>0</v>
      </c>
      <c r="CL304" s="242">
        <f t="shared" si="31"/>
        <v>79.259819999999991</v>
      </c>
      <c r="CM304" s="238">
        <v>92.55</v>
      </c>
      <c r="CN304" s="242">
        <v>183.2</v>
      </c>
      <c r="CO304" s="240">
        <v>45.83</v>
      </c>
      <c r="CP304" s="242">
        <v>58</v>
      </c>
      <c r="CQ304" s="242">
        <v>62</v>
      </c>
      <c r="CR304" s="238">
        <v>14.36</v>
      </c>
    </row>
    <row r="305" spans="1:96" ht="15.75" customHeight="1">
      <c r="A305" s="150">
        <v>2022</v>
      </c>
      <c r="B305" s="160" t="s">
        <v>184</v>
      </c>
      <c r="C305" s="163">
        <v>3258</v>
      </c>
      <c r="D305" s="61">
        <v>26</v>
      </c>
      <c r="E305" s="61">
        <v>83</v>
      </c>
      <c r="F305" s="80">
        <v>0</v>
      </c>
      <c r="G305" s="51" t="s">
        <v>82</v>
      </c>
      <c r="H305" s="52" t="s">
        <v>83</v>
      </c>
      <c r="I305" s="53" t="s">
        <v>84</v>
      </c>
      <c r="J305" s="52" t="s">
        <v>99</v>
      </c>
      <c r="K305" s="53">
        <v>37.5</v>
      </c>
      <c r="L305" s="52">
        <v>62.5</v>
      </c>
      <c r="M305" s="87">
        <v>1276</v>
      </c>
      <c r="N305" s="247">
        <v>1063</v>
      </c>
      <c r="O305" s="88" t="s">
        <v>94</v>
      </c>
      <c r="P305" s="88" t="s">
        <v>94</v>
      </c>
      <c r="Q305" s="153">
        <v>2.1</v>
      </c>
      <c r="R305" s="142">
        <v>2.6</v>
      </c>
      <c r="S305" s="88">
        <v>295</v>
      </c>
      <c r="T305" s="88">
        <v>308</v>
      </c>
      <c r="U305" s="249">
        <v>96</v>
      </c>
      <c r="V305" s="249">
        <v>92</v>
      </c>
      <c r="W305" s="88" t="s">
        <v>94</v>
      </c>
      <c r="X305" s="88" t="s">
        <v>94</v>
      </c>
      <c r="Y305" s="90" t="s">
        <v>94</v>
      </c>
      <c r="Z305" s="90" t="s">
        <v>94</v>
      </c>
      <c r="AA305" s="88" t="s">
        <v>94</v>
      </c>
      <c r="AB305" s="88" t="s">
        <v>94</v>
      </c>
      <c r="AC305" s="89">
        <v>5.4</v>
      </c>
      <c r="AD305" s="250">
        <v>6.4</v>
      </c>
      <c r="AE305" s="223">
        <v>106.5</v>
      </c>
      <c r="AF305" s="223">
        <v>77.7</v>
      </c>
      <c r="AG305" s="244">
        <v>53</v>
      </c>
      <c r="AH305" s="244">
        <v>59</v>
      </c>
      <c r="AI305" s="245">
        <v>1</v>
      </c>
      <c r="AJ305" s="245">
        <v>1.3</v>
      </c>
      <c r="AK305" s="269">
        <f t="shared" si="26"/>
        <v>0.30000000000000004</v>
      </c>
      <c r="AL305" s="244">
        <v>3.8</v>
      </c>
      <c r="AM305" s="244">
        <v>5.4</v>
      </c>
      <c r="AN305" s="245">
        <v>8</v>
      </c>
      <c r="AO305" s="245">
        <v>8.4</v>
      </c>
      <c r="AP305" s="245">
        <v>146</v>
      </c>
      <c r="AQ305" s="245">
        <v>58</v>
      </c>
      <c r="AR305" s="349">
        <v>13.5</v>
      </c>
      <c r="AS305" s="349">
        <v>14</v>
      </c>
      <c r="AT305" s="244">
        <v>4.3</v>
      </c>
      <c r="AU305" s="244">
        <v>5</v>
      </c>
      <c r="AV305" s="245">
        <v>102</v>
      </c>
      <c r="AW305" s="245">
        <v>91</v>
      </c>
      <c r="AX305" s="245">
        <v>141</v>
      </c>
      <c r="AY305" s="245">
        <v>147</v>
      </c>
      <c r="AZ305" s="349">
        <v>2.6</v>
      </c>
      <c r="BA305" s="349">
        <v>3</v>
      </c>
      <c r="BB305" s="354">
        <v>129</v>
      </c>
      <c r="BC305" s="353">
        <v>134</v>
      </c>
      <c r="BD305" s="238">
        <f t="shared" si="27"/>
        <v>299.608</v>
      </c>
      <c r="BE305" s="238">
        <f t="shared" si="28"/>
        <v>312.36722222222221</v>
      </c>
      <c r="BF305" s="244" t="s">
        <v>94</v>
      </c>
      <c r="BG305" s="244" t="s">
        <v>94</v>
      </c>
      <c r="BH305" s="237">
        <v>15.7</v>
      </c>
      <c r="BI305" s="237">
        <v>15.6</v>
      </c>
      <c r="BJ305" s="239">
        <v>48.6</v>
      </c>
      <c r="BK305" s="239">
        <v>48.2</v>
      </c>
      <c r="BL305" s="356">
        <v>94.4</v>
      </c>
      <c r="BM305" s="356">
        <v>94.5</v>
      </c>
      <c r="BN305" s="239">
        <v>30.5</v>
      </c>
      <c r="BO305" s="239">
        <v>30.6</v>
      </c>
      <c r="BP305" s="356">
        <v>32.299999999999997</v>
      </c>
      <c r="BQ305" s="356">
        <v>32.4</v>
      </c>
      <c r="BR305" s="239">
        <v>286</v>
      </c>
      <c r="BS305" s="239">
        <v>291</v>
      </c>
      <c r="BT305" s="356">
        <v>12.9</v>
      </c>
      <c r="BU305" s="356">
        <v>14.1</v>
      </c>
      <c r="BV305" s="239">
        <v>0.38</v>
      </c>
      <c r="BW305" s="239">
        <v>0.46</v>
      </c>
      <c r="BX305" s="237">
        <v>7.79</v>
      </c>
      <c r="BY305" s="237">
        <v>10.66</v>
      </c>
      <c r="BZ305" s="239">
        <v>58.3</v>
      </c>
      <c r="CA305" s="239">
        <v>6.97</v>
      </c>
      <c r="CB305" s="356">
        <v>58.3</v>
      </c>
      <c r="CC305" s="356">
        <v>6.97</v>
      </c>
      <c r="CD305" s="239">
        <v>8.4</v>
      </c>
      <c r="CE305" s="239">
        <v>1.0900000000000001</v>
      </c>
      <c r="CF305" s="237">
        <v>1.6</v>
      </c>
      <c r="CG305" s="237">
        <v>0.06</v>
      </c>
      <c r="CH305" s="239">
        <v>0.9</v>
      </c>
      <c r="CI305" s="239">
        <v>7.0000000000000007E-2</v>
      </c>
      <c r="CJ305" s="240" t="b">
        <f t="shared" si="29"/>
        <v>1</v>
      </c>
      <c r="CK305" s="241" t="b">
        <f t="shared" si="30"/>
        <v>1</v>
      </c>
      <c r="CL305" s="242">
        <f t="shared" si="31"/>
        <v>72.216679999999997</v>
      </c>
      <c r="CM305" s="238">
        <v>87.05</v>
      </c>
      <c r="CN305" s="242">
        <v>173.3</v>
      </c>
      <c r="CO305" s="240">
        <v>46.36</v>
      </c>
      <c r="CP305" s="242">
        <v>50</v>
      </c>
      <c r="CQ305" s="242">
        <v>46</v>
      </c>
      <c r="CR305" s="238">
        <v>17.04</v>
      </c>
    </row>
    <row r="306" spans="1:96" ht="15.75" customHeight="1">
      <c r="A306" s="150">
        <v>2022</v>
      </c>
      <c r="B306" s="160" t="s">
        <v>184</v>
      </c>
      <c r="C306" s="163">
        <v>3259</v>
      </c>
      <c r="D306" s="61">
        <v>25</v>
      </c>
      <c r="E306" s="61">
        <v>70</v>
      </c>
      <c r="F306" s="80">
        <v>0</v>
      </c>
      <c r="G306" s="51" t="s">
        <v>86</v>
      </c>
      <c r="H306" s="52" t="s">
        <v>92</v>
      </c>
      <c r="I306" s="53" t="s">
        <v>84</v>
      </c>
      <c r="J306" s="52" t="s">
        <v>99</v>
      </c>
      <c r="K306" s="53">
        <v>75</v>
      </c>
      <c r="L306" s="52">
        <v>25</v>
      </c>
      <c r="M306" s="87">
        <v>3803</v>
      </c>
      <c r="N306" s="247">
        <v>15498</v>
      </c>
      <c r="O306" s="88" t="s">
        <v>94</v>
      </c>
      <c r="P306" s="88" t="s">
        <v>94</v>
      </c>
      <c r="Q306" s="153">
        <v>1.2</v>
      </c>
      <c r="R306" s="142">
        <v>1.3</v>
      </c>
      <c r="S306" s="88">
        <v>375</v>
      </c>
      <c r="T306" s="88">
        <v>861</v>
      </c>
      <c r="U306" s="249">
        <v>165</v>
      </c>
      <c r="V306" s="249">
        <v>496</v>
      </c>
      <c r="W306" s="88" t="s">
        <v>94</v>
      </c>
      <c r="X306" s="88" t="s">
        <v>94</v>
      </c>
      <c r="Y306" s="90" t="s">
        <v>94</v>
      </c>
      <c r="Z306" s="90" t="s">
        <v>94</v>
      </c>
      <c r="AA306" s="88" t="s">
        <v>94</v>
      </c>
      <c r="AB306" s="88" t="s">
        <v>94</v>
      </c>
      <c r="AC306" s="89">
        <v>4.9000000000000004</v>
      </c>
      <c r="AD306" s="250">
        <v>6.4</v>
      </c>
      <c r="AE306" s="223">
        <v>121.6</v>
      </c>
      <c r="AF306" s="223">
        <v>95.5</v>
      </c>
      <c r="AG306" s="244">
        <v>50</v>
      </c>
      <c r="AH306" s="244">
        <v>60</v>
      </c>
      <c r="AI306" s="245">
        <v>0.9</v>
      </c>
      <c r="AJ306" s="245">
        <v>1.1000000000000001</v>
      </c>
      <c r="AK306" s="269">
        <f t="shared" si="26"/>
        <v>0.20000000000000007</v>
      </c>
      <c r="AL306" s="244">
        <v>4.5999999999999996</v>
      </c>
      <c r="AM306" s="244">
        <v>5.7</v>
      </c>
      <c r="AN306" s="245">
        <v>7.9</v>
      </c>
      <c r="AO306" s="245">
        <v>7.7</v>
      </c>
      <c r="AP306" s="245">
        <v>116</v>
      </c>
      <c r="AQ306" s="245">
        <v>39</v>
      </c>
      <c r="AR306" s="349">
        <v>11.3</v>
      </c>
      <c r="AS306" s="349">
        <v>10.9</v>
      </c>
      <c r="AT306" s="244">
        <v>4.5999999999999996</v>
      </c>
      <c r="AU306" s="244">
        <v>4.9000000000000004</v>
      </c>
      <c r="AV306" s="245">
        <v>85</v>
      </c>
      <c r="AW306" s="245">
        <v>110</v>
      </c>
      <c r="AX306" s="245">
        <v>140</v>
      </c>
      <c r="AY306" s="245">
        <v>142</v>
      </c>
      <c r="AZ306" s="349">
        <v>2.1</v>
      </c>
      <c r="BA306" s="349">
        <v>2.4</v>
      </c>
      <c r="BB306" s="354">
        <v>106</v>
      </c>
      <c r="BC306" s="353">
        <v>97</v>
      </c>
      <c r="BD306" s="238">
        <f t="shared" si="27"/>
        <v>296.71988888888887</v>
      </c>
      <c r="BE306" s="238">
        <f t="shared" si="28"/>
        <v>304.26177777777781</v>
      </c>
      <c r="BF306" s="244" t="s">
        <v>94</v>
      </c>
      <c r="BG306" s="244" t="s">
        <v>94</v>
      </c>
      <c r="BH306" s="237">
        <v>14.8</v>
      </c>
      <c r="BI306" s="237">
        <v>15</v>
      </c>
      <c r="BJ306" s="239">
        <v>46.1</v>
      </c>
      <c r="BK306" s="239">
        <v>45.7</v>
      </c>
      <c r="BL306" s="356">
        <v>93</v>
      </c>
      <c r="BM306" s="356">
        <v>93.4</v>
      </c>
      <c r="BN306" s="239">
        <v>29.8</v>
      </c>
      <c r="BO306" s="239">
        <v>30.7</v>
      </c>
      <c r="BP306" s="356">
        <v>32.1</v>
      </c>
      <c r="BQ306" s="356">
        <v>32.799999999999997</v>
      </c>
      <c r="BR306" s="239">
        <v>233</v>
      </c>
      <c r="BS306" s="239">
        <v>253</v>
      </c>
      <c r="BT306" s="356">
        <v>13.3</v>
      </c>
      <c r="BU306" s="356">
        <v>15</v>
      </c>
      <c r="BV306" s="239">
        <v>1.57</v>
      </c>
      <c r="BW306" s="239">
        <v>1.39</v>
      </c>
      <c r="BX306" s="237">
        <v>9.4600000000000009</v>
      </c>
      <c r="BY306" s="237">
        <v>13.63</v>
      </c>
      <c r="BZ306" s="239">
        <v>69.400000000000006</v>
      </c>
      <c r="CA306" s="239">
        <v>10.9</v>
      </c>
      <c r="CB306" s="356">
        <v>69.400000000000006</v>
      </c>
      <c r="CC306" s="356">
        <v>10.9</v>
      </c>
      <c r="CD306" s="239">
        <v>9.1</v>
      </c>
      <c r="CE306" s="239">
        <v>0.96</v>
      </c>
      <c r="CF306" s="237">
        <v>2.9</v>
      </c>
      <c r="CG306" s="237">
        <v>0.04</v>
      </c>
      <c r="CH306" s="239">
        <v>0.5</v>
      </c>
      <c r="CI306" s="239">
        <v>0.04</v>
      </c>
      <c r="CJ306" s="240" t="b">
        <f t="shared" si="29"/>
        <v>0</v>
      </c>
      <c r="CK306" s="241" t="b">
        <f t="shared" si="30"/>
        <v>1</v>
      </c>
      <c r="CL306" s="242">
        <f t="shared" si="31"/>
        <v>66.786999999999992</v>
      </c>
      <c r="CM306" s="238">
        <v>71.05</v>
      </c>
      <c r="CN306" s="242">
        <v>172.4</v>
      </c>
      <c r="CO306" s="240">
        <v>56.66</v>
      </c>
      <c r="CP306" s="242">
        <v>58</v>
      </c>
      <c r="CQ306" s="242">
        <v>44</v>
      </c>
      <c r="CR306" s="238">
        <v>6</v>
      </c>
    </row>
    <row r="307" spans="1:96" ht="15.75" customHeight="1">
      <c r="A307" s="150">
        <v>2022</v>
      </c>
      <c r="B307" s="160" t="s">
        <v>184</v>
      </c>
      <c r="C307" s="163">
        <v>3260</v>
      </c>
      <c r="D307" s="61">
        <v>25</v>
      </c>
      <c r="E307" s="61">
        <v>77</v>
      </c>
      <c r="F307" s="80">
        <v>0</v>
      </c>
      <c r="G307" s="51" t="s">
        <v>86</v>
      </c>
      <c r="H307" s="52" t="s">
        <v>83</v>
      </c>
      <c r="I307" s="53" t="s">
        <v>84</v>
      </c>
      <c r="J307" s="52" t="s">
        <v>97</v>
      </c>
      <c r="K307" s="53">
        <v>75</v>
      </c>
      <c r="L307" s="52">
        <v>25</v>
      </c>
      <c r="M307" s="87">
        <v>2318</v>
      </c>
      <c r="N307" s="247">
        <v>3724</v>
      </c>
      <c r="O307" s="88" t="s">
        <v>94</v>
      </c>
      <c r="P307" s="88" t="s">
        <v>94</v>
      </c>
      <c r="Q307" s="153">
        <v>1.5</v>
      </c>
      <c r="R307" s="142">
        <v>2</v>
      </c>
      <c r="S307" s="88">
        <v>383</v>
      </c>
      <c r="T307" s="88">
        <v>446</v>
      </c>
      <c r="U307" s="249">
        <v>143</v>
      </c>
      <c r="V307" s="249">
        <v>183</v>
      </c>
      <c r="W307" s="88" t="s">
        <v>94</v>
      </c>
      <c r="X307" s="88" t="s">
        <v>94</v>
      </c>
      <c r="Y307" s="90" t="s">
        <v>94</v>
      </c>
      <c r="Z307" s="90" t="s">
        <v>94</v>
      </c>
      <c r="AA307" s="88" t="s">
        <v>94</v>
      </c>
      <c r="AB307" s="88" t="s">
        <v>94</v>
      </c>
      <c r="AC307" s="89">
        <v>5.0999999999999996</v>
      </c>
      <c r="AD307" s="250">
        <v>5.4</v>
      </c>
      <c r="AE307" s="223">
        <v>86.1</v>
      </c>
      <c r="AF307" s="223">
        <v>78.2</v>
      </c>
      <c r="AG307" s="244">
        <v>73</v>
      </c>
      <c r="AH307" s="244">
        <v>69</v>
      </c>
      <c r="AI307" s="245">
        <v>1.2</v>
      </c>
      <c r="AJ307" s="245">
        <v>1.3</v>
      </c>
      <c r="AK307" s="269">
        <f t="shared" si="26"/>
        <v>0.10000000000000009</v>
      </c>
      <c r="AL307" s="244">
        <v>4.0999999999999996</v>
      </c>
      <c r="AM307" s="244">
        <v>4.8</v>
      </c>
      <c r="AN307" s="245">
        <v>7.3</v>
      </c>
      <c r="AO307" s="245">
        <v>6.6</v>
      </c>
      <c r="AP307" s="245">
        <v>70</v>
      </c>
      <c r="AQ307" s="245">
        <v>12</v>
      </c>
      <c r="AR307" s="349">
        <v>11.1</v>
      </c>
      <c r="AS307" s="349">
        <v>11.1</v>
      </c>
      <c r="AT307" s="244">
        <v>4.5999999999999996</v>
      </c>
      <c r="AU307" s="244">
        <v>4.5999999999999996</v>
      </c>
      <c r="AV307" s="245">
        <v>84</v>
      </c>
      <c r="AW307" s="245">
        <v>95</v>
      </c>
      <c r="AX307" s="245">
        <v>143</v>
      </c>
      <c r="AY307" s="245">
        <v>146</v>
      </c>
      <c r="AZ307" s="349">
        <v>2.6</v>
      </c>
      <c r="BA307" s="349">
        <v>2.6</v>
      </c>
      <c r="BB307" s="354">
        <v>106</v>
      </c>
      <c r="BC307" s="353">
        <v>108</v>
      </c>
      <c r="BD307" s="238">
        <f t="shared" si="27"/>
        <v>306.06933333333336</v>
      </c>
      <c r="BE307" s="238">
        <f t="shared" si="28"/>
        <v>311.68544444444444</v>
      </c>
      <c r="BF307" s="244" t="s">
        <v>94</v>
      </c>
      <c r="BG307" s="244" t="s">
        <v>94</v>
      </c>
      <c r="BH307" s="237">
        <v>15.1</v>
      </c>
      <c r="BI307" s="237">
        <v>13.9</v>
      </c>
      <c r="BJ307" s="239">
        <v>46.2</v>
      </c>
      <c r="BK307" s="239">
        <v>42.4</v>
      </c>
      <c r="BL307" s="356">
        <v>84.6</v>
      </c>
      <c r="BM307" s="356">
        <v>86.3</v>
      </c>
      <c r="BN307" s="239">
        <v>27.6</v>
      </c>
      <c r="BO307" s="239">
        <v>28.2</v>
      </c>
      <c r="BP307" s="356">
        <v>32.6</v>
      </c>
      <c r="BQ307" s="356">
        <v>32.700000000000003</v>
      </c>
      <c r="BR307" s="239">
        <v>354</v>
      </c>
      <c r="BS307" s="239">
        <v>320</v>
      </c>
      <c r="BT307" s="356">
        <v>13.5</v>
      </c>
      <c r="BU307" s="356">
        <v>14.5</v>
      </c>
      <c r="BV307" s="239">
        <v>0.71</v>
      </c>
      <c r="BW307" s="239">
        <v>0.86</v>
      </c>
      <c r="BX307" s="237">
        <v>5.14</v>
      </c>
      <c r="BY307" s="237">
        <v>8.44</v>
      </c>
      <c r="BZ307" s="239">
        <v>61.1</v>
      </c>
      <c r="CA307" s="239">
        <v>5.77</v>
      </c>
      <c r="CB307" s="356">
        <v>61.1</v>
      </c>
      <c r="CC307" s="356">
        <v>5.77</v>
      </c>
      <c r="CD307" s="239">
        <v>10.8</v>
      </c>
      <c r="CE307" s="239">
        <v>0.97</v>
      </c>
      <c r="CF307" s="237">
        <v>0.7</v>
      </c>
      <c r="CG307" s="237">
        <v>0.01</v>
      </c>
      <c r="CH307" s="239">
        <v>0.3</v>
      </c>
      <c r="CI307" s="239">
        <v>0.05</v>
      </c>
      <c r="CJ307" s="240" t="b">
        <f t="shared" si="29"/>
        <v>0</v>
      </c>
      <c r="CK307" s="241" t="b">
        <f t="shared" si="30"/>
        <v>1</v>
      </c>
      <c r="CL307" s="242">
        <f t="shared" si="31"/>
        <v>72.202060000000003</v>
      </c>
      <c r="CM307" s="238">
        <v>78.2</v>
      </c>
      <c r="CN307" s="242">
        <v>182.1</v>
      </c>
      <c r="CO307" s="240">
        <v>51.94</v>
      </c>
      <c r="CP307" s="242">
        <v>62</v>
      </c>
      <c r="CQ307" s="242">
        <v>65</v>
      </c>
      <c r="CR307" s="238">
        <v>7.67</v>
      </c>
    </row>
    <row r="308" spans="1:96" ht="15.75" customHeight="1">
      <c r="A308" s="150">
        <v>2022</v>
      </c>
      <c r="B308" s="150" t="s">
        <v>183</v>
      </c>
      <c r="C308" s="151">
        <v>3236</v>
      </c>
      <c r="D308" s="61">
        <v>27</v>
      </c>
      <c r="E308" s="61">
        <v>72</v>
      </c>
      <c r="F308" s="80">
        <v>0</v>
      </c>
      <c r="G308" s="51" t="s">
        <v>89</v>
      </c>
      <c r="H308" s="52" t="s">
        <v>83</v>
      </c>
      <c r="I308" s="53" t="s">
        <v>84</v>
      </c>
      <c r="J308" s="52" t="s">
        <v>97</v>
      </c>
      <c r="K308" s="53">
        <v>62.5</v>
      </c>
      <c r="L308" s="52">
        <v>37.5</v>
      </c>
      <c r="M308" s="247">
        <v>218</v>
      </c>
      <c r="N308" s="247">
        <v>141</v>
      </c>
      <c r="O308" s="88" t="s">
        <v>94</v>
      </c>
      <c r="P308" s="88" t="s">
        <v>94</v>
      </c>
      <c r="Q308" s="142">
        <v>2.9</v>
      </c>
      <c r="R308" s="142">
        <v>3.6</v>
      </c>
      <c r="S308" s="248">
        <v>213</v>
      </c>
      <c r="T308" s="248">
        <v>223</v>
      </c>
      <c r="U308" s="249">
        <v>32</v>
      </c>
      <c r="V308" s="249">
        <v>27</v>
      </c>
      <c r="W308" s="88" t="s">
        <v>94</v>
      </c>
      <c r="X308" s="88" t="s">
        <v>94</v>
      </c>
      <c r="Y308" s="90" t="s">
        <v>94</v>
      </c>
      <c r="Z308" s="90" t="s">
        <v>94</v>
      </c>
      <c r="AA308" s="88" t="s">
        <v>94</v>
      </c>
      <c r="AB308" s="88" t="s">
        <v>94</v>
      </c>
      <c r="AC308" s="149">
        <v>4.0999999999999996</v>
      </c>
      <c r="AD308" s="314">
        <v>5.8</v>
      </c>
      <c r="AE308" s="223">
        <v>120</v>
      </c>
      <c r="AF308" s="223">
        <v>85</v>
      </c>
      <c r="AG308" s="345">
        <v>29</v>
      </c>
      <c r="AH308" s="345">
        <v>45</v>
      </c>
      <c r="AI308" s="254">
        <v>0.9</v>
      </c>
      <c r="AJ308" s="254">
        <v>1.2</v>
      </c>
      <c r="AK308" s="269">
        <f t="shared" si="26"/>
        <v>0.29999999999999993</v>
      </c>
      <c r="AL308" s="253">
        <v>4.5999999999999996</v>
      </c>
      <c r="AM308" s="253">
        <v>5.2</v>
      </c>
      <c r="AN308" s="255">
        <v>6.8</v>
      </c>
      <c r="AO308" s="255">
        <v>7.6</v>
      </c>
      <c r="AP308" s="237">
        <v>32</v>
      </c>
      <c r="AQ308" s="237">
        <v>73</v>
      </c>
      <c r="AR308" s="253">
        <v>9</v>
      </c>
      <c r="AS308" s="253">
        <v>9.6999999999999993</v>
      </c>
      <c r="AT308" s="253">
        <v>4.2</v>
      </c>
      <c r="AU308" s="253">
        <v>4.7</v>
      </c>
      <c r="AV308" s="350">
        <v>98</v>
      </c>
      <c r="AW308" s="350">
        <v>87</v>
      </c>
      <c r="AX308" s="350">
        <v>142</v>
      </c>
      <c r="AY308" s="350">
        <v>147</v>
      </c>
      <c r="AZ308" s="253">
        <v>2.1</v>
      </c>
      <c r="BA308" s="253">
        <v>2.4</v>
      </c>
      <c r="BB308" s="350">
        <v>85</v>
      </c>
      <c r="BC308" s="350">
        <v>86</v>
      </c>
      <c r="BD308" s="238">
        <f t="shared" si="27"/>
        <v>297.02644444444445</v>
      </c>
      <c r="BE308" s="238">
        <f t="shared" si="28"/>
        <v>309.22033333333331</v>
      </c>
      <c r="BF308" s="244">
        <v>5.4</v>
      </c>
      <c r="BG308" s="244" t="s">
        <v>94</v>
      </c>
      <c r="BH308" s="245">
        <v>14.2</v>
      </c>
      <c r="BI308" s="244" t="s">
        <v>94</v>
      </c>
      <c r="BJ308" s="244">
        <v>42.7</v>
      </c>
      <c r="BK308" s="244" t="s">
        <v>94</v>
      </c>
      <c r="BL308" s="245">
        <v>79.099999999999994</v>
      </c>
      <c r="BM308" s="244" t="s">
        <v>94</v>
      </c>
      <c r="BN308" s="244">
        <v>26.3</v>
      </c>
      <c r="BO308" s="244" t="s">
        <v>94</v>
      </c>
      <c r="BP308" s="245">
        <v>33.299999999999997</v>
      </c>
      <c r="BQ308" s="244" t="s">
        <v>94</v>
      </c>
      <c r="BR308" s="244">
        <v>295</v>
      </c>
      <c r="BS308" s="244" t="s">
        <v>94</v>
      </c>
      <c r="BT308" s="245">
        <v>15</v>
      </c>
      <c r="BU308" s="244" t="s">
        <v>94</v>
      </c>
      <c r="BV308" s="239" t="s">
        <v>94</v>
      </c>
      <c r="BW308" s="244" t="s">
        <v>94</v>
      </c>
      <c r="BX308" s="245">
        <v>7.87</v>
      </c>
      <c r="BY308" s="244" t="s">
        <v>94</v>
      </c>
      <c r="BZ308" s="244">
        <v>65.599999999999994</v>
      </c>
      <c r="CA308" s="244" t="s">
        <v>94</v>
      </c>
      <c r="CB308" s="252">
        <v>18.8</v>
      </c>
      <c r="CC308" s="244" t="s">
        <v>94</v>
      </c>
      <c r="CD308" s="244">
        <v>9.4</v>
      </c>
      <c r="CE308" s="244" t="s">
        <v>94</v>
      </c>
      <c r="CF308" s="252">
        <v>5.7</v>
      </c>
      <c r="CG308" s="244" t="s">
        <v>94</v>
      </c>
      <c r="CH308" s="244">
        <v>0.5</v>
      </c>
      <c r="CI308" s="244" t="s">
        <v>94</v>
      </c>
      <c r="CJ308" s="240" t="b">
        <f t="shared" si="29"/>
        <v>1</v>
      </c>
      <c r="CK308" s="241" t="b">
        <f t="shared" si="30"/>
        <v>0</v>
      </c>
      <c r="CL308" s="242">
        <f t="shared" si="31"/>
        <v>69.121659999999991</v>
      </c>
      <c r="CM308" s="238">
        <v>77.3</v>
      </c>
      <c r="CN308" s="242">
        <v>170.3</v>
      </c>
      <c r="CO308" s="240">
        <v>49.62</v>
      </c>
      <c r="CP308" s="242">
        <v>50</v>
      </c>
      <c r="CQ308" s="242">
        <v>52</v>
      </c>
      <c r="CR308" s="238">
        <v>10.58</v>
      </c>
    </row>
    <row r="309" spans="1:96" ht="15.75" customHeight="1">
      <c r="A309" s="150">
        <v>2022</v>
      </c>
      <c r="B309" s="150" t="s">
        <v>183</v>
      </c>
      <c r="C309" s="151">
        <v>3237</v>
      </c>
      <c r="D309" s="61">
        <v>24</v>
      </c>
      <c r="E309" s="61">
        <v>77</v>
      </c>
      <c r="F309" s="80">
        <v>0</v>
      </c>
      <c r="G309" s="51" t="s">
        <v>89</v>
      </c>
      <c r="H309" s="52" t="s">
        <v>90</v>
      </c>
      <c r="I309" s="53" t="s">
        <v>87</v>
      </c>
      <c r="J309" s="52" t="s">
        <v>98</v>
      </c>
      <c r="K309" s="53">
        <v>12.5</v>
      </c>
      <c r="L309" s="52">
        <v>87.5</v>
      </c>
      <c r="M309" s="247">
        <v>226</v>
      </c>
      <c r="N309" s="247">
        <v>117</v>
      </c>
      <c r="O309" s="88" t="s">
        <v>94</v>
      </c>
      <c r="P309" s="88" t="s">
        <v>94</v>
      </c>
      <c r="Q309" s="142">
        <v>4.4000000000000004</v>
      </c>
      <c r="R309" s="142">
        <v>3.8</v>
      </c>
      <c r="S309" s="248">
        <v>163</v>
      </c>
      <c r="T309" s="248">
        <v>160</v>
      </c>
      <c r="U309" s="249">
        <v>36</v>
      </c>
      <c r="V309" s="249">
        <v>21</v>
      </c>
      <c r="W309" s="88" t="s">
        <v>94</v>
      </c>
      <c r="X309" s="88" t="s">
        <v>94</v>
      </c>
      <c r="Y309" s="90" t="s">
        <v>94</v>
      </c>
      <c r="Z309" s="90" t="s">
        <v>94</v>
      </c>
      <c r="AA309" s="88" t="s">
        <v>94</v>
      </c>
      <c r="AB309" s="88" t="s">
        <v>94</v>
      </c>
      <c r="AC309" s="149">
        <v>5.8</v>
      </c>
      <c r="AD309" s="314">
        <v>5.8</v>
      </c>
      <c r="AE309" s="223">
        <v>95.5</v>
      </c>
      <c r="AF309" s="223">
        <v>86.1</v>
      </c>
      <c r="AG309" s="345">
        <v>42</v>
      </c>
      <c r="AH309" s="345">
        <v>37</v>
      </c>
      <c r="AI309" s="254">
        <v>1.1000000000000001</v>
      </c>
      <c r="AJ309" s="254">
        <v>1.2</v>
      </c>
      <c r="AK309" s="269">
        <f t="shared" si="26"/>
        <v>9.9999999999999867E-2</v>
      </c>
      <c r="AL309" s="253">
        <v>4.7</v>
      </c>
      <c r="AM309" s="253">
        <v>4.0999999999999996</v>
      </c>
      <c r="AN309" s="255">
        <v>7.6</v>
      </c>
      <c r="AO309" s="255">
        <v>7.5</v>
      </c>
      <c r="AP309" s="237">
        <v>187</v>
      </c>
      <c r="AQ309" s="237">
        <v>91</v>
      </c>
      <c r="AR309" s="253">
        <v>10.199999999999999</v>
      </c>
      <c r="AS309" s="253">
        <v>9.4</v>
      </c>
      <c r="AT309" s="253">
        <v>4.8</v>
      </c>
      <c r="AU309" s="253">
        <v>4.5999999999999996</v>
      </c>
      <c r="AV309" s="350">
        <v>159</v>
      </c>
      <c r="AW309" s="350">
        <v>91</v>
      </c>
      <c r="AX309" s="350">
        <v>161</v>
      </c>
      <c r="AY309" s="350">
        <v>146</v>
      </c>
      <c r="AZ309" s="253">
        <v>2.5</v>
      </c>
      <c r="BA309" s="253">
        <v>2.4</v>
      </c>
      <c r="BB309" s="350">
        <v>91</v>
      </c>
      <c r="BC309" s="350">
        <v>85</v>
      </c>
      <c r="BD309" s="238">
        <f t="shared" si="27"/>
        <v>339.54633333333339</v>
      </c>
      <c r="BE309" s="238">
        <f t="shared" si="28"/>
        <v>306.09655555555554</v>
      </c>
      <c r="BF309" s="244">
        <v>4.3</v>
      </c>
      <c r="BG309" s="244" t="s">
        <v>94</v>
      </c>
      <c r="BH309" s="245">
        <v>13.7</v>
      </c>
      <c r="BI309" s="244" t="s">
        <v>94</v>
      </c>
      <c r="BJ309" s="244">
        <v>41</v>
      </c>
      <c r="BK309" s="244" t="s">
        <v>94</v>
      </c>
      <c r="BL309" s="245">
        <v>95.3</v>
      </c>
      <c r="BM309" s="244" t="s">
        <v>94</v>
      </c>
      <c r="BN309" s="244">
        <v>31.9</v>
      </c>
      <c r="BO309" s="244" t="s">
        <v>94</v>
      </c>
      <c r="BP309" s="245">
        <v>33.4</v>
      </c>
      <c r="BQ309" s="244" t="s">
        <v>94</v>
      </c>
      <c r="BR309" s="244">
        <v>215</v>
      </c>
      <c r="BS309" s="244" t="s">
        <v>94</v>
      </c>
      <c r="BT309" s="245">
        <v>12.6</v>
      </c>
      <c r="BU309" s="244" t="s">
        <v>94</v>
      </c>
      <c r="BV309" s="239" t="s">
        <v>94</v>
      </c>
      <c r="BW309" s="244" t="s">
        <v>94</v>
      </c>
      <c r="BX309" s="245">
        <v>6.5</v>
      </c>
      <c r="BY309" s="244" t="s">
        <v>94</v>
      </c>
      <c r="BZ309" s="244">
        <v>60.6</v>
      </c>
      <c r="CA309" s="244" t="s">
        <v>94</v>
      </c>
      <c r="CB309" s="252">
        <v>23.8</v>
      </c>
      <c r="CC309" s="244" t="s">
        <v>94</v>
      </c>
      <c r="CD309" s="244">
        <v>8.1999999999999993</v>
      </c>
      <c r="CE309" s="244" t="s">
        <v>94</v>
      </c>
      <c r="CF309" s="252">
        <v>6.9</v>
      </c>
      <c r="CG309" s="244" t="s">
        <v>94</v>
      </c>
      <c r="CH309" s="244">
        <v>0.5</v>
      </c>
      <c r="CI309" s="244" t="s">
        <v>94</v>
      </c>
      <c r="CJ309" s="240" t="b">
        <f t="shared" si="29"/>
        <v>0</v>
      </c>
      <c r="CK309" s="241" t="b">
        <f t="shared" si="30"/>
        <v>0</v>
      </c>
      <c r="CL309" s="242">
        <f t="shared" si="31"/>
        <v>70.724639999999994</v>
      </c>
      <c r="CM309" s="238">
        <v>77.599999999999994</v>
      </c>
      <c r="CN309" s="242">
        <v>178</v>
      </c>
      <c r="CO309" s="240">
        <v>53.68</v>
      </c>
      <c r="CP309" s="242">
        <v>51</v>
      </c>
      <c r="CQ309" s="242">
        <v>51</v>
      </c>
      <c r="CR309" s="238">
        <v>8.86</v>
      </c>
    </row>
    <row r="310" spans="1:96" ht="15.75" customHeight="1">
      <c r="A310" s="150">
        <v>2022</v>
      </c>
      <c r="B310" s="150" t="s">
        <v>183</v>
      </c>
      <c r="C310" s="151">
        <v>3238</v>
      </c>
      <c r="D310" s="61">
        <v>24</v>
      </c>
      <c r="E310" s="61">
        <v>72</v>
      </c>
      <c r="F310" s="80">
        <v>0</v>
      </c>
      <c r="G310" s="51" t="s">
        <v>82</v>
      </c>
      <c r="H310" s="52" t="s">
        <v>92</v>
      </c>
      <c r="I310" s="53" t="s">
        <v>87</v>
      </c>
      <c r="J310" s="52" t="s">
        <v>98</v>
      </c>
      <c r="K310" s="53">
        <v>25</v>
      </c>
      <c r="L310" s="52">
        <v>75</v>
      </c>
      <c r="M310" s="247">
        <v>167</v>
      </c>
      <c r="N310" s="247">
        <v>96</v>
      </c>
      <c r="O310" s="88" t="s">
        <v>94</v>
      </c>
      <c r="P310" s="88" t="s">
        <v>94</v>
      </c>
      <c r="Q310" s="142">
        <v>4.4000000000000004</v>
      </c>
      <c r="R310" s="142">
        <v>5.9</v>
      </c>
      <c r="S310" s="248">
        <v>205</v>
      </c>
      <c r="T310" s="248">
        <v>169</v>
      </c>
      <c r="U310" s="249">
        <v>25</v>
      </c>
      <c r="V310" s="249">
        <v>21</v>
      </c>
      <c r="W310" s="88" t="s">
        <v>94</v>
      </c>
      <c r="X310" s="88" t="s">
        <v>94</v>
      </c>
      <c r="Y310" s="90" t="s">
        <v>94</v>
      </c>
      <c r="Z310" s="90" t="s">
        <v>94</v>
      </c>
      <c r="AA310" s="88" t="s">
        <v>94</v>
      </c>
      <c r="AB310" s="88" t="s">
        <v>94</v>
      </c>
      <c r="AC310" s="149">
        <v>3.9</v>
      </c>
      <c r="AD310" s="314">
        <v>6.1</v>
      </c>
      <c r="AE310" s="223">
        <v>96.1</v>
      </c>
      <c r="AF310" s="223">
        <v>78.7</v>
      </c>
      <c r="AG310" s="345">
        <v>43</v>
      </c>
      <c r="AH310" s="345">
        <v>49</v>
      </c>
      <c r="AI310" s="254">
        <v>1.1000000000000001</v>
      </c>
      <c r="AJ310" s="254">
        <v>1.3</v>
      </c>
      <c r="AK310" s="269">
        <f t="shared" si="26"/>
        <v>0.19999999999999996</v>
      </c>
      <c r="AL310" s="253">
        <v>5</v>
      </c>
      <c r="AM310" s="253">
        <v>5.7</v>
      </c>
      <c r="AN310" s="255">
        <v>8.6</v>
      </c>
      <c r="AO310" s="255">
        <v>8</v>
      </c>
      <c r="AP310" s="237">
        <v>111</v>
      </c>
      <c r="AQ310" s="237">
        <v>74</v>
      </c>
      <c r="AR310" s="253">
        <v>11</v>
      </c>
      <c r="AS310" s="253">
        <v>9.6</v>
      </c>
      <c r="AT310" s="253">
        <v>4.8</v>
      </c>
      <c r="AU310" s="253">
        <v>4.5999999999999996</v>
      </c>
      <c r="AV310" s="350">
        <v>89</v>
      </c>
      <c r="AW310" s="350">
        <v>77</v>
      </c>
      <c r="AX310" s="350">
        <v>168</v>
      </c>
      <c r="AY310" s="350">
        <v>147</v>
      </c>
      <c r="AZ310" s="253">
        <v>2.2999999999999998</v>
      </c>
      <c r="BA310" s="253">
        <v>2.2999999999999998</v>
      </c>
      <c r="BB310" s="350">
        <v>92</v>
      </c>
      <c r="BC310" s="350">
        <v>84</v>
      </c>
      <c r="BD310" s="238">
        <f t="shared" si="27"/>
        <v>348.26077777777783</v>
      </c>
      <c r="BE310" s="238">
        <f t="shared" si="28"/>
        <v>309.06211111111111</v>
      </c>
      <c r="BF310" s="244">
        <v>5.2</v>
      </c>
      <c r="BG310" s="244" t="s">
        <v>94</v>
      </c>
      <c r="BH310" s="245">
        <v>14.4</v>
      </c>
      <c r="BI310" s="244" t="s">
        <v>94</v>
      </c>
      <c r="BJ310" s="244">
        <v>41.8</v>
      </c>
      <c r="BK310" s="244" t="s">
        <v>94</v>
      </c>
      <c r="BL310" s="245">
        <v>80.400000000000006</v>
      </c>
      <c r="BM310" s="244" t="s">
        <v>94</v>
      </c>
      <c r="BN310" s="244">
        <v>27.7</v>
      </c>
      <c r="BO310" s="244" t="s">
        <v>94</v>
      </c>
      <c r="BP310" s="245">
        <v>34.4</v>
      </c>
      <c r="BQ310" s="244" t="s">
        <v>94</v>
      </c>
      <c r="BR310" s="244">
        <v>278</v>
      </c>
      <c r="BS310" s="244" t="s">
        <v>94</v>
      </c>
      <c r="BT310" s="245">
        <v>13.3</v>
      </c>
      <c r="BU310" s="244" t="s">
        <v>94</v>
      </c>
      <c r="BV310" s="239" t="s">
        <v>94</v>
      </c>
      <c r="BW310" s="244" t="s">
        <v>94</v>
      </c>
      <c r="BX310" s="245">
        <v>7.73</v>
      </c>
      <c r="BY310" s="244" t="s">
        <v>94</v>
      </c>
      <c r="BZ310" s="244">
        <v>67.099999999999994</v>
      </c>
      <c r="CA310" s="244" t="s">
        <v>94</v>
      </c>
      <c r="CB310" s="252">
        <v>23</v>
      </c>
      <c r="CC310" s="244" t="s">
        <v>94</v>
      </c>
      <c r="CD310" s="244">
        <v>7.5</v>
      </c>
      <c r="CE310" s="244" t="s">
        <v>94</v>
      </c>
      <c r="CF310" s="252">
        <v>1.9</v>
      </c>
      <c r="CG310" s="244" t="s">
        <v>94</v>
      </c>
      <c r="CH310" s="244">
        <v>0.5</v>
      </c>
      <c r="CI310" s="244" t="s">
        <v>94</v>
      </c>
      <c r="CJ310" s="240" t="b">
        <f t="shared" si="29"/>
        <v>0</v>
      </c>
      <c r="CK310" s="241" t="b">
        <f t="shared" si="30"/>
        <v>0</v>
      </c>
      <c r="CL310" s="242">
        <f t="shared" si="31"/>
        <v>66.241470000000007</v>
      </c>
      <c r="CM310" s="238">
        <v>71.900000000000006</v>
      </c>
      <c r="CN310" s="242">
        <v>173.5</v>
      </c>
      <c r="CO310" s="240">
        <v>55.35</v>
      </c>
      <c r="CP310" s="242">
        <v>54</v>
      </c>
      <c r="CQ310" s="242">
        <v>56</v>
      </c>
      <c r="CR310" s="238">
        <v>7.87</v>
      </c>
    </row>
    <row r="311" spans="1:96" ht="15.75" customHeight="1">
      <c r="A311" s="150">
        <v>2022</v>
      </c>
      <c r="B311" s="150" t="s">
        <v>183</v>
      </c>
      <c r="C311" s="151">
        <v>3239</v>
      </c>
      <c r="D311" s="61">
        <v>24</v>
      </c>
      <c r="E311" s="61">
        <v>79.5</v>
      </c>
      <c r="F311" s="80">
        <v>0</v>
      </c>
      <c r="G311" s="51" t="s">
        <v>89</v>
      </c>
      <c r="H311" s="52" t="s">
        <v>92</v>
      </c>
      <c r="I311" s="53" t="s">
        <v>93</v>
      </c>
      <c r="J311" s="52" t="s">
        <v>99</v>
      </c>
      <c r="K311" s="53">
        <v>75</v>
      </c>
      <c r="L311" s="52">
        <v>25</v>
      </c>
      <c r="M311" s="247">
        <v>153</v>
      </c>
      <c r="N311" s="247">
        <v>246</v>
      </c>
      <c r="O311" s="88" t="s">
        <v>94</v>
      </c>
      <c r="P311" s="88" t="s">
        <v>94</v>
      </c>
      <c r="Q311" s="142">
        <v>3.7</v>
      </c>
      <c r="R311" s="142">
        <v>6.2</v>
      </c>
      <c r="S311" s="248">
        <v>172</v>
      </c>
      <c r="T311" s="248">
        <v>191</v>
      </c>
      <c r="U311" s="249">
        <v>30</v>
      </c>
      <c r="V311" s="249">
        <v>41</v>
      </c>
      <c r="W311" s="88" t="s">
        <v>94</v>
      </c>
      <c r="X311" s="88" t="s">
        <v>94</v>
      </c>
      <c r="Y311" s="90" t="s">
        <v>94</v>
      </c>
      <c r="Z311" s="90" t="s">
        <v>94</v>
      </c>
      <c r="AA311" s="88" t="s">
        <v>94</v>
      </c>
      <c r="AB311" s="88" t="s">
        <v>94</v>
      </c>
      <c r="AC311" s="149">
        <v>5.7</v>
      </c>
      <c r="AD311" s="314">
        <v>8.6999999999999993</v>
      </c>
      <c r="AE311" s="223">
        <v>126.7</v>
      </c>
      <c r="AF311" s="223">
        <v>86.6</v>
      </c>
      <c r="AG311" s="345">
        <v>32</v>
      </c>
      <c r="AH311" s="345">
        <v>52</v>
      </c>
      <c r="AI311" s="254">
        <v>0.8</v>
      </c>
      <c r="AJ311" s="254">
        <v>1.2</v>
      </c>
      <c r="AK311" s="269">
        <f t="shared" si="26"/>
        <v>0.39999999999999991</v>
      </c>
      <c r="AL311" s="253">
        <v>4.5999999999999996</v>
      </c>
      <c r="AM311" s="253">
        <v>4.7</v>
      </c>
      <c r="AN311" s="255">
        <v>7.6</v>
      </c>
      <c r="AO311" s="255">
        <v>9.4</v>
      </c>
      <c r="AP311" s="237">
        <v>10</v>
      </c>
      <c r="AQ311" s="237">
        <v>67</v>
      </c>
      <c r="AR311" s="253">
        <v>9.1999999999999993</v>
      </c>
      <c r="AS311" s="253">
        <v>11.2</v>
      </c>
      <c r="AT311" s="253">
        <v>4.5999999999999996</v>
      </c>
      <c r="AU311" s="253">
        <v>6</v>
      </c>
      <c r="AV311" s="350">
        <v>124</v>
      </c>
      <c r="AW311" s="350">
        <v>111</v>
      </c>
      <c r="AX311" s="350">
        <v>142</v>
      </c>
      <c r="AY311" s="350">
        <v>161</v>
      </c>
      <c r="AZ311" s="253">
        <v>1.6</v>
      </c>
      <c r="BA311" s="253">
        <v>2.2000000000000002</v>
      </c>
      <c r="BB311" s="350">
        <v>83</v>
      </c>
      <c r="BC311" s="350">
        <v>88</v>
      </c>
      <c r="BD311" s="238">
        <f t="shared" si="27"/>
        <v>299.93155555555552</v>
      </c>
      <c r="BE311" s="238">
        <f t="shared" si="28"/>
        <v>340.37833333333333</v>
      </c>
      <c r="BF311" s="244">
        <v>4.3</v>
      </c>
      <c r="BG311" s="244" t="s">
        <v>94</v>
      </c>
      <c r="BH311" s="245">
        <v>12.7</v>
      </c>
      <c r="BI311" s="244" t="s">
        <v>94</v>
      </c>
      <c r="BJ311" s="244">
        <v>38.4</v>
      </c>
      <c r="BK311" s="244" t="s">
        <v>94</v>
      </c>
      <c r="BL311" s="245">
        <v>89.3</v>
      </c>
      <c r="BM311" s="244" t="s">
        <v>94</v>
      </c>
      <c r="BN311" s="244">
        <v>29.5</v>
      </c>
      <c r="BO311" s="244" t="s">
        <v>94</v>
      </c>
      <c r="BP311" s="245">
        <v>33.1</v>
      </c>
      <c r="BQ311" s="244" t="s">
        <v>94</v>
      </c>
      <c r="BR311" s="244">
        <v>235</v>
      </c>
      <c r="BS311" s="244" t="s">
        <v>94</v>
      </c>
      <c r="BT311" s="245">
        <v>12.2</v>
      </c>
      <c r="BU311" s="244" t="s">
        <v>94</v>
      </c>
      <c r="BV311" s="244" t="s">
        <v>94</v>
      </c>
      <c r="BW311" s="244" t="s">
        <v>94</v>
      </c>
      <c r="BX311" s="245">
        <v>12.62</v>
      </c>
      <c r="BY311" s="244" t="s">
        <v>94</v>
      </c>
      <c r="BZ311" s="244">
        <v>76.5</v>
      </c>
      <c r="CA311" s="244" t="s">
        <v>94</v>
      </c>
      <c r="CB311" s="252">
        <v>15.1</v>
      </c>
      <c r="CC311" s="244" t="s">
        <v>94</v>
      </c>
      <c r="CD311" s="244">
        <v>6.7</v>
      </c>
      <c r="CE311" s="244" t="s">
        <v>94</v>
      </c>
      <c r="CF311" s="252">
        <v>1.6</v>
      </c>
      <c r="CG311" s="244" t="s">
        <v>94</v>
      </c>
      <c r="CH311" s="244">
        <v>0.1</v>
      </c>
      <c r="CI311" s="244" t="s">
        <v>94</v>
      </c>
      <c r="CJ311" s="240" t="b">
        <f t="shared" si="29"/>
        <v>1</v>
      </c>
      <c r="CK311" s="241" t="b">
        <f t="shared" si="30"/>
        <v>0</v>
      </c>
      <c r="CL311" s="242">
        <f t="shared" si="31"/>
        <v>77.330865000000003</v>
      </c>
      <c r="CM311" s="238">
        <v>84.45</v>
      </c>
      <c r="CN311" s="242">
        <v>187</v>
      </c>
      <c r="CO311" s="240">
        <v>0</v>
      </c>
      <c r="CP311" s="242">
        <v>48</v>
      </c>
      <c r="CQ311" s="242">
        <v>52</v>
      </c>
      <c r="CR311" s="238">
        <v>8.43</v>
      </c>
    </row>
    <row r="312" spans="1:96" ht="15.75" customHeight="1">
      <c r="A312" s="150">
        <v>2022</v>
      </c>
      <c r="B312" s="150" t="s">
        <v>183</v>
      </c>
      <c r="C312" s="151">
        <v>3240</v>
      </c>
      <c r="D312" s="61">
        <v>27</v>
      </c>
      <c r="E312" s="61">
        <v>75</v>
      </c>
      <c r="F312" s="80">
        <v>0</v>
      </c>
      <c r="G312" s="51" t="s">
        <v>86</v>
      </c>
      <c r="H312" s="52" t="s">
        <v>92</v>
      </c>
      <c r="I312" s="53" t="s">
        <v>84</v>
      </c>
      <c r="J312" s="52" t="s">
        <v>98</v>
      </c>
      <c r="K312" s="53">
        <v>62.5</v>
      </c>
      <c r="L312" s="52">
        <v>37.5</v>
      </c>
      <c r="M312" s="247">
        <v>495</v>
      </c>
      <c r="N312" s="247">
        <v>139</v>
      </c>
      <c r="O312" s="88" t="s">
        <v>94</v>
      </c>
      <c r="P312" s="88" t="s">
        <v>94</v>
      </c>
      <c r="Q312" s="142">
        <v>4.2</v>
      </c>
      <c r="R312" s="142">
        <v>4</v>
      </c>
      <c r="S312" s="248">
        <v>185</v>
      </c>
      <c r="T312" s="248">
        <v>198</v>
      </c>
      <c r="U312" s="249">
        <v>48</v>
      </c>
      <c r="V312" s="249">
        <v>32</v>
      </c>
      <c r="W312" s="88" t="s">
        <v>94</v>
      </c>
      <c r="X312" s="88" t="s">
        <v>94</v>
      </c>
      <c r="Y312" s="90" t="s">
        <v>94</v>
      </c>
      <c r="Z312" s="90" t="s">
        <v>94</v>
      </c>
      <c r="AA312" s="88" t="s">
        <v>94</v>
      </c>
      <c r="AB312" s="88" t="s">
        <v>94</v>
      </c>
      <c r="AC312" s="149">
        <v>3.7</v>
      </c>
      <c r="AD312" s="314">
        <v>6.2</v>
      </c>
      <c r="AE312" s="223">
        <v>135.69999999999999</v>
      </c>
      <c r="AF312" s="223">
        <v>105.8</v>
      </c>
      <c r="AG312" s="345">
        <v>33</v>
      </c>
      <c r="AH312" s="345">
        <v>44</v>
      </c>
      <c r="AI312" s="254">
        <v>0.6</v>
      </c>
      <c r="AJ312" s="254">
        <v>1</v>
      </c>
      <c r="AK312" s="269">
        <f t="shared" si="26"/>
        <v>0.4</v>
      </c>
      <c r="AL312" s="253">
        <v>4.3</v>
      </c>
      <c r="AM312" s="253">
        <v>5.6</v>
      </c>
      <c r="AN312" s="255">
        <v>6.2</v>
      </c>
      <c r="AO312" s="255">
        <v>8.4</v>
      </c>
      <c r="AP312" s="237">
        <v>109</v>
      </c>
      <c r="AQ312" s="237">
        <v>85</v>
      </c>
      <c r="AR312" s="253">
        <v>8.5</v>
      </c>
      <c r="AS312" s="253">
        <v>10.6</v>
      </c>
      <c r="AT312" s="253">
        <v>4.0999999999999996</v>
      </c>
      <c r="AU312" s="253">
        <v>5</v>
      </c>
      <c r="AV312" s="350">
        <v>73</v>
      </c>
      <c r="AW312" s="350">
        <v>75</v>
      </c>
      <c r="AX312" s="350">
        <v>128</v>
      </c>
      <c r="AY312" s="350">
        <v>166</v>
      </c>
      <c r="AZ312" s="253">
        <v>1.8</v>
      </c>
      <c r="BA312" s="253">
        <v>2.6</v>
      </c>
      <c r="BB312" s="350">
        <v>80</v>
      </c>
      <c r="BC312" s="350">
        <v>90</v>
      </c>
      <c r="BD312" s="238">
        <f t="shared" si="27"/>
        <v>269.86988888888891</v>
      </c>
      <c r="BE312" s="238">
        <f t="shared" si="28"/>
        <v>344.185</v>
      </c>
      <c r="BF312" s="244">
        <v>4.5999999999999996</v>
      </c>
      <c r="BG312" s="244" t="s">
        <v>94</v>
      </c>
      <c r="BH312" s="245">
        <v>13.2</v>
      </c>
      <c r="BI312" s="244" t="s">
        <v>94</v>
      </c>
      <c r="BJ312" s="244">
        <v>40.1</v>
      </c>
      <c r="BK312" s="244" t="s">
        <v>94</v>
      </c>
      <c r="BL312" s="245">
        <v>87.2</v>
      </c>
      <c r="BM312" s="244" t="s">
        <v>94</v>
      </c>
      <c r="BN312" s="244">
        <v>28.7</v>
      </c>
      <c r="BO312" s="244" t="s">
        <v>94</v>
      </c>
      <c r="BP312" s="245">
        <v>32.9</v>
      </c>
      <c r="BQ312" s="244" t="s">
        <v>94</v>
      </c>
      <c r="BR312" s="244">
        <v>287</v>
      </c>
      <c r="BS312" s="244" t="s">
        <v>94</v>
      </c>
      <c r="BT312" s="245">
        <v>13.4</v>
      </c>
      <c r="BU312" s="244" t="s">
        <v>94</v>
      </c>
      <c r="BV312" s="244" t="s">
        <v>94</v>
      </c>
      <c r="BW312" s="244" t="s">
        <v>94</v>
      </c>
      <c r="BX312" s="245">
        <v>8.49</v>
      </c>
      <c r="BY312" s="244" t="s">
        <v>94</v>
      </c>
      <c r="BZ312" s="244">
        <v>69</v>
      </c>
      <c r="CA312" s="244" t="s">
        <v>94</v>
      </c>
      <c r="CB312" s="252">
        <v>21.6</v>
      </c>
      <c r="CC312" s="244" t="s">
        <v>94</v>
      </c>
      <c r="CD312" s="244">
        <v>7.3</v>
      </c>
      <c r="CE312" s="244" t="s">
        <v>94</v>
      </c>
      <c r="CF312" s="252">
        <v>1.9</v>
      </c>
      <c r="CG312" s="244" t="s">
        <v>94</v>
      </c>
      <c r="CH312" s="244">
        <v>0.2</v>
      </c>
      <c r="CI312" s="244" t="s">
        <v>94</v>
      </c>
      <c r="CJ312" s="240" t="b">
        <f t="shared" si="29"/>
        <v>1</v>
      </c>
      <c r="CK312" s="241" t="b">
        <f t="shared" si="30"/>
        <v>0</v>
      </c>
      <c r="CL312" s="242">
        <f t="shared" si="31"/>
        <v>65.118300000000005</v>
      </c>
      <c r="CM312" s="238">
        <v>76.7</v>
      </c>
      <c r="CN312" s="242">
        <v>171.5</v>
      </c>
      <c r="CO312" s="240">
        <v>47.49</v>
      </c>
      <c r="CP312" s="242">
        <v>54</v>
      </c>
      <c r="CQ312" s="242">
        <v>48</v>
      </c>
      <c r="CR312" s="238">
        <v>15.1</v>
      </c>
    </row>
    <row r="313" spans="1:96" ht="15.75" customHeight="1">
      <c r="A313" s="150">
        <v>2022</v>
      </c>
      <c r="B313" s="150" t="s">
        <v>183</v>
      </c>
      <c r="C313" s="151">
        <v>3241</v>
      </c>
      <c r="D313" s="61">
        <v>25</v>
      </c>
      <c r="E313" s="61">
        <v>91</v>
      </c>
      <c r="F313" s="80">
        <v>0</v>
      </c>
      <c r="G313" s="51" t="s">
        <v>86</v>
      </c>
      <c r="H313" s="52" t="s">
        <v>83</v>
      </c>
      <c r="I313" s="53" t="s">
        <v>84</v>
      </c>
      <c r="J313" s="52" t="s">
        <v>98</v>
      </c>
      <c r="K313" s="53">
        <v>50</v>
      </c>
      <c r="L313" s="52">
        <v>50</v>
      </c>
      <c r="M313" s="247">
        <v>618</v>
      </c>
      <c r="N313" s="247">
        <v>205</v>
      </c>
      <c r="O313" s="88" t="s">
        <v>94</v>
      </c>
      <c r="P313" s="88" t="s">
        <v>94</v>
      </c>
      <c r="Q313" s="142">
        <v>3.3</v>
      </c>
      <c r="R313" s="142">
        <v>4.4000000000000004</v>
      </c>
      <c r="S313" s="248">
        <v>148</v>
      </c>
      <c r="T313" s="248">
        <v>176</v>
      </c>
      <c r="U313" s="249">
        <v>48</v>
      </c>
      <c r="V313" s="249">
        <v>31</v>
      </c>
      <c r="W313" s="88" t="s">
        <v>94</v>
      </c>
      <c r="X313" s="88" t="s">
        <v>94</v>
      </c>
      <c r="Y313" s="90" t="s">
        <v>94</v>
      </c>
      <c r="Z313" s="90" t="s">
        <v>94</v>
      </c>
      <c r="AA313" s="88" t="s">
        <v>94</v>
      </c>
      <c r="AB313" s="88" t="s">
        <v>94</v>
      </c>
      <c r="AC313" s="149">
        <v>5.4</v>
      </c>
      <c r="AD313" s="314">
        <v>7.8</v>
      </c>
      <c r="AE313" s="223">
        <v>121.6</v>
      </c>
      <c r="AF313" s="223">
        <v>78.2</v>
      </c>
      <c r="AG313" s="345">
        <v>44</v>
      </c>
      <c r="AH313" s="345">
        <v>51</v>
      </c>
      <c r="AI313" s="254">
        <v>0.9</v>
      </c>
      <c r="AJ313" s="254">
        <v>1.3</v>
      </c>
      <c r="AK313" s="269">
        <f t="shared" si="26"/>
        <v>0.4</v>
      </c>
      <c r="AL313" s="253">
        <v>4.5</v>
      </c>
      <c r="AM313" s="253">
        <v>4.5</v>
      </c>
      <c r="AN313" s="255">
        <v>6.9</v>
      </c>
      <c r="AO313" s="255">
        <v>8.1999999999999993</v>
      </c>
      <c r="AP313" s="237">
        <v>28</v>
      </c>
      <c r="AQ313" s="237">
        <v>76</v>
      </c>
      <c r="AR313" s="253">
        <v>8.9</v>
      </c>
      <c r="AS313" s="253">
        <v>10</v>
      </c>
      <c r="AT313" s="253">
        <v>4</v>
      </c>
      <c r="AU313" s="253">
        <v>4.8</v>
      </c>
      <c r="AV313" s="350">
        <v>94</v>
      </c>
      <c r="AW313" s="350">
        <v>92</v>
      </c>
      <c r="AX313" s="350">
        <v>141</v>
      </c>
      <c r="AY313" s="350">
        <v>150</v>
      </c>
      <c r="AZ313" s="253">
        <v>1.9</v>
      </c>
      <c r="BA313" s="253">
        <v>2.5</v>
      </c>
      <c r="BB313" s="350">
        <v>85</v>
      </c>
      <c r="BC313" s="350">
        <v>87</v>
      </c>
      <c r="BD313" s="238">
        <f t="shared" si="27"/>
        <v>297.03888888888883</v>
      </c>
      <c r="BE313" s="238">
        <f t="shared" si="28"/>
        <v>316.30577777777785</v>
      </c>
      <c r="BF313" s="244">
        <v>4.7</v>
      </c>
      <c r="BG313" s="244" t="s">
        <v>94</v>
      </c>
      <c r="BH313" s="245">
        <v>12.6</v>
      </c>
      <c r="BI313" s="244" t="s">
        <v>94</v>
      </c>
      <c r="BJ313" s="244">
        <v>38.700000000000003</v>
      </c>
      <c r="BK313" s="244" t="s">
        <v>94</v>
      </c>
      <c r="BL313" s="245">
        <v>82.3</v>
      </c>
      <c r="BM313" s="244" t="s">
        <v>94</v>
      </c>
      <c r="BN313" s="244">
        <v>26.8</v>
      </c>
      <c r="BO313" s="244" t="s">
        <v>94</v>
      </c>
      <c r="BP313" s="245">
        <v>32.6</v>
      </c>
      <c r="BQ313" s="244" t="s">
        <v>94</v>
      </c>
      <c r="BR313" s="244">
        <v>260</v>
      </c>
      <c r="BS313" s="244" t="s">
        <v>94</v>
      </c>
      <c r="BT313" s="245">
        <v>14.6</v>
      </c>
      <c r="BU313" s="244" t="s">
        <v>94</v>
      </c>
      <c r="BV313" s="244" t="s">
        <v>94</v>
      </c>
      <c r="BW313" s="244" t="s">
        <v>94</v>
      </c>
      <c r="BX313" s="245">
        <v>7.44</v>
      </c>
      <c r="BY313" s="244" t="s">
        <v>94</v>
      </c>
      <c r="BZ313" s="244">
        <v>62.8</v>
      </c>
      <c r="CA313" s="244" t="s">
        <v>94</v>
      </c>
      <c r="CB313" s="252">
        <v>22.8</v>
      </c>
      <c r="CC313" s="244" t="s">
        <v>94</v>
      </c>
      <c r="CD313" s="244">
        <v>5.6</v>
      </c>
      <c r="CE313" s="244" t="s">
        <v>94</v>
      </c>
      <c r="CF313" s="252">
        <v>8.5</v>
      </c>
      <c r="CG313" s="244" t="s">
        <v>94</v>
      </c>
      <c r="CH313" s="244">
        <v>0.3</v>
      </c>
      <c r="CI313" s="244" t="s">
        <v>94</v>
      </c>
      <c r="CJ313" s="240" t="b">
        <f t="shared" si="29"/>
        <v>1</v>
      </c>
      <c r="CK313" s="241" t="b">
        <f t="shared" si="30"/>
        <v>0</v>
      </c>
      <c r="CL313" s="242">
        <f t="shared" si="31"/>
        <v>81.751800000000003</v>
      </c>
      <c r="CM313" s="238">
        <v>94</v>
      </c>
      <c r="CN313" s="242">
        <v>176.5</v>
      </c>
      <c r="CO313" s="240">
        <v>46.18</v>
      </c>
      <c r="CP313" s="242">
        <v>54</v>
      </c>
      <c r="CQ313" s="242">
        <v>60</v>
      </c>
      <c r="CR313" s="238">
        <v>13.03</v>
      </c>
    </row>
    <row r="314" spans="1:96" ht="15.75" customHeight="1">
      <c r="A314" s="150">
        <v>2022</v>
      </c>
      <c r="B314" s="150" t="s">
        <v>183</v>
      </c>
      <c r="C314" s="151">
        <v>3242</v>
      </c>
      <c r="D314" s="61">
        <v>33</v>
      </c>
      <c r="E314" s="61">
        <v>94</v>
      </c>
      <c r="F314" s="80">
        <v>0</v>
      </c>
      <c r="G314" s="51" t="s">
        <v>86</v>
      </c>
      <c r="H314" s="52" t="s">
        <v>83</v>
      </c>
      <c r="I314" s="53" t="s">
        <v>87</v>
      </c>
      <c r="J314" s="52" t="s">
        <v>99</v>
      </c>
      <c r="K314" s="53">
        <v>50</v>
      </c>
      <c r="L314" s="52">
        <v>50</v>
      </c>
      <c r="M314" s="247">
        <v>489</v>
      </c>
      <c r="N314" s="247">
        <v>190</v>
      </c>
      <c r="O314" s="88" t="s">
        <v>94</v>
      </c>
      <c r="P314" s="88" t="s">
        <v>94</v>
      </c>
      <c r="Q314" s="142">
        <v>3.5</v>
      </c>
      <c r="R314" s="142">
        <v>3.9</v>
      </c>
      <c r="S314" s="248">
        <v>220</v>
      </c>
      <c r="T314" s="248">
        <v>237</v>
      </c>
      <c r="U314" s="249">
        <v>37</v>
      </c>
      <c r="V314" s="249">
        <v>31</v>
      </c>
      <c r="W314" s="88" t="s">
        <v>94</v>
      </c>
      <c r="X314" s="88" t="s">
        <v>94</v>
      </c>
      <c r="Y314" s="90" t="s">
        <v>94</v>
      </c>
      <c r="Z314" s="90" t="s">
        <v>94</v>
      </c>
      <c r="AA314" s="88" t="s">
        <v>94</v>
      </c>
      <c r="AB314" s="88" t="s">
        <v>94</v>
      </c>
      <c r="AC314" s="149">
        <v>5.0999999999999996</v>
      </c>
      <c r="AD314" s="314">
        <v>8.4</v>
      </c>
      <c r="AE314" s="223">
        <v>115.7</v>
      </c>
      <c r="AF314" s="223">
        <v>62.7</v>
      </c>
      <c r="AG314" s="345">
        <v>48</v>
      </c>
      <c r="AH314" s="345">
        <v>52</v>
      </c>
      <c r="AI314" s="254">
        <v>0.9</v>
      </c>
      <c r="AJ314" s="254">
        <v>1.5</v>
      </c>
      <c r="AK314" s="269">
        <f t="shared" si="26"/>
        <v>0.6</v>
      </c>
      <c r="AL314" s="253">
        <v>4</v>
      </c>
      <c r="AM314" s="253">
        <v>5.4</v>
      </c>
      <c r="AN314" s="255">
        <v>7.2</v>
      </c>
      <c r="AO314" s="255">
        <v>8.5</v>
      </c>
      <c r="AP314" s="237">
        <v>49</v>
      </c>
      <c r="AQ314" s="237">
        <v>56</v>
      </c>
      <c r="AR314" s="253">
        <v>9.4</v>
      </c>
      <c r="AS314" s="253">
        <v>10.6</v>
      </c>
      <c r="AT314" s="253">
        <v>4</v>
      </c>
      <c r="AU314" s="253">
        <v>5.4</v>
      </c>
      <c r="AV314" s="350">
        <v>113</v>
      </c>
      <c r="AW314" s="350">
        <v>75</v>
      </c>
      <c r="AX314" s="350">
        <v>139</v>
      </c>
      <c r="AY314" s="350">
        <v>153</v>
      </c>
      <c r="AZ314" s="253">
        <v>1.9</v>
      </c>
      <c r="BA314" s="253">
        <v>2.2999999999999998</v>
      </c>
      <c r="BB314" s="350">
        <v>84</v>
      </c>
      <c r="BC314" s="350">
        <v>87</v>
      </c>
      <c r="BD314" s="238">
        <f t="shared" si="27"/>
        <v>295.19944444444445</v>
      </c>
      <c r="BE314" s="238">
        <f t="shared" si="28"/>
        <v>322.08233333333339</v>
      </c>
      <c r="BF314" s="244">
        <v>5</v>
      </c>
      <c r="BG314" s="244" t="s">
        <v>94</v>
      </c>
      <c r="BH314" s="245">
        <v>13</v>
      </c>
      <c r="BI314" s="244" t="s">
        <v>94</v>
      </c>
      <c r="BJ314" s="244">
        <v>40.4</v>
      </c>
      <c r="BK314" s="244" t="s">
        <v>94</v>
      </c>
      <c r="BL314" s="245">
        <v>80.8</v>
      </c>
      <c r="BM314" s="244" t="s">
        <v>94</v>
      </c>
      <c r="BN314" s="244">
        <v>26</v>
      </c>
      <c r="BO314" s="244" t="s">
        <v>94</v>
      </c>
      <c r="BP314" s="245">
        <v>32.200000000000003</v>
      </c>
      <c r="BQ314" s="244" t="s">
        <v>94</v>
      </c>
      <c r="BR314" s="244">
        <v>340</v>
      </c>
      <c r="BS314" s="244" t="s">
        <v>94</v>
      </c>
      <c r="BT314" s="245">
        <v>14.2</v>
      </c>
      <c r="BU314" s="244" t="s">
        <v>94</v>
      </c>
      <c r="BV314" s="244" t="s">
        <v>94</v>
      </c>
      <c r="BW314" s="244" t="s">
        <v>94</v>
      </c>
      <c r="BX314" s="245">
        <v>10.65</v>
      </c>
      <c r="BY314" s="244" t="s">
        <v>94</v>
      </c>
      <c r="BZ314" s="244">
        <v>78.599999999999994</v>
      </c>
      <c r="CA314" s="244" t="s">
        <v>94</v>
      </c>
      <c r="CB314" s="252">
        <v>11.7</v>
      </c>
      <c r="CC314" s="244" t="s">
        <v>94</v>
      </c>
      <c r="CD314" s="244">
        <v>6.4</v>
      </c>
      <c r="CE314" s="244" t="s">
        <v>94</v>
      </c>
      <c r="CF314" s="358">
        <v>3</v>
      </c>
      <c r="CG314" s="244" t="s">
        <v>94</v>
      </c>
      <c r="CH314" s="244">
        <v>0.3</v>
      </c>
      <c r="CI314" s="244" t="s">
        <v>94</v>
      </c>
      <c r="CJ314" s="240" t="b">
        <f t="shared" si="29"/>
        <v>1</v>
      </c>
      <c r="CK314" s="241" t="b">
        <f t="shared" si="30"/>
        <v>0</v>
      </c>
      <c r="CL314" s="242">
        <f t="shared" si="31"/>
        <v>77.466380000000001</v>
      </c>
      <c r="CM314" s="238">
        <v>97.1</v>
      </c>
      <c r="CN314" s="242">
        <v>181</v>
      </c>
      <c r="CO314" s="240">
        <v>44.53</v>
      </c>
      <c r="CP314" s="242">
        <v>66</v>
      </c>
      <c r="CQ314" s="242">
        <v>65</v>
      </c>
      <c r="CR314" s="238">
        <v>20.22</v>
      </c>
    </row>
    <row r="315" spans="1:96" ht="15.75" customHeight="1">
      <c r="A315" s="150">
        <v>2022</v>
      </c>
      <c r="B315" s="150" t="s">
        <v>183</v>
      </c>
      <c r="C315" s="151">
        <v>3243</v>
      </c>
      <c r="D315" s="61">
        <v>35</v>
      </c>
      <c r="E315" s="61">
        <v>78</v>
      </c>
      <c r="F315" s="80">
        <v>0</v>
      </c>
      <c r="G315" s="51" t="s">
        <v>89</v>
      </c>
      <c r="H315" s="52" t="s">
        <v>83</v>
      </c>
      <c r="I315" s="53" t="s">
        <v>84</v>
      </c>
      <c r="J315" s="52" t="s">
        <v>98</v>
      </c>
      <c r="K315" s="53">
        <v>37.5</v>
      </c>
      <c r="L315" s="52">
        <v>62.5</v>
      </c>
      <c r="M315" s="247">
        <v>312</v>
      </c>
      <c r="N315" s="247">
        <v>276</v>
      </c>
      <c r="O315" s="88" t="s">
        <v>94</v>
      </c>
      <c r="P315" s="88" t="s">
        <v>94</v>
      </c>
      <c r="Q315" s="142">
        <v>3.3</v>
      </c>
      <c r="R315" s="142">
        <v>3.5</v>
      </c>
      <c r="S315" s="248">
        <v>192</v>
      </c>
      <c r="T315" s="248">
        <v>263</v>
      </c>
      <c r="U315" s="249">
        <v>35</v>
      </c>
      <c r="V315" s="249">
        <v>45</v>
      </c>
      <c r="W315" s="88" t="s">
        <v>94</v>
      </c>
      <c r="X315" s="88" t="s">
        <v>94</v>
      </c>
      <c r="Y315" s="90" t="s">
        <v>94</v>
      </c>
      <c r="Z315" s="90" t="s">
        <v>94</v>
      </c>
      <c r="AA315" s="88" t="s">
        <v>94</v>
      </c>
      <c r="AB315" s="88" t="s">
        <v>94</v>
      </c>
      <c r="AC315" s="149">
        <v>5.9</v>
      </c>
      <c r="AD315" s="314">
        <v>8.5</v>
      </c>
      <c r="AE315" s="223">
        <v>114.2</v>
      </c>
      <c r="AF315" s="223">
        <v>67.2</v>
      </c>
      <c r="AG315" s="345">
        <v>36</v>
      </c>
      <c r="AH315" s="345">
        <v>57</v>
      </c>
      <c r="AI315" s="254">
        <v>0.9</v>
      </c>
      <c r="AJ315" s="254">
        <v>1.4</v>
      </c>
      <c r="AK315" s="269">
        <f t="shared" si="26"/>
        <v>0.49999999999999989</v>
      </c>
      <c r="AL315" s="253">
        <v>4</v>
      </c>
      <c r="AM315" s="253">
        <v>4.8</v>
      </c>
      <c r="AN315" s="255">
        <v>7</v>
      </c>
      <c r="AO315" s="255">
        <v>9.6</v>
      </c>
      <c r="AP315" s="348">
        <v>93</v>
      </c>
      <c r="AQ315" s="348">
        <v>95</v>
      </c>
      <c r="AR315" s="253">
        <v>9</v>
      </c>
      <c r="AS315" s="253">
        <v>11.3</v>
      </c>
      <c r="AT315" s="253">
        <v>3.9</v>
      </c>
      <c r="AU315" s="253">
        <v>5.2</v>
      </c>
      <c r="AV315" s="350">
        <v>75</v>
      </c>
      <c r="AW315" s="350">
        <v>92</v>
      </c>
      <c r="AX315" s="350">
        <v>135</v>
      </c>
      <c r="AY315" s="350">
        <v>167</v>
      </c>
      <c r="AZ315" s="253">
        <v>1.7</v>
      </c>
      <c r="BA315" s="253">
        <v>2.6</v>
      </c>
      <c r="BB315" s="350">
        <v>82</v>
      </c>
      <c r="BC315" s="350">
        <v>92</v>
      </c>
      <c r="BD315" s="238">
        <f t="shared" si="27"/>
        <v>283.14566666666673</v>
      </c>
      <c r="BE315" s="238">
        <f t="shared" si="28"/>
        <v>349.66977777777777</v>
      </c>
      <c r="BF315" s="244">
        <v>4.4000000000000004</v>
      </c>
      <c r="BG315" s="244" t="s">
        <v>94</v>
      </c>
      <c r="BH315" s="245">
        <v>14</v>
      </c>
      <c r="BI315" s="244" t="s">
        <v>94</v>
      </c>
      <c r="BJ315" s="244">
        <v>40.799999999999997</v>
      </c>
      <c r="BK315" s="244" t="s">
        <v>94</v>
      </c>
      <c r="BL315" s="245">
        <v>92.7</v>
      </c>
      <c r="BM315" s="244" t="s">
        <v>94</v>
      </c>
      <c r="BN315" s="244">
        <v>31.8</v>
      </c>
      <c r="BO315" s="244" t="s">
        <v>94</v>
      </c>
      <c r="BP315" s="245">
        <v>34.299999999999997</v>
      </c>
      <c r="BQ315" s="244" t="s">
        <v>94</v>
      </c>
      <c r="BR315" s="244">
        <v>242</v>
      </c>
      <c r="BS315" s="244" t="s">
        <v>94</v>
      </c>
      <c r="BT315" s="245">
        <v>12.9</v>
      </c>
      <c r="BU315" s="244" t="s">
        <v>94</v>
      </c>
      <c r="BV315" s="244" t="s">
        <v>94</v>
      </c>
      <c r="BW315" s="244" t="s">
        <v>94</v>
      </c>
      <c r="BX315" s="245">
        <v>6.48</v>
      </c>
      <c r="BY315" s="244" t="s">
        <v>94</v>
      </c>
      <c r="BZ315" s="244">
        <v>63.3</v>
      </c>
      <c r="CA315" s="244" t="s">
        <v>94</v>
      </c>
      <c r="CB315" s="252">
        <v>28.5</v>
      </c>
      <c r="CC315" s="244" t="s">
        <v>94</v>
      </c>
      <c r="CD315" s="244">
        <v>6.8</v>
      </c>
      <c r="CE315" s="244" t="s">
        <v>94</v>
      </c>
      <c r="CF315" s="252">
        <v>0.8</v>
      </c>
      <c r="CG315" s="244" t="s">
        <v>94</v>
      </c>
      <c r="CH315" s="244">
        <v>0.6</v>
      </c>
      <c r="CI315" s="244" t="s">
        <v>94</v>
      </c>
      <c r="CJ315" s="240" t="b">
        <f t="shared" si="29"/>
        <v>1</v>
      </c>
      <c r="CK315" s="241" t="b">
        <f t="shared" si="30"/>
        <v>0</v>
      </c>
      <c r="CL315" s="242">
        <f t="shared" si="31"/>
        <v>73.247245000000007</v>
      </c>
      <c r="CM315" s="238">
        <v>77.650000000000006</v>
      </c>
      <c r="CN315" s="242">
        <v>184.2</v>
      </c>
      <c r="CO315" s="240">
        <v>54.09</v>
      </c>
      <c r="CP315" s="242">
        <v>56</v>
      </c>
      <c r="CQ315" s="242">
        <v>52</v>
      </c>
      <c r="CR315" s="238">
        <v>5.67</v>
      </c>
    </row>
    <row r="316" spans="1:96" ht="15.75" customHeight="1">
      <c r="A316" s="150">
        <v>2022</v>
      </c>
      <c r="B316" s="150" t="s">
        <v>183</v>
      </c>
      <c r="C316" s="151">
        <v>3246</v>
      </c>
      <c r="D316" s="61">
        <v>32</v>
      </c>
      <c r="E316" s="61">
        <v>80</v>
      </c>
      <c r="F316" s="80">
        <v>0</v>
      </c>
      <c r="G316" s="51" t="s">
        <v>94</v>
      </c>
      <c r="H316" s="52" t="s">
        <v>94</v>
      </c>
      <c r="I316" s="53" t="s">
        <v>94</v>
      </c>
      <c r="J316" s="52" t="s">
        <v>94</v>
      </c>
      <c r="K316" s="53" t="s">
        <v>94</v>
      </c>
      <c r="L316" s="52" t="s">
        <v>94</v>
      </c>
      <c r="M316" s="247">
        <v>207</v>
      </c>
      <c r="N316" s="247">
        <v>91</v>
      </c>
      <c r="O316" s="88" t="s">
        <v>94</v>
      </c>
      <c r="P316" s="88" t="s">
        <v>94</v>
      </c>
      <c r="Q316" s="142" t="s">
        <v>94</v>
      </c>
      <c r="R316" s="142">
        <v>3.4</v>
      </c>
      <c r="S316" s="248">
        <v>181</v>
      </c>
      <c r="T316" s="248">
        <v>251</v>
      </c>
      <c r="U316" s="249">
        <v>31</v>
      </c>
      <c r="V316" s="249">
        <v>30</v>
      </c>
      <c r="W316" s="88" t="s">
        <v>94</v>
      </c>
      <c r="X316" s="88" t="s">
        <v>94</v>
      </c>
      <c r="Y316" s="90" t="s">
        <v>94</v>
      </c>
      <c r="Z316" s="90" t="s">
        <v>94</v>
      </c>
      <c r="AA316" s="88" t="s">
        <v>94</v>
      </c>
      <c r="AB316" s="88" t="s">
        <v>94</v>
      </c>
      <c r="AC316" s="149">
        <v>4.0999999999999996</v>
      </c>
      <c r="AD316" s="314">
        <v>6.6</v>
      </c>
      <c r="AE316" s="223">
        <v>116.4</v>
      </c>
      <c r="AF316" s="223">
        <v>58.3</v>
      </c>
      <c r="AG316" s="345">
        <v>32</v>
      </c>
      <c r="AH316" s="345">
        <v>48</v>
      </c>
      <c r="AI316" s="254">
        <v>0.9</v>
      </c>
      <c r="AJ316" s="254">
        <v>1.6</v>
      </c>
      <c r="AK316" s="269">
        <f t="shared" si="26"/>
        <v>0.70000000000000007</v>
      </c>
      <c r="AL316" s="253">
        <v>4.8</v>
      </c>
      <c r="AM316" s="253">
        <v>4.4000000000000004</v>
      </c>
      <c r="AN316" s="255">
        <v>6.2</v>
      </c>
      <c r="AO316" s="255">
        <v>8.1999999999999993</v>
      </c>
      <c r="AP316" s="348" t="s">
        <v>94</v>
      </c>
      <c r="AQ316" s="348">
        <v>63</v>
      </c>
      <c r="AR316" s="253">
        <v>8.6999999999999993</v>
      </c>
      <c r="AS316" s="253">
        <v>11</v>
      </c>
      <c r="AT316" s="253">
        <v>4.4000000000000004</v>
      </c>
      <c r="AU316" s="253">
        <v>5.4</v>
      </c>
      <c r="AV316" s="350">
        <v>78</v>
      </c>
      <c r="AW316" s="350">
        <v>90</v>
      </c>
      <c r="AX316" s="350">
        <v>141</v>
      </c>
      <c r="AY316" s="350">
        <v>175</v>
      </c>
      <c r="AZ316" s="253">
        <v>1.9</v>
      </c>
      <c r="BA316" s="253">
        <v>2.7</v>
      </c>
      <c r="BB316" s="350">
        <v>83</v>
      </c>
      <c r="BC316" s="350">
        <v>93</v>
      </c>
      <c r="BD316" s="238">
        <f t="shared" si="27"/>
        <v>294.76066666666668</v>
      </c>
      <c r="BE316" s="238">
        <f t="shared" si="28"/>
        <v>363.29400000000004</v>
      </c>
      <c r="BF316" s="239" t="s">
        <v>94</v>
      </c>
      <c r="BG316" s="244" t="s">
        <v>94</v>
      </c>
      <c r="BH316" s="237" t="s">
        <v>94</v>
      </c>
      <c r="BI316" s="244" t="s">
        <v>94</v>
      </c>
      <c r="BJ316" s="239" t="s">
        <v>94</v>
      </c>
      <c r="BK316" s="244" t="s">
        <v>94</v>
      </c>
      <c r="BL316" s="237" t="s">
        <v>94</v>
      </c>
      <c r="BM316" s="244" t="s">
        <v>94</v>
      </c>
      <c r="BN316" s="239" t="s">
        <v>94</v>
      </c>
      <c r="BO316" s="244" t="s">
        <v>94</v>
      </c>
      <c r="BP316" s="237" t="s">
        <v>94</v>
      </c>
      <c r="BQ316" s="244" t="s">
        <v>94</v>
      </c>
      <c r="BR316" s="239" t="s">
        <v>94</v>
      </c>
      <c r="BS316" s="244" t="s">
        <v>94</v>
      </c>
      <c r="BT316" s="237" t="s">
        <v>94</v>
      </c>
      <c r="BU316" s="244" t="s">
        <v>94</v>
      </c>
      <c r="BV316" s="239" t="s">
        <v>94</v>
      </c>
      <c r="BW316" s="244" t="s">
        <v>94</v>
      </c>
      <c r="BX316" s="237" t="s">
        <v>94</v>
      </c>
      <c r="BY316" s="244" t="s">
        <v>94</v>
      </c>
      <c r="BZ316" s="239" t="s">
        <v>94</v>
      </c>
      <c r="CA316" s="244" t="s">
        <v>94</v>
      </c>
      <c r="CB316" s="356" t="s">
        <v>94</v>
      </c>
      <c r="CC316" s="244" t="s">
        <v>94</v>
      </c>
      <c r="CD316" s="239" t="s">
        <v>94</v>
      </c>
      <c r="CE316" s="244" t="s">
        <v>94</v>
      </c>
      <c r="CF316" s="356" t="s">
        <v>94</v>
      </c>
      <c r="CG316" s="244" t="s">
        <v>94</v>
      </c>
      <c r="CH316" s="239" t="s">
        <v>94</v>
      </c>
      <c r="CI316" s="244" t="s">
        <v>94</v>
      </c>
      <c r="CJ316" s="240" t="b">
        <f t="shared" si="29"/>
        <v>1</v>
      </c>
      <c r="CK316" s="241" t="b">
        <f t="shared" si="30"/>
        <v>0</v>
      </c>
      <c r="CL316" s="242">
        <f t="shared" si="31"/>
        <v>70.071784999999991</v>
      </c>
      <c r="CM316" s="238">
        <v>81.849999999999994</v>
      </c>
      <c r="CN316" s="242">
        <v>181</v>
      </c>
      <c r="CO316" s="240">
        <v>52.98</v>
      </c>
      <c r="CP316" s="242">
        <v>60</v>
      </c>
      <c r="CQ316" s="242">
        <v>60</v>
      </c>
      <c r="CR316" s="238">
        <v>14.39</v>
      </c>
    </row>
    <row r="317" spans="1:96" ht="15.75" customHeight="1">
      <c r="A317" s="150">
        <v>2022</v>
      </c>
      <c r="B317" s="150" t="s">
        <v>183</v>
      </c>
      <c r="C317" s="151">
        <v>3247</v>
      </c>
      <c r="D317" s="61">
        <v>35</v>
      </c>
      <c r="E317" s="61">
        <v>76</v>
      </c>
      <c r="F317" s="80">
        <v>0</v>
      </c>
      <c r="G317" s="51" t="s">
        <v>89</v>
      </c>
      <c r="H317" s="52" t="s">
        <v>90</v>
      </c>
      <c r="I317" s="53" t="s">
        <v>84</v>
      </c>
      <c r="J317" s="52" t="s">
        <v>97</v>
      </c>
      <c r="K317" s="53">
        <v>50</v>
      </c>
      <c r="L317" s="52">
        <v>50</v>
      </c>
      <c r="M317" s="247">
        <v>146</v>
      </c>
      <c r="N317" s="247">
        <v>102</v>
      </c>
      <c r="O317" s="88" t="s">
        <v>94</v>
      </c>
      <c r="P317" s="88" t="s">
        <v>94</v>
      </c>
      <c r="Q317" s="142">
        <v>3.3</v>
      </c>
      <c r="R317" s="142">
        <v>4.8</v>
      </c>
      <c r="S317" s="248">
        <v>232</v>
      </c>
      <c r="T317" s="248">
        <v>226</v>
      </c>
      <c r="U317" s="249">
        <v>43</v>
      </c>
      <c r="V317" s="249">
        <v>36</v>
      </c>
      <c r="W317" s="88" t="s">
        <v>94</v>
      </c>
      <c r="X317" s="88" t="s">
        <v>94</v>
      </c>
      <c r="Y317" s="90" t="s">
        <v>94</v>
      </c>
      <c r="Z317" s="90" t="s">
        <v>94</v>
      </c>
      <c r="AA317" s="88" t="s">
        <v>94</v>
      </c>
      <c r="AB317" s="88" t="s">
        <v>94</v>
      </c>
      <c r="AC317" s="149">
        <v>4.4000000000000004</v>
      </c>
      <c r="AD317" s="314">
        <v>6.1</v>
      </c>
      <c r="AE317" s="223">
        <v>114.2</v>
      </c>
      <c r="AF317" s="223">
        <v>89.8</v>
      </c>
      <c r="AG317" s="345">
        <v>34</v>
      </c>
      <c r="AH317" s="345">
        <v>45</v>
      </c>
      <c r="AI317" s="254">
        <v>0.9</v>
      </c>
      <c r="AJ317" s="254">
        <v>1.1000000000000001</v>
      </c>
      <c r="AK317" s="269">
        <f t="shared" si="26"/>
        <v>0.20000000000000007</v>
      </c>
      <c r="AL317" s="253">
        <v>3.6</v>
      </c>
      <c r="AM317" s="253">
        <v>3.8</v>
      </c>
      <c r="AN317" s="255">
        <v>7.4</v>
      </c>
      <c r="AO317" s="255">
        <v>8.4</v>
      </c>
      <c r="AP317" s="237">
        <v>120</v>
      </c>
      <c r="AQ317" s="237">
        <v>95</v>
      </c>
      <c r="AR317" s="253">
        <v>9.3000000000000007</v>
      </c>
      <c r="AS317" s="253">
        <v>10.1</v>
      </c>
      <c r="AT317" s="253">
        <v>4.5999999999999996</v>
      </c>
      <c r="AU317" s="253">
        <v>4.8</v>
      </c>
      <c r="AV317" s="350">
        <v>54</v>
      </c>
      <c r="AW317" s="350">
        <v>63</v>
      </c>
      <c r="AX317" s="350">
        <v>140</v>
      </c>
      <c r="AY317" s="350">
        <v>144</v>
      </c>
      <c r="AZ317" s="253">
        <v>1.9</v>
      </c>
      <c r="BA317" s="253">
        <v>2.2000000000000002</v>
      </c>
      <c r="BB317" s="350">
        <v>84</v>
      </c>
      <c r="BC317" s="350">
        <v>83</v>
      </c>
      <c r="BD317" s="238">
        <f t="shared" si="27"/>
        <v>292.07266666666669</v>
      </c>
      <c r="BE317" s="238">
        <f t="shared" si="28"/>
        <v>302.29300000000001</v>
      </c>
      <c r="BF317" s="244">
        <v>4.9000000000000004</v>
      </c>
      <c r="BG317" s="244" t="s">
        <v>94</v>
      </c>
      <c r="BH317" s="245">
        <v>15</v>
      </c>
      <c r="BI317" s="244" t="s">
        <v>94</v>
      </c>
      <c r="BJ317" s="244">
        <v>45</v>
      </c>
      <c r="BK317" s="244" t="s">
        <v>94</v>
      </c>
      <c r="BL317" s="245">
        <v>91.8</v>
      </c>
      <c r="BM317" s="244" t="s">
        <v>94</v>
      </c>
      <c r="BN317" s="244">
        <v>30.6</v>
      </c>
      <c r="BO317" s="244" t="s">
        <v>94</v>
      </c>
      <c r="BP317" s="245">
        <v>33.299999999999997</v>
      </c>
      <c r="BQ317" s="244" t="s">
        <v>94</v>
      </c>
      <c r="BR317" s="244">
        <v>170</v>
      </c>
      <c r="BS317" s="244" t="s">
        <v>94</v>
      </c>
      <c r="BT317" s="245">
        <v>14.1</v>
      </c>
      <c r="BU317" s="244" t="s">
        <v>94</v>
      </c>
      <c r="BV317" s="244" t="s">
        <v>94</v>
      </c>
      <c r="BW317" s="244" t="s">
        <v>94</v>
      </c>
      <c r="BX317" s="245">
        <v>7.51</v>
      </c>
      <c r="BY317" s="244" t="s">
        <v>94</v>
      </c>
      <c r="BZ317" s="244">
        <v>55.6</v>
      </c>
      <c r="CA317" s="244" t="s">
        <v>94</v>
      </c>
      <c r="CB317" s="252">
        <v>24.4</v>
      </c>
      <c r="CC317" s="244" t="s">
        <v>94</v>
      </c>
      <c r="CD317" s="244">
        <v>14</v>
      </c>
      <c r="CE317" s="244" t="s">
        <v>94</v>
      </c>
      <c r="CF317" s="252">
        <v>5.7</v>
      </c>
      <c r="CG317" s="244" t="s">
        <v>94</v>
      </c>
      <c r="CH317" s="244">
        <v>0.3</v>
      </c>
      <c r="CI317" s="244" t="s">
        <v>94</v>
      </c>
      <c r="CJ317" s="240" t="b">
        <f t="shared" si="29"/>
        <v>0</v>
      </c>
      <c r="CK317" s="241" t="b">
        <f t="shared" si="30"/>
        <v>0</v>
      </c>
      <c r="CL317" s="242">
        <f t="shared" si="31"/>
        <v>65.962705</v>
      </c>
      <c r="CM317" s="238">
        <v>75.55</v>
      </c>
      <c r="CN317" s="242">
        <v>177.5</v>
      </c>
      <c r="CO317" s="240">
        <v>50.61</v>
      </c>
      <c r="CP317" s="242">
        <v>56</v>
      </c>
      <c r="CQ317" s="242">
        <v>50</v>
      </c>
      <c r="CR317" s="238">
        <v>12.69</v>
      </c>
    </row>
    <row r="318" spans="1:96" ht="15.75" customHeight="1">
      <c r="A318" s="150">
        <v>2022</v>
      </c>
      <c r="B318" s="150" t="s">
        <v>183</v>
      </c>
      <c r="C318" s="151">
        <v>3248</v>
      </c>
      <c r="D318" s="61">
        <v>31</v>
      </c>
      <c r="E318" s="61">
        <v>76</v>
      </c>
      <c r="F318" s="80">
        <v>0</v>
      </c>
      <c r="G318" s="51" t="s">
        <v>82</v>
      </c>
      <c r="H318" s="52" t="s">
        <v>83</v>
      </c>
      <c r="I318" s="53" t="s">
        <v>84</v>
      </c>
      <c r="J318" s="52" t="s">
        <v>97</v>
      </c>
      <c r="K318" s="53">
        <v>50</v>
      </c>
      <c r="L318" s="52">
        <v>50</v>
      </c>
      <c r="M318" s="247">
        <v>690</v>
      </c>
      <c r="N318" s="247">
        <v>131</v>
      </c>
      <c r="O318" s="88" t="s">
        <v>94</v>
      </c>
      <c r="P318" s="88" t="s">
        <v>94</v>
      </c>
      <c r="Q318" s="142" t="s">
        <v>94</v>
      </c>
      <c r="R318" s="142">
        <v>3.4</v>
      </c>
      <c r="S318" s="248">
        <v>246</v>
      </c>
      <c r="T318" s="248">
        <v>238</v>
      </c>
      <c r="U318" s="249">
        <v>44</v>
      </c>
      <c r="V318" s="249">
        <v>32</v>
      </c>
      <c r="W318" s="88" t="s">
        <v>94</v>
      </c>
      <c r="X318" s="88" t="s">
        <v>94</v>
      </c>
      <c r="Y318" s="90" t="s">
        <v>94</v>
      </c>
      <c r="Z318" s="90" t="s">
        <v>94</v>
      </c>
      <c r="AA318" s="88" t="s">
        <v>94</v>
      </c>
      <c r="AB318" s="88" t="s">
        <v>94</v>
      </c>
      <c r="AC318" s="149">
        <v>5.6</v>
      </c>
      <c r="AD318" s="314">
        <v>8.1</v>
      </c>
      <c r="AE318" s="223">
        <v>117.1</v>
      </c>
      <c r="AF318" s="223">
        <v>63.4</v>
      </c>
      <c r="AG318" s="345">
        <v>38</v>
      </c>
      <c r="AH318" s="345">
        <v>79</v>
      </c>
      <c r="AI318" s="254">
        <v>0.9</v>
      </c>
      <c r="AJ318" s="254">
        <v>1.5</v>
      </c>
      <c r="AK318" s="269">
        <f t="shared" si="26"/>
        <v>0.6</v>
      </c>
      <c r="AL318" s="253">
        <v>4.5999999999999996</v>
      </c>
      <c r="AM318" s="253">
        <v>5.5</v>
      </c>
      <c r="AN318" s="255">
        <v>7</v>
      </c>
      <c r="AO318" s="255">
        <v>9.6</v>
      </c>
      <c r="AP318" s="237" t="s">
        <v>94</v>
      </c>
      <c r="AQ318" s="237">
        <v>83</v>
      </c>
      <c r="AR318" s="253">
        <v>9</v>
      </c>
      <c r="AS318" s="253">
        <v>11.6</v>
      </c>
      <c r="AT318" s="253">
        <v>4.3</v>
      </c>
      <c r="AU318" s="253">
        <v>5.7</v>
      </c>
      <c r="AV318" s="350">
        <v>70</v>
      </c>
      <c r="AW318" s="350">
        <v>95</v>
      </c>
      <c r="AX318" s="350">
        <v>136</v>
      </c>
      <c r="AY318" s="350">
        <v>168</v>
      </c>
      <c r="AZ318" s="253">
        <v>1.9</v>
      </c>
      <c r="BA318" s="253">
        <v>3</v>
      </c>
      <c r="BB318" s="350">
        <v>83</v>
      </c>
      <c r="BC318" s="350">
        <v>90</v>
      </c>
      <c r="BD318" s="238">
        <f t="shared" si="27"/>
        <v>285.76355555555557</v>
      </c>
      <c r="BE318" s="238">
        <f t="shared" si="28"/>
        <v>356.31811111111114</v>
      </c>
      <c r="BF318" s="244">
        <v>4.8</v>
      </c>
      <c r="BG318" s="244" t="s">
        <v>94</v>
      </c>
      <c r="BH318" s="245">
        <v>14.8</v>
      </c>
      <c r="BI318" s="244" t="s">
        <v>94</v>
      </c>
      <c r="BJ318" s="244">
        <v>43.4</v>
      </c>
      <c r="BK318" s="244" t="s">
        <v>94</v>
      </c>
      <c r="BL318" s="245">
        <v>90.4</v>
      </c>
      <c r="BM318" s="244" t="s">
        <v>94</v>
      </c>
      <c r="BN318" s="244">
        <v>30.8</v>
      </c>
      <c r="BO318" s="244" t="s">
        <v>94</v>
      </c>
      <c r="BP318" s="245">
        <v>34.1</v>
      </c>
      <c r="BQ318" s="244" t="s">
        <v>94</v>
      </c>
      <c r="BR318" s="244">
        <v>258</v>
      </c>
      <c r="BS318" s="244" t="s">
        <v>94</v>
      </c>
      <c r="BT318" s="245">
        <v>13.4</v>
      </c>
      <c r="BU318" s="244" t="s">
        <v>94</v>
      </c>
      <c r="BV318" s="244" t="s">
        <v>94</v>
      </c>
      <c r="BW318" s="244" t="s">
        <v>94</v>
      </c>
      <c r="BX318" s="245">
        <v>7.19</v>
      </c>
      <c r="BY318" s="244" t="s">
        <v>94</v>
      </c>
      <c r="BZ318" s="244">
        <v>67</v>
      </c>
      <c r="CA318" s="244" t="s">
        <v>94</v>
      </c>
      <c r="CB318" s="252">
        <v>21.4</v>
      </c>
      <c r="CC318" s="244" t="s">
        <v>94</v>
      </c>
      <c r="CD318" s="244">
        <v>8.1</v>
      </c>
      <c r="CE318" s="244" t="s">
        <v>94</v>
      </c>
      <c r="CF318" s="252">
        <v>3.1</v>
      </c>
      <c r="CG318" s="244" t="s">
        <v>94</v>
      </c>
      <c r="CH318" s="244">
        <v>0.4</v>
      </c>
      <c r="CI318" s="244" t="s">
        <v>94</v>
      </c>
      <c r="CJ318" s="240" t="b">
        <f t="shared" si="29"/>
        <v>1</v>
      </c>
      <c r="CK318" s="241" t="b">
        <f t="shared" si="30"/>
        <v>0</v>
      </c>
      <c r="CL318" s="242">
        <f t="shared" si="31"/>
        <v>71.403599999999997</v>
      </c>
      <c r="CM318" s="238">
        <v>78.5</v>
      </c>
      <c r="CN318" s="242">
        <v>173.5</v>
      </c>
      <c r="CO318" s="240">
        <v>51.8</v>
      </c>
      <c r="CP318" s="242">
        <v>57</v>
      </c>
      <c r="CQ318" s="242">
        <v>60</v>
      </c>
      <c r="CR318" s="238">
        <v>9.0399999999999991</v>
      </c>
    </row>
    <row r="319" spans="1:96" ht="15.75" customHeight="1">
      <c r="A319" s="150">
        <v>2022</v>
      </c>
      <c r="B319" s="150" t="s">
        <v>183</v>
      </c>
      <c r="C319" s="151">
        <v>3249</v>
      </c>
      <c r="D319" s="61">
        <v>32</v>
      </c>
      <c r="E319" s="61">
        <v>78</v>
      </c>
      <c r="F319" s="80">
        <v>0</v>
      </c>
      <c r="G319" s="51" t="s">
        <v>86</v>
      </c>
      <c r="H319" s="52" t="s">
        <v>92</v>
      </c>
      <c r="I319" s="53" t="s">
        <v>84</v>
      </c>
      <c r="J319" s="52" t="s">
        <v>97</v>
      </c>
      <c r="K319" s="53">
        <v>87.5</v>
      </c>
      <c r="L319" s="52">
        <v>12.5</v>
      </c>
      <c r="M319" s="247">
        <v>99</v>
      </c>
      <c r="N319" s="247">
        <v>116</v>
      </c>
      <c r="O319" s="88" t="s">
        <v>94</v>
      </c>
      <c r="P319" s="88" t="s">
        <v>94</v>
      </c>
      <c r="Q319" s="142">
        <v>3.4</v>
      </c>
      <c r="R319" s="142">
        <v>4.0999999999999996</v>
      </c>
      <c r="S319" s="248">
        <v>170</v>
      </c>
      <c r="T319" s="248">
        <v>266</v>
      </c>
      <c r="U319" s="249">
        <v>23</v>
      </c>
      <c r="V319" s="249">
        <v>41</v>
      </c>
      <c r="W319" s="88" t="s">
        <v>94</v>
      </c>
      <c r="X319" s="88" t="s">
        <v>94</v>
      </c>
      <c r="Y319" s="90" t="s">
        <v>94</v>
      </c>
      <c r="Z319" s="90" t="s">
        <v>94</v>
      </c>
      <c r="AA319" s="88" t="s">
        <v>94</v>
      </c>
      <c r="AB319" s="88" t="s">
        <v>94</v>
      </c>
      <c r="AC319" s="149">
        <v>5.4</v>
      </c>
      <c r="AD319" s="314">
        <v>10</v>
      </c>
      <c r="AE319" s="223">
        <v>116.4</v>
      </c>
      <c r="AF319" s="223">
        <v>54.3</v>
      </c>
      <c r="AG319" s="345">
        <v>43</v>
      </c>
      <c r="AH319" s="345">
        <v>72</v>
      </c>
      <c r="AI319" s="254">
        <v>0.9</v>
      </c>
      <c r="AJ319" s="254">
        <v>1.7</v>
      </c>
      <c r="AK319" s="269">
        <f t="shared" si="26"/>
        <v>0.79999999999999993</v>
      </c>
      <c r="AL319" s="253">
        <v>3.9</v>
      </c>
      <c r="AM319" s="253">
        <v>5.3</v>
      </c>
      <c r="AN319" s="255">
        <v>6.7</v>
      </c>
      <c r="AO319" s="347">
        <v>11</v>
      </c>
      <c r="AP319" s="237">
        <v>46</v>
      </c>
      <c r="AQ319" s="237">
        <v>86</v>
      </c>
      <c r="AR319" s="253">
        <v>8.6</v>
      </c>
      <c r="AS319" s="253">
        <v>12.7</v>
      </c>
      <c r="AT319" s="253">
        <v>3.8</v>
      </c>
      <c r="AU319" s="253">
        <v>6</v>
      </c>
      <c r="AV319" s="350">
        <v>102</v>
      </c>
      <c r="AW319" s="350">
        <v>126</v>
      </c>
      <c r="AX319" s="350">
        <v>134</v>
      </c>
      <c r="AY319" s="350">
        <v>198</v>
      </c>
      <c r="AZ319" s="253">
        <v>1.9</v>
      </c>
      <c r="BA319" s="253">
        <v>3.3</v>
      </c>
      <c r="BB319" s="350">
        <v>82</v>
      </c>
      <c r="BC319" s="350">
        <v>99</v>
      </c>
      <c r="BD319" s="238">
        <f t="shared" si="27"/>
        <v>283.99133333333339</v>
      </c>
      <c r="BE319" s="238">
        <f t="shared" si="28"/>
        <v>413.49</v>
      </c>
      <c r="BF319" s="244">
        <v>4.7</v>
      </c>
      <c r="BG319" s="244" t="s">
        <v>94</v>
      </c>
      <c r="BH319" s="245">
        <v>14.4</v>
      </c>
      <c r="BI319" s="244" t="s">
        <v>94</v>
      </c>
      <c r="BJ319" s="244">
        <v>42.5</v>
      </c>
      <c r="BK319" s="244" t="s">
        <v>94</v>
      </c>
      <c r="BL319" s="245">
        <v>90.4</v>
      </c>
      <c r="BM319" s="244" t="s">
        <v>94</v>
      </c>
      <c r="BN319" s="244">
        <v>30.6</v>
      </c>
      <c r="BO319" s="244" t="s">
        <v>94</v>
      </c>
      <c r="BP319" s="245">
        <v>33.9</v>
      </c>
      <c r="BQ319" s="244" t="s">
        <v>94</v>
      </c>
      <c r="BR319" s="244">
        <v>267</v>
      </c>
      <c r="BS319" s="244" t="s">
        <v>94</v>
      </c>
      <c r="BT319" s="245">
        <v>13.6</v>
      </c>
      <c r="BU319" s="244" t="s">
        <v>94</v>
      </c>
      <c r="BV319" s="244" t="s">
        <v>94</v>
      </c>
      <c r="BW319" s="244" t="s">
        <v>94</v>
      </c>
      <c r="BX319" s="245">
        <v>7.9</v>
      </c>
      <c r="BY319" s="244" t="s">
        <v>94</v>
      </c>
      <c r="BZ319" s="244">
        <v>73.8</v>
      </c>
      <c r="CA319" s="244" t="s">
        <v>94</v>
      </c>
      <c r="CB319" s="252">
        <v>13.4</v>
      </c>
      <c r="CC319" s="244" t="s">
        <v>94</v>
      </c>
      <c r="CD319" s="244">
        <v>6.8</v>
      </c>
      <c r="CE319" s="244" t="s">
        <v>94</v>
      </c>
      <c r="CF319" s="252">
        <v>5.6</v>
      </c>
      <c r="CG319" s="244" t="s">
        <v>94</v>
      </c>
      <c r="CH319" s="244">
        <v>0.4</v>
      </c>
      <c r="CI319" s="244" t="s">
        <v>94</v>
      </c>
      <c r="CJ319" s="240" t="b">
        <f t="shared" si="29"/>
        <v>1</v>
      </c>
      <c r="CK319" s="241" t="b">
        <f t="shared" si="30"/>
        <v>0</v>
      </c>
      <c r="CL319" s="242">
        <f t="shared" si="31"/>
        <v>71.568749999999994</v>
      </c>
      <c r="CM319" s="238">
        <v>82.5</v>
      </c>
      <c r="CN319" s="242">
        <v>174</v>
      </c>
      <c r="CO319" s="240">
        <v>50.33</v>
      </c>
      <c r="CP319" s="242">
        <v>56</v>
      </c>
      <c r="CQ319" s="242">
        <v>53</v>
      </c>
      <c r="CR319" s="238">
        <v>13.25</v>
      </c>
    </row>
    <row r="320" spans="1:96" ht="15.75" customHeight="1">
      <c r="A320" s="150">
        <v>2022</v>
      </c>
      <c r="B320" s="150" t="s">
        <v>183</v>
      </c>
      <c r="C320" s="151">
        <v>3250</v>
      </c>
      <c r="D320" s="61">
        <v>33</v>
      </c>
      <c r="E320" s="61">
        <v>68</v>
      </c>
      <c r="F320" s="80">
        <v>0</v>
      </c>
      <c r="G320" s="51" t="s">
        <v>86</v>
      </c>
      <c r="H320" s="52" t="s">
        <v>83</v>
      </c>
      <c r="I320" s="53" t="s">
        <v>84</v>
      </c>
      <c r="J320" s="52" t="s">
        <v>97</v>
      </c>
      <c r="K320" s="53">
        <v>75</v>
      </c>
      <c r="L320" s="52">
        <v>25</v>
      </c>
      <c r="M320" s="247">
        <v>1009</v>
      </c>
      <c r="N320" s="247">
        <v>156</v>
      </c>
      <c r="O320" s="88" t="s">
        <v>94</v>
      </c>
      <c r="P320" s="88" t="s">
        <v>94</v>
      </c>
      <c r="Q320" s="142">
        <v>3.3</v>
      </c>
      <c r="R320" s="142">
        <v>4.7</v>
      </c>
      <c r="S320" s="248">
        <v>197</v>
      </c>
      <c r="T320" s="248">
        <v>191</v>
      </c>
      <c r="U320" s="249">
        <v>48</v>
      </c>
      <c r="V320" s="249">
        <v>30</v>
      </c>
      <c r="W320" s="88" t="s">
        <v>94</v>
      </c>
      <c r="X320" s="88" t="s">
        <v>94</v>
      </c>
      <c r="Y320" s="90" t="s">
        <v>94</v>
      </c>
      <c r="Z320" s="90" t="s">
        <v>94</v>
      </c>
      <c r="AA320" s="88" t="s">
        <v>94</v>
      </c>
      <c r="AB320" s="88" t="s">
        <v>94</v>
      </c>
      <c r="AC320" s="149">
        <v>6.9</v>
      </c>
      <c r="AD320" s="314">
        <v>8.1</v>
      </c>
      <c r="AE320" s="223">
        <v>101.9</v>
      </c>
      <c r="AF320" s="223">
        <v>81.900000000000006</v>
      </c>
      <c r="AG320" s="345">
        <v>34</v>
      </c>
      <c r="AH320" s="345">
        <v>44</v>
      </c>
      <c r="AI320" s="254">
        <v>1</v>
      </c>
      <c r="AJ320" s="254">
        <v>1.2</v>
      </c>
      <c r="AK320" s="269">
        <f t="shared" si="26"/>
        <v>0.19999999999999996</v>
      </c>
      <c r="AL320" s="253">
        <v>4.2</v>
      </c>
      <c r="AM320" s="253">
        <v>4.3</v>
      </c>
      <c r="AN320" s="255">
        <v>6.3</v>
      </c>
      <c r="AO320" s="255">
        <v>7.3</v>
      </c>
      <c r="AP320" s="237">
        <v>58</v>
      </c>
      <c r="AQ320" s="237">
        <v>68</v>
      </c>
      <c r="AR320" s="253">
        <v>8.8000000000000007</v>
      </c>
      <c r="AS320" s="253">
        <v>10.1</v>
      </c>
      <c r="AT320" s="253">
        <v>4.3</v>
      </c>
      <c r="AU320" s="253">
        <v>4.5</v>
      </c>
      <c r="AV320" s="350">
        <v>107</v>
      </c>
      <c r="AW320" s="350">
        <v>91</v>
      </c>
      <c r="AX320" s="350">
        <v>141</v>
      </c>
      <c r="AY320" s="350">
        <v>154</v>
      </c>
      <c r="AZ320" s="253">
        <v>1.9</v>
      </c>
      <c r="BA320" s="253">
        <v>2.4</v>
      </c>
      <c r="BB320" s="350">
        <v>85</v>
      </c>
      <c r="BC320" s="350">
        <v>88</v>
      </c>
      <c r="BD320" s="238">
        <f t="shared" si="27"/>
        <v>296.76077777777783</v>
      </c>
      <c r="BE320" s="238">
        <f t="shared" si="28"/>
        <v>321.95722222222219</v>
      </c>
      <c r="BF320" s="244">
        <v>4.5999999999999996</v>
      </c>
      <c r="BG320" s="244" t="s">
        <v>94</v>
      </c>
      <c r="BH320" s="245">
        <v>14</v>
      </c>
      <c r="BI320" s="244" t="s">
        <v>94</v>
      </c>
      <c r="BJ320" s="244">
        <v>40.4</v>
      </c>
      <c r="BK320" s="244" t="s">
        <v>94</v>
      </c>
      <c r="BL320" s="245">
        <v>87.8</v>
      </c>
      <c r="BM320" s="244" t="s">
        <v>94</v>
      </c>
      <c r="BN320" s="244">
        <v>30.4</v>
      </c>
      <c r="BO320" s="244" t="s">
        <v>94</v>
      </c>
      <c r="BP320" s="245">
        <v>34.700000000000003</v>
      </c>
      <c r="BQ320" s="244" t="s">
        <v>94</v>
      </c>
      <c r="BR320" s="244">
        <v>257</v>
      </c>
      <c r="BS320" s="244" t="s">
        <v>94</v>
      </c>
      <c r="BT320" s="245">
        <v>12.7</v>
      </c>
      <c r="BU320" s="244" t="s">
        <v>94</v>
      </c>
      <c r="BV320" s="244" t="s">
        <v>94</v>
      </c>
      <c r="BW320" s="244" t="s">
        <v>94</v>
      </c>
      <c r="BX320" s="245">
        <v>11.64</v>
      </c>
      <c r="BY320" s="244" t="s">
        <v>94</v>
      </c>
      <c r="BZ320" s="244">
        <v>78.599999999999994</v>
      </c>
      <c r="CA320" s="244" t="s">
        <v>94</v>
      </c>
      <c r="CB320" s="252">
        <v>15.5</v>
      </c>
      <c r="CC320" s="244" t="s">
        <v>94</v>
      </c>
      <c r="CD320" s="244">
        <v>5.4</v>
      </c>
      <c r="CE320" s="244" t="s">
        <v>94</v>
      </c>
      <c r="CF320" s="252">
        <v>0.4</v>
      </c>
      <c r="CG320" s="244" t="s">
        <v>94</v>
      </c>
      <c r="CH320" s="244">
        <v>0.1</v>
      </c>
      <c r="CI320" s="244" t="s">
        <v>94</v>
      </c>
      <c r="CJ320" s="240" t="b">
        <f t="shared" si="29"/>
        <v>0</v>
      </c>
      <c r="CK320" s="241" t="b">
        <f t="shared" si="30"/>
        <v>1</v>
      </c>
      <c r="CL320" s="242">
        <f t="shared" si="31"/>
        <v>64.357799999999997</v>
      </c>
      <c r="CM320" s="238">
        <v>74</v>
      </c>
      <c r="CN320" s="242">
        <v>172</v>
      </c>
      <c r="CO320" s="240">
        <v>52.46</v>
      </c>
      <c r="CP320" s="242">
        <v>60</v>
      </c>
      <c r="CQ320" s="242">
        <v>58</v>
      </c>
      <c r="CR320" s="238">
        <v>13.03</v>
      </c>
    </row>
    <row r="321" spans="1:96" ht="15.75" customHeight="1">
      <c r="A321" s="150">
        <v>2022</v>
      </c>
      <c r="B321" s="150" t="s">
        <v>183</v>
      </c>
      <c r="C321" s="151">
        <v>3255</v>
      </c>
      <c r="D321" s="61">
        <v>28</v>
      </c>
      <c r="E321" s="61">
        <v>77</v>
      </c>
      <c r="F321" s="80">
        <v>0</v>
      </c>
      <c r="G321" s="51" t="s">
        <v>86</v>
      </c>
      <c r="H321" s="52" t="s">
        <v>83</v>
      </c>
      <c r="I321" s="53" t="s">
        <v>84</v>
      </c>
      <c r="J321" s="52" t="s">
        <v>98</v>
      </c>
      <c r="K321" s="53">
        <v>50</v>
      </c>
      <c r="L321" s="52">
        <v>50</v>
      </c>
      <c r="M321" s="247">
        <v>330</v>
      </c>
      <c r="N321" s="247">
        <v>114</v>
      </c>
      <c r="O321" s="88" t="s">
        <v>94</v>
      </c>
      <c r="P321" s="88" t="s">
        <v>94</v>
      </c>
      <c r="Q321" s="142">
        <v>3.1</v>
      </c>
      <c r="R321" s="142">
        <v>4.5</v>
      </c>
      <c r="S321" s="248">
        <v>184</v>
      </c>
      <c r="T321" s="248">
        <v>194</v>
      </c>
      <c r="U321" s="249">
        <v>34</v>
      </c>
      <c r="V321" s="249">
        <v>23</v>
      </c>
      <c r="W321" s="88" t="s">
        <v>94</v>
      </c>
      <c r="X321" s="88" t="s">
        <v>94</v>
      </c>
      <c r="Y321" s="90" t="s">
        <v>94</v>
      </c>
      <c r="Z321" s="90" t="s">
        <v>94</v>
      </c>
      <c r="AA321" s="88" t="s">
        <v>94</v>
      </c>
      <c r="AB321" s="88" t="s">
        <v>94</v>
      </c>
      <c r="AC321" s="149">
        <v>5.2</v>
      </c>
      <c r="AD321" s="314">
        <v>6.8</v>
      </c>
      <c r="AE321" s="223">
        <v>105.1</v>
      </c>
      <c r="AF321" s="223">
        <v>84.5</v>
      </c>
      <c r="AG321" s="345">
        <v>40</v>
      </c>
      <c r="AH321" s="345">
        <v>50</v>
      </c>
      <c r="AI321" s="254">
        <v>1</v>
      </c>
      <c r="AJ321" s="254">
        <v>1.2</v>
      </c>
      <c r="AK321" s="269">
        <f t="shared" si="26"/>
        <v>0.19999999999999996</v>
      </c>
      <c r="AL321" s="253">
        <v>4.9000000000000004</v>
      </c>
      <c r="AM321" s="253">
        <v>5.2</v>
      </c>
      <c r="AN321" s="255">
        <v>7.3</v>
      </c>
      <c r="AO321" s="255">
        <v>8.9</v>
      </c>
      <c r="AP321" s="237">
        <v>47</v>
      </c>
      <c r="AQ321" s="237">
        <v>133</v>
      </c>
      <c r="AR321" s="253">
        <v>8.9</v>
      </c>
      <c r="AS321" s="253">
        <v>10.199999999999999</v>
      </c>
      <c r="AT321" s="253">
        <v>4</v>
      </c>
      <c r="AU321" s="253">
        <v>4.8</v>
      </c>
      <c r="AV321" s="350">
        <v>97</v>
      </c>
      <c r="AW321" s="350">
        <v>66</v>
      </c>
      <c r="AX321" s="350">
        <v>144</v>
      </c>
      <c r="AY321" s="350">
        <v>149</v>
      </c>
      <c r="AZ321" s="253">
        <v>2.2000000000000002</v>
      </c>
      <c r="BA321" s="253">
        <v>2.6</v>
      </c>
      <c r="BB321" s="350">
        <v>85</v>
      </c>
      <c r="BC321" s="350">
        <v>84</v>
      </c>
      <c r="BD321" s="238">
        <f t="shared" si="27"/>
        <v>302.14388888888891</v>
      </c>
      <c r="BE321" s="238">
        <f t="shared" si="28"/>
        <v>312.61799999999999</v>
      </c>
      <c r="BF321" s="244">
        <v>4.5999999999999996</v>
      </c>
      <c r="BG321" s="244" t="s">
        <v>94</v>
      </c>
      <c r="BH321" s="245">
        <v>13.6</v>
      </c>
      <c r="BI321" s="244" t="s">
        <v>94</v>
      </c>
      <c r="BJ321" s="244">
        <v>39.700000000000003</v>
      </c>
      <c r="BK321" s="244" t="s">
        <v>94</v>
      </c>
      <c r="BL321" s="245">
        <v>86.3</v>
      </c>
      <c r="BM321" s="244" t="s">
        <v>94</v>
      </c>
      <c r="BN321" s="244">
        <v>29.6</v>
      </c>
      <c r="BO321" s="244" t="s">
        <v>94</v>
      </c>
      <c r="BP321" s="245">
        <v>34.299999999999997</v>
      </c>
      <c r="BQ321" s="244" t="s">
        <v>94</v>
      </c>
      <c r="BR321" s="244">
        <v>220</v>
      </c>
      <c r="BS321" s="244" t="s">
        <v>94</v>
      </c>
      <c r="BT321" s="245">
        <v>13</v>
      </c>
      <c r="BU321" s="244" t="s">
        <v>94</v>
      </c>
      <c r="BV321" s="244" t="s">
        <v>94</v>
      </c>
      <c r="BW321" s="244" t="s">
        <v>94</v>
      </c>
      <c r="BX321" s="245">
        <v>6.22</v>
      </c>
      <c r="BY321" s="244" t="s">
        <v>94</v>
      </c>
      <c r="BZ321" s="244">
        <v>61.9</v>
      </c>
      <c r="CA321" s="244" t="s">
        <v>94</v>
      </c>
      <c r="CB321" s="252">
        <v>31.7</v>
      </c>
      <c r="CC321" s="244" t="s">
        <v>94</v>
      </c>
      <c r="CD321" s="244">
        <v>6.4</v>
      </c>
      <c r="CE321" s="244" t="s">
        <v>94</v>
      </c>
      <c r="CF321" s="252">
        <v>0</v>
      </c>
      <c r="CG321" s="244" t="s">
        <v>94</v>
      </c>
      <c r="CH321" s="244">
        <v>0</v>
      </c>
      <c r="CI321" s="244" t="s">
        <v>94</v>
      </c>
      <c r="CJ321" s="240" t="b">
        <f t="shared" si="29"/>
        <v>0</v>
      </c>
      <c r="CK321" s="241" t="b">
        <f t="shared" si="30"/>
        <v>0</v>
      </c>
      <c r="CL321" s="242">
        <f t="shared" si="31"/>
        <v>71.013225000000006</v>
      </c>
      <c r="CM321" s="238">
        <v>80.25</v>
      </c>
      <c r="CN321" s="242">
        <v>179</v>
      </c>
      <c r="CO321" s="240">
        <v>49.57</v>
      </c>
      <c r="CP321" s="242">
        <v>57</v>
      </c>
      <c r="CQ321" s="242">
        <v>52</v>
      </c>
      <c r="CR321" s="238">
        <v>11.51</v>
      </c>
    </row>
    <row r="322" spans="1:96" ht="15.75" customHeight="1">
      <c r="A322" s="150">
        <v>2022</v>
      </c>
      <c r="B322" s="150" t="s">
        <v>183</v>
      </c>
      <c r="C322" s="151">
        <v>3256</v>
      </c>
      <c r="D322" s="61">
        <v>29</v>
      </c>
      <c r="E322" s="61">
        <v>83</v>
      </c>
      <c r="F322" s="80">
        <v>0</v>
      </c>
      <c r="G322" s="51" t="s">
        <v>89</v>
      </c>
      <c r="H322" s="52" t="s">
        <v>92</v>
      </c>
      <c r="I322" s="53" t="s">
        <v>93</v>
      </c>
      <c r="J322" s="52" t="s">
        <v>97</v>
      </c>
      <c r="K322" s="53">
        <v>87.5</v>
      </c>
      <c r="L322" s="52">
        <v>12.5</v>
      </c>
      <c r="M322" s="247">
        <v>185</v>
      </c>
      <c r="N322" s="247">
        <v>129</v>
      </c>
      <c r="O322" s="88" t="s">
        <v>94</v>
      </c>
      <c r="P322" s="88" t="s">
        <v>94</v>
      </c>
      <c r="Q322" s="142">
        <v>3.3</v>
      </c>
      <c r="R322" s="142">
        <v>3.6</v>
      </c>
      <c r="S322" s="248">
        <v>196</v>
      </c>
      <c r="T322" s="248">
        <v>204</v>
      </c>
      <c r="U322" s="249">
        <v>26</v>
      </c>
      <c r="V322" s="249">
        <v>28</v>
      </c>
      <c r="W322" s="88" t="s">
        <v>94</v>
      </c>
      <c r="X322" s="88" t="s">
        <v>94</v>
      </c>
      <c r="Y322" s="90" t="s">
        <v>94</v>
      </c>
      <c r="Z322" s="90" t="s">
        <v>94</v>
      </c>
      <c r="AA322" s="88" t="s">
        <v>94</v>
      </c>
      <c r="AB322" s="88" t="s">
        <v>94</v>
      </c>
      <c r="AC322" s="149">
        <v>4.0999999999999996</v>
      </c>
      <c r="AD322" s="314">
        <v>5.8</v>
      </c>
      <c r="AE322" s="223">
        <v>130.30000000000001</v>
      </c>
      <c r="AF322" s="223">
        <v>94.9</v>
      </c>
      <c r="AG322" s="345">
        <v>37</v>
      </c>
      <c r="AH322" s="345">
        <v>48</v>
      </c>
      <c r="AI322" s="254">
        <v>0.7</v>
      </c>
      <c r="AJ322" s="254">
        <v>1.1000000000000001</v>
      </c>
      <c r="AK322" s="269">
        <f t="shared" ref="AK322:AK385" si="32">IFERROR(IF((AJ322-AI322)&lt;0,0,(AJ322-AI322)),"Dados Insuficientes")</f>
        <v>0.40000000000000013</v>
      </c>
      <c r="AL322" s="253">
        <v>4.3</v>
      </c>
      <c r="AM322" s="253">
        <v>5.3</v>
      </c>
      <c r="AN322" s="255">
        <v>7.4</v>
      </c>
      <c r="AO322" s="255">
        <v>8.1999999999999993</v>
      </c>
      <c r="AP322" s="237">
        <v>122</v>
      </c>
      <c r="AQ322" s="237">
        <v>130</v>
      </c>
      <c r="AR322" s="253">
        <v>9.3000000000000007</v>
      </c>
      <c r="AS322" s="253">
        <v>9.8000000000000007</v>
      </c>
      <c r="AT322" s="253">
        <v>4.5</v>
      </c>
      <c r="AU322" s="253">
        <v>4.8</v>
      </c>
      <c r="AV322" s="350">
        <v>77</v>
      </c>
      <c r="AW322" s="350">
        <v>80</v>
      </c>
      <c r="AX322" s="350">
        <v>138</v>
      </c>
      <c r="AY322" s="350">
        <v>143</v>
      </c>
      <c r="AZ322" s="253">
        <v>2</v>
      </c>
      <c r="BA322" s="253">
        <v>2.2999999999999998</v>
      </c>
      <c r="BB322" s="350">
        <v>84</v>
      </c>
      <c r="BC322" s="350">
        <v>84</v>
      </c>
      <c r="BD322" s="238">
        <f t="shared" ref="BD322:BD385" si="33">1.86*(AX322+AT322)+1.15*(AV322/18)+(AG322/6)+14</f>
        <v>290.13611111111112</v>
      </c>
      <c r="BE322" s="238">
        <f t="shared" ref="BE322:BE385" si="34">1.86*(AY322+AU322)+1.15*(AW322/18)+(AH322/6)+14</f>
        <v>302.0191111111111</v>
      </c>
      <c r="BF322" s="244">
        <v>5.2</v>
      </c>
      <c r="BG322" s="244" t="s">
        <v>94</v>
      </c>
      <c r="BH322" s="245">
        <v>13.9</v>
      </c>
      <c r="BI322" s="244" t="s">
        <v>94</v>
      </c>
      <c r="BJ322" s="244">
        <v>40.799999999999997</v>
      </c>
      <c r="BK322" s="244" t="s">
        <v>94</v>
      </c>
      <c r="BL322" s="245">
        <v>78.5</v>
      </c>
      <c r="BM322" s="244" t="s">
        <v>94</v>
      </c>
      <c r="BN322" s="244">
        <v>26.7</v>
      </c>
      <c r="BO322" s="244" t="s">
        <v>94</v>
      </c>
      <c r="BP322" s="245">
        <v>34.1</v>
      </c>
      <c r="BQ322" s="244" t="s">
        <v>94</v>
      </c>
      <c r="BR322" s="244">
        <v>273</v>
      </c>
      <c r="BS322" s="244" t="s">
        <v>94</v>
      </c>
      <c r="BT322" s="245">
        <v>14.1</v>
      </c>
      <c r="BU322" s="244" t="s">
        <v>94</v>
      </c>
      <c r="BV322" s="244" t="s">
        <v>94</v>
      </c>
      <c r="BW322" s="244" t="s">
        <v>94</v>
      </c>
      <c r="BX322" s="245">
        <v>6.69</v>
      </c>
      <c r="BY322" s="244" t="s">
        <v>94</v>
      </c>
      <c r="BZ322" s="244">
        <v>61.3</v>
      </c>
      <c r="CA322" s="244" t="s">
        <v>94</v>
      </c>
      <c r="CB322" s="252">
        <v>25.3</v>
      </c>
      <c r="CC322" s="244" t="s">
        <v>94</v>
      </c>
      <c r="CD322" s="244">
        <v>7</v>
      </c>
      <c r="CE322" s="244" t="s">
        <v>94</v>
      </c>
      <c r="CF322" s="252">
        <v>0.1</v>
      </c>
      <c r="CG322" s="244" t="s">
        <v>94</v>
      </c>
      <c r="CH322" s="244">
        <v>6.3</v>
      </c>
      <c r="CI322" s="244" t="s">
        <v>94</v>
      </c>
      <c r="CJ322" s="240" t="b">
        <f t="shared" ref="CJ322:CJ385" si="35">(AJ322-AI322)&gt;=0.3</f>
        <v>1</v>
      </c>
      <c r="CK322" s="241" t="b">
        <f t="shared" ref="CK322:CK385" si="36">OR(N322&gt;=1000,M322&gt;=1000)</f>
        <v>0</v>
      </c>
      <c r="CL322" s="242">
        <f t="shared" si="31"/>
        <v>71.552219999999991</v>
      </c>
      <c r="CM322" s="238">
        <v>83.55</v>
      </c>
      <c r="CN322" s="242">
        <v>182.6</v>
      </c>
      <c r="CO322" s="240">
        <v>51.94</v>
      </c>
      <c r="CP322" s="242">
        <v>56</v>
      </c>
      <c r="CQ322" s="242">
        <v>52</v>
      </c>
      <c r="CR322" s="238">
        <v>14.36</v>
      </c>
    </row>
    <row r="323" spans="1:96" ht="15.75" customHeight="1">
      <c r="A323" s="150">
        <v>2022</v>
      </c>
      <c r="B323" s="150" t="s">
        <v>183</v>
      </c>
      <c r="C323" s="151">
        <v>3257</v>
      </c>
      <c r="D323" s="61">
        <v>28</v>
      </c>
      <c r="E323" s="61">
        <v>92</v>
      </c>
      <c r="F323" s="80">
        <v>0</v>
      </c>
      <c r="G323" s="51" t="s">
        <v>89</v>
      </c>
      <c r="H323" s="52" t="s">
        <v>92</v>
      </c>
      <c r="I323" s="53" t="s">
        <v>87</v>
      </c>
      <c r="J323" s="52" t="s">
        <v>97</v>
      </c>
      <c r="K323" s="53">
        <v>62.5</v>
      </c>
      <c r="L323" s="52">
        <v>37.5</v>
      </c>
      <c r="M323" s="247">
        <v>255</v>
      </c>
      <c r="N323" s="247">
        <v>95</v>
      </c>
      <c r="O323" s="88" t="s">
        <v>94</v>
      </c>
      <c r="P323" s="88" t="s">
        <v>94</v>
      </c>
      <c r="Q323" s="142">
        <v>2.4</v>
      </c>
      <c r="R323" s="142">
        <v>3.1</v>
      </c>
      <c r="S323" s="248">
        <v>188</v>
      </c>
      <c r="T323" s="248">
        <v>146</v>
      </c>
      <c r="U323" s="249">
        <v>47</v>
      </c>
      <c r="V323" s="249">
        <v>25</v>
      </c>
      <c r="W323" s="88" t="s">
        <v>94</v>
      </c>
      <c r="X323" s="88" t="s">
        <v>94</v>
      </c>
      <c r="Y323" s="90" t="s">
        <v>94</v>
      </c>
      <c r="Z323" s="90" t="s">
        <v>94</v>
      </c>
      <c r="AA323" s="88" t="s">
        <v>94</v>
      </c>
      <c r="AB323" s="88" t="s">
        <v>94</v>
      </c>
      <c r="AC323" s="149">
        <v>5.3</v>
      </c>
      <c r="AD323" s="314">
        <v>5.4</v>
      </c>
      <c r="AE323" s="223">
        <v>126</v>
      </c>
      <c r="AF323" s="223">
        <v>121.6</v>
      </c>
      <c r="AG323" s="345">
        <v>38</v>
      </c>
      <c r="AH323" s="345">
        <v>42</v>
      </c>
      <c r="AI323" s="254">
        <v>0.8</v>
      </c>
      <c r="AJ323" s="254">
        <v>0.9</v>
      </c>
      <c r="AK323" s="269">
        <f t="shared" si="32"/>
        <v>9.9999999999999978E-2</v>
      </c>
      <c r="AL323" s="253">
        <v>4.5</v>
      </c>
      <c r="AM323" s="253">
        <v>3.8</v>
      </c>
      <c r="AN323" s="255">
        <v>7.2</v>
      </c>
      <c r="AO323" s="255">
        <v>6.9</v>
      </c>
      <c r="AP323" s="237">
        <v>97</v>
      </c>
      <c r="AQ323" s="237">
        <v>111</v>
      </c>
      <c r="AR323" s="253">
        <v>9.1999999999999993</v>
      </c>
      <c r="AS323" s="253">
        <v>7.7</v>
      </c>
      <c r="AT323" s="253">
        <v>4.4000000000000004</v>
      </c>
      <c r="AU323" s="253">
        <v>3.7</v>
      </c>
      <c r="AV323" s="350">
        <v>78</v>
      </c>
      <c r="AW323" s="350">
        <v>44</v>
      </c>
      <c r="AX323" s="350">
        <v>142</v>
      </c>
      <c r="AY323" s="350">
        <v>122</v>
      </c>
      <c r="AZ323" s="253">
        <v>2.1</v>
      </c>
      <c r="BA323" s="253">
        <v>1.7</v>
      </c>
      <c r="BB323" s="350">
        <v>85</v>
      </c>
      <c r="BC323" s="350">
        <v>79</v>
      </c>
      <c r="BD323" s="238">
        <f t="shared" si="33"/>
        <v>297.62066666666669</v>
      </c>
      <c r="BE323" s="238">
        <f t="shared" si="34"/>
        <v>257.61311111111115</v>
      </c>
      <c r="BF323" s="244">
        <v>4.5999999999999996</v>
      </c>
      <c r="BG323" s="244" t="s">
        <v>94</v>
      </c>
      <c r="BH323" s="245">
        <v>14.1</v>
      </c>
      <c r="BI323" s="244" t="s">
        <v>94</v>
      </c>
      <c r="BJ323" s="244">
        <v>41.7</v>
      </c>
      <c r="BK323" s="244" t="s">
        <v>94</v>
      </c>
      <c r="BL323" s="245">
        <v>90.7</v>
      </c>
      <c r="BM323" s="244" t="s">
        <v>94</v>
      </c>
      <c r="BN323" s="244">
        <v>30.7</v>
      </c>
      <c r="BO323" s="244" t="s">
        <v>94</v>
      </c>
      <c r="BP323" s="245">
        <v>33.799999999999997</v>
      </c>
      <c r="BQ323" s="244" t="s">
        <v>94</v>
      </c>
      <c r="BR323" s="244">
        <v>224</v>
      </c>
      <c r="BS323" s="244" t="s">
        <v>94</v>
      </c>
      <c r="BT323" s="245">
        <v>13.3</v>
      </c>
      <c r="BU323" s="244" t="s">
        <v>94</v>
      </c>
      <c r="BV323" s="244" t="s">
        <v>94</v>
      </c>
      <c r="BW323" s="244" t="s">
        <v>94</v>
      </c>
      <c r="BX323" s="245">
        <v>3.56</v>
      </c>
      <c r="BY323" s="244" t="s">
        <v>94</v>
      </c>
      <c r="BZ323" s="244">
        <v>32.9</v>
      </c>
      <c r="CA323" s="244" t="s">
        <v>94</v>
      </c>
      <c r="CB323" s="252">
        <v>46.3</v>
      </c>
      <c r="CC323" s="244" t="s">
        <v>94</v>
      </c>
      <c r="CD323" s="244">
        <v>11.5</v>
      </c>
      <c r="CE323" s="244" t="s">
        <v>94</v>
      </c>
      <c r="CF323" s="252">
        <v>9</v>
      </c>
      <c r="CG323" s="244" t="s">
        <v>94</v>
      </c>
      <c r="CH323" s="244">
        <v>0.3</v>
      </c>
      <c r="CI323" s="244" t="s">
        <v>94</v>
      </c>
      <c r="CJ323" s="240" t="b">
        <f t="shared" si="35"/>
        <v>0</v>
      </c>
      <c r="CK323" s="241" t="b">
        <f t="shared" si="36"/>
        <v>0</v>
      </c>
      <c r="CL323" s="242">
        <f t="shared" si="31"/>
        <v>79.259819999999991</v>
      </c>
      <c r="CM323" s="238">
        <v>92.55</v>
      </c>
      <c r="CN323" s="242">
        <v>183.2</v>
      </c>
      <c r="CO323" s="240">
        <v>45.83</v>
      </c>
      <c r="CP323" s="242">
        <v>58</v>
      </c>
      <c r="CQ323" s="242">
        <v>62</v>
      </c>
      <c r="CR323" s="238">
        <v>14.36</v>
      </c>
    </row>
    <row r="324" spans="1:96" ht="15.75" customHeight="1">
      <c r="A324" s="150">
        <v>2022</v>
      </c>
      <c r="B324" s="150" t="s">
        <v>183</v>
      </c>
      <c r="C324" s="151">
        <v>3258</v>
      </c>
      <c r="D324" s="61">
        <v>26</v>
      </c>
      <c r="E324" s="61">
        <v>82</v>
      </c>
      <c r="F324" s="80">
        <v>0</v>
      </c>
      <c r="G324" s="51" t="s">
        <v>82</v>
      </c>
      <c r="H324" s="52" t="s">
        <v>83</v>
      </c>
      <c r="I324" s="53" t="s">
        <v>84</v>
      </c>
      <c r="J324" s="52" t="s">
        <v>99</v>
      </c>
      <c r="K324" s="53">
        <v>37.5</v>
      </c>
      <c r="L324" s="52">
        <v>62.5</v>
      </c>
      <c r="M324" s="247">
        <v>150</v>
      </c>
      <c r="N324" s="247">
        <v>97</v>
      </c>
      <c r="O324" s="88" t="s">
        <v>94</v>
      </c>
      <c r="P324" s="88" t="s">
        <v>94</v>
      </c>
      <c r="Q324" s="142">
        <v>4.0999999999999996</v>
      </c>
      <c r="R324" s="142">
        <v>4.0999999999999996</v>
      </c>
      <c r="S324" s="248">
        <v>188</v>
      </c>
      <c r="T324" s="248">
        <v>174</v>
      </c>
      <c r="U324" s="249">
        <v>32</v>
      </c>
      <c r="V324" s="249">
        <v>26</v>
      </c>
      <c r="W324" s="88" t="s">
        <v>94</v>
      </c>
      <c r="X324" s="88" t="s">
        <v>94</v>
      </c>
      <c r="Y324" s="90" t="s">
        <v>94</v>
      </c>
      <c r="Z324" s="90" t="s">
        <v>94</v>
      </c>
      <c r="AA324" s="88" t="s">
        <v>94</v>
      </c>
      <c r="AB324" s="88" t="s">
        <v>94</v>
      </c>
      <c r="AC324" s="149">
        <v>5.3</v>
      </c>
      <c r="AD324" s="314">
        <v>6.7</v>
      </c>
      <c r="AE324" s="223">
        <v>120.8</v>
      </c>
      <c r="AF324" s="223">
        <v>77.7</v>
      </c>
      <c r="AG324" s="345">
        <v>30</v>
      </c>
      <c r="AH324" s="345">
        <v>49</v>
      </c>
      <c r="AI324" s="254">
        <v>0.9</v>
      </c>
      <c r="AJ324" s="254">
        <v>1.3</v>
      </c>
      <c r="AK324" s="269">
        <f t="shared" si="32"/>
        <v>0.4</v>
      </c>
      <c r="AL324" s="253">
        <v>4.5999999999999996</v>
      </c>
      <c r="AM324" s="253">
        <v>3.2</v>
      </c>
      <c r="AN324" s="255">
        <v>7.3</v>
      </c>
      <c r="AO324" s="255">
        <v>7.8</v>
      </c>
      <c r="AP324" s="237">
        <v>75</v>
      </c>
      <c r="AQ324" s="237">
        <v>109</v>
      </c>
      <c r="AR324" s="253">
        <v>9.4</v>
      </c>
      <c r="AS324" s="253">
        <v>9.3000000000000007</v>
      </c>
      <c r="AT324" s="253">
        <v>4.3</v>
      </c>
      <c r="AU324" s="253">
        <v>4.0999999999999996</v>
      </c>
      <c r="AV324" s="350">
        <v>104</v>
      </c>
      <c r="AW324" s="350">
        <v>85</v>
      </c>
      <c r="AX324" s="350">
        <v>141</v>
      </c>
      <c r="AY324" s="350">
        <v>142</v>
      </c>
      <c r="AZ324" s="253">
        <v>1.9</v>
      </c>
      <c r="BA324" s="253">
        <v>2.2000000000000002</v>
      </c>
      <c r="BB324" s="350">
        <v>83</v>
      </c>
      <c r="BC324" s="350">
        <v>84</v>
      </c>
      <c r="BD324" s="238">
        <f t="shared" si="33"/>
        <v>295.90244444444448</v>
      </c>
      <c r="BE324" s="238">
        <f t="shared" si="34"/>
        <v>299.34322222222221</v>
      </c>
      <c r="BF324" s="244">
        <v>4.8</v>
      </c>
      <c r="BG324" s="244" t="s">
        <v>94</v>
      </c>
      <c r="BH324" s="245">
        <v>15</v>
      </c>
      <c r="BI324" s="244" t="s">
        <v>94</v>
      </c>
      <c r="BJ324" s="244">
        <v>43.1</v>
      </c>
      <c r="BK324" s="244" t="s">
        <v>94</v>
      </c>
      <c r="BL324" s="245">
        <v>89.8</v>
      </c>
      <c r="BM324" s="244" t="s">
        <v>94</v>
      </c>
      <c r="BN324" s="244">
        <v>31.3</v>
      </c>
      <c r="BO324" s="244" t="s">
        <v>94</v>
      </c>
      <c r="BP324" s="245">
        <v>34.799999999999997</v>
      </c>
      <c r="BQ324" s="244" t="s">
        <v>94</v>
      </c>
      <c r="BR324" s="244">
        <v>254</v>
      </c>
      <c r="BS324" s="244" t="s">
        <v>94</v>
      </c>
      <c r="BT324" s="245">
        <v>13.7</v>
      </c>
      <c r="BU324" s="244" t="s">
        <v>94</v>
      </c>
      <c r="BV324" s="244" t="s">
        <v>94</v>
      </c>
      <c r="BW324" s="244" t="s">
        <v>94</v>
      </c>
      <c r="BX324" s="245">
        <v>7.86</v>
      </c>
      <c r="BY324" s="244" t="s">
        <v>94</v>
      </c>
      <c r="BZ324" s="244">
        <v>57.8</v>
      </c>
      <c r="CA324" s="244" t="s">
        <v>94</v>
      </c>
      <c r="CB324" s="252">
        <v>22.8</v>
      </c>
      <c r="CC324" s="244" t="s">
        <v>94</v>
      </c>
      <c r="CD324" s="244">
        <v>12.5</v>
      </c>
      <c r="CE324" s="244" t="s">
        <v>94</v>
      </c>
      <c r="CF324" s="252">
        <v>6.4</v>
      </c>
      <c r="CG324" s="244" t="s">
        <v>94</v>
      </c>
      <c r="CH324" s="244">
        <v>0.5</v>
      </c>
      <c r="CI324" s="244" t="s">
        <v>94</v>
      </c>
      <c r="CJ324" s="240" t="b">
        <f t="shared" si="35"/>
        <v>1</v>
      </c>
      <c r="CK324" s="241" t="b">
        <f t="shared" si="36"/>
        <v>0</v>
      </c>
      <c r="CL324" s="242">
        <f t="shared" si="31"/>
        <v>72.216679999999997</v>
      </c>
      <c r="CM324" s="238">
        <v>87.05</v>
      </c>
      <c r="CN324" s="242">
        <v>173.3</v>
      </c>
      <c r="CO324" s="240">
        <v>46.36</v>
      </c>
      <c r="CP324" s="242">
        <v>50</v>
      </c>
      <c r="CQ324" s="242">
        <v>46</v>
      </c>
      <c r="CR324" s="238">
        <v>17.04</v>
      </c>
    </row>
    <row r="325" spans="1:96" ht="15.75" customHeight="1">
      <c r="A325" s="150">
        <v>2022</v>
      </c>
      <c r="B325" s="150" t="s">
        <v>183</v>
      </c>
      <c r="C325" s="151">
        <v>3259</v>
      </c>
      <c r="D325" s="61">
        <v>25</v>
      </c>
      <c r="E325" s="61">
        <v>68.7</v>
      </c>
      <c r="F325" s="80">
        <v>0</v>
      </c>
      <c r="G325" s="51" t="s">
        <v>86</v>
      </c>
      <c r="H325" s="52" t="s">
        <v>92</v>
      </c>
      <c r="I325" s="53" t="s">
        <v>84</v>
      </c>
      <c r="J325" s="52" t="s">
        <v>99</v>
      </c>
      <c r="K325" s="53">
        <v>75</v>
      </c>
      <c r="L325" s="52">
        <v>25</v>
      </c>
      <c r="M325" s="247">
        <v>328</v>
      </c>
      <c r="N325" s="247">
        <v>172</v>
      </c>
      <c r="O325" s="88" t="s">
        <v>94</v>
      </c>
      <c r="P325" s="88" t="s">
        <v>94</v>
      </c>
      <c r="Q325" s="142">
        <v>2.5</v>
      </c>
      <c r="R325" s="142">
        <v>4.9000000000000004</v>
      </c>
      <c r="S325" s="248">
        <v>166</v>
      </c>
      <c r="T325" s="88">
        <v>166</v>
      </c>
      <c r="U325" s="249">
        <v>35</v>
      </c>
      <c r="V325" s="249">
        <v>27</v>
      </c>
      <c r="W325" s="88" t="s">
        <v>94</v>
      </c>
      <c r="X325" s="88" t="s">
        <v>94</v>
      </c>
      <c r="Y325" s="90" t="s">
        <v>94</v>
      </c>
      <c r="Z325" s="90" t="s">
        <v>94</v>
      </c>
      <c r="AA325" s="88" t="s">
        <v>94</v>
      </c>
      <c r="AB325" s="88" t="s">
        <v>94</v>
      </c>
      <c r="AC325" s="149">
        <v>4.9000000000000004</v>
      </c>
      <c r="AD325" s="316">
        <v>5.5</v>
      </c>
      <c r="AE325" s="223">
        <v>121.6</v>
      </c>
      <c r="AF325" s="223">
        <v>95.5</v>
      </c>
      <c r="AG325" s="345">
        <v>32</v>
      </c>
      <c r="AH325" s="345">
        <v>38</v>
      </c>
      <c r="AI325" s="254">
        <v>0.9</v>
      </c>
      <c r="AJ325" s="346">
        <v>1.1000000000000001</v>
      </c>
      <c r="AK325" s="269">
        <f t="shared" si="32"/>
        <v>0.20000000000000007</v>
      </c>
      <c r="AL325" s="253">
        <v>4.0999999999999996</v>
      </c>
      <c r="AM325" s="244">
        <v>3.5</v>
      </c>
      <c r="AN325" s="255">
        <v>6.4</v>
      </c>
      <c r="AO325" s="252">
        <v>6.5</v>
      </c>
      <c r="AP325" s="237">
        <v>29</v>
      </c>
      <c r="AQ325" s="237">
        <v>75</v>
      </c>
      <c r="AR325" s="253">
        <v>8.4</v>
      </c>
      <c r="AS325" s="244">
        <v>8.1</v>
      </c>
      <c r="AT325" s="253">
        <v>3.9</v>
      </c>
      <c r="AU325" s="244">
        <v>4.0999999999999996</v>
      </c>
      <c r="AV325" s="245">
        <v>84</v>
      </c>
      <c r="AW325" s="245">
        <v>70</v>
      </c>
      <c r="AX325" s="350">
        <v>139</v>
      </c>
      <c r="AY325" s="350">
        <v>132</v>
      </c>
      <c r="AZ325" s="253">
        <v>2</v>
      </c>
      <c r="BA325" s="244">
        <v>2.1</v>
      </c>
      <c r="BB325" s="350">
        <v>83</v>
      </c>
      <c r="BC325" s="350">
        <v>81</v>
      </c>
      <c r="BD325" s="238">
        <f t="shared" si="33"/>
        <v>290.49400000000003</v>
      </c>
      <c r="BE325" s="238">
        <f t="shared" si="34"/>
        <v>277.95155555555556</v>
      </c>
      <c r="BF325" s="244">
        <v>4.8</v>
      </c>
      <c r="BG325" s="244" t="s">
        <v>94</v>
      </c>
      <c r="BH325" s="245">
        <v>14.5</v>
      </c>
      <c r="BI325" s="244" t="s">
        <v>94</v>
      </c>
      <c r="BJ325" s="244">
        <v>41</v>
      </c>
      <c r="BK325" s="244" t="s">
        <v>94</v>
      </c>
      <c r="BL325" s="245">
        <v>85.4</v>
      </c>
      <c r="BM325" s="244" t="s">
        <v>94</v>
      </c>
      <c r="BN325" s="244">
        <v>30.2</v>
      </c>
      <c r="BO325" s="244" t="s">
        <v>94</v>
      </c>
      <c r="BP325" s="245">
        <v>35.4</v>
      </c>
      <c r="BQ325" s="244" t="s">
        <v>94</v>
      </c>
      <c r="BR325" s="244">
        <v>168</v>
      </c>
      <c r="BS325" s="244" t="s">
        <v>94</v>
      </c>
      <c r="BT325" s="245">
        <v>13.2</v>
      </c>
      <c r="BU325" s="244" t="s">
        <v>94</v>
      </c>
      <c r="BV325" s="244" t="s">
        <v>94</v>
      </c>
      <c r="BW325" s="244" t="s">
        <v>94</v>
      </c>
      <c r="BX325" s="245">
        <v>6.69</v>
      </c>
      <c r="BY325" s="244" t="s">
        <v>94</v>
      </c>
      <c r="BZ325" s="244">
        <v>67.5</v>
      </c>
      <c r="CA325" s="244" t="s">
        <v>94</v>
      </c>
      <c r="CB325" s="252">
        <v>19.7</v>
      </c>
      <c r="CC325" s="244" t="s">
        <v>94</v>
      </c>
      <c r="CD325" s="244">
        <v>7.3</v>
      </c>
      <c r="CE325" s="244" t="s">
        <v>94</v>
      </c>
      <c r="CF325" s="252">
        <v>5.4</v>
      </c>
      <c r="CG325" s="244" t="s">
        <v>94</v>
      </c>
      <c r="CH325" s="244">
        <v>0.1</v>
      </c>
      <c r="CI325" s="244" t="s">
        <v>94</v>
      </c>
      <c r="CJ325" s="240" t="b">
        <f t="shared" si="35"/>
        <v>0</v>
      </c>
      <c r="CK325" s="241" t="b">
        <f t="shared" si="36"/>
        <v>0</v>
      </c>
      <c r="CL325" s="242">
        <f t="shared" si="31"/>
        <v>66.786999999999992</v>
      </c>
      <c r="CM325" s="238">
        <v>71.05</v>
      </c>
      <c r="CN325" s="242">
        <v>172.4</v>
      </c>
      <c r="CO325" s="240">
        <v>56.66</v>
      </c>
      <c r="CP325" s="242">
        <v>58</v>
      </c>
      <c r="CQ325" s="242">
        <v>44</v>
      </c>
      <c r="CR325" s="238">
        <v>6</v>
      </c>
    </row>
    <row r="326" spans="1:96" ht="15.75" customHeight="1">
      <c r="A326" s="150">
        <v>2022</v>
      </c>
      <c r="B326" s="150" t="s">
        <v>183</v>
      </c>
      <c r="C326" s="151">
        <v>3260</v>
      </c>
      <c r="D326" s="61">
        <v>25</v>
      </c>
      <c r="E326" s="61">
        <v>0</v>
      </c>
      <c r="F326" s="80">
        <v>0</v>
      </c>
      <c r="G326" s="51" t="s">
        <v>86</v>
      </c>
      <c r="H326" s="52" t="s">
        <v>83</v>
      </c>
      <c r="I326" s="53" t="s">
        <v>84</v>
      </c>
      <c r="J326" s="52" t="s">
        <v>97</v>
      </c>
      <c r="K326" s="53">
        <v>75</v>
      </c>
      <c r="L326" s="52">
        <v>25</v>
      </c>
      <c r="M326" s="247">
        <v>246</v>
      </c>
      <c r="N326" s="152" t="s">
        <v>94</v>
      </c>
      <c r="O326" s="88" t="s">
        <v>94</v>
      </c>
      <c r="P326" s="88" t="s">
        <v>94</v>
      </c>
      <c r="Q326" s="142">
        <v>2.9</v>
      </c>
      <c r="R326" s="142" t="s">
        <v>94</v>
      </c>
      <c r="S326" s="248">
        <v>410</v>
      </c>
      <c r="T326" s="80" t="s">
        <v>94</v>
      </c>
      <c r="U326" s="249">
        <v>32</v>
      </c>
      <c r="V326" s="155" t="s">
        <v>94</v>
      </c>
      <c r="W326" s="88" t="s">
        <v>94</v>
      </c>
      <c r="X326" s="88" t="s">
        <v>94</v>
      </c>
      <c r="Y326" s="90" t="s">
        <v>94</v>
      </c>
      <c r="Z326" s="90" t="s">
        <v>94</v>
      </c>
      <c r="AA326" s="88" t="s">
        <v>94</v>
      </c>
      <c r="AB326" s="88" t="s">
        <v>94</v>
      </c>
      <c r="AC326" s="149">
        <v>4.8</v>
      </c>
      <c r="AD326" s="317" t="s">
        <v>94</v>
      </c>
      <c r="AE326" s="223">
        <v>107.1</v>
      </c>
      <c r="AF326" s="223">
        <v>0</v>
      </c>
      <c r="AG326" s="345">
        <v>41</v>
      </c>
      <c r="AH326" s="239" t="s">
        <v>94</v>
      </c>
      <c r="AI326" s="254">
        <v>1</v>
      </c>
      <c r="AJ326" s="236" t="s">
        <v>94</v>
      </c>
      <c r="AK326" s="269" t="str">
        <f t="shared" si="32"/>
        <v>Dados Insuficientes</v>
      </c>
      <c r="AL326" s="253">
        <v>4.5</v>
      </c>
      <c r="AM326" s="239" t="s">
        <v>94</v>
      </c>
      <c r="AN326" s="144">
        <v>7</v>
      </c>
      <c r="AO326" s="237" t="s">
        <v>94</v>
      </c>
      <c r="AP326" s="80">
        <v>53</v>
      </c>
      <c r="AQ326" s="237" t="s">
        <v>94</v>
      </c>
      <c r="AR326" s="253">
        <v>8.9</v>
      </c>
      <c r="AS326" s="239" t="s">
        <v>94</v>
      </c>
      <c r="AT326" s="253">
        <v>3.8</v>
      </c>
      <c r="AU326" s="239" t="s">
        <v>94</v>
      </c>
      <c r="AV326" s="88">
        <v>61</v>
      </c>
      <c r="AW326" s="243" t="s">
        <v>94</v>
      </c>
      <c r="AX326" s="248">
        <v>140</v>
      </c>
      <c r="AY326" s="353" t="s">
        <v>94</v>
      </c>
      <c r="AZ326" s="149">
        <v>2</v>
      </c>
      <c r="BA326" s="239" t="s">
        <v>94</v>
      </c>
      <c r="BB326" s="248">
        <v>83</v>
      </c>
      <c r="BC326" s="353" t="s">
        <v>94</v>
      </c>
      <c r="BD326" s="238">
        <f t="shared" si="33"/>
        <v>292.19855555555557</v>
      </c>
      <c r="BE326" s="238" t="e">
        <f t="shared" si="34"/>
        <v>#VALUE!</v>
      </c>
      <c r="BF326" s="244">
        <v>5.2</v>
      </c>
      <c r="BG326" s="244" t="s">
        <v>94</v>
      </c>
      <c r="BH326" s="245">
        <v>14.3</v>
      </c>
      <c r="BI326" s="244" t="s">
        <v>94</v>
      </c>
      <c r="BJ326" s="244">
        <v>43.1</v>
      </c>
      <c r="BK326" s="244" t="s">
        <v>94</v>
      </c>
      <c r="BL326" s="245">
        <v>83.7</v>
      </c>
      <c r="BM326" s="244" t="s">
        <v>94</v>
      </c>
      <c r="BN326" s="244">
        <v>27.8</v>
      </c>
      <c r="BO326" s="244" t="s">
        <v>94</v>
      </c>
      <c r="BP326" s="245">
        <v>33.200000000000003</v>
      </c>
      <c r="BQ326" s="244" t="s">
        <v>94</v>
      </c>
      <c r="BR326" s="244">
        <v>253</v>
      </c>
      <c r="BS326" s="244" t="s">
        <v>94</v>
      </c>
      <c r="BT326" s="245">
        <v>13.8</v>
      </c>
      <c r="BU326" s="244" t="s">
        <v>94</v>
      </c>
      <c r="BV326" s="244" t="s">
        <v>94</v>
      </c>
      <c r="BW326" s="244" t="s">
        <v>94</v>
      </c>
      <c r="BX326" s="245">
        <v>4.1100000000000003</v>
      </c>
      <c r="BY326" s="244" t="s">
        <v>94</v>
      </c>
      <c r="BZ326" s="244">
        <v>56.5</v>
      </c>
      <c r="CA326" s="244" t="s">
        <v>94</v>
      </c>
      <c r="CB326" s="252">
        <v>33.1</v>
      </c>
      <c r="CC326" s="244" t="s">
        <v>94</v>
      </c>
      <c r="CD326" s="244">
        <v>7.3</v>
      </c>
      <c r="CE326" s="244" t="s">
        <v>94</v>
      </c>
      <c r="CF326" s="252">
        <v>2.9</v>
      </c>
      <c r="CG326" s="244" t="s">
        <v>94</v>
      </c>
      <c r="CH326" s="244">
        <v>0.2</v>
      </c>
      <c r="CI326" s="244" t="s">
        <v>94</v>
      </c>
      <c r="CJ326" s="240" t="e">
        <f t="shared" si="35"/>
        <v>#VALUE!</v>
      </c>
      <c r="CK326" s="241" t="b">
        <f t="shared" si="36"/>
        <v>1</v>
      </c>
      <c r="CL326" s="242">
        <f t="shared" si="31"/>
        <v>72.202060000000003</v>
      </c>
      <c r="CM326" s="238">
        <v>78.2</v>
      </c>
      <c r="CN326" s="242">
        <v>182.1</v>
      </c>
      <c r="CO326" s="240">
        <v>51.94</v>
      </c>
      <c r="CP326" s="242">
        <v>62</v>
      </c>
      <c r="CQ326" s="242">
        <v>65</v>
      </c>
      <c r="CR326" s="238">
        <v>7.67</v>
      </c>
    </row>
    <row r="327" spans="1:96" ht="15.75" customHeight="1">
      <c r="A327" s="150">
        <v>2022</v>
      </c>
      <c r="B327" s="160" t="s">
        <v>187</v>
      </c>
      <c r="C327" s="163">
        <v>3236</v>
      </c>
      <c r="D327" s="61">
        <v>27</v>
      </c>
      <c r="E327" s="61">
        <v>72</v>
      </c>
      <c r="F327" s="80">
        <v>0</v>
      </c>
      <c r="G327" s="51" t="s">
        <v>89</v>
      </c>
      <c r="H327" s="52" t="s">
        <v>83</v>
      </c>
      <c r="I327" s="53" t="s">
        <v>84</v>
      </c>
      <c r="J327" s="52" t="s">
        <v>97</v>
      </c>
      <c r="K327" s="53">
        <v>62.5</v>
      </c>
      <c r="L327" s="52">
        <v>37.5</v>
      </c>
      <c r="M327" s="247">
        <v>99</v>
      </c>
      <c r="N327" s="87">
        <v>9942</v>
      </c>
      <c r="O327" s="80" t="s">
        <v>94</v>
      </c>
      <c r="P327" s="80" t="s">
        <v>94</v>
      </c>
      <c r="Q327" s="89">
        <v>2</v>
      </c>
      <c r="R327" s="89">
        <v>1.8</v>
      </c>
      <c r="S327" s="88">
        <v>200</v>
      </c>
      <c r="T327" s="256">
        <v>692</v>
      </c>
      <c r="U327" s="249">
        <v>29</v>
      </c>
      <c r="V327" s="312">
        <v>177</v>
      </c>
      <c r="W327" s="80" t="s">
        <v>94</v>
      </c>
      <c r="X327" s="80" t="s">
        <v>94</v>
      </c>
      <c r="Y327" s="143" t="s">
        <v>94</v>
      </c>
      <c r="Z327" s="313" t="s">
        <v>94</v>
      </c>
      <c r="AA327" s="80" t="s">
        <v>94</v>
      </c>
      <c r="AB327" s="80" t="s">
        <v>94</v>
      </c>
      <c r="AC327" s="89">
        <v>4.4000000000000004</v>
      </c>
      <c r="AD327" s="257">
        <v>7.8</v>
      </c>
      <c r="AE327" s="223">
        <v>120</v>
      </c>
      <c r="AF327" s="223">
        <v>77.2</v>
      </c>
      <c r="AG327" s="345">
        <v>25</v>
      </c>
      <c r="AH327" s="244">
        <v>82</v>
      </c>
      <c r="AI327" s="254">
        <v>0.9</v>
      </c>
      <c r="AJ327" s="245">
        <v>1.3</v>
      </c>
      <c r="AK327" s="269">
        <f t="shared" si="32"/>
        <v>0.4</v>
      </c>
      <c r="AL327" s="253">
        <v>5.6</v>
      </c>
      <c r="AM327" s="244">
        <v>7.4</v>
      </c>
      <c r="AN327" s="88">
        <v>7.9</v>
      </c>
      <c r="AO327" s="245">
        <v>7.1</v>
      </c>
      <c r="AP327" s="88">
        <v>44</v>
      </c>
      <c r="AQ327" s="245">
        <v>10</v>
      </c>
      <c r="AR327" s="253">
        <v>10</v>
      </c>
      <c r="AS327" s="244">
        <v>8.3000000000000007</v>
      </c>
      <c r="AT327" s="253">
        <v>4.9000000000000004</v>
      </c>
      <c r="AU327" s="244">
        <v>4.2</v>
      </c>
      <c r="AV327" s="248">
        <v>92</v>
      </c>
      <c r="AW327" s="245">
        <v>155</v>
      </c>
      <c r="AX327" s="248">
        <v>142</v>
      </c>
      <c r="AY327" s="245">
        <v>123</v>
      </c>
      <c r="AZ327" s="149">
        <v>2.1</v>
      </c>
      <c r="BA327" s="244">
        <v>1.8</v>
      </c>
      <c r="BB327" s="248">
        <v>99</v>
      </c>
      <c r="BC327" s="245">
        <v>76</v>
      </c>
      <c r="BD327" s="238">
        <f t="shared" si="33"/>
        <v>297.27844444444452</v>
      </c>
      <c r="BE327" s="238">
        <f t="shared" si="34"/>
        <v>274.16144444444444</v>
      </c>
      <c r="BF327" s="244">
        <v>5.85</v>
      </c>
      <c r="BG327" s="244">
        <v>6</v>
      </c>
      <c r="BH327" s="245">
        <v>15.3</v>
      </c>
      <c r="BI327" s="245">
        <v>15.6</v>
      </c>
      <c r="BJ327" s="244">
        <v>45.9</v>
      </c>
      <c r="BK327" s="244">
        <v>48.2</v>
      </c>
      <c r="BL327" s="245">
        <v>78</v>
      </c>
      <c r="BM327" s="245">
        <v>80</v>
      </c>
      <c r="BN327" s="244">
        <v>26.1</v>
      </c>
      <c r="BO327" s="244">
        <v>26</v>
      </c>
      <c r="BP327" s="245">
        <v>33.299999999999997</v>
      </c>
      <c r="BQ327" s="245">
        <v>32.4</v>
      </c>
      <c r="BR327" s="244">
        <v>344</v>
      </c>
      <c r="BS327" s="244">
        <v>293</v>
      </c>
      <c r="BT327" s="245">
        <v>14.5</v>
      </c>
      <c r="BU327" s="245">
        <v>15.5</v>
      </c>
      <c r="BV327" s="239" t="s">
        <v>94</v>
      </c>
      <c r="BW327" s="239" t="s">
        <v>94</v>
      </c>
      <c r="BX327" s="245">
        <v>8.6999999999999993</v>
      </c>
      <c r="BY327" s="246">
        <v>14.9</v>
      </c>
      <c r="BZ327" s="244">
        <v>63.6</v>
      </c>
      <c r="CA327" s="251">
        <v>69.2</v>
      </c>
      <c r="CB327" s="252">
        <v>32.6</v>
      </c>
      <c r="CC327" s="358">
        <v>25.5</v>
      </c>
      <c r="CD327" s="244">
        <v>2.1</v>
      </c>
      <c r="CE327" s="251">
        <v>3.5</v>
      </c>
      <c r="CF327" s="252">
        <v>1.6</v>
      </c>
      <c r="CG327" s="358">
        <v>1.1000000000000001</v>
      </c>
      <c r="CH327" s="244">
        <v>0.1</v>
      </c>
      <c r="CI327" s="251">
        <v>0.7</v>
      </c>
      <c r="CJ327" s="240" t="b">
        <f t="shared" si="35"/>
        <v>1</v>
      </c>
      <c r="CK327" s="241" t="b">
        <f t="shared" si="36"/>
        <v>1</v>
      </c>
      <c r="CL327" s="242">
        <f t="shared" si="31"/>
        <v>69.121659999999991</v>
      </c>
      <c r="CM327" s="238">
        <v>77.3</v>
      </c>
      <c r="CN327" s="242">
        <v>170.3</v>
      </c>
      <c r="CO327" s="240">
        <v>49.62</v>
      </c>
      <c r="CP327" s="242">
        <v>50</v>
      </c>
      <c r="CQ327" s="242">
        <v>52</v>
      </c>
      <c r="CR327" s="238">
        <v>10.58</v>
      </c>
    </row>
    <row r="328" spans="1:96" ht="15.75" customHeight="1">
      <c r="A328" s="150">
        <v>2022</v>
      </c>
      <c r="B328" s="160" t="s">
        <v>187</v>
      </c>
      <c r="C328" s="163">
        <v>3237</v>
      </c>
      <c r="D328" s="61">
        <v>24</v>
      </c>
      <c r="E328" s="61">
        <v>77</v>
      </c>
      <c r="F328" s="80">
        <v>0</v>
      </c>
      <c r="G328" s="51" t="s">
        <v>89</v>
      </c>
      <c r="H328" s="52" t="s">
        <v>90</v>
      </c>
      <c r="I328" s="53" t="s">
        <v>87</v>
      </c>
      <c r="J328" s="52" t="s">
        <v>98</v>
      </c>
      <c r="K328" s="53">
        <v>12.5</v>
      </c>
      <c r="L328" s="52">
        <v>87.5</v>
      </c>
      <c r="M328" s="247">
        <v>64</v>
      </c>
      <c r="N328" s="87">
        <v>6329</v>
      </c>
      <c r="O328" s="80" t="s">
        <v>94</v>
      </c>
      <c r="P328" s="80" t="s">
        <v>94</v>
      </c>
      <c r="Q328" s="89">
        <v>2.1</v>
      </c>
      <c r="R328" s="89">
        <v>2.2999999999999998</v>
      </c>
      <c r="S328" s="88">
        <v>166</v>
      </c>
      <c r="T328" s="256">
        <v>657</v>
      </c>
      <c r="U328" s="249">
        <v>21</v>
      </c>
      <c r="V328" s="312">
        <v>93</v>
      </c>
      <c r="W328" s="80" t="s">
        <v>94</v>
      </c>
      <c r="X328" s="80" t="s">
        <v>94</v>
      </c>
      <c r="Y328" s="143" t="s">
        <v>94</v>
      </c>
      <c r="Z328" s="313" t="s">
        <v>94</v>
      </c>
      <c r="AA328" s="80" t="s">
        <v>94</v>
      </c>
      <c r="AB328" s="80" t="s">
        <v>94</v>
      </c>
      <c r="AC328" s="89">
        <v>4.3</v>
      </c>
      <c r="AD328" s="257">
        <v>6.3</v>
      </c>
      <c r="AE328" s="223">
        <v>122.3</v>
      </c>
      <c r="AF328" s="223">
        <v>132</v>
      </c>
      <c r="AG328" s="345">
        <v>37</v>
      </c>
      <c r="AH328" s="244">
        <v>44</v>
      </c>
      <c r="AI328" s="254">
        <v>0.9</v>
      </c>
      <c r="AJ328" s="245">
        <v>0.7</v>
      </c>
      <c r="AK328" s="269">
        <f t="shared" si="32"/>
        <v>0</v>
      </c>
      <c r="AL328" s="253">
        <v>4.2</v>
      </c>
      <c r="AM328" s="244">
        <v>4.3</v>
      </c>
      <c r="AN328" s="88">
        <v>7.5</v>
      </c>
      <c r="AO328" s="245">
        <v>5.0999999999999996</v>
      </c>
      <c r="AP328" s="88">
        <v>10</v>
      </c>
      <c r="AQ328" s="245">
        <v>46</v>
      </c>
      <c r="AR328" s="253">
        <v>9.1</v>
      </c>
      <c r="AS328" s="244">
        <v>6.1</v>
      </c>
      <c r="AT328" s="253">
        <v>4.3</v>
      </c>
      <c r="AU328" s="244">
        <v>3.2</v>
      </c>
      <c r="AV328" s="248">
        <v>95</v>
      </c>
      <c r="AW328" s="245">
        <v>62</v>
      </c>
      <c r="AX328" s="248">
        <v>144</v>
      </c>
      <c r="AY328" s="245">
        <v>97</v>
      </c>
      <c r="AZ328" s="149">
        <v>2.1</v>
      </c>
      <c r="BA328" s="244">
        <v>1.6</v>
      </c>
      <c r="BB328" s="248">
        <v>100</v>
      </c>
      <c r="BC328" s="245">
        <v>68</v>
      </c>
      <c r="BD328" s="238">
        <f t="shared" si="33"/>
        <v>302.07411111111116</v>
      </c>
      <c r="BE328" s="238">
        <f t="shared" si="34"/>
        <v>211.66644444444447</v>
      </c>
      <c r="BF328" s="244">
        <v>4.63</v>
      </c>
      <c r="BG328" s="244">
        <v>4.1500000000000004</v>
      </c>
      <c r="BH328" s="245">
        <v>14.4</v>
      </c>
      <c r="BI328" s="245">
        <v>14.2</v>
      </c>
      <c r="BJ328" s="244">
        <v>43.2</v>
      </c>
      <c r="BK328" s="244">
        <v>30.1</v>
      </c>
      <c r="BL328" s="245">
        <v>93</v>
      </c>
      <c r="BM328" s="245">
        <v>73</v>
      </c>
      <c r="BN328" s="244">
        <v>31.1</v>
      </c>
      <c r="BO328" s="244">
        <v>34.299999999999997</v>
      </c>
      <c r="BP328" s="245">
        <v>33.299999999999997</v>
      </c>
      <c r="BQ328" s="245">
        <v>47.3</v>
      </c>
      <c r="BR328" s="244">
        <v>252</v>
      </c>
      <c r="BS328" s="244">
        <v>305</v>
      </c>
      <c r="BT328" s="245">
        <v>13.7</v>
      </c>
      <c r="BU328" s="245">
        <v>28</v>
      </c>
      <c r="BV328" s="239" t="s">
        <v>94</v>
      </c>
      <c r="BW328" s="239" t="s">
        <v>94</v>
      </c>
      <c r="BX328" s="245">
        <v>7.5</v>
      </c>
      <c r="BY328" s="246">
        <v>7.3</v>
      </c>
      <c r="BZ328" s="244">
        <v>63.2</v>
      </c>
      <c r="CA328" s="251">
        <v>54</v>
      </c>
      <c r="CB328" s="252">
        <v>29.3</v>
      </c>
      <c r="CC328" s="358">
        <v>37.299999999999997</v>
      </c>
      <c r="CD328" s="244">
        <v>5.2</v>
      </c>
      <c r="CE328" s="251">
        <v>3.8</v>
      </c>
      <c r="CF328" s="252">
        <v>2.2000000000000002</v>
      </c>
      <c r="CG328" s="358">
        <v>4.2</v>
      </c>
      <c r="CH328" s="244">
        <v>0.1</v>
      </c>
      <c r="CI328" s="251">
        <v>0.7</v>
      </c>
      <c r="CJ328" s="240" t="b">
        <f t="shared" si="35"/>
        <v>0</v>
      </c>
      <c r="CK328" s="241" t="b">
        <f t="shared" si="36"/>
        <v>1</v>
      </c>
      <c r="CL328" s="242">
        <f t="shared" si="31"/>
        <v>70.724639999999994</v>
      </c>
      <c r="CM328" s="238">
        <v>77.599999999999994</v>
      </c>
      <c r="CN328" s="242">
        <v>178</v>
      </c>
      <c r="CO328" s="240">
        <v>53.68</v>
      </c>
      <c r="CP328" s="242">
        <v>51</v>
      </c>
      <c r="CQ328" s="242">
        <v>51</v>
      </c>
      <c r="CR328" s="238">
        <v>8.86</v>
      </c>
    </row>
    <row r="329" spans="1:96" ht="15.75" customHeight="1">
      <c r="A329" s="150">
        <v>2022</v>
      </c>
      <c r="B329" s="160" t="s">
        <v>187</v>
      </c>
      <c r="C329" s="163">
        <v>3238</v>
      </c>
      <c r="D329" s="61">
        <v>24</v>
      </c>
      <c r="E329" s="61">
        <v>72</v>
      </c>
      <c r="F329" s="80">
        <v>0</v>
      </c>
      <c r="G329" s="51" t="s">
        <v>82</v>
      </c>
      <c r="H329" s="52" t="s">
        <v>92</v>
      </c>
      <c r="I329" s="53" t="s">
        <v>87</v>
      </c>
      <c r="J329" s="52" t="s">
        <v>98</v>
      </c>
      <c r="K329" s="53">
        <v>25</v>
      </c>
      <c r="L329" s="52">
        <v>75</v>
      </c>
      <c r="M329" s="247">
        <v>66</v>
      </c>
      <c r="N329" s="87">
        <v>3505</v>
      </c>
      <c r="O329" s="80" t="s">
        <v>94</v>
      </c>
      <c r="P329" s="80" t="s">
        <v>94</v>
      </c>
      <c r="Q329" s="89">
        <v>3.5</v>
      </c>
      <c r="R329" s="89">
        <v>2.1</v>
      </c>
      <c r="S329" s="88">
        <v>176</v>
      </c>
      <c r="T329" s="256">
        <v>456</v>
      </c>
      <c r="U329" s="249">
        <v>22</v>
      </c>
      <c r="V329" s="312">
        <v>60</v>
      </c>
      <c r="W329" s="80" t="s">
        <v>94</v>
      </c>
      <c r="X329" s="80" t="s">
        <v>94</v>
      </c>
      <c r="Y329" s="143" t="s">
        <v>94</v>
      </c>
      <c r="Z329" s="313" t="s">
        <v>94</v>
      </c>
      <c r="AA329" s="80" t="s">
        <v>94</v>
      </c>
      <c r="AB329" s="80" t="s">
        <v>94</v>
      </c>
      <c r="AC329" s="89">
        <v>4.5</v>
      </c>
      <c r="AD329" s="257">
        <v>7.7</v>
      </c>
      <c r="AE329" s="223">
        <v>107.8</v>
      </c>
      <c r="AF329" s="223">
        <v>96.1</v>
      </c>
      <c r="AG329" s="345">
        <v>34</v>
      </c>
      <c r="AH329" s="244">
        <v>61</v>
      </c>
      <c r="AI329" s="254">
        <v>1</v>
      </c>
      <c r="AJ329" s="245">
        <v>1.1000000000000001</v>
      </c>
      <c r="AK329" s="269">
        <f t="shared" si="32"/>
        <v>0.10000000000000009</v>
      </c>
      <c r="AL329" s="253">
        <v>5</v>
      </c>
      <c r="AM329" s="244">
        <v>6.8</v>
      </c>
      <c r="AN329" s="88">
        <v>8.1999999999999993</v>
      </c>
      <c r="AO329" s="245">
        <v>8.3000000000000007</v>
      </c>
      <c r="AP329" s="88">
        <v>35</v>
      </c>
      <c r="AQ329" s="246">
        <v>21</v>
      </c>
      <c r="AR329" s="253">
        <v>9.8000000000000007</v>
      </c>
      <c r="AS329" s="244">
        <v>9.1999999999999993</v>
      </c>
      <c r="AT329" s="253">
        <v>4.3</v>
      </c>
      <c r="AU329" s="244">
        <v>4.8</v>
      </c>
      <c r="AV329" s="248">
        <v>88</v>
      </c>
      <c r="AW329" s="245">
        <v>95</v>
      </c>
      <c r="AX329" s="248">
        <v>143</v>
      </c>
      <c r="AY329" s="245">
        <v>131</v>
      </c>
      <c r="AZ329" s="149">
        <v>1.9</v>
      </c>
      <c r="BA329" s="244">
        <v>2.2999999999999998</v>
      </c>
      <c r="BB329" s="248">
        <v>97</v>
      </c>
      <c r="BC329" s="245">
        <v>78</v>
      </c>
      <c r="BD329" s="238">
        <f t="shared" si="33"/>
        <v>299.2668888888889</v>
      </c>
      <c r="BE329" s="238">
        <f t="shared" si="34"/>
        <v>282.82411111111116</v>
      </c>
      <c r="BF329" s="244">
        <v>5.75</v>
      </c>
      <c r="BG329" s="244">
        <v>6.06</v>
      </c>
      <c r="BH329" s="245">
        <v>15.8</v>
      </c>
      <c r="BI329" s="245">
        <v>16.600000000000001</v>
      </c>
      <c r="BJ329" s="244">
        <v>47.2</v>
      </c>
      <c r="BK329" s="244">
        <v>51.4</v>
      </c>
      <c r="BL329" s="245">
        <v>82</v>
      </c>
      <c r="BM329" s="245">
        <v>85</v>
      </c>
      <c r="BN329" s="244">
        <v>27.5</v>
      </c>
      <c r="BO329" s="244">
        <v>27.4</v>
      </c>
      <c r="BP329" s="245">
        <v>33.5</v>
      </c>
      <c r="BQ329" s="245">
        <v>32.299999999999997</v>
      </c>
      <c r="BR329" s="244">
        <v>345</v>
      </c>
      <c r="BS329" s="244">
        <v>273</v>
      </c>
      <c r="BT329" s="245">
        <v>15</v>
      </c>
      <c r="BU329" s="245">
        <v>14</v>
      </c>
      <c r="BV329" s="239" t="s">
        <v>94</v>
      </c>
      <c r="BW329" s="239" t="s">
        <v>94</v>
      </c>
      <c r="BX329" s="245">
        <v>9.5</v>
      </c>
      <c r="BY329" s="246">
        <v>9.1999999999999993</v>
      </c>
      <c r="BZ329" s="244">
        <v>66.3</v>
      </c>
      <c r="CA329" s="251">
        <v>51.9</v>
      </c>
      <c r="CB329" s="252">
        <v>28.6</v>
      </c>
      <c r="CC329" s="251">
        <v>43.1</v>
      </c>
      <c r="CD329" s="244">
        <v>2.9</v>
      </c>
      <c r="CE329" s="251">
        <v>3.3</v>
      </c>
      <c r="CF329" s="252">
        <v>2.1</v>
      </c>
      <c r="CG329" s="251">
        <v>1.1000000000000001</v>
      </c>
      <c r="CH329" s="244">
        <v>0.1</v>
      </c>
      <c r="CI329" s="251">
        <v>0.6</v>
      </c>
      <c r="CJ329" s="240" t="b">
        <f t="shared" si="35"/>
        <v>0</v>
      </c>
      <c r="CK329" s="241" t="b">
        <f t="shared" si="36"/>
        <v>1</v>
      </c>
      <c r="CL329" s="242">
        <f t="shared" si="31"/>
        <v>66.241470000000007</v>
      </c>
      <c r="CM329" s="238">
        <v>71.900000000000006</v>
      </c>
      <c r="CN329" s="242">
        <v>173.5</v>
      </c>
      <c r="CO329" s="240">
        <v>55.35</v>
      </c>
      <c r="CP329" s="242">
        <v>54</v>
      </c>
      <c r="CQ329" s="242">
        <v>56</v>
      </c>
      <c r="CR329" s="238">
        <v>7.87</v>
      </c>
    </row>
    <row r="330" spans="1:96" ht="15.75" customHeight="1">
      <c r="A330" s="150">
        <v>2022</v>
      </c>
      <c r="B330" s="160" t="s">
        <v>187</v>
      </c>
      <c r="C330" s="163">
        <v>3239</v>
      </c>
      <c r="D330" s="61">
        <v>24</v>
      </c>
      <c r="E330" s="61">
        <v>79.5</v>
      </c>
      <c r="F330" s="80">
        <v>0</v>
      </c>
      <c r="G330" s="51" t="s">
        <v>89</v>
      </c>
      <c r="H330" s="52" t="s">
        <v>92</v>
      </c>
      <c r="I330" s="53" t="s">
        <v>93</v>
      </c>
      <c r="J330" s="52" t="s">
        <v>99</v>
      </c>
      <c r="K330" s="53">
        <v>75</v>
      </c>
      <c r="L330" s="52">
        <v>25</v>
      </c>
      <c r="M330" s="247">
        <v>79</v>
      </c>
      <c r="N330" s="87">
        <v>8605</v>
      </c>
      <c r="O330" s="80" t="s">
        <v>94</v>
      </c>
      <c r="P330" s="80" t="s">
        <v>94</v>
      </c>
      <c r="Q330" s="89">
        <v>2.9</v>
      </c>
      <c r="R330" s="89">
        <v>3.3</v>
      </c>
      <c r="S330" s="88">
        <v>188</v>
      </c>
      <c r="T330" s="256">
        <v>643</v>
      </c>
      <c r="U330" s="249">
        <v>28</v>
      </c>
      <c r="V330" s="312">
        <v>156</v>
      </c>
      <c r="W330" s="80" t="s">
        <v>94</v>
      </c>
      <c r="X330" s="80" t="s">
        <v>94</v>
      </c>
      <c r="Y330" s="143" t="s">
        <v>94</v>
      </c>
      <c r="Z330" s="313" t="s">
        <v>94</v>
      </c>
      <c r="AA330" s="80" t="s">
        <v>94</v>
      </c>
      <c r="AB330" s="80" t="s">
        <v>94</v>
      </c>
      <c r="AC330" s="89">
        <v>5.6</v>
      </c>
      <c r="AD330" s="257">
        <v>10.1</v>
      </c>
      <c r="AE330" s="223">
        <v>126.7</v>
      </c>
      <c r="AF330" s="223">
        <v>96.1</v>
      </c>
      <c r="AG330" s="345">
        <v>32</v>
      </c>
      <c r="AH330" s="244">
        <v>57</v>
      </c>
      <c r="AI330" s="254">
        <v>0.8</v>
      </c>
      <c r="AJ330" s="245">
        <v>1.1000000000000001</v>
      </c>
      <c r="AK330" s="269">
        <f t="shared" si="32"/>
        <v>0.30000000000000004</v>
      </c>
      <c r="AL330" s="253">
        <v>4.8</v>
      </c>
      <c r="AM330" s="244">
        <v>6.7</v>
      </c>
      <c r="AN330" s="88">
        <v>8.5</v>
      </c>
      <c r="AO330" s="245">
        <v>8.9</v>
      </c>
      <c r="AP330" s="88">
        <v>33</v>
      </c>
      <c r="AQ330" s="245">
        <v>10</v>
      </c>
      <c r="AR330" s="253">
        <v>10.3</v>
      </c>
      <c r="AS330" s="244">
        <v>9.3000000000000007</v>
      </c>
      <c r="AT330" s="253">
        <v>5</v>
      </c>
      <c r="AU330" s="244">
        <v>4.4000000000000004</v>
      </c>
      <c r="AV330" s="248">
        <v>100</v>
      </c>
      <c r="AW330" s="245">
        <v>137</v>
      </c>
      <c r="AX330" s="248">
        <v>144</v>
      </c>
      <c r="AY330" s="245">
        <v>139</v>
      </c>
      <c r="AZ330" s="149">
        <v>1.7</v>
      </c>
      <c r="BA330" s="244">
        <v>2</v>
      </c>
      <c r="BB330" s="248">
        <v>97</v>
      </c>
      <c r="BC330" s="245">
        <v>82</v>
      </c>
      <c r="BD330" s="238">
        <f t="shared" si="33"/>
        <v>302.86222222222221</v>
      </c>
      <c r="BE330" s="238">
        <f t="shared" si="34"/>
        <v>298.97677777777784</v>
      </c>
      <c r="BF330" s="244">
        <v>4.78</v>
      </c>
      <c r="BG330" s="244">
        <v>4.92</v>
      </c>
      <c r="BH330" s="245">
        <v>13.8</v>
      </c>
      <c r="BI330" s="245">
        <v>14.3</v>
      </c>
      <c r="BJ330" s="244">
        <v>41.4</v>
      </c>
      <c r="BK330" s="244">
        <v>40.5</v>
      </c>
      <c r="BL330" s="245">
        <v>87</v>
      </c>
      <c r="BM330" s="245">
        <v>82</v>
      </c>
      <c r="BN330" s="244">
        <v>28.8</v>
      </c>
      <c r="BO330" s="251">
        <v>29.1</v>
      </c>
      <c r="BP330" s="245">
        <v>33.299999999999997</v>
      </c>
      <c r="BQ330" s="245">
        <v>35.299999999999997</v>
      </c>
      <c r="BR330" s="244">
        <v>286</v>
      </c>
      <c r="BS330" s="244">
        <v>358</v>
      </c>
      <c r="BT330" s="245">
        <v>13.4</v>
      </c>
      <c r="BU330" s="245">
        <v>18.3</v>
      </c>
      <c r="BV330" s="239" t="s">
        <v>94</v>
      </c>
      <c r="BW330" s="239" t="s">
        <v>94</v>
      </c>
      <c r="BX330" s="245">
        <v>7.8</v>
      </c>
      <c r="BY330" s="246">
        <v>10.7</v>
      </c>
      <c r="BZ330" s="244">
        <v>60</v>
      </c>
      <c r="CA330" s="251">
        <v>57.3</v>
      </c>
      <c r="CB330" s="252">
        <v>35.6</v>
      </c>
      <c r="CC330" s="251">
        <v>36.1</v>
      </c>
      <c r="CD330" s="244">
        <v>1.9</v>
      </c>
      <c r="CE330" s="251">
        <v>3</v>
      </c>
      <c r="CF330" s="252">
        <v>2.4</v>
      </c>
      <c r="CG330" s="251">
        <v>2.5</v>
      </c>
      <c r="CH330" s="244">
        <v>0.1</v>
      </c>
      <c r="CI330" s="251">
        <v>1.1000000000000001</v>
      </c>
      <c r="CJ330" s="240" t="b">
        <f t="shared" si="35"/>
        <v>1</v>
      </c>
      <c r="CK330" s="241" t="b">
        <f t="shared" si="36"/>
        <v>1</v>
      </c>
      <c r="CL330" s="242">
        <f t="shared" si="31"/>
        <v>77.330865000000003</v>
      </c>
      <c r="CM330" s="238">
        <v>84.45</v>
      </c>
      <c r="CN330" s="242">
        <v>187</v>
      </c>
      <c r="CO330" s="240">
        <v>0</v>
      </c>
      <c r="CP330" s="242">
        <v>48</v>
      </c>
      <c r="CQ330" s="242">
        <v>52</v>
      </c>
      <c r="CR330" s="238">
        <v>8.43</v>
      </c>
    </row>
    <row r="331" spans="1:96" ht="15.75" customHeight="1">
      <c r="A331" s="150">
        <v>2022</v>
      </c>
      <c r="B331" s="160" t="s">
        <v>187</v>
      </c>
      <c r="C331" s="163">
        <v>3240</v>
      </c>
      <c r="D331" s="61">
        <v>27</v>
      </c>
      <c r="E331" s="61">
        <v>75</v>
      </c>
      <c r="F331" s="80">
        <v>0</v>
      </c>
      <c r="G331" s="51" t="s">
        <v>86</v>
      </c>
      <c r="H331" s="52" t="s">
        <v>92</v>
      </c>
      <c r="I331" s="53" t="s">
        <v>84</v>
      </c>
      <c r="J331" s="52" t="s">
        <v>98</v>
      </c>
      <c r="K331" s="53">
        <v>62.5</v>
      </c>
      <c r="L331" s="52">
        <v>37.5</v>
      </c>
      <c r="M331" s="247">
        <v>120</v>
      </c>
      <c r="N331" s="87">
        <v>3819</v>
      </c>
      <c r="O331" s="80" t="s">
        <v>94</v>
      </c>
      <c r="P331" s="80" t="s">
        <v>94</v>
      </c>
      <c r="Q331" s="89">
        <v>1.6</v>
      </c>
      <c r="R331" s="89">
        <v>4.3</v>
      </c>
      <c r="S331" s="88">
        <v>167</v>
      </c>
      <c r="T331" s="256">
        <v>592</v>
      </c>
      <c r="U331" s="249">
        <v>29</v>
      </c>
      <c r="V331" s="312">
        <v>82</v>
      </c>
      <c r="W331" s="80" t="s">
        <v>94</v>
      </c>
      <c r="X331" s="80" t="s">
        <v>94</v>
      </c>
      <c r="Y331" s="143" t="s">
        <v>94</v>
      </c>
      <c r="Z331" s="313" t="s">
        <v>94</v>
      </c>
      <c r="AA331" s="80" t="s">
        <v>94</v>
      </c>
      <c r="AB331" s="80" t="s">
        <v>94</v>
      </c>
      <c r="AC331" s="89">
        <v>4.5999999999999996</v>
      </c>
      <c r="AD331" s="257">
        <v>6.8</v>
      </c>
      <c r="AE331" s="223">
        <v>129.5</v>
      </c>
      <c r="AF331" s="223">
        <v>129.5</v>
      </c>
      <c r="AG331" s="345">
        <v>28</v>
      </c>
      <c r="AH331" s="244">
        <v>42</v>
      </c>
      <c r="AI331" s="254">
        <v>0.7</v>
      </c>
      <c r="AJ331" s="245">
        <v>0.7</v>
      </c>
      <c r="AK331" s="269">
        <f t="shared" si="32"/>
        <v>0</v>
      </c>
      <c r="AL331" s="253">
        <v>5.0999999999999996</v>
      </c>
      <c r="AM331" s="244">
        <v>4.5</v>
      </c>
      <c r="AN331" s="88">
        <v>7.7</v>
      </c>
      <c r="AO331" s="245">
        <v>7.6</v>
      </c>
      <c r="AP331" s="88">
        <v>27</v>
      </c>
      <c r="AQ331" s="245">
        <v>50</v>
      </c>
      <c r="AR331" s="253">
        <v>9.3000000000000007</v>
      </c>
      <c r="AS331" s="244">
        <v>8.9</v>
      </c>
      <c r="AT331" s="253">
        <v>4.7</v>
      </c>
      <c r="AU331" s="244">
        <v>4.5999999999999996</v>
      </c>
      <c r="AV331" s="248">
        <v>81</v>
      </c>
      <c r="AW331" s="245">
        <v>59</v>
      </c>
      <c r="AX331" s="248">
        <v>143</v>
      </c>
      <c r="AY331" s="245">
        <v>127</v>
      </c>
      <c r="AZ331" s="149">
        <v>2.1</v>
      </c>
      <c r="BA331" s="244">
        <v>1.9</v>
      </c>
      <c r="BB331" s="248">
        <v>98</v>
      </c>
      <c r="BC331" s="245">
        <v>77</v>
      </c>
      <c r="BD331" s="238">
        <f t="shared" si="33"/>
        <v>298.56366666666668</v>
      </c>
      <c r="BE331" s="238">
        <f t="shared" si="34"/>
        <v>269.54544444444446</v>
      </c>
      <c r="BF331" s="244">
        <v>4.9800000000000004</v>
      </c>
      <c r="BG331" s="244">
        <v>5.29</v>
      </c>
      <c r="BH331" s="245">
        <v>14.9</v>
      </c>
      <c r="BI331" s="245">
        <v>15.7</v>
      </c>
      <c r="BJ331" s="244">
        <v>44.1</v>
      </c>
      <c r="BK331" s="244">
        <v>44.4</v>
      </c>
      <c r="BL331" s="245">
        <v>89</v>
      </c>
      <c r="BM331" s="245">
        <v>84</v>
      </c>
      <c r="BN331" s="244">
        <v>29.9</v>
      </c>
      <c r="BO331" s="244">
        <v>29.7</v>
      </c>
      <c r="BP331" s="245">
        <v>33.700000000000003</v>
      </c>
      <c r="BQ331" s="245">
        <v>35.4</v>
      </c>
      <c r="BR331" s="244">
        <v>351</v>
      </c>
      <c r="BS331" s="244">
        <v>340</v>
      </c>
      <c r="BT331" s="245">
        <v>14.3</v>
      </c>
      <c r="BU331" s="245">
        <v>16.600000000000001</v>
      </c>
      <c r="BV331" s="239" t="s">
        <v>94</v>
      </c>
      <c r="BW331" s="239" t="s">
        <v>94</v>
      </c>
      <c r="BX331" s="245">
        <v>9.1999999999999993</v>
      </c>
      <c r="BY331" s="246">
        <v>13.1</v>
      </c>
      <c r="BZ331" s="244">
        <v>62.1</v>
      </c>
      <c r="CA331" s="251">
        <v>67.5</v>
      </c>
      <c r="CB331" s="252">
        <v>33.4</v>
      </c>
      <c r="CC331" s="251">
        <v>27.1</v>
      </c>
      <c r="CD331" s="244">
        <v>2.1</v>
      </c>
      <c r="CE331" s="251">
        <v>13.5</v>
      </c>
      <c r="CF331" s="252">
        <v>2.2999999999999998</v>
      </c>
      <c r="CG331" s="251">
        <v>1.1000000000000001</v>
      </c>
      <c r="CH331" s="244">
        <v>0.1</v>
      </c>
      <c r="CI331" s="251">
        <v>0.8</v>
      </c>
      <c r="CJ331" s="240" t="b">
        <f t="shared" si="35"/>
        <v>0</v>
      </c>
      <c r="CK331" s="241" t="b">
        <f t="shared" si="36"/>
        <v>1</v>
      </c>
      <c r="CL331" s="242">
        <f t="shared" si="31"/>
        <v>65.118300000000005</v>
      </c>
      <c r="CM331" s="238">
        <v>76.7</v>
      </c>
      <c r="CN331" s="242">
        <v>171.5</v>
      </c>
      <c r="CO331" s="240">
        <v>47.49</v>
      </c>
      <c r="CP331" s="242">
        <v>54</v>
      </c>
      <c r="CQ331" s="242">
        <v>48</v>
      </c>
      <c r="CR331" s="238">
        <v>15.1</v>
      </c>
    </row>
    <row r="332" spans="1:96" ht="15.75" customHeight="1">
      <c r="A332" s="150">
        <v>2022</v>
      </c>
      <c r="B332" s="160" t="s">
        <v>187</v>
      </c>
      <c r="C332" s="163">
        <v>3241</v>
      </c>
      <c r="D332" s="61">
        <v>25</v>
      </c>
      <c r="E332" s="61">
        <v>91</v>
      </c>
      <c r="F332" s="80">
        <v>0</v>
      </c>
      <c r="G332" s="51" t="s">
        <v>86</v>
      </c>
      <c r="H332" s="52" t="s">
        <v>83</v>
      </c>
      <c r="I332" s="53" t="s">
        <v>84</v>
      </c>
      <c r="J332" s="52" t="s">
        <v>98</v>
      </c>
      <c r="K332" s="53">
        <v>50</v>
      </c>
      <c r="L332" s="52">
        <v>50</v>
      </c>
      <c r="M332" s="247">
        <v>126</v>
      </c>
      <c r="N332" s="87">
        <v>10002</v>
      </c>
      <c r="O332" s="80" t="s">
        <v>94</v>
      </c>
      <c r="P332" s="80" t="s">
        <v>94</v>
      </c>
      <c r="Q332" s="89">
        <v>2.2000000000000002</v>
      </c>
      <c r="R332" s="89">
        <v>6</v>
      </c>
      <c r="S332" s="88">
        <v>183</v>
      </c>
      <c r="T332" s="256">
        <v>738</v>
      </c>
      <c r="U332" s="249">
        <v>29</v>
      </c>
      <c r="V332" s="312">
        <v>140</v>
      </c>
      <c r="W332" s="80" t="s">
        <v>94</v>
      </c>
      <c r="X332" s="80" t="s">
        <v>94</v>
      </c>
      <c r="Y332" s="143" t="s">
        <v>94</v>
      </c>
      <c r="Z332" s="313" t="s">
        <v>94</v>
      </c>
      <c r="AA332" s="80" t="s">
        <v>94</v>
      </c>
      <c r="AB332" s="80" t="s">
        <v>94</v>
      </c>
      <c r="AC332" s="89">
        <v>5.4</v>
      </c>
      <c r="AD332" s="257">
        <v>12</v>
      </c>
      <c r="AE332" s="223">
        <v>121.6</v>
      </c>
      <c r="AF332" s="223">
        <v>60.9</v>
      </c>
      <c r="AG332" s="345">
        <v>30</v>
      </c>
      <c r="AH332" s="244">
        <v>71</v>
      </c>
      <c r="AI332" s="254">
        <v>0.9</v>
      </c>
      <c r="AJ332" s="245">
        <v>1.6</v>
      </c>
      <c r="AK332" s="269">
        <f t="shared" si="32"/>
        <v>0.70000000000000007</v>
      </c>
      <c r="AL332" s="253">
        <v>4.7</v>
      </c>
      <c r="AM332" s="244">
        <v>6.1</v>
      </c>
      <c r="AN332" s="88">
        <v>8.1</v>
      </c>
      <c r="AO332" s="245">
        <v>8.1999999999999993</v>
      </c>
      <c r="AP332" s="88">
        <v>42</v>
      </c>
      <c r="AQ332" s="245">
        <v>14</v>
      </c>
      <c r="AR332" s="253">
        <v>10</v>
      </c>
      <c r="AS332" s="244">
        <v>9.1</v>
      </c>
      <c r="AT332" s="253">
        <v>4.8</v>
      </c>
      <c r="AU332" s="244">
        <v>4.3</v>
      </c>
      <c r="AV332" s="248">
        <v>90</v>
      </c>
      <c r="AW332" s="245">
        <v>79</v>
      </c>
      <c r="AX332" s="248">
        <v>145</v>
      </c>
      <c r="AY332" s="245">
        <v>130</v>
      </c>
      <c r="AZ332" s="149">
        <v>1.8</v>
      </c>
      <c r="BA332" s="244">
        <v>2</v>
      </c>
      <c r="BB332" s="248">
        <v>102</v>
      </c>
      <c r="BC332" s="245">
        <v>77</v>
      </c>
      <c r="BD332" s="238">
        <f t="shared" si="33"/>
        <v>303.37800000000004</v>
      </c>
      <c r="BE332" s="238">
        <f t="shared" si="34"/>
        <v>280.67855555555559</v>
      </c>
      <c r="BF332" s="244">
        <v>5.32</v>
      </c>
      <c r="BG332" s="244">
        <v>5.82</v>
      </c>
      <c r="BH332" s="245">
        <v>14.3</v>
      </c>
      <c r="BI332" s="245">
        <v>15.9</v>
      </c>
      <c r="BJ332" s="244">
        <v>43.5</v>
      </c>
      <c r="BK332" s="244">
        <v>47.6</v>
      </c>
      <c r="BL332" s="245">
        <v>82</v>
      </c>
      <c r="BM332" s="245">
        <v>82</v>
      </c>
      <c r="BN332" s="244">
        <v>26.9</v>
      </c>
      <c r="BO332" s="244">
        <v>27.3</v>
      </c>
      <c r="BP332" s="245">
        <v>32.799999999999997</v>
      </c>
      <c r="BQ332" s="245">
        <v>33.4</v>
      </c>
      <c r="BR332" s="244">
        <v>273</v>
      </c>
      <c r="BS332" s="244">
        <v>285</v>
      </c>
      <c r="BT332" s="245">
        <v>14.2</v>
      </c>
      <c r="BU332" s="245">
        <v>13.9</v>
      </c>
      <c r="BV332" s="239" t="s">
        <v>94</v>
      </c>
      <c r="BW332" s="239" t="s">
        <v>94</v>
      </c>
      <c r="BX332" s="245">
        <v>10.1</v>
      </c>
      <c r="BY332" s="246">
        <v>11.9</v>
      </c>
      <c r="BZ332" s="244">
        <v>65.7</v>
      </c>
      <c r="CA332" s="251">
        <v>65.8</v>
      </c>
      <c r="CB332" s="252">
        <v>29.4</v>
      </c>
      <c r="CC332" s="251">
        <v>30.3</v>
      </c>
      <c r="CD332" s="244">
        <v>1.3</v>
      </c>
      <c r="CE332" s="251">
        <v>2.5</v>
      </c>
      <c r="CF332" s="252">
        <v>3.5</v>
      </c>
      <c r="CG332" s="251">
        <v>0.8</v>
      </c>
      <c r="CH332" s="244">
        <v>0.1</v>
      </c>
      <c r="CI332" s="251">
        <v>0.6</v>
      </c>
      <c r="CJ332" s="240" t="b">
        <f t="shared" si="35"/>
        <v>1</v>
      </c>
      <c r="CK332" s="241" t="b">
        <f t="shared" si="36"/>
        <v>1</v>
      </c>
      <c r="CL332" s="242">
        <f t="shared" si="31"/>
        <v>81.751800000000003</v>
      </c>
      <c r="CM332" s="238">
        <v>94</v>
      </c>
      <c r="CN332" s="242">
        <v>176.5</v>
      </c>
      <c r="CO332" s="240">
        <v>46.18</v>
      </c>
      <c r="CP332" s="242">
        <v>54</v>
      </c>
      <c r="CQ332" s="242">
        <v>60</v>
      </c>
      <c r="CR332" s="238">
        <v>13.03</v>
      </c>
    </row>
    <row r="333" spans="1:96" ht="15.75" customHeight="1">
      <c r="A333" s="150">
        <v>2022</v>
      </c>
      <c r="B333" s="160" t="s">
        <v>187</v>
      </c>
      <c r="C333" s="163">
        <v>3242</v>
      </c>
      <c r="D333" s="61">
        <v>33</v>
      </c>
      <c r="E333" s="61">
        <v>94</v>
      </c>
      <c r="F333" s="80">
        <v>0</v>
      </c>
      <c r="G333" s="51" t="s">
        <v>86</v>
      </c>
      <c r="H333" s="52" t="s">
        <v>83</v>
      </c>
      <c r="I333" s="53" t="s">
        <v>87</v>
      </c>
      <c r="J333" s="52" t="s">
        <v>99</v>
      </c>
      <c r="K333" s="53">
        <v>50</v>
      </c>
      <c r="L333" s="52">
        <v>50</v>
      </c>
      <c r="M333" s="247">
        <v>112</v>
      </c>
      <c r="N333" s="87">
        <v>6743</v>
      </c>
      <c r="O333" s="80" t="s">
        <v>94</v>
      </c>
      <c r="P333" s="80" t="s">
        <v>94</v>
      </c>
      <c r="Q333" s="89">
        <v>2.5</v>
      </c>
      <c r="R333" s="89">
        <v>2.7</v>
      </c>
      <c r="S333" s="88">
        <v>233</v>
      </c>
      <c r="T333" s="256">
        <v>585</v>
      </c>
      <c r="U333" s="249">
        <v>28</v>
      </c>
      <c r="V333" s="312">
        <v>106</v>
      </c>
      <c r="W333" s="80" t="s">
        <v>94</v>
      </c>
      <c r="X333" s="80" t="s">
        <v>94</v>
      </c>
      <c r="Y333" s="143" t="s">
        <v>94</v>
      </c>
      <c r="Z333" s="313" t="s">
        <v>94</v>
      </c>
      <c r="AA333" s="80" t="s">
        <v>94</v>
      </c>
      <c r="AB333" s="80" t="s">
        <v>94</v>
      </c>
      <c r="AC333" s="89">
        <v>6</v>
      </c>
      <c r="AD333" s="257">
        <v>8.8000000000000007</v>
      </c>
      <c r="AE333" s="223">
        <v>101.9</v>
      </c>
      <c r="AF333" s="223">
        <v>68.099999999999994</v>
      </c>
      <c r="AG333" s="345">
        <v>44</v>
      </c>
      <c r="AH333" s="244">
        <v>63</v>
      </c>
      <c r="AI333" s="254">
        <v>1</v>
      </c>
      <c r="AJ333" s="245">
        <v>1.4</v>
      </c>
      <c r="AK333" s="269">
        <f t="shared" si="32"/>
        <v>0.39999999999999991</v>
      </c>
      <c r="AL333" s="253">
        <v>4.5</v>
      </c>
      <c r="AM333" s="244">
        <v>5.4</v>
      </c>
      <c r="AN333" s="88">
        <v>8</v>
      </c>
      <c r="AO333" s="245">
        <v>7</v>
      </c>
      <c r="AP333" s="88">
        <v>60</v>
      </c>
      <c r="AQ333" s="245">
        <v>10</v>
      </c>
      <c r="AR333" s="253">
        <v>9.8000000000000007</v>
      </c>
      <c r="AS333" s="244">
        <v>8.6</v>
      </c>
      <c r="AT333" s="253">
        <v>4.8</v>
      </c>
      <c r="AU333" s="244">
        <v>4.0999999999999996</v>
      </c>
      <c r="AV333" s="248">
        <v>90</v>
      </c>
      <c r="AW333" s="245">
        <v>98</v>
      </c>
      <c r="AX333" s="248">
        <v>170</v>
      </c>
      <c r="AY333" s="245">
        <v>120</v>
      </c>
      <c r="AZ333" s="149">
        <v>1.9</v>
      </c>
      <c r="BA333" s="244">
        <v>1.7</v>
      </c>
      <c r="BB333" s="248">
        <v>103</v>
      </c>
      <c r="BC333" s="245">
        <v>76</v>
      </c>
      <c r="BD333" s="238">
        <f t="shared" si="33"/>
        <v>352.21133333333336</v>
      </c>
      <c r="BE333" s="238">
        <f t="shared" si="34"/>
        <v>261.58711111111108</v>
      </c>
      <c r="BF333" s="244">
        <v>5.39</v>
      </c>
      <c r="BG333" s="244">
        <v>5.18</v>
      </c>
      <c r="BH333" s="245">
        <v>14.2</v>
      </c>
      <c r="BI333" s="245">
        <v>14.5</v>
      </c>
      <c r="BJ333" s="244">
        <v>43.2</v>
      </c>
      <c r="BK333" s="244">
        <v>37.700000000000003</v>
      </c>
      <c r="BL333" s="245">
        <v>80</v>
      </c>
      <c r="BM333" s="245">
        <v>73</v>
      </c>
      <c r="BN333" s="244">
        <v>26.3</v>
      </c>
      <c r="BO333" s="244">
        <v>28.1</v>
      </c>
      <c r="BP333" s="245">
        <v>32.799999999999997</v>
      </c>
      <c r="BQ333" s="245">
        <v>38.6</v>
      </c>
      <c r="BR333" s="244">
        <v>352</v>
      </c>
      <c r="BS333" s="244">
        <v>341</v>
      </c>
      <c r="BT333" s="245">
        <v>14.2</v>
      </c>
      <c r="BU333" s="245">
        <v>22.9</v>
      </c>
      <c r="BV333" s="239" t="s">
        <v>94</v>
      </c>
      <c r="BW333" s="239" t="s">
        <v>94</v>
      </c>
      <c r="BX333" s="245">
        <v>10.3</v>
      </c>
      <c r="BY333" s="246">
        <v>8.4</v>
      </c>
      <c r="BZ333" s="244">
        <v>74.7</v>
      </c>
      <c r="CA333" s="251">
        <v>52.8</v>
      </c>
      <c r="CB333" s="252">
        <v>20.9</v>
      </c>
      <c r="CC333" s="251">
        <v>40</v>
      </c>
      <c r="CD333" s="244">
        <v>1.8</v>
      </c>
      <c r="CE333" s="251">
        <v>3.6</v>
      </c>
      <c r="CF333" s="252">
        <v>2.5</v>
      </c>
      <c r="CG333" s="251">
        <v>3</v>
      </c>
      <c r="CH333" s="244">
        <v>0.1</v>
      </c>
      <c r="CI333" s="251">
        <v>0.6</v>
      </c>
      <c r="CJ333" s="240" t="b">
        <f t="shared" si="35"/>
        <v>1</v>
      </c>
      <c r="CK333" s="241" t="b">
        <f t="shared" si="36"/>
        <v>1</v>
      </c>
      <c r="CL333" s="242">
        <f t="shared" si="31"/>
        <v>77.466380000000001</v>
      </c>
      <c r="CM333" s="238">
        <v>97.1</v>
      </c>
      <c r="CN333" s="242">
        <v>181</v>
      </c>
      <c r="CO333" s="240">
        <v>44.53</v>
      </c>
      <c r="CP333" s="242">
        <v>66</v>
      </c>
      <c r="CQ333" s="242">
        <v>65</v>
      </c>
      <c r="CR333" s="238">
        <v>20.22</v>
      </c>
    </row>
    <row r="334" spans="1:96" ht="15.75" customHeight="1">
      <c r="A334" s="150">
        <v>2022</v>
      </c>
      <c r="B334" s="160" t="s">
        <v>187</v>
      </c>
      <c r="C334" s="163">
        <v>3243</v>
      </c>
      <c r="D334" s="61">
        <v>35</v>
      </c>
      <c r="E334" s="61">
        <v>78</v>
      </c>
      <c r="F334" s="80">
        <v>0</v>
      </c>
      <c r="G334" s="51" t="s">
        <v>89</v>
      </c>
      <c r="H334" s="52" t="s">
        <v>83</v>
      </c>
      <c r="I334" s="53" t="s">
        <v>84</v>
      </c>
      <c r="J334" s="52" t="s">
        <v>98</v>
      </c>
      <c r="K334" s="53">
        <v>37.5</v>
      </c>
      <c r="L334" s="52">
        <v>62.5</v>
      </c>
      <c r="M334" s="247">
        <v>193</v>
      </c>
      <c r="N334" s="87">
        <v>14746</v>
      </c>
      <c r="O334" s="80" t="s">
        <v>94</v>
      </c>
      <c r="P334" s="80" t="s">
        <v>94</v>
      </c>
      <c r="Q334" s="89">
        <v>1.5</v>
      </c>
      <c r="R334" s="89">
        <v>4.7</v>
      </c>
      <c r="S334" s="88">
        <v>206</v>
      </c>
      <c r="T334" s="256">
        <v>1393</v>
      </c>
      <c r="U334" s="249">
        <v>30</v>
      </c>
      <c r="V334" s="312">
        <v>261</v>
      </c>
      <c r="W334" s="80" t="s">
        <v>94</v>
      </c>
      <c r="X334" s="80" t="s">
        <v>94</v>
      </c>
      <c r="Y334" s="143" t="s">
        <v>94</v>
      </c>
      <c r="Z334" s="313" t="s">
        <v>94</v>
      </c>
      <c r="AA334" s="80" t="s">
        <v>94</v>
      </c>
      <c r="AB334" s="80" t="s">
        <v>94</v>
      </c>
      <c r="AC334" s="89">
        <v>6.2</v>
      </c>
      <c r="AD334" s="257">
        <v>8.6</v>
      </c>
      <c r="AE334" s="223">
        <v>114.2</v>
      </c>
      <c r="AF334" s="223">
        <v>73.5</v>
      </c>
      <c r="AG334" s="345">
        <v>31</v>
      </c>
      <c r="AH334" s="244">
        <v>76</v>
      </c>
      <c r="AI334" s="254">
        <v>0.9</v>
      </c>
      <c r="AJ334" s="245">
        <v>1.3</v>
      </c>
      <c r="AK334" s="269">
        <f t="shared" si="32"/>
        <v>0.4</v>
      </c>
      <c r="AL334" s="253">
        <v>4.5</v>
      </c>
      <c r="AM334" s="244">
        <v>5.8</v>
      </c>
      <c r="AN334" s="88">
        <v>8.3000000000000007</v>
      </c>
      <c r="AO334" s="245">
        <v>8</v>
      </c>
      <c r="AP334" s="88">
        <v>33</v>
      </c>
      <c r="AQ334" s="245">
        <v>10</v>
      </c>
      <c r="AR334" s="253">
        <v>10.5</v>
      </c>
      <c r="AS334" s="244">
        <v>9</v>
      </c>
      <c r="AT334" s="253">
        <v>4.7</v>
      </c>
      <c r="AU334" s="244">
        <v>4.5</v>
      </c>
      <c r="AV334" s="248">
        <v>88</v>
      </c>
      <c r="AW334" s="245">
        <v>74</v>
      </c>
      <c r="AX334" s="248">
        <v>145</v>
      </c>
      <c r="AY334" s="245">
        <v>126</v>
      </c>
      <c r="AZ334" s="149">
        <v>1.9</v>
      </c>
      <c r="BA334" s="244">
        <v>1.8</v>
      </c>
      <c r="BB334" s="248">
        <v>100</v>
      </c>
      <c r="BC334" s="245">
        <v>76</v>
      </c>
      <c r="BD334" s="238">
        <f t="shared" si="33"/>
        <v>303.2308888888889</v>
      </c>
      <c r="BE334" s="238">
        <f t="shared" si="34"/>
        <v>274.12444444444446</v>
      </c>
      <c r="BF334" s="244">
        <v>4.8</v>
      </c>
      <c r="BG334" s="244">
        <v>5.09</v>
      </c>
      <c r="BH334" s="245">
        <v>15.5</v>
      </c>
      <c r="BI334" s="245">
        <v>17.100000000000001</v>
      </c>
      <c r="BJ334" s="244">
        <v>45.5</v>
      </c>
      <c r="BK334" s="244">
        <v>47.1</v>
      </c>
      <c r="BL334" s="245">
        <v>95</v>
      </c>
      <c r="BM334" s="245">
        <v>92</v>
      </c>
      <c r="BN334" s="244">
        <v>32.200000000000003</v>
      </c>
      <c r="BO334" s="244">
        <v>33.700000000000003</v>
      </c>
      <c r="BP334" s="245">
        <v>34</v>
      </c>
      <c r="BQ334" s="245">
        <v>36.4</v>
      </c>
      <c r="BR334" s="244">
        <v>292</v>
      </c>
      <c r="BS334" s="244">
        <v>309</v>
      </c>
      <c r="BT334" s="245">
        <v>13.5</v>
      </c>
      <c r="BU334" s="245">
        <v>20.9</v>
      </c>
      <c r="BV334" s="239" t="s">
        <v>94</v>
      </c>
      <c r="BW334" s="239" t="s">
        <v>94</v>
      </c>
      <c r="BX334" s="245">
        <v>8.1</v>
      </c>
      <c r="BY334" s="246">
        <v>12.7</v>
      </c>
      <c r="BZ334" s="244">
        <v>66.900000000000006</v>
      </c>
      <c r="CA334" s="251">
        <v>64.2</v>
      </c>
      <c r="CB334" s="252">
        <v>29.6</v>
      </c>
      <c r="CC334" s="251">
        <v>29.4</v>
      </c>
      <c r="CD334" s="244">
        <v>1.6</v>
      </c>
      <c r="CE334" s="251">
        <v>4.5</v>
      </c>
      <c r="CF334" s="252">
        <v>1.8</v>
      </c>
      <c r="CG334" s="251">
        <v>1.2</v>
      </c>
      <c r="CH334" s="244">
        <v>0.1</v>
      </c>
      <c r="CI334" s="251">
        <v>0.7</v>
      </c>
      <c r="CJ334" s="240" t="b">
        <f t="shared" si="35"/>
        <v>1</v>
      </c>
      <c r="CK334" s="241" t="b">
        <f t="shared" si="36"/>
        <v>1</v>
      </c>
      <c r="CL334" s="242">
        <f t="shared" si="31"/>
        <v>73.247245000000007</v>
      </c>
      <c r="CM334" s="238">
        <v>77.650000000000006</v>
      </c>
      <c r="CN334" s="242">
        <v>184.2</v>
      </c>
      <c r="CO334" s="240">
        <v>54.09</v>
      </c>
      <c r="CP334" s="242">
        <v>56</v>
      </c>
      <c r="CQ334" s="242">
        <v>52</v>
      </c>
      <c r="CR334" s="238">
        <v>5.67</v>
      </c>
    </row>
    <row r="335" spans="1:96" ht="15.75" customHeight="1">
      <c r="A335" s="150">
        <v>2022</v>
      </c>
      <c r="B335" s="160" t="s">
        <v>187</v>
      </c>
      <c r="C335" s="163">
        <v>3247</v>
      </c>
      <c r="D335" s="61">
        <v>35</v>
      </c>
      <c r="E335" s="61">
        <v>76</v>
      </c>
      <c r="F335" s="80">
        <v>0</v>
      </c>
      <c r="G335" s="51" t="s">
        <v>89</v>
      </c>
      <c r="H335" s="52" t="s">
        <v>90</v>
      </c>
      <c r="I335" s="53" t="s">
        <v>84</v>
      </c>
      <c r="J335" s="52" t="s">
        <v>97</v>
      </c>
      <c r="K335" s="53">
        <v>50</v>
      </c>
      <c r="L335" s="52">
        <v>50</v>
      </c>
      <c r="M335" s="247">
        <v>71</v>
      </c>
      <c r="N335" s="87">
        <v>8337</v>
      </c>
      <c r="O335" s="80" t="s">
        <v>94</v>
      </c>
      <c r="P335" s="80" t="s">
        <v>94</v>
      </c>
      <c r="Q335" s="89">
        <v>2.5</v>
      </c>
      <c r="R335" s="89">
        <v>4</v>
      </c>
      <c r="S335" s="88">
        <v>154</v>
      </c>
      <c r="T335" s="88">
        <v>951</v>
      </c>
      <c r="U335" s="249">
        <v>22</v>
      </c>
      <c r="V335" s="249">
        <v>124</v>
      </c>
      <c r="W335" s="80" t="s">
        <v>94</v>
      </c>
      <c r="X335" s="80" t="s">
        <v>94</v>
      </c>
      <c r="Y335" s="143" t="s">
        <v>94</v>
      </c>
      <c r="Z335" s="143" t="s">
        <v>94</v>
      </c>
      <c r="AA335" s="80" t="s">
        <v>94</v>
      </c>
      <c r="AB335" s="80" t="s">
        <v>94</v>
      </c>
      <c r="AC335" s="89">
        <v>4.3</v>
      </c>
      <c r="AD335" s="250">
        <v>7.9</v>
      </c>
      <c r="AE335" s="223">
        <v>114.2</v>
      </c>
      <c r="AF335" s="223">
        <v>89.8</v>
      </c>
      <c r="AG335" s="345">
        <v>37</v>
      </c>
      <c r="AH335" s="244">
        <v>45</v>
      </c>
      <c r="AI335" s="254">
        <v>0.9</v>
      </c>
      <c r="AJ335" s="245">
        <v>1.1000000000000001</v>
      </c>
      <c r="AK335" s="269">
        <f t="shared" si="32"/>
        <v>0.20000000000000007</v>
      </c>
      <c r="AL335" s="253">
        <v>4.9000000000000004</v>
      </c>
      <c r="AM335" s="244">
        <v>5.0999999999999996</v>
      </c>
      <c r="AN335" s="245">
        <v>6.9</v>
      </c>
      <c r="AO335" s="245">
        <v>7</v>
      </c>
      <c r="AP335" s="245">
        <v>65</v>
      </c>
      <c r="AQ335" s="245">
        <v>10</v>
      </c>
      <c r="AR335" s="253">
        <v>9.5</v>
      </c>
      <c r="AS335" s="244">
        <v>8.4</v>
      </c>
      <c r="AT335" s="253">
        <v>4.3</v>
      </c>
      <c r="AU335" s="244">
        <v>5</v>
      </c>
      <c r="AV335" s="350">
        <v>93</v>
      </c>
      <c r="AW335" s="245">
        <v>66</v>
      </c>
      <c r="AX335" s="350">
        <v>145</v>
      </c>
      <c r="AY335" s="245">
        <v>132</v>
      </c>
      <c r="AZ335" s="253">
        <v>1.7</v>
      </c>
      <c r="BA335" s="244">
        <v>1.9</v>
      </c>
      <c r="BB335" s="350">
        <v>100</v>
      </c>
      <c r="BC335" s="245">
        <v>79</v>
      </c>
      <c r="BD335" s="238">
        <f t="shared" si="33"/>
        <v>303.80633333333338</v>
      </c>
      <c r="BE335" s="238">
        <f t="shared" si="34"/>
        <v>280.53666666666669</v>
      </c>
      <c r="BF335" s="244">
        <v>4.96</v>
      </c>
      <c r="BG335" s="244">
        <v>5.42</v>
      </c>
      <c r="BH335" s="245">
        <v>15.3</v>
      </c>
      <c r="BI335" s="245">
        <v>17.100000000000001</v>
      </c>
      <c r="BJ335" s="244">
        <v>45.7</v>
      </c>
      <c r="BK335" s="244">
        <v>50.3</v>
      </c>
      <c r="BL335" s="245">
        <v>92</v>
      </c>
      <c r="BM335" s="245">
        <v>93</v>
      </c>
      <c r="BN335" s="244">
        <v>30.9</v>
      </c>
      <c r="BO335" s="244">
        <v>31.6</v>
      </c>
      <c r="BP335" s="245">
        <v>33.6</v>
      </c>
      <c r="BQ335" s="245">
        <v>34</v>
      </c>
      <c r="BR335" s="244">
        <v>189</v>
      </c>
      <c r="BS335" s="244">
        <v>144</v>
      </c>
      <c r="BT335" s="245">
        <v>14.8</v>
      </c>
      <c r="BU335" s="245">
        <v>15.3</v>
      </c>
      <c r="BV335" s="239" t="s">
        <v>94</v>
      </c>
      <c r="BW335" s="239" t="s">
        <v>94</v>
      </c>
      <c r="BX335" s="245">
        <v>8.8000000000000007</v>
      </c>
      <c r="BY335" s="246">
        <v>8.5</v>
      </c>
      <c r="BZ335" s="244">
        <v>68.3</v>
      </c>
      <c r="CA335" s="251">
        <v>45.9</v>
      </c>
      <c r="CB335" s="252">
        <v>25.6</v>
      </c>
      <c r="CC335" s="251">
        <v>47.1</v>
      </c>
      <c r="CD335" s="244">
        <v>4.3</v>
      </c>
      <c r="CE335" s="251">
        <v>5.8</v>
      </c>
      <c r="CF335" s="252">
        <v>1.7</v>
      </c>
      <c r="CG335" s="251">
        <v>1</v>
      </c>
      <c r="CH335" s="244">
        <v>0.1</v>
      </c>
      <c r="CI335" s="251">
        <v>0.2</v>
      </c>
      <c r="CJ335" s="240" t="b">
        <f t="shared" si="35"/>
        <v>0</v>
      </c>
      <c r="CK335" s="241" t="b">
        <f t="shared" si="36"/>
        <v>1</v>
      </c>
      <c r="CL335" s="242">
        <f t="shared" si="31"/>
        <v>65.962705</v>
      </c>
      <c r="CM335" s="238">
        <v>75.55</v>
      </c>
      <c r="CN335" s="242">
        <v>177.5</v>
      </c>
      <c r="CO335" s="240">
        <v>50.61</v>
      </c>
      <c r="CP335" s="242">
        <v>56</v>
      </c>
      <c r="CQ335" s="242">
        <v>50</v>
      </c>
      <c r="CR335" s="238">
        <v>12.69</v>
      </c>
    </row>
    <row r="336" spans="1:96" ht="15.75" customHeight="1">
      <c r="A336" s="150">
        <v>2022</v>
      </c>
      <c r="B336" s="160" t="s">
        <v>187</v>
      </c>
      <c r="C336" s="163">
        <v>3248</v>
      </c>
      <c r="D336" s="61">
        <v>31</v>
      </c>
      <c r="E336" s="61">
        <v>76</v>
      </c>
      <c r="F336" s="80">
        <v>0</v>
      </c>
      <c r="G336" s="51" t="s">
        <v>82</v>
      </c>
      <c r="H336" s="52" t="s">
        <v>83</v>
      </c>
      <c r="I336" s="53" t="s">
        <v>84</v>
      </c>
      <c r="J336" s="52" t="s">
        <v>97</v>
      </c>
      <c r="K336" s="53">
        <v>50</v>
      </c>
      <c r="L336" s="52">
        <v>50</v>
      </c>
      <c r="M336" s="247">
        <v>70</v>
      </c>
      <c r="N336" s="87">
        <v>3768</v>
      </c>
      <c r="O336" s="80" t="s">
        <v>94</v>
      </c>
      <c r="P336" s="80" t="s">
        <v>94</v>
      </c>
      <c r="Q336" s="89">
        <v>4</v>
      </c>
      <c r="R336" s="89">
        <v>2.7</v>
      </c>
      <c r="S336" s="88">
        <v>252</v>
      </c>
      <c r="T336" s="88">
        <v>631</v>
      </c>
      <c r="U336" s="249">
        <v>31</v>
      </c>
      <c r="V336" s="249">
        <v>111</v>
      </c>
      <c r="W336" s="80" t="s">
        <v>94</v>
      </c>
      <c r="X336" s="80" t="s">
        <v>94</v>
      </c>
      <c r="Y336" s="143" t="s">
        <v>94</v>
      </c>
      <c r="Z336" s="143" t="s">
        <v>94</v>
      </c>
      <c r="AA336" s="80" t="s">
        <v>94</v>
      </c>
      <c r="AB336" s="80" t="s">
        <v>94</v>
      </c>
      <c r="AC336" s="89">
        <v>5.2</v>
      </c>
      <c r="AD336" s="250">
        <v>5.7</v>
      </c>
      <c r="AE336" s="223">
        <v>121.3</v>
      </c>
      <c r="AF336" s="223">
        <v>121.3</v>
      </c>
      <c r="AG336" s="345">
        <v>39</v>
      </c>
      <c r="AH336" s="244">
        <v>39</v>
      </c>
      <c r="AI336" s="254">
        <v>0.8</v>
      </c>
      <c r="AJ336" s="245">
        <v>0.8</v>
      </c>
      <c r="AK336" s="269">
        <f t="shared" si="32"/>
        <v>0</v>
      </c>
      <c r="AL336" s="253">
        <v>4.8</v>
      </c>
      <c r="AM336" s="244">
        <v>4.4000000000000004</v>
      </c>
      <c r="AN336" s="245">
        <v>7.8</v>
      </c>
      <c r="AO336" s="245">
        <v>6.4</v>
      </c>
      <c r="AP336" s="245">
        <v>77</v>
      </c>
      <c r="AQ336" s="245">
        <v>83</v>
      </c>
      <c r="AR336" s="253">
        <v>9.1</v>
      </c>
      <c r="AS336" s="244">
        <v>7.8</v>
      </c>
      <c r="AT336" s="253">
        <v>4.7</v>
      </c>
      <c r="AU336" s="244">
        <v>4</v>
      </c>
      <c r="AV336" s="350">
        <v>77</v>
      </c>
      <c r="AW336" s="245">
        <v>79</v>
      </c>
      <c r="AX336" s="350">
        <v>144</v>
      </c>
      <c r="AY336" s="245">
        <v>116</v>
      </c>
      <c r="AZ336" s="253">
        <v>2.1</v>
      </c>
      <c r="BA336" s="244">
        <v>1.5</v>
      </c>
      <c r="BB336" s="350">
        <v>98</v>
      </c>
      <c r="BC336" s="245">
        <v>74</v>
      </c>
      <c r="BD336" s="238">
        <f t="shared" si="33"/>
        <v>302.00144444444442</v>
      </c>
      <c r="BE336" s="238">
        <f t="shared" si="34"/>
        <v>248.74722222222223</v>
      </c>
      <c r="BF336" s="244">
        <v>5.0199999999999996</v>
      </c>
      <c r="BG336" s="244">
        <v>4.32</v>
      </c>
      <c r="BH336" s="245">
        <v>15.6</v>
      </c>
      <c r="BI336" s="245">
        <v>15.4</v>
      </c>
      <c r="BJ336" s="244">
        <v>46</v>
      </c>
      <c r="BK336" s="244">
        <v>29.1</v>
      </c>
      <c r="BL336" s="245">
        <v>92</v>
      </c>
      <c r="BM336" s="245">
        <v>67</v>
      </c>
      <c r="BN336" s="244">
        <v>31</v>
      </c>
      <c r="BO336" s="244">
        <v>35.5</v>
      </c>
      <c r="BP336" s="245">
        <v>33.799999999999997</v>
      </c>
      <c r="BQ336" s="245">
        <v>52.8</v>
      </c>
      <c r="BR336" s="244">
        <v>279</v>
      </c>
      <c r="BS336" s="244">
        <v>371</v>
      </c>
      <c r="BT336" s="245">
        <v>13.7</v>
      </c>
      <c r="BU336" s="245">
        <v>34.5</v>
      </c>
      <c r="BV336" s="239" t="s">
        <v>94</v>
      </c>
      <c r="BW336" s="239" t="s">
        <v>94</v>
      </c>
      <c r="BX336" s="245">
        <v>9.8000000000000007</v>
      </c>
      <c r="BY336" s="246">
        <v>11.8</v>
      </c>
      <c r="BZ336" s="244">
        <v>71.099999999999994</v>
      </c>
      <c r="CA336" s="251">
        <v>55.8</v>
      </c>
      <c r="CB336" s="252">
        <v>25.1</v>
      </c>
      <c r="CC336" s="251">
        <v>38.5</v>
      </c>
      <c r="CD336" s="244">
        <v>1.9</v>
      </c>
      <c r="CE336" s="251">
        <v>3.5</v>
      </c>
      <c r="CF336" s="252">
        <v>1.8</v>
      </c>
      <c r="CG336" s="251">
        <v>1.3</v>
      </c>
      <c r="CH336" s="244">
        <v>0.1</v>
      </c>
      <c r="CI336" s="251">
        <v>0.9</v>
      </c>
      <c r="CJ336" s="240" t="b">
        <f t="shared" si="35"/>
        <v>0</v>
      </c>
      <c r="CK336" s="241" t="b">
        <f t="shared" si="36"/>
        <v>1</v>
      </c>
      <c r="CL336" s="242">
        <f t="shared" ref="CL336:CL363" si="37">$CM336-($CM336*(0.01*$CR336))</f>
        <v>71.403599999999997</v>
      </c>
      <c r="CM336" s="238">
        <v>78.5</v>
      </c>
      <c r="CN336" s="242">
        <v>173.5</v>
      </c>
      <c r="CO336" s="240">
        <v>51.8</v>
      </c>
      <c r="CP336" s="242">
        <v>57</v>
      </c>
      <c r="CQ336" s="242">
        <v>60</v>
      </c>
      <c r="CR336" s="238">
        <v>9.0399999999999991</v>
      </c>
    </row>
    <row r="337" spans="1:96" ht="15.75" customHeight="1">
      <c r="A337" s="150">
        <v>2022</v>
      </c>
      <c r="B337" s="160" t="s">
        <v>187</v>
      </c>
      <c r="C337" s="163">
        <v>3249</v>
      </c>
      <c r="D337" s="61">
        <v>32</v>
      </c>
      <c r="E337" s="61">
        <v>78</v>
      </c>
      <c r="F337" s="80">
        <v>0</v>
      </c>
      <c r="G337" s="51" t="s">
        <v>86</v>
      </c>
      <c r="H337" s="52" t="s">
        <v>92</v>
      </c>
      <c r="I337" s="53" t="s">
        <v>84</v>
      </c>
      <c r="J337" s="52" t="s">
        <v>97</v>
      </c>
      <c r="K337" s="53">
        <v>87.5</v>
      </c>
      <c r="L337" s="52">
        <v>12.5</v>
      </c>
      <c r="M337" s="247">
        <v>76</v>
      </c>
      <c r="N337" s="87">
        <v>8713</v>
      </c>
      <c r="O337" s="80" t="s">
        <v>94</v>
      </c>
      <c r="P337" s="80" t="s">
        <v>94</v>
      </c>
      <c r="Q337" s="89">
        <v>3.4</v>
      </c>
      <c r="R337" s="89">
        <v>2.8</v>
      </c>
      <c r="S337" s="88">
        <v>224</v>
      </c>
      <c r="T337" s="88">
        <v>1171</v>
      </c>
      <c r="U337" s="249">
        <v>26</v>
      </c>
      <c r="V337" s="249">
        <v>151</v>
      </c>
      <c r="W337" s="80" t="s">
        <v>94</v>
      </c>
      <c r="X337" s="80" t="s">
        <v>94</v>
      </c>
      <c r="Y337" s="143" t="s">
        <v>94</v>
      </c>
      <c r="Z337" s="143" t="s">
        <v>94</v>
      </c>
      <c r="AA337" s="80" t="s">
        <v>94</v>
      </c>
      <c r="AB337" s="80" t="s">
        <v>94</v>
      </c>
      <c r="AC337" s="89">
        <v>6.3</v>
      </c>
      <c r="AD337" s="250">
        <v>14.9</v>
      </c>
      <c r="AE337" s="223">
        <v>120.6</v>
      </c>
      <c r="AF337" s="223">
        <v>42.1</v>
      </c>
      <c r="AG337" s="345">
        <v>37</v>
      </c>
      <c r="AH337" s="244">
        <v>103</v>
      </c>
      <c r="AI337" s="254">
        <v>0.8</v>
      </c>
      <c r="AJ337" s="245">
        <v>2.1</v>
      </c>
      <c r="AK337" s="269">
        <f t="shared" si="32"/>
        <v>1.3</v>
      </c>
      <c r="AL337" s="253">
        <v>5.2</v>
      </c>
      <c r="AM337" s="244">
        <v>8.1999999999999993</v>
      </c>
      <c r="AN337" s="245">
        <v>7.6</v>
      </c>
      <c r="AO337" s="245">
        <v>9.3000000000000007</v>
      </c>
      <c r="AP337" s="245">
        <v>62</v>
      </c>
      <c r="AQ337" s="245">
        <v>29</v>
      </c>
      <c r="AR337" s="253">
        <v>9.3000000000000007</v>
      </c>
      <c r="AS337" s="244">
        <v>10.5</v>
      </c>
      <c r="AT337" s="253">
        <v>4.8</v>
      </c>
      <c r="AU337" s="244">
        <v>5.0999999999999996</v>
      </c>
      <c r="AV337" s="350">
        <v>76</v>
      </c>
      <c r="AW337" s="245">
        <v>96</v>
      </c>
      <c r="AX337" s="350">
        <v>140</v>
      </c>
      <c r="AY337" s="245">
        <v>149</v>
      </c>
      <c r="AZ337" s="253">
        <v>2</v>
      </c>
      <c r="BA337" s="244">
        <v>3</v>
      </c>
      <c r="BB337" s="350">
        <v>95</v>
      </c>
      <c r="BC337" s="245">
        <v>84</v>
      </c>
      <c r="BD337" s="238">
        <f t="shared" si="33"/>
        <v>294.35022222222227</v>
      </c>
      <c r="BE337" s="238">
        <f t="shared" si="34"/>
        <v>323.92599999999999</v>
      </c>
      <c r="BF337" s="244">
        <v>4.79</v>
      </c>
      <c r="BG337" s="244">
        <v>4.8600000000000003</v>
      </c>
      <c r="BH337" s="245">
        <v>14.4</v>
      </c>
      <c r="BI337" s="245">
        <v>14.9</v>
      </c>
      <c r="BJ337" s="244">
        <v>42.9</v>
      </c>
      <c r="BK337" s="244">
        <v>46.7</v>
      </c>
      <c r="BL337" s="245">
        <v>90</v>
      </c>
      <c r="BM337" s="245">
        <v>96</v>
      </c>
      <c r="BN337" s="244">
        <v>30.2</v>
      </c>
      <c r="BO337" s="244">
        <v>30.6</v>
      </c>
      <c r="BP337" s="245">
        <v>33.700000000000003</v>
      </c>
      <c r="BQ337" s="245">
        <v>31.8</v>
      </c>
      <c r="BR337" s="244">
        <v>346</v>
      </c>
      <c r="BS337" s="244">
        <v>246</v>
      </c>
      <c r="BT337" s="245">
        <v>14</v>
      </c>
      <c r="BU337" s="245">
        <v>13.8</v>
      </c>
      <c r="BV337" s="239" t="s">
        <v>94</v>
      </c>
      <c r="BW337" s="239" t="s">
        <v>94</v>
      </c>
      <c r="BX337" s="245">
        <v>10.5</v>
      </c>
      <c r="BY337" s="246">
        <v>12.5</v>
      </c>
      <c r="BZ337" s="244">
        <v>78.099999999999994</v>
      </c>
      <c r="CA337" s="251">
        <v>74.3</v>
      </c>
      <c r="CB337" s="252">
        <v>17.7</v>
      </c>
      <c r="CC337" s="251">
        <v>21.3</v>
      </c>
      <c r="CD337" s="244">
        <v>2.4</v>
      </c>
      <c r="CE337" s="251">
        <v>2.9</v>
      </c>
      <c r="CF337" s="252">
        <v>1.7</v>
      </c>
      <c r="CG337" s="251">
        <v>1.1000000000000001</v>
      </c>
      <c r="CH337" s="244">
        <v>0.1</v>
      </c>
      <c r="CI337" s="251">
        <v>0.4</v>
      </c>
      <c r="CJ337" s="240" t="b">
        <f t="shared" si="35"/>
        <v>1</v>
      </c>
      <c r="CK337" s="241" t="b">
        <f t="shared" si="36"/>
        <v>1</v>
      </c>
      <c r="CL337" s="242">
        <f t="shared" si="37"/>
        <v>71.568749999999994</v>
      </c>
      <c r="CM337" s="238">
        <v>82.5</v>
      </c>
      <c r="CN337" s="242">
        <v>174</v>
      </c>
      <c r="CO337" s="240">
        <v>50.33</v>
      </c>
      <c r="CP337" s="242">
        <v>56</v>
      </c>
      <c r="CQ337" s="242">
        <v>53</v>
      </c>
      <c r="CR337" s="238">
        <v>13.25</v>
      </c>
    </row>
    <row r="338" spans="1:96" ht="15.75" customHeight="1">
      <c r="A338" s="150">
        <v>2022</v>
      </c>
      <c r="B338" s="160" t="s">
        <v>187</v>
      </c>
      <c r="C338" s="163">
        <v>3250</v>
      </c>
      <c r="D338" s="61">
        <v>33</v>
      </c>
      <c r="E338" s="61">
        <v>68</v>
      </c>
      <c r="F338" s="80">
        <v>0</v>
      </c>
      <c r="G338" s="51" t="s">
        <v>86</v>
      </c>
      <c r="H338" s="52" t="s">
        <v>83</v>
      </c>
      <c r="I338" s="53" t="s">
        <v>84</v>
      </c>
      <c r="J338" s="52" t="s">
        <v>97</v>
      </c>
      <c r="K338" s="53">
        <v>75</v>
      </c>
      <c r="L338" s="52">
        <v>25</v>
      </c>
      <c r="M338" s="247">
        <v>99</v>
      </c>
      <c r="N338" s="87">
        <v>5093</v>
      </c>
      <c r="O338" s="80" t="s">
        <v>94</v>
      </c>
      <c r="P338" s="80" t="s">
        <v>94</v>
      </c>
      <c r="Q338" s="89">
        <v>2.5</v>
      </c>
      <c r="R338" s="89">
        <v>4.5</v>
      </c>
      <c r="S338" s="88">
        <v>191</v>
      </c>
      <c r="T338" s="88">
        <v>711</v>
      </c>
      <c r="U338" s="249">
        <v>26</v>
      </c>
      <c r="V338" s="249">
        <v>95</v>
      </c>
      <c r="W338" s="80" t="s">
        <v>94</v>
      </c>
      <c r="X338" s="80" t="s">
        <v>94</v>
      </c>
      <c r="Y338" s="143" t="s">
        <v>94</v>
      </c>
      <c r="Z338" s="143" t="s">
        <v>94</v>
      </c>
      <c r="AA338" s="80" t="s">
        <v>94</v>
      </c>
      <c r="AB338" s="80" t="s">
        <v>94</v>
      </c>
      <c r="AC338" s="89">
        <v>6.4</v>
      </c>
      <c r="AD338" s="250">
        <v>8.9</v>
      </c>
      <c r="AE338" s="223">
        <v>90.9</v>
      </c>
      <c r="AF338" s="223">
        <v>101.9</v>
      </c>
      <c r="AG338" s="345">
        <v>43</v>
      </c>
      <c r="AH338" s="244">
        <v>60</v>
      </c>
      <c r="AI338" s="254">
        <v>1.1000000000000001</v>
      </c>
      <c r="AJ338" s="245">
        <v>1</v>
      </c>
      <c r="AK338" s="269">
        <f t="shared" si="32"/>
        <v>0</v>
      </c>
      <c r="AL338" s="253">
        <v>4.5999999999999996</v>
      </c>
      <c r="AM338" s="244">
        <v>5.2</v>
      </c>
      <c r="AN338" s="245">
        <v>8.6</v>
      </c>
      <c r="AO338" s="245">
        <v>7.1</v>
      </c>
      <c r="AP338" s="245">
        <v>60</v>
      </c>
      <c r="AQ338" s="245">
        <v>15</v>
      </c>
      <c r="AR338" s="253">
        <v>10.7</v>
      </c>
      <c r="AS338" s="244">
        <v>8.9</v>
      </c>
      <c r="AT338" s="253">
        <v>4.8</v>
      </c>
      <c r="AU338" s="244">
        <v>4</v>
      </c>
      <c r="AV338" s="350">
        <v>105</v>
      </c>
      <c r="AW338" s="245">
        <v>114</v>
      </c>
      <c r="AX338" s="350">
        <v>167</v>
      </c>
      <c r="AY338" s="245">
        <v>127</v>
      </c>
      <c r="AZ338" s="253">
        <v>2.2999999999999998</v>
      </c>
      <c r="BA338" s="244">
        <v>1.9</v>
      </c>
      <c r="BB338" s="350">
        <v>91</v>
      </c>
      <c r="BC338" s="245">
        <v>78</v>
      </c>
      <c r="BD338" s="238">
        <f t="shared" si="33"/>
        <v>347.42300000000006</v>
      </c>
      <c r="BE338" s="238">
        <f t="shared" si="34"/>
        <v>274.94333333333338</v>
      </c>
      <c r="BF338" s="244">
        <v>4.59</v>
      </c>
      <c r="BG338" s="244">
        <v>4.03</v>
      </c>
      <c r="BH338" s="245">
        <v>14</v>
      </c>
      <c r="BI338" s="245">
        <v>14.4</v>
      </c>
      <c r="BJ338" s="244">
        <v>41</v>
      </c>
      <c r="BK338" s="244">
        <v>28.2</v>
      </c>
      <c r="BL338" s="245">
        <v>89</v>
      </c>
      <c r="BM338" s="245">
        <v>70</v>
      </c>
      <c r="BN338" s="244">
        <v>30.5</v>
      </c>
      <c r="BO338" s="244">
        <v>35.700000000000003</v>
      </c>
      <c r="BP338" s="245">
        <v>34.200000000000003</v>
      </c>
      <c r="BQ338" s="245">
        <v>51.1</v>
      </c>
      <c r="BR338" s="244">
        <v>311</v>
      </c>
      <c r="BS338" s="244">
        <v>343</v>
      </c>
      <c r="BT338" s="245">
        <v>14.1</v>
      </c>
      <c r="BU338" s="245">
        <v>30.6</v>
      </c>
      <c r="BV338" s="239" t="s">
        <v>94</v>
      </c>
      <c r="BW338" s="239" t="s">
        <v>94</v>
      </c>
      <c r="BX338" s="245">
        <v>6.7</v>
      </c>
      <c r="BY338" s="245" t="s">
        <v>94</v>
      </c>
      <c r="BZ338" s="244">
        <v>61.8</v>
      </c>
      <c r="CA338" s="244" t="s">
        <v>94</v>
      </c>
      <c r="CB338" s="252">
        <v>34</v>
      </c>
      <c r="CC338" s="252" t="s">
        <v>94</v>
      </c>
      <c r="CD338" s="244">
        <v>2.7</v>
      </c>
      <c r="CE338" s="244" t="s">
        <v>94</v>
      </c>
      <c r="CF338" s="252">
        <v>1.4</v>
      </c>
      <c r="CG338" s="252" t="s">
        <v>94</v>
      </c>
      <c r="CH338" s="244">
        <v>0.1</v>
      </c>
      <c r="CI338" s="244" t="s">
        <v>94</v>
      </c>
      <c r="CJ338" s="240" t="b">
        <f t="shared" si="35"/>
        <v>0</v>
      </c>
      <c r="CK338" s="241" t="b">
        <f t="shared" si="36"/>
        <v>1</v>
      </c>
      <c r="CL338" s="242">
        <f t="shared" si="37"/>
        <v>64.357799999999997</v>
      </c>
      <c r="CM338" s="238">
        <v>74</v>
      </c>
      <c r="CN338" s="242">
        <v>172</v>
      </c>
      <c r="CO338" s="240">
        <v>52.46</v>
      </c>
      <c r="CP338" s="242">
        <v>60</v>
      </c>
      <c r="CQ338" s="242">
        <v>58</v>
      </c>
      <c r="CR338" s="238">
        <v>13.03</v>
      </c>
    </row>
    <row r="339" spans="1:96" ht="15.75" customHeight="1">
      <c r="A339" s="150">
        <v>2022</v>
      </c>
      <c r="B339" s="160" t="s">
        <v>187</v>
      </c>
      <c r="C339" s="163">
        <v>3251</v>
      </c>
      <c r="D339" s="61">
        <v>31</v>
      </c>
      <c r="E339" s="61">
        <v>82</v>
      </c>
      <c r="F339" s="80">
        <v>0</v>
      </c>
      <c r="G339" s="51" t="s">
        <v>89</v>
      </c>
      <c r="H339" s="52" t="s">
        <v>83</v>
      </c>
      <c r="I339" s="53" t="s">
        <v>87</v>
      </c>
      <c r="J339" s="52" t="s">
        <v>97</v>
      </c>
      <c r="K339" s="53">
        <v>50</v>
      </c>
      <c r="L339" s="52">
        <v>50</v>
      </c>
      <c r="M339" s="247">
        <v>146</v>
      </c>
      <c r="N339" s="87">
        <v>11557</v>
      </c>
      <c r="O339" s="80" t="s">
        <v>94</v>
      </c>
      <c r="P339" s="80" t="s">
        <v>94</v>
      </c>
      <c r="Q339" s="89">
        <v>2.5</v>
      </c>
      <c r="R339" s="89">
        <v>2.2999999999999998</v>
      </c>
      <c r="S339" s="88">
        <v>177</v>
      </c>
      <c r="T339" s="88">
        <v>1417</v>
      </c>
      <c r="U339" s="249">
        <v>27</v>
      </c>
      <c r="V339" s="249">
        <v>121</v>
      </c>
      <c r="W339" s="80" t="s">
        <v>94</v>
      </c>
      <c r="X339" s="80" t="s">
        <v>94</v>
      </c>
      <c r="Y339" s="143" t="s">
        <v>94</v>
      </c>
      <c r="Z339" s="143" t="s">
        <v>94</v>
      </c>
      <c r="AA339" s="80" t="s">
        <v>94</v>
      </c>
      <c r="AB339" s="80" t="s">
        <v>94</v>
      </c>
      <c r="AC339" s="89">
        <v>4.8</v>
      </c>
      <c r="AD339" s="250">
        <v>7.8</v>
      </c>
      <c r="AE339" s="223">
        <v>117.1</v>
      </c>
      <c r="AF339" s="223">
        <v>103.2</v>
      </c>
      <c r="AG339" s="345">
        <v>31</v>
      </c>
      <c r="AH339" s="244">
        <v>43</v>
      </c>
      <c r="AI339" s="254">
        <v>0.9</v>
      </c>
      <c r="AJ339" s="245">
        <v>1</v>
      </c>
      <c r="AK339" s="269">
        <f t="shared" si="32"/>
        <v>9.9999999999999978E-2</v>
      </c>
      <c r="AL339" s="253">
        <v>4.7</v>
      </c>
      <c r="AM339" s="244">
        <v>5.0999999999999996</v>
      </c>
      <c r="AN339" s="245">
        <v>6.7</v>
      </c>
      <c r="AO339" s="245">
        <v>5.8</v>
      </c>
      <c r="AP339" s="245">
        <v>78</v>
      </c>
      <c r="AQ339" s="245">
        <v>30</v>
      </c>
      <c r="AR339" s="253">
        <v>9</v>
      </c>
      <c r="AS339" s="244">
        <v>7.6</v>
      </c>
      <c r="AT339" s="253">
        <v>4.2</v>
      </c>
      <c r="AU339" s="244">
        <v>4.3</v>
      </c>
      <c r="AV339" s="350">
        <v>97</v>
      </c>
      <c r="AW339" s="245">
        <v>90</v>
      </c>
      <c r="AX339" s="350">
        <v>139</v>
      </c>
      <c r="AY339" s="245">
        <v>114</v>
      </c>
      <c r="AZ339" s="253">
        <v>1.6</v>
      </c>
      <c r="BA339" s="244">
        <v>1.6</v>
      </c>
      <c r="BB339" s="350">
        <v>99</v>
      </c>
      <c r="BC339" s="245">
        <v>75</v>
      </c>
      <c r="BD339" s="238">
        <f t="shared" si="33"/>
        <v>291.71588888888886</v>
      </c>
      <c r="BE339" s="238">
        <f t="shared" si="34"/>
        <v>246.95466666666667</v>
      </c>
      <c r="BF339" s="244">
        <v>4.7699999999999996</v>
      </c>
      <c r="BG339" s="244">
        <v>0.35</v>
      </c>
      <c r="BH339" s="245">
        <v>14.3</v>
      </c>
      <c r="BI339" s="245">
        <v>3.2</v>
      </c>
      <c r="BJ339" s="244">
        <v>42</v>
      </c>
      <c r="BK339" s="244">
        <v>25</v>
      </c>
      <c r="BL339" s="245">
        <v>88</v>
      </c>
      <c r="BM339" s="245">
        <v>71</v>
      </c>
      <c r="BN339" s="244">
        <v>30</v>
      </c>
      <c r="BO339" s="244">
        <v>92.1</v>
      </c>
      <c r="BP339" s="245">
        <v>34.1</v>
      </c>
      <c r="BQ339" s="245">
        <v>129</v>
      </c>
      <c r="BR339" s="244">
        <v>283</v>
      </c>
      <c r="BS339" s="244">
        <v>363</v>
      </c>
      <c r="BT339" s="245">
        <v>14.1</v>
      </c>
      <c r="BU339" s="245">
        <v>32.299999999999997</v>
      </c>
      <c r="BV339" s="239" t="s">
        <v>94</v>
      </c>
      <c r="BW339" s="239" t="s">
        <v>94</v>
      </c>
      <c r="BX339" s="245">
        <v>8.6</v>
      </c>
      <c r="BY339" s="245" t="s">
        <v>94</v>
      </c>
      <c r="BZ339" s="244">
        <v>671</v>
      </c>
      <c r="CA339" s="244" t="s">
        <v>94</v>
      </c>
      <c r="CB339" s="252">
        <v>28.5</v>
      </c>
      <c r="CC339" s="252" t="s">
        <v>94</v>
      </c>
      <c r="CD339" s="244">
        <v>2.2999999999999998</v>
      </c>
      <c r="CE339" s="244" t="s">
        <v>94</v>
      </c>
      <c r="CF339" s="252">
        <v>1.9</v>
      </c>
      <c r="CG339" s="252" t="s">
        <v>94</v>
      </c>
      <c r="CH339" s="244">
        <v>0.2</v>
      </c>
      <c r="CI339" s="244" t="s">
        <v>94</v>
      </c>
      <c r="CJ339" s="240" t="b">
        <f t="shared" si="35"/>
        <v>0</v>
      </c>
      <c r="CK339" s="241" t="b">
        <f t="shared" si="36"/>
        <v>1</v>
      </c>
      <c r="CL339" s="242">
        <f t="shared" si="37"/>
        <v>75.540360000000007</v>
      </c>
      <c r="CM339" s="238">
        <v>81.2</v>
      </c>
      <c r="CN339" s="242">
        <v>174</v>
      </c>
      <c r="CO339" s="240">
        <v>49.27</v>
      </c>
      <c r="CP339" s="242">
        <v>64</v>
      </c>
      <c r="CQ339" s="242">
        <v>64</v>
      </c>
      <c r="CR339" s="238">
        <v>6.97</v>
      </c>
    </row>
    <row r="340" spans="1:96" ht="15.75" customHeight="1">
      <c r="A340" s="150">
        <v>2022</v>
      </c>
      <c r="B340" s="160" t="s">
        <v>187</v>
      </c>
      <c r="C340" s="163">
        <v>3255</v>
      </c>
      <c r="D340" s="61">
        <v>28</v>
      </c>
      <c r="E340" s="61">
        <v>77</v>
      </c>
      <c r="F340" s="80">
        <v>0</v>
      </c>
      <c r="G340" s="51" t="s">
        <v>86</v>
      </c>
      <c r="H340" s="52" t="s">
        <v>83</v>
      </c>
      <c r="I340" s="53" t="s">
        <v>84</v>
      </c>
      <c r="J340" s="52" t="s">
        <v>98</v>
      </c>
      <c r="K340" s="53">
        <v>50</v>
      </c>
      <c r="L340" s="52">
        <v>50</v>
      </c>
      <c r="M340" s="247">
        <v>76</v>
      </c>
      <c r="N340" s="87">
        <v>4629</v>
      </c>
      <c r="O340" s="80" t="s">
        <v>94</v>
      </c>
      <c r="P340" s="80" t="s">
        <v>94</v>
      </c>
      <c r="Q340" s="89">
        <v>1.4</v>
      </c>
      <c r="R340" s="89">
        <v>2.8</v>
      </c>
      <c r="S340" s="88">
        <v>166</v>
      </c>
      <c r="T340" s="88">
        <v>587</v>
      </c>
      <c r="U340" s="249">
        <v>21</v>
      </c>
      <c r="V340" s="249">
        <v>76</v>
      </c>
      <c r="W340" s="80" t="s">
        <v>94</v>
      </c>
      <c r="X340" s="80" t="s">
        <v>94</v>
      </c>
      <c r="Y340" s="143" t="s">
        <v>94</v>
      </c>
      <c r="Z340" s="143" t="s">
        <v>94</v>
      </c>
      <c r="AA340" s="80" t="s">
        <v>94</v>
      </c>
      <c r="AB340" s="80" t="s">
        <v>94</v>
      </c>
      <c r="AC340" s="89">
        <v>4.5999999999999996</v>
      </c>
      <c r="AD340" s="250">
        <v>7.6</v>
      </c>
      <c r="AE340" s="223">
        <v>119.3</v>
      </c>
      <c r="AF340" s="223">
        <v>84.5</v>
      </c>
      <c r="AG340" s="345">
        <v>33</v>
      </c>
      <c r="AH340" s="244">
        <v>56</v>
      </c>
      <c r="AI340" s="254">
        <v>0.9</v>
      </c>
      <c r="AJ340" s="245">
        <v>1.2</v>
      </c>
      <c r="AK340" s="269">
        <f t="shared" si="32"/>
        <v>0.29999999999999993</v>
      </c>
      <c r="AL340" s="253">
        <v>4.5</v>
      </c>
      <c r="AM340" s="244">
        <v>5.4</v>
      </c>
      <c r="AN340" s="245">
        <v>7.9</v>
      </c>
      <c r="AO340" s="245">
        <v>7.9</v>
      </c>
      <c r="AP340" s="245">
        <v>34</v>
      </c>
      <c r="AQ340" s="245">
        <v>86</v>
      </c>
      <c r="AR340" s="253">
        <v>9.5</v>
      </c>
      <c r="AS340" s="244">
        <v>8.6999999999999993</v>
      </c>
      <c r="AT340" s="253">
        <v>4.0999999999999996</v>
      </c>
      <c r="AU340" s="244">
        <v>3.7</v>
      </c>
      <c r="AV340" s="350">
        <v>97</v>
      </c>
      <c r="AW340" s="245">
        <v>97</v>
      </c>
      <c r="AX340" s="350">
        <v>144</v>
      </c>
      <c r="AY340" s="245">
        <v>126</v>
      </c>
      <c r="AZ340" s="253">
        <v>2</v>
      </c>
      <c r="BA340" s="244">
        <v>1.8</v>
      </c>
      <c r="BB340" s="350">
        <v>99</v>
      </c>
      <c r="BC340" s="245">
        <v>76</v>
      </c>
      <c r="BD340" s="238">
        <f t="shared" si="33"/>
        <v>301.1632222222222</v>
      </c>
      <c r="BE340" s="238">
        <f t="shared" si="34"/>
        <v>270.77255555555553</v>
      </c>
      <c r="BF340" s="244">
        <v>4.84</v>
      </c>
      <c r="BG340" s="244">
        <v>5.31</v>
      </c>
      <c r="BH340" s="245">
        <v>14.6</v>
      </c>
      <c r="BI340" s="245">
        <v>16.100000000000001</v>
      </c>
      <c r="BJ340" s="244">
        <v>44</v>
      </c>
      <c r="BK340" s="244">
        <v>47.4</v>
      </c>
      <c r="BL340" s="245">
        <v>91</v>
      </c>
      <c r="BM340" s="245">
        <v>89</v>
      </c>
      <c r="BN340" s="244">
        <v>30.1</v>
      </c>
      <c r="BO340" s="244">
        <v>30.3</v>
      </c>
      <c r="BP340" s="245">
        <v>33.200000000000003</v>
      </c>
      <c r="BQ340" s="245">
        <v>34</v>
      </c>
      <c r="BR340" s="244">
        <v>236</v>
      </c>
      <c r="BS340" s="244">
        <v>306</v>
      </c>
      <c r="BT340" s="245">
        <v>14</v>
      </c>
      <c r="BU340" s="245">
        <v>14.4</v>
      </c>
      <c r="BV340" s="239" t="s">
        <v>94</v>
      </c>
      <c r="BW340" s="239" t="s">
        <v>94</v>
      </c>
      <c r="BX340" s="245">
        <v>7.5</v>
      </c>
      <c r="BY340" s="245" t="s">
        <v>94</v>
      </c>
      <c r="BZ340" s="244">
        <v>62.8</v>
      </c>
      <c r="CA340" s="244" t="s">
        <v>94</v>
      </c>
      <c r="CB340" s="252">
        <v>35.4</v>
      </c>
      <c r="CC340" s="252" t="s">
        <v>94</v>
      </c>
      <c r="CD340" s="244">
        <v>1.4</v>
      </c>
      <c r="CE340" s="244" t="s">
        <v>94</v>
      </c>
      <c r="CF340" s="252">
        <v>0.3</v>
      </c>
      <c r="CG340" s="252" t="s">
        <v>94</v>
      </c>
      <c r="CH340" s="244">
        <v>0.1</v>
      </c>
      <c r="CI340" s="244" t="s">
        <v>94</v>
      </c>
      <c r="CJ340" s="240" t="b">
        <f t="shared" si="35"/>
        <v>1</v>
      </c>
      <c r="CK340" s="241" t="b">
        <f t="shared" si="36"/>
        <v>1</v>
      </c>
      <c r="CL340" s="242">
        <f t="shared" si="37"/>
        <v>71.013225000000006</v>
      </c>
      <c r="CM340" s="238">
        <v>80.25</v>
      </c>
      <c r="CN340" s="242">
        <v>179</v>
      </c>
      <c r="CO340" s="240">
        <v>49.57</v>
      </c>
      <c r="CP340" s="242">
        <v>57</v>
      </c>
      <c r="CQ340" s="242">
        <v>52</v>
      </c>
      <c r="CR340" s="238">
        <v>11.51</v>
      </c>
    </row>
    <row r="341" spans="1:96" ht="15.75" customHeight="1">
      <c r="A341" s="150">
        <v>2022</v>
      </c>
      <c r="B341" s="160" t="s">
        <v>187</v>
      </c>
      <c r="C341" s="163">
        <v>3256</v>
      </c>
      <c r="D341" s="61">
        <v>29</v>
      </c>
      <c r="E341" s="61">
        <v>83</v>
      </c>
      <c r="F341" s="80">
        <v>0</v>
      </c>
      <c r="G341" s="51" t="s">
        <v>89</v>
      </c>
      <c r="H341" s="52" t="s">
        <v>92</v>
      </c>
      <c r="I341" s="53" t="s">
        <v>93</v>
      </c>
      <c r="J341" s="52" t="s">
        <v>97</v>
      </c>
      <c r="K341" s="53">
        <v>87.5</v>
      </c>
      <c r="L341" s="52">
        <v>12.5</v>
      </c>
      <c r="M341" s="247">
        <v>91</v>
      </c>
      <c r="N341" s="87">
        <v>3942</v>
      </c>
      <c r="O341" s="80" t="s">
        <v>94</v>
      </c>
      <c r="P341" s="80" t="s">
        <v>94</v>
      </c>
      <c r="Q341" s="89">
        <v>4.0999999999999996</v>
      </c>
      <c r="R341" s="89">
        <v>3.3</v>
      </c>
      <c r="S341" s="88">
        <v>206</v>
      </c>
      <c r="T341" s="88">
        <v>668</v>
      </c>
      <c r="U341" s="249">
        <v>28</v>
      </c>
      <c r="V341" s="249">
        <v>77</v>
      </c>
      <c r="W341" s="80" t="s">
        <v>94</v>
      </c>
      <c r="X341" s="80" t="s">
        <v>94</v>
      </c>
      <c r="Y341" s="143" t="s">
        <v>94</v>
      </c>
      <c r="Z341" s="143" t="s">
        <v>94</v>
      </c>
      <c r="AA341" s="80" t="s">
        <v>94</v>
      </c>
      <c r="AB341" s="80" t="s">
        <v>94</v>
      </c>
      <c r="AC341" s="89">
        <v>4.7</v>
      </c>
      <c r="AD341" s="250">
        <v>6.4</v>
      </c>
      <c r="AE341" s="223">
        <v>127.9</v>
      </c>
      <c r="AF341" s="223">
        <v>122.9</v>
      </c>
      <c r="AG341" s="345">
        <v>33</v>
      </c>
      <c r="AH341" s="244">
        <v>43</v>
      </c>
      <c r="AI341" s="254">
        <v>0.7</v>
      </c>
      <c r="AJ341" s="245">
        <v>0.8</v>
      </c>
      <c r="AK341" s="269">
        <f t="shared" si="32"/>
        <v>0.10000000000000009</v>
      </c>
      <c r="AL341" s="253">
        <v>5</v>
      </c>
      <c r="AM341" s="244">
        <v>6.5</v>
      </c>
      <c r="AN341" s="245">
        <v>8.4</v>
      </c>
      <c r="AO341" s="245">
        <v>9</v>
      </c>
      <c r="AP341" s="245">
        <v>100</v>
      </c>
      <c r="AQ341" s="245">
        <v>62</v>
      </c>
      <c r="AR341" s="253">
        <v>10</v>
      </c>
      <c r="AS341" s="244">
        <v>9.1999999999999993</v>
      </c>
      <c r="AT341" s="253">
        <v>4.7</v>
      </c>
      <c r="AU341" s="244">
        <v>5.3</v>
      </c>
      <c r="AV341" s="350">
        <v>98</v>
      </c>
      <c r="AW341" s="245">
        <v>89</v>
      </c>
      <c r="AX341" s="350">
        <v>142</v>
      </c>
      <c r="AY341" s="245">
        <v>131</v>
      </c>
      <c r="AZ341" s="253">
        <v>2.1</v>
      </c>
      <c r="BA341" s="244">
        <v>1.9</v>
      </c>
      <c r="BB341" s="350">
        <v>97</v>
      </c>
      <c r="BC341" s="245">
        <v>79</v>
      </c>
      <c r="BD341" s="238">
        <f t="shared" si="33"/>
        <v>298.62311111111109</v>
      </c>
      <c r="BE341" s="238">
        <f t="shared" si="34"/>
        <v>280.37077777777785</v>
      </c>
      <c r="BF341" s="244">
        <v>5.83</v>
      </c>
      <c r="BG341" s="244">
        <v>3.74</v>
      </c>
      <c r="BH341" s="245">
        <v>15.9</v>
      </c>
      <c r="BI341" s="245">
        <v>13.7</v>
      </c>
      <c r="BJ341" s="244">
        <v>47.2</v>
      </c>
      <c r="BK341" s="244">
        <v>24.8</v>
      </c>
      <c r="BL341" s="245">
        <v>81</v>
      </c>
      <c r="BM341" s="245">
        <v>66</v>
      </c>
      <c r="BN341" s="244">
        <v>27.2</v>
      </c>
      <c r="BO341" s="244">
        <v>36.700000000000003</v>
      </c>
      <c r="BP341" s="245">
        <v>33.6</v>
      </c>
      <c r="BQ341" s="245">
        <v>55.4</v>
      </c>
      <c r="BR341" s="244">
        <v>275</v>
      </c>
      <c r="BS341" s="244">
        <v>214</v>
      </c>
      <c r="BT341" s="245">
        <v>13.8</v>
      </c>
      <c r="BU341" s="245">
        <v>32.700000000000003</v>
      </c>
      <c r="BV341" s="239" t="s">
        <v>94</v>
      </c>
      <c r="BW341" s="239" t="s">
        <v>94</v>
      </c>
      <c r="BX341" s="245">
        <v>8.3000000000000007</v>
      </c>
      <c r="BY341" s="245" t="s">
        <v>94</v>
      </c>
      <c r="BZ341" s="244">
        <v>67.900000000000006</v>
      </c>
      <c r="CA341" s="244" t="s">
        <v>94</v>
      </c>
      <c r="CB341" s="252">
        <v>26.8</v>
      </c>
      <c r="CC341" s="252" t="s">
        <v>94</v>
      </c>
      <c r="CD341" s="244">
        <v>2.7</v>
      </c>
      <c r="CE341" s="244" t="s">
        <v>94</v>
      </c>
      <c r="CF341" s="252">
        <v>2.5</v>
      </c>
      <c r="CG341" s="252" t="s">
        <v>94</v>
      </c>
      <c r="CH341" s="244">
        <v>0.1</v>
      </c>
      <c r="CI341" s="244" t="s">
        <v>94</v>
      </c>
      <c r="CJ341" s="240" t="b">
        <f t="shared" si="35"/>
        <v>0</v>
      </c>
      <c r="CK341" s="241" t="b">
        <f t="shared" si="36"/>
        <v>1</v>
      </c>
      <c r="CL341" s="242">
        <f t="shared" si="37"/>
        <v>71.552219999999991</v>
      </c>
      <c r="CM341" s="238">
        <v>83.55</v>
      </c>
      <c r="CN341" s="242">
        <v>182.6</v>
      </c>
      <c r="CO341" s="240">
        <v>51.94</v>
      </c>
      <c r="CP341" s="242">
        <v>56</v>
      </c>
      <c r="CQ341" s="242">
        <v>52</v>
      </c>
      <c r="CR341" s="238">
        <v>14.36</v>
      </c>
    </row>
    <row r="342" spans="1:96" ht="15.75" customHeight="1">
      <c r="A342" s="150">
        <v>2022</v>
      </c>
      <c r="B342" s="160" t="s">
        <v>187</v>
      </c>
      <c r="C342" s="163">
        <v>3257</v>
      </c>
      <c r="D342" s="61">
        <v>28</v>
      </c>
      <c r="E342" s="61">
        <v>92</v>
      </c>
      <c r="F342" s="80">
        <v>0</v>
      </c>
      <c r="G342" s="51" t="s">
        <v>89</v>
      </c>
      <c r="H342" s="52" t="s">
        <v>92</v>
      </c>
      <c r="I342" s="53" t="s">
        <v>87</v>
      </c>
      <c r="J342" s="52" t="s">
        <v>97</v>
      </c>
      <c r="K342" s="53">
        <v>62.5</v>
      </c>
      <c r="L342" s="52">
        <v>37.5</v>
      </c>
      <c r="M342" s="247">
        <v>109</v>
      </c>
      <c r="N342" s="87">
        <v>3279</v>
      </c>
      <c r="O342" s="80" t="s">
        <v>94</v>
      </c>
      <c r="P342" s="80" t="s">
        <v>94</v>
      </c>
      <c r="Q342" s="89">
        <v>1.6</v>
      </c>
      <c r="R342" s="89">
        <v>2.1</v>
      </c>
      <c r="S342" s="88">
        <v>198</v>
      </c>
      <c r="T342" s="88">
        <v>662</v>
      </c>
      <c r="U342" s="249">
        <v>34</v>
      </c>
      <c r="V342" s="249">
        <v>96</v>
      </c>
      <c r="W342" s="80" t="s">
        <v>94</v>
      </c>
      <c r="X342" s="80" t="s">
        <v>94</v>
      </c>
      <c r="Y342" s="143" t="s">
        <v>94</v>
      </c>
      <c r="Z342" s="143" t="s">
        <v>94</v>
      </c>
      <c r="AA342" s="80" t="s">
        <v>94</v>
      </c>
      <c r="AB342" s="80" t="s">
        <v>94</v>
      </c>
      <c r="AC342" s="89">
        <v>5.3</v>
      </c>
      <c r="AD342" s="250">
        <v>7.9</v>
      </c>
      <c r="AE342" s="223">
        <v>123.6</v>
      </c>
      <c r="AF342" s="223">
        <v>123.6</v>
      </c>
      <c r="AG342" s="345">
        <v>40</v>
      </c>
      <c r="AH342" s="244">
        <v>53</v>
      </c>
      <c r="AI342" s="254">
        <v>0.8</v>
      </c>
      <c r="AJ342" s="245">
        <v>0.8</v>
      </c>
      <c r="AK342" s="269">
        <f t="shared" si="32"/>
        <v>0</v>
      </c>
      <c r="AL342" s="253">
        <v>4.5999999999999996</v>
      </c>
      <c r="AM342" s="244">
        <v>7.4</v>
      </c>
      <c r="AN342" s="245">
        <v>7.7</v>
      </c>
      <c r="AO342" s="245">
        <v>8.6</v>
      </c>
      <c r="AP342" s="245">
        <v>38</v>
      </c>
      <c r="AQ342" s="245">
        <v>10</v>
      </c>
      <c r="AR342" s="253">
        <v>10.1</v>
      </c>
      <c r="AS342" s="244">
        <v>0.2</v>
      </c>
      <c r="AT342" s="253">
        <v>4.8</v>
      </c>
      <c r="AU342" s="244">
        <v>5</v>
      </c>
      <c r="AV342" s="350">
        <v>89</v>
      </c>
      <c r="AW342" s="245">
        <v>101</v>
      </c>
      <c r="AX342" s="350">
        <v>144</v>
      </c>
      <c r="AY342" s="245">
        <v>141</v>
      </c>
      <c r="AZ342" s="253">
        <v>1.9</v>
      </c>
      <c r="BA342" s="244">
        <v>1.9</v>
      </c>
      <c r="BB342" s="350">
        <v>101</v>
      </c>
      <c r="BC342" s="245">
        <v>82</v>
      </c>
      <c r="BD342" s="238">
        <f t="shared" si="33"/>
        <v>303.12077777777785</v>
      </c>
      <c r="BE342" s="238">
        <f t="shared" si="34"/>
        <v>300.8461111111111</v>
      </c>
      <c r="BF342" s="244">
        <v>4.7699999999999996</v>
      </c>
      <c r="BG342" s="244">
        <v>3.49</v>
      </c>
      <c r="BH342" s="245">
        <v>14.8</v>
      </c>
      <c r="BI342" s="245">
        <v>11.6</v>
      </c>
      <c r="BJ342" s="244">
        <v>44.3</v>
      </c>
      <c r="BK342" s="244">
        <v>32.4</v>
      </c>
      <c r="BL342" s="245">
        <v>93</v>
      </c>
      <c r="BM342" s="245">
        <v>93</v>
      </c>
      <c r="BN342" s="244">
        <v>31</v>
      </c>
      <c r="BO342" s="244">
        <v>33.4</v>
      </c>
      <c r="BP342" s="245">
        <v>33.4</v>
      </c>
      <c r="BQ342" s="245">
        <v>36</v>
      </c>
      <c r="BR342" s="244">
        <v>264</v>
      </c>
      <c r="BS342" s="244">
        <v>124</v>
      </c>
      <c r="BT342" s="245">
        <v>13.3</v>
      </c>
      <c r="BU342" s="245">
        <v>14.8</v>
      </c>
      <c r="BV342" s="239" t="s">
        <v>94</v>
      </c>
      <c r="BW342" s="239" t="s">
        <v>94</v>
      </c>
      <c r="BX342" s="245">
        <v>4.4000000000000004</v>
      </c>
      <c r="BY342" s="245" t="s">
        <v>94</v>
      </c>
      <c r="BZ342" s="244">
        <v>43.2</v>
      </c>
      <c r="CA342" s="244" t="s">
        <v>94</v>
      </c>
      <c r="CB342" s="252">
        <v>46.7</v>
      </c>
      <c r="CC342" s="252" t="s">
        <v>94</v>
      </c>
      <c r="CD342" s="244">
        <v>2.1</v>
      </c>
      <c r="CE342" s="244" t="s">
        <v>94</v>
      </c>
      <c r="CF342" s="252">
        <v>7.9</v>
      </c>
      <c r="CG342" s="252" t="s">
        <v>94</v>
      </c>
      <c r="CH342" s="244">
        <v>0.1</v>
      </c>
      <c r="CI342" s="244" t="s">
        <v>94</v>
      </c>
      <c r="CJ342" s="240" t="b">
        <f t="shared" si="35"/>
        <v>0</v>
      </c>
      <c r="CK342" s="241" t="b">
        <f t="shared" si="36"/>
        <v>1</v>
      </c>
      <c r="CL342" s="242">
        <f t="shared" si="37"/>
        <v>79.259819999999991</v>
      </c>
      <c r="CM342" s="238">
        <v>92.55</v>
      </c>
      <c r="CN342" s="242">
        <v>183.2</v>
      </c>
      <c r="CO342" s="240">
        <v>45.83</v>
      </c>
      <c r="CP342" s="242">
        <v>58</v>
      </c>
      <c r="CQ342" s="242">
        <v>62</v>
      </c>
      <c r="CR342" s="238">
        <v>14.36</v>
      </c>
    </row>
    <row r="343" spans="1:96" ht="15.75" customHeight="1">
      <c r="A343" s="150">
        <v>2022</v>
      </c>
      <c r="B343" s="160" t="s">
        <v>187</v>
      </c>
      <c r="C343" s="163">
        <v>3258</v>
      </c>
      <c r="D343" s="61">
        <v>26</v>
      </c>
      <c r="E343" s="61">
        <v>82</v>
      </c>
      <c r="F343" s="80">
        <v>0</v>
      </c>
      <c r="G343" s="51" t="s">
        <v>82</v>
      </c>
      <c r="H343" s="52" t="s">
        <v>83</v>
      </c>
      <c r="I343" s="53" t="s">
        <v>84</v>
      </c>
      <c r="J343" s="52" t="s">
        <v>99</v>
      </c>
      <c r="K343" s="53">
        <v>37.5</v>
      </c>
      <c r="L343" s="52">
        <v>62.5</v>
      </c>
      <c r="M343" s="247">
        <v>106</v>
      </c>
      <c r="N343" s="87">
        <v>7134</v>
      </c>
      <c r="O343" s="80" t="s">
        <v>94</v>
      </c>
      <c r="P343" s="80" t="s">
        <v>94</v>
      </c>
      <c r="Q343" s="89">
        <v>2.2999999999999998</v>
      </c>
      <c r="R343" s="89">
        <v>3.4</v>
      </c>
      <c r="S343" s="88">
        <v>194</v>
      </c>
      <c r="T343" s="88">
        <v>655</v>
      </c>
      <c r="U343" s="249">
        <v>37</v>
      </c>
      <c r="V343" s="249">
        <v>100</v>
      </c>
      <c r="W343" s="80" t="s">
        <v>94</v>
      </c>
      <c r="X343" s="80" t="s">
        <v>94</v>
      </c>
      <c r="Y343" s="143" t="s">
        <v>94</v>
      </c>
      <c r="Z343" s="143" t="s">
        <v>94</v>
      </c>
      <c r="AA343" s="80" t="s">
        <v>94</v>
      </c>
      <c r="AB343" s="80" t="s">
        <v>94</v>
      </c>
      <c r="AC343" s="89">
        <v>4.7</v>
      </c>
      <c r="AD343" s="250">
        <v>7.5</v>
      </c>
      <c r="AE343" s="223">
        <v>125.2</v>
      </c>
      <c r="AF343" s="223">
        <v>94.9</v>
      </c>
      <c r="AG343" s="345">
        <v>37</v>
      </c>
      <c r="AH343" s="244">
        <v>46</v>
      </c>
      <c r="AI343" s="254">
        <v>0.8</v>
      </c>
      <c r="AJ343" s="245">
        <v>1.1000000000000001</v>
      </c>
      <c r="AK343" s="269">
        <f t="shared" si="32"/>
        <v>0.30000000000000004</v>
      </c>
      <c r="AL343" s="253">
        <v>4.5</v>
      </c>
      <c r="AM343" s="244">
        <v>5.6</v>
      </c>
      <c r="AN343" s="245">
        <v>7.4</v>
      </c>
      <c r="AO343" s="245">
        <v>8.1999999999999993</v>
      </c>
      <c r="AP343" s="245">
        <v>49</v>
      </c>
      <c r="AQ343" s="245">
        <v>40</v>
      </c>
      <c r="AR343" s="253">
        <v>9.1999999999999993</v>
      </c>
      <c r="AS343" s="244">
        <v>9.4</v>
      </c>
      <c r="AT343" s="253">
        <v>4.0999999999999996</v>
      </c>
      <c r="AU343" s="244">
        <v>4.3</v>
      </c>
      <c r="AV343" s="350">
        <v>86</v>
      </c>
      <c r="AW343" s="245">
        <v>90</v>
      </c>
      <c r="AX343" s="350">
        <v>141</v>
      </c>
      <c r="AY343" s="245">
        <v>131</v>
      </c>
      <c r="AZ343" s="253">
        <v>1.9</v>
      </c>
      <c r="BA343" s="244">
        <v>1.8</v>
      </c>
      <c r="BB343" s="350">
        <v>99</v>
      </c>
      <c r="BC343" s="245">
        <v>79</v>
      </c>
      <c r="BD343" s="238">
        <f t="shared" si="33"/>
        <v>295.54711111111118</v>
      </c>
      <c r="BE343" s="238">
        <f t="shared" si="34"/>
        <v>279.0746666666667</v>
      </c>
      <c r="BF343" s="244">
        <v>4.93</v>
      </c>
      <c r="BG343" s="239" t="s">
        <v>94</v>
      </c>
      <c r="BH343" s="245">
        <v>15.5</v>
      </c>
      <c r="BI343" s="237" t="s">
        <v>94</v>
      </c>
      <c r="BJ343" s="244">
        <v>46.2</v>
      </c>
      <c r="BK343" s="239" t="s">
        <v>94</v>
      </c>
      <c r="BL343" s="245">
        <v>94</v>
      </c>
      <c r="BM343" s="237" t="s">
        <v>94</v>
      </c>
      <c r="BN343" s="244">
        <v>31.5</v>
      </c>
      <c r="BO343" s="239" t="s">
        <v>94</v>
      </c>
      <c r="BP343" s="245">
        <v>33.5</v>
      </c>
      <c r="BQ343" s="237" t="s">
        <v>94</v>
      </c>
      <c r="BR343" s="244">
        <v>280</v>
      </c>
      <c r="BS343" s="239" t="s">
        <v>94</v>
      </c>
      <c r="BT343" s="245">
        <v>13.5</v>
      </c>
      <c r="BU343" s="237" t="s">
        <v>94</v>
      </c>
      <c r="BV343" s="239" t="s">
        <v>94</v>
      </c>
      <c r="BW343" s="239" t="s">
        <v>94</v>
      </c>
      <c r="BX343" s="245">
        <v>10.199999999999999</v>
      </c>
      <c r="BY343" s="245" t="s">
        <v>94</v>
      </c>
      <c r="BZ343" s="244">
        <v>61.9</v>
      </c>
      <c r="CA343" s="244" t="s">
        <v>94</v>
      </c>
      <c r="CB343" s="252">
        <v>32.6</v>
      </c>
      <c r="CC343" s="252" t="s">
        <v>94</v>
      </c>
      <c r="CD343" s="244">
        <v>2.4</v>
      </c>
      <c r="CE343" s="244" t="s">
        <v>94</v>
      </c>
      <c r="CF343" s="252">
        <v>3</v>
      </c>
      <c r="CG343" s="252" t="s">
        <v>94</v>
      </c>
      <c r="CH343" s="244">
        <v>0.1</v>
      </c>
      <c r="CI343" s="244" t="s">
        <v>94</v>
      </c>
      <c r="CJ343" s="240" t="b">
        <f t="shared" si="35"/>
        <v>1</v>
      </c>
      <c r="CK343" s="241" t="b">
        <f t="shared" si="36"/>
        <v>1</v>
      </c>
      <c r="CL343" s="242">
        <f t="shared" si="37"/>
        <v>72.216679999999997</v>
      </c>
      <c r="CM343" s="238">
        <v>87.05</v>
      </c>
      <c r="CN343" s="242">
        <v>173.3</v>
      </c>
      <c r="CO343" s="240">
        <v>46.36</v>
      </c>
      <c r="CP343" s="242">
        <v>50</v>
      </c>
      <c r="CQ343" s="242">
        <v>46</v>
      </c>
      <c r="CR343" s="238">
        <v>17.04</v>
      </c>
    </row>
    <row r="344" spans="1:96" ht="15.75" customHeight="1">
      <c r="A344" s="150">
        <v>2022</v>
      </c>
      <c r="B344" s="160" t="s">
        <v>187</v>
      </c>
      <c r="C344" s="163">
        <v>3259</v>
      </c>
      <c r="D344" s="61">
        <v>25</v>
      </c>
      <c r="E344" s="61">
        <v>68.7</v>
      </c>
      <c r="F344" s="80">
        <v>0</v>
      </c>
      <c r="G344" s="51" t="s">
        <v>86</v>
      </c>
      <c r="H344" s="52" t="s">
        <v>92</v>
      </c>
      <c r="I344" s="53" t="s">
        <v>84</v>
      </c>
      <c r="J344" s="52" t="s">
        <v>99</v>
      </c>
      <c r="K344" s="53">
        <v>75</v>
      </c>
      <c r="L344" s="52">
        <v>25</v>
      </c>
      <c r="M344" s="247">
        <v>345</v>
      </c>
      <c r="N344" s="87">
        <v>10820</v>
      </c>
      <c r="O344" s="80" t="s">
        <v>94</v>
      </c>
      <c r="P344" s="80" t="s">
        <v>94</v>
      </c>
      <c r="Q344" s="89">
        <v>1.3</v>
      </c>
      <c r="R344" s="89">
        <v>2.1</v>
      </c>
      <c r="S344" s="88">
        <v>180</v>
      </c>
      <c r="T344" s="88">
        <v>903</v>
      </c>
      <c r="U344" s="249">
        <v>35</v>
      </c>
      <c r="V344" s="249">
        <v>171</v>
      </c>
      <c r="W344" s="80" t="s">
        <v>94</v>
      </c>
      <c r="X344" s="80" t="s">
        <v>94</v>
      </c>
      <c r="Y344" s="143" t="s">
        <v>94</v>
      </c>
      <c r="Z344" s="143" t="s">
        <v>94</v>
      </c>
      <c r="AA344" s="80" t="s">
        <v>94</v>
      </c>
      <c r="AB344" s="80" t="s">
        <v>94</v>
      </c>
      <c r="AC344" s="89">
        <v>4.9000000000000004</v>
      </c>
      <c r="AD344" s="315">
        <v>8.3000000000000007</v>
      </c>
      <c r="AE344" s="223">
        <v>121.6</v>
      </c>
      <c r="AF344" s="223">
        <v>95.5</v>
      </c>
      <c r="AG344" s="345">
        <v>31</v>
      </c>
      <c r="AH344" s="244">
        <v>58</v>
      </c>
      <c r="AI344" s="254">
        <v>0.9</v>
      </c>
      <c r="AJ344" s="245">
        <v>1.1000000000000001</v>
      </c>
      <c r="AK344" s="269">
        <f t="shared" si="32"/>
        <v>0.20000000000000007</v>
      </c>
      <c r="AL344" s="253">
        <v>5.0999999999999996</v>
      </c>
      <c r="AM344" s="244">
        <v>6.7</v>
      </c>
      <c r="AN344" s="245">
        <v>7.1</v>
      </c>
      <c r="AO344" s="245">
        <v>8.1999999999999993</v>
      </c>
      <c r="AP344" s="245">
        <v>85</v>
      </c>
      <c r="AQ344" s="245">
        <v>27</v>
      </c>
      <c r="AR344" s="253">
        <v>9.3000000000000007</v>
      </c>
      <c r="AS344" s="244">
        <v>9.6</v>
      </c>
      <c r="AT344" s="253">
        <v>4.3</v>
      </c>
      <c r="AU344" s="244">
        <v>4.9000000000000004</v>
      </c>
      <c r="AV344" s="245">
        <v>76</v>
      </c>
      <c r="AW344" s="245">
        <v>134</v>
      </c>
      <c r="AX344" s="350">
        <v>140</v>
      </c>
      <c r="AY344" s="245">
        <v>139</v>
      </c>
      <c r="AZ344" s="253">
        <v>1.8</v>
      </c>
      <c r="BA344" s="244">
        <v>2.2000000000000002</v>
      </c>
      <c r="BB344" s="350">
        <v>97</v>
      </c>
      <c r="BC344" s="245">
        <v>82</v>
      </c>
      <c r="BD344" s="238">
        <f t="shared" si="33"/>
        <v>292.42022222222226</v>
      </c>
      <c r="BE344" s="238">
        <f t="shared" si="34"/>
        <v>299.88177777777781</v>
      </c>
      <c r="BF344" s="244">
        <v>5.18</v>
      </c>
      <c r="BG344" s="239" t="s">
        <v>94</v>
      </c>
      <c r="BH344" s="245">
        <v>15.5</v>
      </c>
      <c r="BI344" s="237" t="s">
        <v>94</v>
      </c>
      <c r="BJ344" s="244">
        <v>46.7</v>
      </c>
      <c r="BK344" s="239" t="s">
        <v>94</v>
      </c>
      <c r="BL344" s="245">
        <v>90</v>
      </c>
      <c r="BM344" s="237" t="s">
        <v>94</v>
      </c>
      <c r="BN344" s="244">
        <v>29.9</v>
      </c>
      <c r="BO344" s="239" t="s">
        <v>94</v>
      </c>
      <c r="BP344" s="245">
        <v>33.200000000000003</v>
      </c>
      <c r="BQ344" s="237" t="s">
        <v>94</v>
      </c>
      <c r="BR344" s="244">
        <v>198</v>
      </c>
      <c r="BS344" s="239" t="s">
        <v>94</v>
      </c>
      <c r="BT344" s="245">
        <v>15.3</v>
      </c>
      <c r="BU344" s="237" t="s">
        <v>94</v>
      </c>
      <c r="BV344" s="239" t="s">
        <v>94</v>
      </c>
      <c r="BW344" s="239" t="s">
        <v>94</v>
      </c>
      <c r="BX344" s="245">
        <v>7.8</v>
      </c>
      <c r="BY344" s="245" t="s">
        <v>94</v>
      </c>
      <c r="BZ344" s="244">
        <v>66.400000000000006</v>
      </c>
      <c r="CA344" s="244" t="s">
        <v>94</v>
      </c>
      <c r="CB344" s="252">
        <v>29.4</v>
      </c>
      <c r="CC344" s="252" t="s">
        <v>94</v>
      </c>
      <c r="CD344" s="244">
        <v>1.3</v>
      </c>
      <c r="CE344" s="244" t="s">
        <v>94</v>
      </c>
      <c r="CF344" s="252">
        <v>2.8</v>
      </c>
      <c r="CG344" s="252" t="s">
        <v>94</v>
      </c>
      <c r="CH344" s="244">
        <v>0.1</v>
      </c>
      <c r="CI344" s="244" t="s">
        <v>94</v>
      </c>
      <c r="CJ344" s="240" t="b">
        <f t="shared" si="35"/>
        <v>0</v>
      </c>
      <c r="CK344" s="241" t="b">
        <f t="shared" si="36"/>
        <v>1</v>
      </c>
      <c r="CL344" s="242">
        <f t="shared" si="37"/>
        <v>66.786999999999992</v>
      </c>
      <c r="CM344" s="238">
        <v>71.05</v>
      </c>
      <c r="CN344" s="242">
        <v>172.4</v>
      </c>
      <c r="CO344" s="240">
        <v>56.66</v>
      </c>
      <c r="CP344" s="242">
        <v>58</v>
      </c>
      <c r="CQ344" s="242">
        <v>44</v>
      </c>
      <c r="CR344" s="238">
        <v>6</v>
      </c>
    </row>
    <row r="345" spans="1:96" ht="15.75" customHeight="1">
      <c r="A345" s="150">
        <v>2022</v>
      </c>
      <c r="B345" s="160" t="s">
        <v>187</v>
      </c>
      <c r="C345" s="163">
        <v>3260</v>
      </c>
      <c r="D345" s="61">
        <v>25</v>
      </c>
      <c r="E345" s="61">
        <v>0</v>
      </c>
      <c r="F345" s="80">
        <v>0</v>
      </c>
      <c r="G345" s="51" t="s">
        <v>86</v>
      </c>
      <c r="H345" s="52" t="s">
        <v>83</v>
      </c>
      <c r="I345" s="53" t="s">
        <v>84</v>
      </c>
      <c r="J345" s="52" t="s">
        <v>97</v>
      </c>
      <c r="K345" s="53">
        <v>75</v>
      </c>
      <c r="L345" s="52">
        <v>25</v>
      </c>
      <c r="M345" s="247">
        <v>134</v>
      </c>
      <c r="N345" s="87">
        <v>11501</v>
      </c>
      <c r="O345" s="80" t="s">
        <v>94</v>
      </c>
      <c r="P345" s="80" t="s">
        <v>94</v>
      </c>
      <c r="Q345" s="89">
        <v>1.8</v>
      </c>
      <c r="R345" s="89" t="s">
        <v>94</v>
      </c>
      <c r="S345" s="88">
        <v>164</v>
      </c>
      <c r="T345" s="88">
        <v>663</v>
      </c>
      <c r="U345" s="249">
        <v>25</v>
      </c>
      <c r="V345" s="249">
        <v>178</v>
      </c>
      <c r="W345" s="80" t="s">
        <v>94</v>
      </c>
      <c r="X345" s="80" t="s">
        <v>94</v>
      </c>
      <c r="Y345" s="143" t="s">
        <v>94</v>
      </c>
      <c r="Z345" s="143" t="s">
        <v>94</v>
      </c>
      <c r="AA345" s="80" t="s">
        <v>94</v>
      </c>
      <c r="AB345" s="80" t="s">
        <v>94</v>
      </c>
      <c r="AC345" s="89">
        <v>4.8</v>
      </c>
      <c r="AD345" s="250">
        <v>9.8000000000000007</v>
      </c>
      <c r="AE345" s="223">
        <v>107.1</v>
      </c>
      <c r="AF345" s="223">
        <v>78.2</v>
      </c>
      <c r="AG345" s="345">
        <v>34</v>
      </c>
      <c r="AH345" s="244">
        <v>71</v>
      </c>
      <c r="AI345" s="254">
        <v>1</v>
      </c>
      <c r="AJ345" s="245">
        <v>1.3</v>
      </c>
      <c r="AK345" s="269">
        <f t="shared" si="32"/>
        <v>0.30000000000000004</v>
      </c>
      <c r="AL345" s="253">
        <v>5.0999999999999996</v>
      </c>
      <c r="AM345" s="244">
        <v>5.5</v>
      </c>
      <c r="AN345" s="245">
        <v>7.5</v>
      </c>
      <c r="AO345" s="245">
        <v>8.4</v>
      </c>
      <c r="AP345" s="245">
        <v>42</v>
      </c>
      <c r="AQ345" s="245">
        <v>10</v>
      </c>
      <c r="AR345" s="253">
        <v>9.6</v>
      </c>
      <c r="AS345" s="244">
        <v>8.9</v>
      </c>
      <c r="AT345" s="253">
        <v>4.0999999999999996</v>
      </c>
      <c r="AU345" s="244">
        <v>4.9000000000000004</v>
      </c>
      <c r="AV345" s="245">
        <v>85</v>
      </c>
      <c r="AW345" s="245">
        <v>68</v>
      </c>
      <c r="AX345" s="350">
        <v>143</v>
      </c>
      <c r="AY345" s="245">
        <v>140</v>
      </c>
      <c r="AZ345" s="253">
        <v>1.8</v>
      </c>
      <c r="BA345" s="244">
        <v>2.6</v>
      </c>
      <c r="BB345" s="350">
        <v>98</v>
      </c>
      <c r="BC345" s="245">
        <v>83</v>
      </c>
      <c r="BD345" s="238">
        <f t="shared" si="33"/>
        <v>298.70322222222222</v>
      </c>
      <c r="BE345" s="238">
        <f t="shared" si="34"/>
        <v>299.69177777777776</v>
      </c>
      <c r="BF345" s="244">
        <v>5.47</v>
      </c>
      <c r="BG345" s="239" t="s">
        <v>94</v>
      </c>
      <c r="BH345" s="245">
        <v>15.3</v>
      </c>
      <c r="BI345" s="237" t="s">
        <v>94</v>
      </c>
      <c r="BJ345" s="244">
        <v>46.1</v>
      </c>
      <c r="BK345" s="239" t="s">
        <v>94</v>
      </c>
      <c r="BL345" s="245">
        <v>84</v>
      </c>
      <c r="BM345" s="237" t="s">
        <v>94</v>
      </c>
      <c r="BN345" s="244">
        <v>28</v>
      </c>
      <c r="BO345" s="239" t="s">
        <v>94</v>
      </c>
      <c r="BP345" s="245">
        <v>33.200000000000003</v>
      </c>
      <c r="BQ345" s="237" t="s">
        <v>94</v>
      </c>
      <c r="BR345" s="244">
        <v>267</v>
      </c>
      <c r="BS345" s="239" t="s">
        <v>94</v>
      </c>
      <c r="BT345" s="245">
        <v>14.5</v>
      </c>
      <c r="BU345" s="237" t="s">
        <v>94</v>
      </c>
      <c r="BV345" s="239" t="s">
        <v>94</v>
      </c>
      <c r="BW345" s="239" t="s">
        <v>94</v>
      </c>
      <c r="BX345" s="245">
        <v>6.1</v>
      </c>
      <c r="BY345" s="245" t="s">
        <v>94</v>
      </c>
      <c r="BZ345" s="244">
        <v>65</v>
      </c>
      <c r="CA345" s="244" t="s">
        <v>94</v>
      </c>
      <c r="CB345" s="252">
        <v>30.3</v>
      </c>
      <c r="CC345" s="252" t="s">
        <v>94</v>
      </c>
      <c r="CD345" s="244">
        <v>2.4</v>
      </c>
      <c r="CE345" s="244" t="s">
        <v>94</v>
      </c>
      <c r="CF345" s="252">
        <v>2.2000000000000002</v>
      </c>
      <c r="CG345" s="252" t="s">
        <v>94</v>
      </c>
      <c r="CH345" s="244">
        <v>0.1</v>
      </c>
      <c r="CI345" s="244" t="s">
        <v>94</v>
      </c>
      <c r="CJ345" s="240" t="b">
        <f t="shared" si="35"/>
        <v>1</v>
      </c>
      <c r="CK345" s="241" t="b">
        <f t="shared" si="36"/>
        <v>1</v>
      </c>
      <c r="CL345" s="242">
        <f t="shared" si="37"/>
        <v>72.202060000000003</v>
      </c>
      <c r="CM345" s="238">
        <v>78.2</v>
      </c>
      <c r="CN345" s="242">
        <v>182.1</v>
      </c>
      <c r="CO345" s="240">
        <v>51.94</v>
      </c>
      <c r="CP345" s="242">
        <v>62</v>
      </c>
      <c r="CQ345" s="242">
        <v>65</v>
      </c>
      <c r="CR345" s="238">
        <v>7.67</v>
      </c>
    </row>
    <row r="346" spans="1:96" ht="15.75" customHeight="1">
      <c r="A346" s="79">
        <v>2023</v>
      </c>
      <c r="B346" s="79" t="s">
        <v>172</v>
      </c>
      <c r="C346" s="61">
        <v>3261</v>
      </c>
      <c r="D346" s="61" t="s">
        <v>94</v>
      </c>
      <c r="E346" s="61">
        <v>55.4</v>
      </c>
      <c r="F346" s="61" t="s">
        <v>94</v>
      </c>
      <c r="G346" s="164" t="s">
        <v>94</v>
      </c>
      <c r="H346" s="164" t="s">
        <v>94</v>
      </c>
      <c r="I346" s="164" t="s">
        <v>94</v>
      </c>
      <c r="J346" s="164" t="s">
        <v>94</v>
      </c>
      <c r="K346" s="164" t="s">
        <v>94</v>
      </c>
      <c r="L346" s="164" t="s">
        <v>94</v>
      </c>
      <c r="M346" s="61">
        <v>553</v>
      </c>
      <c r="N346" s="61">
        <v>1450</v>
      </c>
      <c r="O346" s="80" t="s">
        <v>94</v>
      </c>
      <c r="P346" s="80" t="s">
        <v>94</v>
      </c>
      <c r="Q346" s="61">
        <v>4.3</v>
      </c>
      <c r="R346" s="61">
        <v>2.9</v>
      </c>
      <c r="S346" s="61">
        <v>218</v>
      </c>
      <c r="T346" s="61">
        <v>398</v>
      </c>
      <c r="U346" s="61">
        <v>46</v>
      </c>
      <c r="V346" s="61">
        <v>103</v>
      </c>
      <c r="W346" s="61">
        <v>4.7</v>
      </c>
      <c r="X346" s="61">
        <v>4.8</v>
      </c>
      <c r="Y346" s="61">
        <v>30</v>
      </c>
      <c r="Z346" s="61">
        <v>71</v>
      </c>
      <c r="AA346" s="61">
        <v>22</v>
      </c>
      <c r="AB346" s="61">
        <v>20</v>
      </c>
      <c r="AC346" s="61">
        <v>5.3</v>
      </c>
      <c r="AD346" s="61">
        <v>5</v>
      </c>
      <c r="AE346" s="222" t="s">
        <v>94</v>
      </c>
      <c r="AF346" s="222" t="s">
        <v>94</v>
      </c>
      <c r="AG346" s="229">
        <v>47</v>
      </c>
      <c r="AH346" s="229">
        <v>39</v>
      </c>
      <c r="AI346" s="229">
        <v>0.7</v>
      </c>
      <c r="AJ346" s="230">
        <v>0.9</v>
      </c>
      <c r="AK346" s="269">
        <f t="shared" si="32"/>
        <v>0.20000000000000007</v>
      </c>
      <c r="AL346" s="229">
        <v>4</v>
      </c>
      <c r="AM346" s="229">
        <v>4.5</v>
      </c>
      <c r="AN346" s="229">
        <v>7.8</v>
      </c>
      <c r="AO346" s="229">
        <v>7.3</v>
      </c>
      <c r="AP346" s="229">
        <v>28</v>
      </c>
      <c r="AQ346" s="229">
        <v>30</v>
      </c>
      <c r="AR346" s="229">
        <v>8</v>
      </c>
      <c r="AS346" s="229">
        <v>9.1</v>
      </c>
      <c r="AT346" s="229">
        <v>4.4000000000000004</v>
      </c>
      <c r="AU346" s="229">
        <v>3.8</v>
      </c>
      <c r="AV346" s="229">
        <v>98</v>
      </c>
      <c r="AW346" s="229">
        <v>83</v>
      </c>
      <c r="AX346" s="229">
        <v>137</v>
      </c>
      <c r="AY346" s="229">
        <v>136</v>
      </c>
      <c r="AZ346" s="229">
        <v>2.2999999999999998</v>
      </c>
      <c r="BA346" s="229">
        <v>2.2999999999999998</v>
      </c>
      <c r="BB346" s="229">
        <v>102</v>
      </c>
      <c r="BC346" s="229">
        <v>100</v>
      </c>
      <c r="BD346" s="231">
        <f t="shared" si="33"/>
        <v>291.09844444444445</v>
      </c>
      <c r="BE346" s="231">
        <f t="shared" si="34"/>
        <v>285.83077777777783</v>
      </c>
      <c r="BF346" s="229">
        <v>5.25</v>
      </c>
      <c r="BG346" s="229">
        <v>4.47</v>
      </c>
      <c r="BH346" s="229">
        <v>15.6</v>
      </c>
      <c r="BI346" s="229">
        <v>13.3</v>
      </c>
      <c r="BJ346" s="229">
        <v>46.8</v>
      </c>
      <c r="BK346" s="229">
        <v>40.299999999999997</v>
      </c>
      <c r="BL346" s="229">
        <v>89.2</v>
      </c>
      <c r="BM346" s="229">
        <v>90.1</v>
      </c>
      <c r="BN346" s="229">
        <v>29.7</v>
      </c>
      <c r="BO346" s="229">
        <v>29.8</v>
      </c>
      <c r="BP346" s="229">
        <v>33.299999999999997</v>
      </c>
      <c r="BQ346" s="229">
        <v>33.1</v>
      </c>
      <c r="BR346" s="229">
        <v>248</v>
      </c>
      <c r="BS346" s="229">
        <v>349</v>
      </c>
      <c r="BT346" s="229">
        <v>12</v>
      </c>
      <c r="BU346" s="229">
        <v>12.6</v>
      </c>
      <c r="BV346" s="222" t="s">
        <v>94</v>
      </c>
      <c r="BW346" s="222" t="s">
        <v>94</v>
      </c>
      <c r="BX346" s="229">
        <v>7.24</v>
      </c>
      <c r="BY346" s="229">
        <v>10.93</v>
      </c>
      <c r="BZ346" s="232">
        <v>0.60499999999999998</v>
      </c>
      <c r="CA346" s="229">
        <v>75.099999999999994</v>
      </c>
      <c r="CB346" s="229">
        <v>29</v>
      </c>
      <c r="CC346" s="229">
        <v>17.3</v>
      </c>
      <c r="CD346" s="229">
        <v>7.17</v>
      </c>
      <c r="CE346" s="229">
        <v>5.9</v>
      </c>
      <c r="CF346" s="229">
        <v>2.38</v>
      </c>
      <c r="CG346" s="229">
        <v>1.4</v>
      </c>
      <c r="CH346" s="229">
        <v>0.9365</v>
      </c>
      <c r="CI346" s="229">
        <v>0.3</v>
      </c>
      <c r="CJ346" s="169" t="b">
        <f t="shared" si="35"/>
        <v>0</v>
      </c>
      <c r="CK346" s="233" t="b">
        <f t="shared" si="36"/>
        <v>1</v>
      </c>
      <c r="CL346" s="234">
        <f t="shared" si="37"/>
        <v>73.156725000000009</v>
      </c>
      <c r="CM346" s="231">
        <v>81.150000000000006</v>
      </c>
      <c r="CN346" s="234">
        <v>178.5</v>
      </c>
      <c r="CO346" s="231" t="s">
        <v>119</v>
      </c>
      <c r="CP346" s="234">
        <v>56</v>
      </c>
      <c r="CQ346" s="234">
        <v>50</v>
      </c>
      <c r="CR346" s="235" t="s">
        <v>120</v>
      </c>
    </row>
    <row r="347" spans="1:96" ht="15.75" customHeight="1">
      <c r="A347" s="79">
        <v>2023</v>
      </c>
      <c r="B347" s="79" t="s">
        <v>172</v>
      </c>
      <c r="C347" s="61">
        <v>3262</v>
      </c>
      <c r="D347" s="61">
        <v>25</v>
      </c>
      <c r="E347" s="61">
        <v>73.099999999999994</v>
      </c>
      <c r="F347" s="61">
        <v>1</v>
      </c>
      <c r="G347" s="369" t="s">
        <v>82</v>
      </c>
      <c r="H347" s="369" t="s">
        <v>90</v>
      </c>
      <c r="I347" s="369" t="s">
        <v>84</v>
      </c>
      <c r="J347" s="369" t="s">
        <v>206</v>
      </c>
      <c r="K347" s="369">
        <v>37.5</v>
      </c>
      <c r="L347" s="369">
        <v>62.5</v>
      </c>
      <c r="M347" s="61">
        <v>292</v>
      </c>
      <c r="N347" s="61">
        <v>5109</v>
      </c>
      <c r="O347" s="171" t="s">
        <v>94</v>
      </c>
      <c r="P347" s="172" t="s">
        <v>94</v>
      </c>
      <c r="Q347" s="61">
        <v>4.4000000000000004</v>
      </c>
      <c r="R347" s="61">
        <v>2.6</v>
      </c>
      <c r="S347" s="61">
        <v>260</v>
      </c>
      <c r="T347" s="61">
        <v>595</v>
      </c>
      <c r="U347" s="61">
        <v>47</v>
      </c>
      <c r="V347" s="61">
        <v>231</v>
      </c>
      <c r="W347" s="61">
        <v>5.4</v>
      </c>
      <c r="X347" s="61">
        <v>4.0999999999999996</v>
      </c>
      <c r="Y347" s="61">
        <v>36</v>
      </c>
      <c r="Z347" s="67">
        <v>134</v>
      </c>
      <c r="AA347" s="61">
        <v>26</v>
      </c>
      <c r="AB347" s="67">
        <v>23</v>
      </c>
      <c r="AC347" s="61">
        <v>5.0999999999999996</v>
      </c>
      <c r="AD347" s="61">
        <v>4.5999999999999996</v>
      </c>
      <c r="AE347" s="164" t="s">
        <v>94</v>
      </c>
      <c r="AF347" s="173" t="s">
        <v>94</v>
      </c>
      <c r="AG347" s="61">
        <v>49</v>
      </c>
      <c r="AH347" s="67">
        <v>37</v>
      </c>
      <c r="AI347" s="67">
        <v>0.8</v>
      </c>
      <c r="AJ347" s="52">
        <v>0.81</v>
      </c>
      <c r="AK347" s="269">
        <f t="shared" si="32"/>
        <v>1.0000000000000009E-2</v>
      </c>
      <c r="AL347" s="61">
        <v>4.0999999999999996</v>
      </c>
      <c r="AM347" s="61">
        <v>3.4</v>
      </c>
      <c r="AN347" s="61">
        <v>9.4</v>
      </c>
      <c r="AO347" s="61">
        <v>6.4</v>
      </c>
      <c r="AP347" s="61">
        <v>20</v>
      </c>
      <c r="AQ347" s="61">
        <v>29</v>
      </c>
      <c r="AR347" s="61">
        <v>9.4</v>
      </c>
      <c r="AS347" s="67">
        <v>8.8000000000000007</v>
      </c>
      <c r="AT347" s="61">
        <v>5.2</v>
      </c>
      <c r="AU347" s="61">
        <v>4.2</v>
      </c>
      <c r="AV347" s="61">
        <v>112</v>
      </c>
      <c r="AW347" s="61">
        <v>114</v>
      </c>
      <c r="AX347" s="98">
        <v>149</v>
      </c>
      <c r="AY347" s="61">
        <v>135</v>
      </c>
      <c r="AZ347" s="61">
        <v>2.6</v>
      </c>
      <c r="BA347" s="61">
        <v>2.1</v>
      </c>
      <c r="BB347" s="61">
        <v>107</v>
      </c>
      <c r="BC347" s="61">
        <v>102</v>
      </c>
      <c r="BD347" s="96">
        <f t="shared" si="33"/>
        <v>316.13422222222226</v>
      </c>
      <c r="BE347" s="96">
        <f t="shared" si="34"/>
        <v>286.36200000000002</v>
      </c>
      <c r="BF347" s="61">
        <v>5.48</v>
      </c>
      <c r="BG347" s="61">
        <v>4.3600000000000003</v>
      </c>
      <c r="BH347" s="61">
        <v>16</v>
      </c>
      <c r="BI347" s="61">
        <v>13.1</v>
      </c>
      <c r="BJ347" s="61">
        <v>49.3</v>
      </c>
      <c r="BK347" s="61">
        <v>39.6</v>
      </c>
      <c r="BL347" s="61">
        <v>90</v>
      </c>
      <c r="BM347" s="61">
        <v>90.7</v>
      </c>
      <c r="BN347" s="61">
        <v>29.7</v>
      </c>
      <c r="BO347" s="61">
        <v>30.1</v>
      </c>
      <c r="BP347" s="61">
        <v>32.5</v>
      </c>
      <c r="BQ347" s="61">
        <v>33.200000000000003</v>
      </c>
      <c r="BR347" s="61">
        <v>215</v>
      </c>
      <c r="BS347" s="61">
        <v>235</v>
      </c>
      <c r="BT347" s="61">
        <v>11.7</v>
      </c>
      <c r="BU347" s="61">
        <v>12.4</v>
      </c>
      <c r="BV347" s="164" t="s">
        <v>94</v>
      </c>
      <c r="BW347" s="164" t="s">
        <v>94</v>
      </c>
      <c r="BX347" s="61">
        <v>6.84</v>
      </c>
      <c r="BY347" s="61">
        <v>10.19</v>
      </c>
      <c r="BZ347" s="61">
        <v>60.9</v>
      </c>
      <c r="CA347" s="61">
        <v>78.599999999999994</v>
      </c>
      <c r="CB347" s="61">
        <v>1.83</v>
      </c>
      <c r="CC347" s="61">
        <v>12.3</v>
      </c>
      <c r="CD347" s="61">
        <v>9.14</v>
      </c>
      <c r="CE347" s="61">
        <v>8.3000000000000007</v>
      </c>
      <c r="CF347" s="61">
        <v>2.0299999999999998</v>
      </c>
      <c r="CG347" s="61">
        <v>0.6</v>
      </c>
      <c r="CH347" s="61">
        <v>1.1599999999999999</v>
      </c>
      <c r="CI347" s="61">
        <v>0.2</v>
      </c>
      <c r="CJ347" s="86" t="b">
        <f t="shared" si="35"/>
        <v>0</v>
      </c>
      <c r="CK347" s="2" t="b">
        <f t="shared" si="36"/>
        <v>1</v>
      </c>
      <c r="CL347" s="98">
        <f t="shared" si="37"/>
        <v>63.201930000000004</v>
      </c>
      <c r="CM347" s="96">
        <v>75.900000000000006</v>
      </c>
      <c r="CN347" s="98">
        <v>179</v>
      </c>
      <c r="CO347" s="96" t="s">
        <v>121</v>
      </c>
      <c r="CP347" s="98">
        <v>52</v>
      </c>
      <c r="CQ347" s="98">
        <v>58</v>
      </c>
      <c r="CR347" s="170" t="s">
        <v>122</v>
      </c>
    </row>
    <row r="348" spans="1:96" ht="15.75" customHeight="1">
      <c r="A348" s="79">
        <v>2023</v>
      </c>
      <c r="B348" s="79" t="s">
        <v>172</v>
      </c>
      <c r="C348" s="62">
        <v>3267</v>
      </c>
      <c r="D348" s="61">
        <v>25</v>
      </c>
      <c r="E348" s="61">
        <v>75.3</v>
      </c>
      <c r="F348" s="61">
        <v>1</v>
      </c>
      <c r="G348" s="164" t="s">
        <v>94</v>
      </c>
      <c r="H348" s="164" t="s">
        <v>94</v>
      </c>
      <c r="I348" s="164" t="s">
        <v>94</v>
      </c>
      <c r="J348" s="164" t="s">
        <v>94</v>
      </c>
      <c r="K348" s="164" t="s">
        <v>94</v>
      </c>
      <c r="L348" s="164" t="s">
        <v>94</v>
      </c>
      <c r="M348" s="61">
        <v>488</v>
      </c>
      <c r="N348" s="61">
        <v>2528</v>
      </c>
      <c r="O348" s="171" t="s">
        <v>94</v>
      </c>
      <c r="P348" s="174" t="s">
        <v>94</v>
      </c>
      <c r="Q348" s="61">
        <v>4</v>
      </c>
      <c r="R348" s="61">
        <v>2.8</v>
      </c>
      <c r="S348" s="61">
        <v>227</v>
      </c>
      <c r="T348" s="61">
        <v>430</v>
      </c>
      <c r="U348" s="61">
        <v>55</v>
      </c>
      <c r="V348" s="61">
        <v>159</v>
      </c>
      <c r="W348" s="61">
        <v>5.4</v>
      </c>
      <c r="X348" s="61">
        <v>4.5999999999999996</v>
      </c>
      <c r="Y348" s="61">
        <v>35</v>
      </c>
      <c r="Z348" s="67">
        <v>72</v>
      </c>
      <c r="AA348" s="61">
        <v>26</v>
      </c>
      <c r="AB348" s="67">
        <v>20</v>
      </c>
      <c r="AC348" s="61">
        <v>4.2</v>
      </c>
      <c r="AD348" s="61">
        <v>3.9</v>
      </c>
      <c r="AE348" s="164" t="s">
        <v>94</v>
      </c>
      <c r="AF348" s="173" t="s">
        <v>94</v>
      </c>
      <c r="AG348" s="61">
        <v>46</v>
      </c>
      <c r="AH348" s="67">
        <v>44</v>
      </c>
      <c r="AI348" s="67">
        <v>0.9</v>
      </c>
      <c r="AJ348" s="52" t="s">
        <v>94</v>
      </c>
      <c r="AK348" s="269" t="str">
        <f t="shared" si="32"/>
        <v>Dados Insuficientes</v>
      </c>
      <c r="AL348" s="61">
        <v>4.3</v>
      </c>
      <c r="AM348" s="61">
        <v>3.9</v>
      </c>
      <c r="AN348" s="61">
        <v>8.9</v>
      </c>
      <c r="AO348" s="61">
        <v>6.5</v>
      </c>
      <c r="AP348" s="61">
        <v>11</v>
      </c>
      <c r="AQ348" s="61">
        <v>35</v>
      </c>
      <c r="AR348" s="61">
        <v>9.1</v>
      </c>
      <c r="AS348" s="67">
        <v>9</v>
      </c>
      <c r="AT348" s="61">
        <v>4.4000000000000004</v>
      </c>
      <c r="AU348" s="61">
        <v>4.0999999999999996</v>
      </c>
      <c r="AV348" s="61">
        <v>115</v>
      </c>
      <c r="AW348" s="61">
        <v>118</v>
      </c>
      <c r="AX348" s="67">
        <v>146</v>
      </c>
      <c r="AY348" s="67">
        <v>136</v>
      </c>
      <c r="AZ348" s="67">
        <v>2.2000000000000002</v>
      </c>
      <c r="BA348" s="61">
        <v>1.9</v>
      </c>
      <c r="BB348" s="61">
        <v>106</v>
      </c>
      <c r="BC348" s="67">
        <v>104</v>
      </c>
      <c r="BD348" s="96">
        <f t="shared" si="33"/>
        <v>308.75788888888894</v>
      </c>
      <c r="BE348" s="96">
        <f t="shared" si="34"/>
        <v>289.45822222222222</v>
      </c>
      <c r="BF348" s="67">
        <v>4.9000000000000004</v>
      </c>
      <c r="BG348" s="67" t="s">
        <v>94</v>
      </c>
      <c r="BH348" s="61">
        <v>14.3</v>
      </c>
      <c r="BI348" s="61" t="s">
        <v>94</v>
      </c>
      <c r="BJ348" s="61">
        <v>44.4</v>
      </c>
      <c r="BK348" s="61" t="s">
        <v>94</v>
      </c>
      <c r="BL348" s="61">
        <v>90.6</v>
      </c>
      <c r="BM348" s="61" t="s">
        <v>94</v>
      </c>
      <c r="BN348" s="61">
        <v>29.3</v>
      </c>
      <c r="BO348" s="61" t="s">
        <v>94</v>
      </c>
      <c r="BP348" s="61">
        <v>32.299999999999997</v>
      </c>
      <c r="BQ348" s="61" t="s">
        <v>94</v>
      </c>
      <c r="BR348" s="61">
        <v>206</v>
      </c>
      <c r="BS348" s="61" t="s">
        <v>94</v>
      </c>
      <c r="BT348" s="61">
        <v>11.7</v>
      </c>
      <c r="BU348" s="61" t="s">
        <v>94</v>
      </c>
      <c r="BV348" s="164" t="s">
        <v>94</v>
      </c>
      <c r="BW348" s="164" t="s">
        <v>94</v>
      </c>
      <c r="BX348" s="61">
        <v>7.1</v>
      </c>
      <c r="BY348" s="61" t="s">
        <v>94</v>
      </c>
      <c r="BZ348" s="61">
        <v>63.8</v>
      </c>
      <c r="CA348" s="61" t="s">
        <v>94</v>
      </c>
      <c r="CB348" s="61">
        <v>23.5</v>
      </c>
      <c r="CC348" s="61" t="s">
        <v>94</v>
      </c>
      <c r="CD348" s="61">
        <v>7.59</v>
      </c>
      <c r="CE348" s="61" t="s">
        <v>94</v>
      </c>
      <c r="CF348" s="61">
        <v>3.88</v>
      </c>
      <c r="CG348" s="61" t="s">
        <v>94</v>
      </c>
      <c r="CH348" s="61">
        <v>1.24</v>
      </c>
      <c r="CI348" s="61" t="s">
        <v>94</v>
      </c>
      <c r="CJ348" s="86" t="e">
        <f t="shared" si="35"/>
        <v>#VALUE!</v>
      </c>
      <c r="CK348" s="2" t="b">
        <f t="shared" si="36"/>
        <v>1</v>
      </c>
      <c r="CL348" s="98">
        <f t="shared" si="37"/>
        <v>69.765299999999996</v>
      </c>
      <c r="CM348" s="96">
        <v>78.3</v>
      </c>
      <c r="CN348" s="98">
        <v>173</v>
      </c>
      <c r="CO348" s="96" t="s">
        <v>125</v>
      </c>
      <c r="CP348" s="98">
        <v>58</v>
      </c>
      <c r="CQ348" s="98">
        <v>54</v>
      </c>
      <c r="CR348" s="170" t="s">
        <v>126</v>
      </c>
    </row>
    <row r="349" spans="1:96" ht="15.75" customHeight="1">
      <c r="A349" s="79">
        <v>2023</v>
      </c>
      <c r="B349" s="79" t="s">
        <v>172</v>
      </c>
      <c r="C349" s="61">
        <v>3268</v>
      </c>
      <c r="D349" s="61">
        <v>24</v>
      </c>
      <c r="E349" s="61">
        <v>75.7</v>
      </c>
      <c r="F349" s="61">
        <v>2</v>
      </c>
      <c r="G349" s="369" t="s">
        <v>86</v>
      </c>
      <c r="H349" s="369" t="s">
        <v>83</v>
      </c>
      <c r="I349" s="369" t="s">
        <v>84</v>
      </c>
      <c r="J349" s="369" t="s">
        <v>205</v>
      </c>
      <c r="K349" s="369">
        <v>50</v>
      </c>
      <c r="L349" s="369">
        <v>50</v>
      </c>
      <c r="M349" s="61">
        <v>600</v>
      </c>
      <c r="N349" s="61">
        <v>4243</v>
      </c>
      <c r="O349" s="171" t="s">
        <v>94</v>
      </c>
      <c r="P349" s="174" t="s">
        <v>94</v>
      </c>
      <c r="Q349" s="61">
        <v>3.3</v>
      </c>
      <c r="R349" s="61">
        <v>2.5</v>
      </c>
      <c r="S349" s="61">
        <v>212</v>
      </c>
      <c r="T349" s="61">
        <v>555</v>
      </c>
      <c r="U349" s="61">
        <v>42</v>
      </c>
      <c r="V349" s="61">
        <v>133</v>
      </c>
      <c r="W349" s="61">
        <v>4.5999999999999996</v>
      </c>
      <c r="X349" s="61">
        <v>4.9000000000000004</v>
      </c>
      <c r="Y349" s="61">
        <v>61</v>
      </c>
      <c r="Z349" s="67">
        <v>142</v>
      </c>
      <c r="AA349" s="61">
        <v>16</v>
      </c>
      <c r="AB349" s="67">
        <v>59</v>
      </c>
      <c r="AC349" s="61">
        <v>4.8</v>
      </c>
      <c r="AD349" s="61">
        <v>5.7</v>
      </c>
      <c r="AE349" s="164" t="s">
        <v>94</v>
      </c>
      <c r="AF349" s="173" t="s">
        <v>94</v>
      </c>
      <c r="AG349" s="61">
        <v>36</v>
      </c>
      <c r="AH349" s="67">
        <v>32</v>
      </c>
      <c r="AI349" s="67">
        <v>0.7</v>
      </c>
      <c r="AJ349" s="52">
        <v>1.34</v>
      </c>
      <c r="AK349" s="269">
        <f t="shared" si="32"/>
        <v>0.64000000000000012</v>
      </c>
      <c r="AL349" s="61">
        <v>4</v>
      </c>
      <c r="AM349" s="61">
        <v>3.5</v>
      </c>
      <c r="AN349" s="61">
        <v>7.6</v>
      </c>
      <c r="AO349" s="61">
        <v>7.3</v>
      </c>
      <c r="AP349" s="61">
        <v>46</v>
      </c>
      <c r="AQ349" s="61">
        <v>34</v>
      </c>
      <c r="AR349" s="61">
        <v>7.8</v>
      </c>
      <c r="AS349" s="67">
        <v>9.1</v>
      </c>
      <c r="AT349" s="61">
        <v>5.4</v>
      </c>
      <c r="AU349" s="67">
        <v>4.4000000000000004</v>
      </c>
      <c r="AV349" s="61">
        <v>104</v>
      </c>
      <c r="AW349" s="61">
        <v>139</v>
      </c>
      <c r="AX349" s="67">
        <v>135</v>
      </c>
      <c r="AY349" s="67">
        <v>139</v>
      </c>
      <c r="AZ349" s="67">
        <v>2</v>
      </c>
      <c r="BA349" s="61">
        <v>1.9</v>
      </c>
      <c r="BB349" s="61">
        <v>102</v>
      </c>
      <c r="BC349" s="67">
        <v>107</v>
      </c>
      <c r="BD349" s="96">
        <f t="shared" si="33"/>
        <v>287.78844444444445</v>
      </c>
      <c r="BE349" s="96">
        <f t="shared" si="34"/>
        <v>294.93788888888889</v>
      </c>
      <c r="BF349" s="67">
        <v>4.9000000000000004</v>
      </c>
      <c r="BG349" s="67">
        <v>4.17</v>
      </c>
      <c r="BH349" s="61">
        <v>14.6</v>
      </c>
      <c r="BI349" s="61">
        <v>12.6</v>
      </c>
      <c r="BJ349" s="61">
        <v>44.6</v>
      </c>
      <c r="BK349" s="61">
        <v>37.9</v>
      </c>
      <c r="BL349" s="61">
        <v>91.1</v>
      </c>
      <c r="BM349" s="61">
        <v>90.9</v>
      </c>
      <c r="BN349" s="61">
        <v>29.8</v>
      </c>
      <c r="BO349" s="61">
        <v>30.2</v>
      </c>
      <c r="BP349" s="61">
        <v>32.700000000000003</v>
      </c>
      <c r="BQ349" s="61">
        <v>33.299999999999997</v>
      </c>
      <c r="BR349" s="61">
        <v>228</v>
      </c>
      <c r="BS349" s="61">
        <v>267</v>
      </c>
      <c r="BT349" s="61">
        <v>11.7</v>
      </c>
      <c r="BU349" s="61">
        <v>12.2</v>
      </c>
      <c r="BV349" s="164" t="s">
        <v>94</v>
      </c>
      <c r="BW349" s="164" t="s">
        <v>94</v>
      </c>
      <c r="BX349" s="61">
        <v>5.32</v>
      </c>
      <c r="BY349" s="61">
        <v>9.2200000000000006</v>
      </c>
      <c r="BZ349" s="61">
        <v>48.2</v>
      </c>
      <c r="CA349" s="61">
        <v>76.3</v>
      </c>
      <c r="CB349" s="61">
        <v>38</v>
      </c>
      <c r="CC349" s="61">
        <v>15.2</v>
      </c>
      <c r="CD349" s="61">
        <v>7.42</v>
      </c>
      <c r="CE349" s="61">
        <v>6.4</v>
      </c>
      <c r="CF349" s="61">
        <v>4.82</v>
      </c>
      <c r="CG349" s="61">
        <v>2</v>
      </c>
      <c r="CH349" s="61">
        <v>1.57</v>
      </c>
      <c r="CI349" s="61">
        <v>0.1</v>
      </c>
      <c r="CJ349" s="86" t="b">
        <f t="shared" si="35"/>
        <v>1</v>
      </c>
      <c r="CK349" s="2" t="b">
        <f t="shared" si="36"/>
        <v>1</v>
      </c>
      <c r="CL349" s="98">
        <f t="shared" si="37"/>
        <v>69.677400000000006</v>
      </c>
      <c r="CM349" s="96">
        <v>78</v>
      </c>
      <c r="CN349" s="98">
        <v>178</v>
      </c>
      <c r="CO349" s="96" t="s">
        <v>127</v>
      </c>
      <c r="CP349" s="98">
        <v>56</v>
      </c>
      <c r="CQ349" s="98">
        <v>56</v>
      </c>
      <c r="CR349" s="170" t="s">
        <v>128</v>
      </c>
    </row>
    <row r="350" spans="1:96" ht="15.75" customHeight="1">
      <c r="A350" s="79">
        <v>2023</v>
      </c>
      <c r="B350" s="79" t="s">
        <v>172</v>
      </c>
      <c r="C350" s="61">
        <v>3274</v>
      </c>
      <c r="D350" s="61">
        <v>34</v>
      </c>
      <c r="E350" s="61">
        <v>80.099999999999994</v>
      </c>
      <c r="F350" s="61">
        <v>1</v>
      </c>
      <c r="G350" s="369" t="s">
        <v>89</v>
      </c>
      <c r="H350" s="369" t="s">
        <v>83</v>
      </c>
      <c r="I350" s="369" t="s">
        <v>84</v>
      </c>
      <c r="J350" s="369">
        <v>0</v>
      </c>
      <c r="K350" s="369">
        <v>50</v>
      </c>
      <c r="L350" s="369">
        <v>50</v>
      </c>
      <c r="M350" s="61">
        <v>292</v>
      </c>
      <c r="N350" s="61">
        <v>1958</v>
      </c>
      <c r="O350" s="171" t="s">
        <v>94</v>
      </c>
      <c r="P350" s="174" t="s">
        <v>94</v>
      </c>
      <c r="Q350" s="61">
        <v>3.4</v>
      </c>
      <c r="R350" s="61">
        <v>2.7</v>
      </c>
      <c r="S350" s="61">
        <v>192</v>
      </c>
      <c r="T350" s="61">
        <v>346</v>
      </c>
      <c r="U350" s="61">
        <v>38</v>
      </c>
      <c r="V350" s="61">
        <v>97</v>
      </c>
      <c r="W350" s="61">
        <v>4.3</v>
      </c>
      <c r="X350" s="61">
        <v>4.5999999999999996</v>
      </c>
      <c r="Y350" s="61">
        <v>34</v>
      </c>
      <c r="Z350" s="67">
        <v>67</v>
      </c>
      <c r="AA350" s="61">
        <v>17</v>
      </c>
      <c r="AB350" s="67">
        <v>17</v>
      </c>
      <c r="AC350" s="67">
        <v>6.5</v>
      </c>
      <c r="AD350" s="61">
        <v>7</v>
      </c>
      <c r="AE350" s="173" t="s">
        <v>94</v>
      </c>
      <c r="AF350" s="175" t="s">
        <v>94</v>
      </c>
      <c r="AG350" s="98">
        <v>35</v>
      </c>
      <c r="AH350" s="67">
        <v>37</v>
      </c>
      <c r="AI350" s="67">
        <v>1</v>
      </c>
      <c r="AJ350" s="52">
        <v>0.72</v>
      </c>
      <c r="AK350" s="269">
        <f t="shared" si="32"/>
        <v>0</v>
      </c>
      <c r="AL350" s="61">
        <v>3.3</v>
      </c>
      <c r="AM350" s="61">
        <v>4.0999999999999996</v>
      </c>
      <c r="AN350" s="61">
        <v>7.4</v>
      </c>
      <c r="AO350" s="61">
        <v>7</v>
      </c>
      <c r="AP350" s="61">
        <v>60</v>
      </c>
      <c r="AQ350" s="61">
        <v>60</v>
      </c>
      <c r="AR350" s="61">
        <v>7.7</v>
      </c>
      <c r="AS350" s="67">
        <v>8.9</v>
      </c>
      <c r="AT350" s="61">
        <v>4.7</v>
      </c>
      <c r="AU350" s="61">
        <v>4.0999999999999996</v>
      </c>
      <c r="AV350" s="61">
        <v>108</v>
      </c>
      <c r="AW350" s="61">
        <v>125</v>
      </c>
      <c r="AX350" s="67">
        <v>136</v>
      </c>
      <c r="AY350" s="67">
        <v>138</v>
      </c>
      <c r="AZ350" s="67">
        <v>2.2000000000000002</v>
      </c>
      <c r="BA350" s="61">
        <v>2.1</v>
      </c>
      <c r="BB350" s="61">
        <v>102</v>
      </c>
      <c r="BC350" s="67">
        <v>104</v>
      </c>
      <c r="BD350" s="96">
        <f t="shared" si="33"/>
        <v>288.43533333333329</v>
      </c>
      <c r="BE350" s="96">
        <f t="shared" si="34"/>
        <v>292.45877777777775</v>
      </c>
      <c r="BF350" s="67">
        <v>5.87</v>
      </c>
      <c r="BG350" s="67" t="s">
        <v>94</v>
      </c>
      <c r="BH350" s="61">
        <v>13</v>
      </c>
      <c r="BI350" s="61" t="s">
        <v>94</v>
      </c>
      <c r="BJ350" s="61">
        <v>44</v>
      </c>
      <c r="BK350" s="61" t="s">
        <v>94</v>
      </c>
      <c r="BL350" s="61">
        <v>74.900000000000006</v>
      </c>
      <c r="BM350" s="61" t="s">
        <v>94</v>
      </c>
      <c r="BN350" s="61">
        <v>22.2</v>
      </c>
      <c r="BO350" s="61" t="s">
        <v>94</v>
      </c>
      <c r="BP350" s="61">
        <v>29.6</v>
      </c>
      <c r="BQ350" s="61" t="s">
        <v>94</v>
      </c>
      <c r="BR350" s="61">
        <v>247</v>
      </c>
      <c r="BS350" s="61" t="s">
        <v>94</v>
      </c>
      <c r="BT350" s="61">
        <v>12.2</v>
      </c>
      <c r="BU350" s="61" t="s">
        <v>94</v>
      </c>
      <c r="BV350" s="164" t="s">
        <v>94</v>
      </c>
      <c r="BW350" s="164" t="s">
        <v>94</v>
      </c>
      <c r="BX350" s="61">
        <v>9.11</v>
      </c>
      <c r="BY350" s="61" t="s">
        <v>94</v>
      </c>
      <c r="BZ350" s="61">
        <v>60.3</v>
      </c>
      <c r="CA350" s="61" t="s">
        <v>94</v>
      </c>
      <c r="CB350" s="61">
        <v>26.1</v>
      </c>
      <c r="CC350" s="61" t="s">
        <v>94</v>
      </c>
      <c r="CD350" s="61">
        <v>8</v>
      </c>
      <c r="CE350" s="61" t="s">
        <v>94</v>
      </c>
      <c r="CF350" s="61">
        <v>4.43</v>
      </c>
      <c r="CG350" s="61" t="s">
        <v>94</v>
      </c>
      <c r="CH350" s="61">
        <v>1.21</v>
      </c>
      <c r="CI350" s="61" t="s">
        <v>94</v>
      </c>
      <c r="CJ350" s="86" t="b">
        <f t="shared" si="35"/>
        <v>0</v>
      </c>
      <c r="CK350" s="2" t="b">
        <f t="shared" si="36"/>
        <v>1</v>
      </c>
      <c r="CL350" s="98">
        <f t="shared" si="37"/>
        <v>65.063019999999995</v>
      </c>
      <c r="CM350" s="96">
        <v>81.400000000000006</v>
      </c>
      <c r="CN350" s="98">
        <v>178.5</v>
      </c>
      <c r="CO350" s="96" t="s">
        <v>129</v>
      </c>
      <c r="CP350" s="98">
        <v>52</v>
      </c>
      <c r="CQ350" s="98">
        <v>52</v>
      </c>
      <c r="CR350" s="170" t="s">
        <v>130</v>
      </c>
    </row>
    <row r="351" spans="1:96" ht="15.75" customHeight="1">
      <c r="A351" s="79">
        <v>2023</v>
      </c>
      <c r="B351" s="79" t="s">
        <v>172</v>
      </c>
      <c r="C351" s="61">
        <v>3277</v>
      </c>
      <c r="D351" s="61">
        <v>32</v>
      </c>
      <c r="E351" s="61">
        <v>77.3</v>
      </c>
      <c r="F351" s="61">
        <v>2</v>
      </c>
      <c r="G351" s="369" t="s">
        <v>86</v>
      </c>
      <c r="H351" s="369" t="s">
        <v>83</v>
      </c>
      <c r="I351" s="369" t="s">
        <v>87</v>
      </c>
      <c r="J351" s="369" t="s">
        <v>206</v>
      </c>
      <c r="K351" s="369">
        <v>62.5</v>
      </c>
      <c r="L351" s="369">
        <v>37.5</v>
      </c>
      <c r="M351" s="61">
        <v>671</v>
      </c>
      <c r="N351" s="61">
        <v>1635</v>
      </c>
      <c r="O351" s="61" t="s">
        <v>94</v>
      </c>
      <c r="P351" s="61" t="s">
        <v>94</v>
      </c>
      <c r="Q351" s="61" t="s">
        <v>94</v>
      </c>
      <c r="R351" s="61">
        <v>2.4</v>
      </c>
      <c r="S351" s="61">
        <v>206</v>
      </c>
      <c r="T351" s="61">
        <v>338</v>
      </c>
      <c r="U351" s="61">
        <v>49</v>
      </c>
      <c r="V351" s="61">
        <v>82</v>
      </c>
      <c r="W351" s="61">
        <v>5</v>
      </c>
      <c r="X351" s="61">
        <v>4.9000000000000004</v>
      </c>
      <c r="Y351" s="61">
        <v>30</v>
      </c>
      <c r="Z351" s="67">
        <v>56</v>
      </c>
      <c r="AA351" s="61">
        <v>16</v>
      </c>
      <c r="AB351" s="67">
        <v>25</v>
      </c>
      <c r="AC351" s="61">
        <v>5.5</v>
      </c>
      <c r="AD351" s="61">
        <v>5</v>
      </c>
      <c r="AE351" s="173" t="s">
        <v>94</v>
      </c>
      <c r="AF351" s="175" t="s">
        <v>94</v>
      </c>
      <c r="AG351" s="98">
        <v>4.8</v>
      </c>
      <c r="AH351" s="67">
        <v>50</v>
      </c>
      <c r="AI351" s="67">
        <v>0.8</v>
      </c>
      <c r="AJ351" s="52">
        <v>0.75</v>
      </c>
      <c r="AK351" s="269">
        <f t="shared" si="32"/>
        <v>0</v>
      </c>
      <c r="AL351" s="61">
        <v>3.8</v>
      </c>
      <c r="AM351" s="61">
        <v>3.7</v>
      </c>
      <c r="AN351" s="61">
        <v>8.5</v>
      </c>
      <c r="AO351" s="61">
        <v>7.6</v>
      </c>
      <c r="AP351" s="61">
        <v>47</v>
      </c>
      <c r="AQ351" s="61">
        <v>56</v>
      </c>
      <c r="AR351" s="61">
        <v>8.9</v>
      </c>
      <c r="AS351" s="67">
        <v>9.9</v>
      </c>
      <c r="AT351" s="61">
        <v>5</v>
      </c>
      <c r="AU351" s="61">
        <v>4.4000000000000004</v>
      </c>
      <c r="AV351" s="61">
        <v>89</v>
      </c>
      <c r="AW351" s="61">
        <v>94</v>
      </c>
      <c r="AX351" s="67">
        <v>145</v>
      </c>
      <c r="AY351" s="67">
        <v>142</v>
      </c>
      <c r="AZ351" s="67">
        <v>2.2000000000000002</v>
      </c>
      <c r="BA351" s="61">
        <v>2.2000000000000002</v>
      </c>
      <c r="BB351" s="61">
        <v>108</v>
      </c>
      <c r="BC351" s="67">
        <v>107</v>
      </c>
      <c r="BD351" s="96">
        <f t="shared" si="33"/>
        <v>299.48611111111114</v>
      </c>
      <c r="BE351" s="96">
        <f t="shared" si="34"/>
        <v>300.64288888888888</v>
      </c>
      <c r="BF351" s="67">
        <v>5.12</v>
      </c>
      <c r="BG351" s="67" t="s">
        <v>94</v>
      </c>
      <c r="BH351" s="61">
        <v>13.9</v>
      </c>
      <c r="BI351" s="61" t="s">
        <v>94</v>
      </c>
      <c r="BJ351" s="61">
        <v>42.8</v>
      </c>
      <c r="BK351" s="61" t="s">
        <v>94</v>
      </c>
      <c r="BL351" s="61">
        <v>83.6</v>
      </c>
      <c r="BM351" s="61" t="s">
        <v>94</v>
      </c>
      <c r="BN351" s="61">
        <v>27.3</v>
      </c>
      <c r="BO351" s="61" t="s">
        <v>94</v>
      </c>
      <c r="BP351" s="61">
        <v>32.6</v>
      </c>
      <c r="BQ351" s="61" t="s">
        <v>94</v>
      </c>
      <c r="BR351" s="61">
        <v>230</v>
      </c>
      <c r="BS351" s="61" t="s">
        <v>94</v>
      </c>
      <c r="BT351" s="61">
        <v>12.8</v>
      </c>
      <c r="BU351" s="61" t="s">
        <v>94</v>
      </c>
      <c r="BV351" s="164" t="s">
        <v>94</v>
      </c>
      <c r="BW351" s="164" t="s">
        <v>94</v>
      </c>
      <c r="BX351" s="61">
        <v>3.93</v>
      </c>
      <c r="BY351" s="61" t="s">
        <v>94</v>
      </c>
      <c r="BZ351" s="61">
        <v>55.2</v>
      </c>
      <c r="CA351" s="61" t="s">
        <v>94</v>
      </c>
      <c r="CB351" s="61">
        <v>33.200000000000003</v>
      </c>
      <c r="CC351" s="61" t="s">
        <v>94</v>
      </c>
      <c r="CD351" s="61">
        <v>10.4</v>
      </c>
      <c r="CE351" s="61" t="s">
        <v>94</v>
      </c>
      <c r="CF351" s="61">
        <v>0.53300000000000003</v>
      </c>
      <c r="CG351" s="61" t="s">
        <v>94</v>
      </c>
      <c r="CH351" s="61">
        <v>0.56100000000000005</v>
      </c>
      <c r="CI351" s="61" t="s">
        <v>94</v>
      </c>
      <c r="CJ351" s="86" t="b">
        <f t="shared" si="35"/>
        <v>0</v>
      </c>
      <c r="CK351" s="2" t="b">
        <f t="shared" si="36"/>
        <v>1</v>
      </c>
      <c r="CL351" s="98">
        <f t="shared" si="37"/>
        <v>67.988160000000008</v>
      </c>
      <c r="CM351" s="96">
        <v>77.400000000000006</v>
      </c>
      <c r="CN351" s="98">
        <v>172</v>
      </c>
      <c r="CO351" s="96" t="s">
        <v>131</v>
      </c>
      <c r="CP351" s="98">
        <v>52</v>
      </c>
      <c r="CQ351" s="98">
        <v>56</v>
      </c>
      <c r="CR351" s="170" t="s">
        <v>132</v>
      </c>
    </row>
    <row r="352" spans="1:96" ht="15.75" customHeight="1">
      <c r="A352" s="79">
        <v>2023</v>
      </c>
      <c r="B352" s="79" t="s">
        <v>172</v>
      </c>
      <c r="C352" s="61">
        <v>3278</v>
      </c>
      <c r="D352" s="61">
        <v>33</v>
      </c>
      <c r="E352" s="61">
        <v>89.6</v>
      </c>
      <c r="F352" s="61">
        <v>2</v>
      </c>
      <c r="G352" s="164" t="s">
        <v>94</v>
      </c>
      <c r="H352" s="164" t="s">
        <v>94</v>
      </c>
      <c r="I352" s="164" t="s">
        <v>94</v>
      </c>
      <c r="J352" s="164" t="s">
        <v>94</v>
      </c>
      <c r="K352" s="164" t="s">
        <v>94</v>
      </c>
      <c r="L352" s="164" t="s">
        <v>94</v>
      </c>
      <c r="M352" s="61">
        <v>672</v>
      </c>
      <c r="N352" s="61">
        <v>3232</v>
      </c>
      <c r="O352" s="61" t="s">
        <v>94</v>
      </c>
      <c r="P352" s="61" t="s">
        <v>94</v>
      </c>
      <c r="Q352" s="61" t="s">
        <v>94</v>
      </c>
      <c r="R352" s="61">
        <v>3.9</v>
      </c>
      <c r="S352" s="61">
        <v>222</v>
      </c>
      <c r="T352" s="61">
        <v>495</v>
      </c>
      <c r="U352" s="61">
        <v>62</v>
      </c>
      <c r="V352" s="61">
        <v>175</v>
      </c>
      <c r="W352" s="61">
        <v>4.9000000000000004</v>
      </c>
      <c r="X352" s="61">
        <v>4.4000000000000004</v>
      </c>
      <c r="Y352" s="61">
        <v>39</v>
      </c>
      <c r="Z352" s="67">
        <v>142</v>
      </c>
      <c r="AA352" s="67">
        <v>17</v>
      </c>
      <c r="AB352" s="67">
        <v>25</v>
      </c>
      <c r="AC352" s="61">
        <v>6.8</v>
      </c>
      <c r="AD352" s="61">
        <v>5</v>
      </c>
      <c r="AE352" s="173" t="s">
        <v>94</v>
      </c>
      <c r="AF352" s="175" t="s">
        <v>94</v>
      </c>
      <c r="AG352" s="98">
        <v>45</v>
      </c>
      <c r="AH352" s="61">
        <v>43</v>
      </c>
      <c r="AI352" s="61">
        <v>1</v>
      </c>
      <c r="AJ352" s="52" t="s">
        <v>94</v>
      </c>
      <c r="AK352" s="269" t="str">
        <f t="shared" si="32"/>
        <v>Dados Insuficientes</v>
      </c>
      <c r="AL352" s="61">
        <v>3.9</v>
      </c>
      <c r="AM352" s="61">
        <v>3.5</v>
      </c>
      <c r="AN352" s="61">
        <v>8.4</v>
      </c>
      <c r="AO352" s="61">
        <v>6.4</v>
      </c>
      <c r="AP352" s="61">
        <v>10</v>
      </c>
      <c r="AQ352" s="61">
        <v>21</v>
      </c>
      <c r="AR352" s="61">
        <v>8.8000000000000007</v>
      </c>
      <c r="AS352" s="67">
        <v>8.8000000000000007</v>
      </c>
      <c r="AT352" s="61">
        <v>4.5999999999999996</v>
      </c>
      <c r="AU352" s="61">
        <v>4.5</v>
      </c>
      <c r="AV352" s="61">
        <v>102</v>
      </c>
      <c r="AW352" s="61">
        <v>119</v>
      </c>
      <c r="AX352" s="67">
        <v>145</v>
      </c>
      <c r="AY352" s="67">
        <v>138</v>
      </c>
      <c r="AZ352" s="67">
        <v>2.1</v>
      </c>
      <c r="BA352" s="61">
        <v>2.1</v>
      </c>
      <c r="BB352" s="61">
        <v>111</v>
      </c>
      <c r="BC352" s="67">
        <v>105</v>
      </c>
      <c r="BD352" s="96">
        <f t="shared" si="33"/>
        <v>306.27266666666668</v>
      </c>
      <c r="BE352" s="96">
        <f t="shared" si="34"/>
        <v>293.81944444444446</v>
      </c>
      <c r="BF352" s="67">
        <v>5.31</v>
      </c>
      <c r="BG352" s="67">
        <v>4.58</v>
      </c>
      <c r="BH352" s="61">
        <v>15.1</v>
      </c>
      <c r="BI352" s="61">
        <v>12.6</v>
      </c>
      <c r="BJ352" s="61">
        <v>45.8</v>
      </c>
      <c r="BK352" s="61">
        <v>38.299999999999997</v>
      </c>
      <c r="BL352" s="61">
        <v>86.2</v>
      </c>
      <c r="BM352" s="61">
        <v>83.7</v>
      </c>
      <c r="BN352" s="61">
        <v>28.3</v>
      </c>
      <c r="BO352" s="61">
        <v>27.6</v>
      </c>
      <c r="BP352" s="61">
        <v>32.9</v>
      </c>
      <c r="BQ352" s="61">
        <v>33</v>
      </c>
      <c r="BR352" s="61">
        <v>266</v>
      </c>
      <c r="BS352" s="61">
        <v>296</v>
      </c>
      <c r="BT352" s="61">
        <v>12.1</v>
      </c>
      <c r="BU352" s="61">
        <v>13.6</v>
      </c>
      <c r="BV352" s="164" t="s">
        <v>94</v>
      </c>
      <c r="BW352" s="164" t="s">
        <v>94</v>
      </c>
      <c r="BX352" s="61">
        <v>8.69</v>
      </c>
      <c r="BY352" s="61">
        <v>10.11</v>
      </c>
      <c r="BZ352" s="61">
        <v>66.099999999999994</v>
      </c>
      <c r="CA352" s="61">
        <v>78.3</v>
      </c>
      <c r="CB352" s="61">
        <v>22.9</v>
      </c>
      <c r="CC352" s="61">
        <v>15.2</v>
      </c>
      <c r="CD352" s="61">
        <v>6.86</v>
      </c>
      <c r="CE352" s="61">
        <v>6.2</v>
      </c>
      <c r="CF352" s="61">
        <v>3.18</v>
      </c>
      <c r="CG352" s="61">
        <v>0.1</v>
      </c>
      <c r="CH352" s="61">
        <v>0.96599999999999997</v>
      </c>
      <c r="CI352" s="61">
        <v>0.2</v>
      </c>
      <c r="CJ352" s="86" t="e">
        <f t="shared" si="35"/>
        <v>#VALUE!</v>
      </c>
      <c r="CK352" s="2" t="b">
        <f t="shared" si="36"/>
        <v>1</v>
      </c>
      <c r="CL352" s="98">
        <f t="shared" si="37"/>
        <v>76.278030000000001</v>
      </c>
      <c r="CM352" s="96">
        <v>91.1</v>
      </c>
      <c r="CN352" s="98">
        <v>182</v>
      </c>
      <c r="CO352" s="96" t="s">
        <v>133</v>
      </c>
      <c r="CP352" s="98">
        <v>64</v>
      </c>
      <c r="CQ352" s="98">
        <v>64</v>
      </c>
      <c r="CR352" s="170" t="s">
        <v>134</v>
      </c>
    </row>
    <row r="353" spans="1:96" ht="15.75" customHeight="1">
      <c r="A353" s="79">
        <v>2023</v>
      </c>
      <c r="B353" s="79" t="s">
        <v>172</v>
      </c>
      <c r="C353" s="61">
        <v>3282</v>
      </c>
      <c r="D353" s="61">
        <v>34</v>
      </c>
      <c r="E353" s="61">
        <v>79.400000000000006</v>
      </c>
      <c r="F353" s="61">
        <v>2</v>
      </c>
      <c r="G353" s="369" t="s">
        <v>89</v>
      </c>
      <c r="H353" s="369" t="s">
        <v>92</v>
      </c>
      <c r="I353" s="369" t="s">
        <v>84</v>
      </c>
      <c r="J353" s="369" t="s">
        <v>206</v>
      </c>
      <c r="K353" s="369">
        <v>75</v>
      </c>
      <c r="L353" s="369">
        <v>25</v>
      </c>
      <c r="M353" s="61">
        <v>204</v>
      </c>
      <c r="N353" s="61">
        <v>2750</v>
      </c>
      <c r="O353" s="61" t="s">
        <v>94</v>
      </c>
      <c r="P353" s="174" t="s">
        <v>94</v>
      </c>
      <c r="Q353" s="61">
        <v>4.5999999999999996</v>
      </c>
      <c r="R353" s="61">
        <v>3.2</v>
      </c>
      <c r="S353" s="61">
        <v>224</v>
      </c>
      <c r="T353" s="61">
        <v>659</v>
      </c>
      <c r="U353" s="61">
        <v>26</v>
      </c>
      <c r="V353" s="61">
        <v>100</v>
      </c>
      <c r="W353" s="61">
        <v>4.2</v>
      </c>
      <c r="X353" s="61">
        <v>4.8</v>
      </c>
      <c r="Y353" s="61">
        <v>29</v>
      </c>
      <c r="Z353" s="67">
        <v>92</v>
      </c>
      <c r="AA353" s="61">
        <v>46</v>
      </c>
      <c r="AB353" s="67">
        <v>92</v>
      </c>
      <c r="AC353" s="61">
        <v>4.7</v>
      </c>
      <c r="AD353" s="61">
        <v>5.9</v>
      </c>
      <c r="AE353" s="173" t="s">
        <v>94</v>
      </c>
      <c r="AF353" s="175" t="s">
        <v>94</v>
      </c>
      <c r="AG353" s="98">
        <v>29</v>
      </c>
      <c r="AH353" s="61">
        <v>35</v>
      </c>
      <c r="AI353" s="67">
        <v>0.9</v>
      </c>
      <c r="AJ353" s="52">
        <v>1.19</v>
      </c>
      <c r="AK353" s="269">
        <f t="shared" si="32"/>
        <v>0.28999999999999992</v>
      </c>
      <c r="AL353" s="61">
        <v>3</v>
      </c>
      <c r="AM353" s="61">
        <v>3.9</v>
      </c>
      <c r="AN353" s="61">
        <v>6.6</v>
      </c>
      <c r="AO353" s="61">
        <v>7</v>
      </c>
      <c r="AP353" s="61">
        <v>12</v>
      </c>
      <c r="AQ353" s="98">
        <v>10</v>
      </c>
      <c r="AR353" s="61">
        <v>8.6</v>
      </c>
      <c r="AS353" s="67">
        <v>9.4</v>
      </c>
      <c r="AT353" s="61">
        <v>4.9000000000000004</v>
      </c>
      <c r="AU353" s="67">
        <v>3.8</v>
      </c>
      <c r="AV353" s="61">
        <v>127</v>
      </c>
      <c r="AW353" s="61">
        <v>98</v>
      </c>
      <c r="AX353" s="67">
        <v>134</v>
      </c>
      <c r="AY353" s="67">
        <v>139</v>
      </c>
      <c r="AZ353" s="61">
        <v>1.8</v>
      </c>
      <c r="BA353" s="61">
        <v>2.1</v>
      </c>
      <c r="BB353" s="61">
        <v>100</v>
      </c>
      <c r="BC353" s="61">
        <v>104</v>
      </c>
      <c r="BD353" s="96">
        <f t="shared" si="33"/>
        <v>285.30122222222224</v>
      </c>
      <c r="BE353" s="96">
        <f t="shared" si="34"/>
        <v>291.7024444444445</v>
      </c>
      <c r="BF353" s="61">
        <v>5.7</v>
      </c>
      <c r="BG353" s="61" t="s">
        <v>94</v>
      </c>
      <c r="BH353" s="61">
        <v>15</v>
      </c>
      <c r="BI353" s="61" t="s">
        <v>94</v>
      </c>
      <c r="BJ353" s="61">
        <v>49.1</v>
      </c>
      <c r="BK353" s="61" t="s">
        <v>94</v>
      </c>
      <c r="BL353" s="61">
        <v>86.2</v>
      </c>
      <c r="BM353" s="61" t="s">
        <v>94</v>
      </c>
      <c r="BN353" s="61">
        <v>26.4</v>
      </c>
      <c r="BO353" s="61" t="s">
        <v>94</v>
      </c>
      <c r="BP353" s="61">
        <v>30.6</v>
      </c>
      <c r="BQ353" s="61" t="s">
        <v>94</v>
      </c>
      <c r="BR353" s="61">
        <v>221</v>
      </c>
      <c r="BS353" s="61" t="s">
        <v>94</v>
      </c>
      <c r="BT353" s="61">
        <v>14</v>
      </c>
      <c r="BU353" s="61" t="s">
        <v>94</v>
      </c>
      <c r="BV353" s="164" t="s">
        <v>94</v>
      </c>
      <c r="BW353" s="164" t="s">
        <v>94</v>
      </c>
      <c r="BX353" s="61">
        <v>7.24</v>
      </c>
      <c r="BY353" s="61" t="s">
        <v>94</v>
      </c>
      <c r="BZ353" s="61">
        <v>87</v>
      </c>
      <c r="CA353" s="61" t="s">
        <v>94</v>
      </c>
      <c r="CB353" s="61">
        <v>10.1</v>
      </c>
      <c r="CC353" s="61" t="s">
        <v>94</v>
      </c>
      <c r="CD353" s="61">
        <v>2.3199999999999998</v>
      </c>
      <c r="CE353" s="61" t="s">
        <v>94</v>
      </c>
      <c r="CF353" s="61">
        <v>0.23499999999999999</v>
      </c>
      <c r="CG353" s="61" t="s">
        <v>94</v>
      </c>
      <c r="CH353" s="61">
        <v>0.34499999999999997</v>
      </c>
      <c r="CI353" s="61" t="s">
        <v>94</v>
      </c>
      <c r="CJ353" s="86" t="b">
        <f t="shared" si="35"/>
        <v>0</v>
      </c>
      <c r="CK353" s="2" t="b">
        <f t="shared" si="36"/>
        <v>1</v>
      </c>
      <c r="CL353" s="98">
        <f t="shared" si="37"/>
        <v>64.173225000000002</v>
      </c>
      <c r="CM353" s="96">
        <v>84.25</v>
      </c>
      <c r="CN353" s="98">
        <v>177</v>
      </c>
      <c r="CO353" s="96" t="s">
        <v>135</v>
      </c>
      <c r="CP353" s="98" t="s">
        <v>94</v>
      </c>
      <c r="CQ353" s="98" t="s">
        <v>94</v>
      </c>
      <c r="CR353" s="170" t="s">
        <v>136</v>
      </c>
    </row>
    <row r="354" spans="1:96" ht="15.75" customHeight="1">
      <c r="A354" s="79">
        <v>2023</v>
      </c>
      <c r="B354" s="79" t="s">
        <v>172</v>
      </c>
      <c r="C354" s="61">
        <v>3283</v>
      </c>
      <c r="D354" s="61">
        <v>33</v>
      </c>
      <c r="E354" s="61">
        <v>68.099999999999994</v>
      </c>
      <c r="F354" s="61">
        <v>2</v>
      </c>
      <c r="G354" s="369" t="s">
        <v>86</v>
      </c>
      <c r="H354" s="369" t="s">
        <v>92</v>
      </c>
      <c r="I354" s="369" t="s">
        <v>84</v>
      </c>
      <c r="J354" s="369">
        <v>0</v>
      </c>
      <c r="K354" s="369">
        <v>75</v>
      </c>
      <c r="L354" s="369">
        <v>25</v>
      </c>
      <c r="M354" s="61">
        <v>846</v>
      </c>
      <c r="N354" s="61">
        <v>5554</v>
      </c>
      <c r="O354" s="61" t="s">
        <v>94</v>
      </c>
      <c r="P354" s="61" t="s">
        <v>94</v>
      </c>
      <c r="Q354" s="61">
        <v>2.9</v>
      </c>
      <c r="R354" s="61">
        <v>3.3</v>
      </c>
      <c r="S354" s="61">
        <v>193</v>
      </c>
      <c r="T354" s="61">
        <v>511</v>
      </c>
      <c r="U354" s="61">
        <v>60</v>
      </c>
      <c r="V354" s="61">
        <v>271</v>
      </c>
      <c r="W354" s="61">
        <v>4.8</v>
      </c>
      <c r="X354" s="61">
        <v>4.9000000000000004</v>
      </c>
      <c r="Y354" s="61">
        <v>39</v>
      </c>
      <c r="Z354" s="61">
        <v>163</v>
      </c>
      <c r="AA354" s="61">
        <v>34</v>
      </c>
      <c r="AB354" s="67">
        <v>57</v>
      </c>
      <c r="AC354" s="61">
        <v>5.7</v>
      </c>
      <c r="AD354" s="61">
        <v>5.6</v>
      </c>
      <c r="AE354" s="173" t="s">
        <v>94</v>
      </c>
      <c r="AF354" s="175" t="s">
        <v>94</v>
      </c>
      <c r="AG354" s="98">
        <v>26</v>
      </c>
      <c r="AH354" s="61">
        <v>46</v>
      </c>
      <c r="AI354" s="67">
        <v>0.7</v>
      </c>
      <c r="AJ354" s="52">
        <v>0.92</v>
      </c>
      <c r="AK354" s="269">
        <f t="shared" si="32"/>
        <v>0.22000000000000008</v>
      </c>
      <c r="AL354" s="61">
        <v>3.2</v>
      </c>
      <c r="AM354" s="61">
        <v>3.5</v>
      </c>
      <c r="AN354" s="61">
        <v>7.8</v>
      </c>
      <c r="AO354" s="61">
        <v>7.8</v>
      </c>
      <c r="AP354" s="61">
        <v>26</v>
      </c>
      <c r="AQ354" s="98">
        <v>87</v>
      </c>
      <c r="AR354" s="61">
        <v>9.1999999999999993</v>
      </c>
      <c r="AS354" s="67">
        <v>9.6</v>
      </c>
      <c r="AT354" s="61">
        <v>4.5999999999999996</v>
      </c>
      <c r="AU354" s="61">
        <v>4.7</v>
      </c>
      <c r="AV354" s="61">
        <v>105</v>
      </c>
      <c r="AW354" s="61">
        <v>94</v>
      </c>
      <c r="AX354" s="67">
        <v>135</v>
      </c>
      <c r="AY354" s="67">
        <v>141</v>
      </c>
      <c r="AZ354" s="61">
        <v>1.9</v>
      </c>
      <c r="BA354" s="61">
        <v>2.1</v>
      </c>
      <c r="BB354" s="61">
        <v>98</v>
      </c>
      <c r="BC354" s="61">
        <v>103</v>
      </c>
      <c r="BD354" s="96">
        <f t="shared" si="33"/>
        <v>284.69766666666663</v>
      </c>
      <c r="BE354" s="96">
        <f t="shared" si="34"/>
        <v>298.67422222222223</v>
      </c>
      <c r="BF354" s="61">
        <v>4.41</v>
      </c>
      <c r="BG354" s="61">
        <v>4.92</v>
      </c>
      <c r="BH354" s="61">
        <v>13.5</v>
      </c>
      <c r="BI354" s="61">
        <v>13.2</v>
      </c>
      <c r="BJ354" s="61">
        <v>42.4</v>
      </c>
      <c r="BK354" s="61">
        <v>41.8</v>
      </c>
      <c r="BL354" s="61">
        <v>96.1</v>
      </c>
      <c r="BM354" s="61">
        <v>85</v>
      </c>
      <c r="BN354" s="61">
        <v>30.7</v>
      </c>
      <c r="BO354" s="61">
        <v>26.9</v>
      </c>
      <c r="BP354" s="61">
        <v>31.9</v>
      </c>
      <c r="BQ354" s="61">
        <v>31.6</v>
      </c>
      <c r="BR354" s="61">
        <v>176</v>
      </c>
      <c r="BS354" s="61">
        <v>273</v>
      </c>
      <c r="BT354" s="61">
        <v>11.9</v>
      </c>
      <c r="BU354" s="61">
        <v>14.3</v>
      </c>
      <c r="BV354" s="164" t="s">
        <v>94</v>
      </c>
      <c r="BW354" s="164" t="s">
        <v>94</v>
      </c>
      <c r="BX354" s="61">
        <v>4.43</v>
      </c>
      <c r="BY354" s="61">
        <v>13.44</v>
      </c>
      <c r="BZ354" s="61">
        <v>71.099999999999994</v>
      </c>
      <c r="CA354" s="61">
        <v>82.1</v>
      </c>
      <c r="CB354" s="61">
        <v>17.7</v>
      </c>
      <c r="CC354" s="61">
        <v>11.4</v>
      </c>
      <c r="CD354" s="61">
        <v>9.44</v>
      </c>
      <c r="CE354" s="61">
        <v>6</v>
      </c>
      <c r="CF354" s="61">
        <v>0.72799999999999998</v>
      </c>
      <c r="CG354" s="61">
        <v>0.5</v>
      </c>
      <c r="CH354" s="61">
        <v>1.06</v>
      </c>
      <c r="CI354" s="61">
        <v>0</v>
      </c>
      <c r="CJ354" s="86" t="b">
        <f t="shared" si="35"/>
        <v>0</v>
      </c>
      <c r="CK354" s="2" t="b">
        <f t="shared" si="36"/>
        <v>1</v>
      </c>
      <c r="CL354" s="98">
        <f t="shared" si="37"/>
        <v>62.813019999999995</v>
      </c>
      <c r="CM354" s="96">
        <v>69.8</v>
      </c>
      <c r="CN354" s="98">
        <v>175</v>
      </c>
      <c r="CO354" s="96" t="s">
        <v>137</v>
      </c>
      <c r="CP354" s="98">
        <v>70</v>
      </c>
      <c r="CQ354" s="98">
        <v>61</v>
      </c>
      <c r="CR354" s="170" t="s">
        <v>138</v>
      </c>
    </row>
    <row r="355" spans="1:96" ht="15.75" customHeight="1">
      <c r="A355" s="79">
        <v>2023</v>
      </c>
      <c r="B355" s="79" t="s">
        <v>172</v>
      </c>
      <c r="C355" s="61">
        <v>3289</v>
      </c>
      <c r="D355" s="61">
        <v>34</v>
      </c>
      <c r="E355" s="61">
        <v>77.7</v>
      </c>
      <c r="F355" s="61">
        <v>2</v>
      </c>
      <c r="G355" s="369" t="s">
        <v>86</v>
      </c>
      <c r="H355" s="369" t="s">
        <v>92</v>
      </c>
      <c r="I355" s="369" t="s">
        <v>93</v>
      </c>
      <c r="J355" s="369" t="s">
        <v>205</v>
      </c>
      <c r="K355" s="369">
        <v>75</v>
      </c>
      <c r="L355" s="369">
        <v>25</v>
      </c>
      <c r="M355" s="61">
        <v>374</v>
      </c>
      <c r="N355" s="61">
        <v>3380</v>
      </c>
      <c r="O355" s="61" t="s">
        <v>94</v>
      </c>
      <c r="P355" s="61" t="s">
        <v>94</v>
      </c>
      <c r="Q355" s="61">
        <v>4</v>
      </c>
      <c r="R355" s="61">
        <v>4.3</v>
      </c>
      <c r="S355" s="61">
        <v>173</v>
      </c>
      <c r="T355" s="61">
        <v>476</v>
      </c>
      <c r="U355" s="61">
        <v>30</v>
      </c>
      <c r="V355" s="61">
        <v>105</v>
      </c>
      <c r="W355" s="61">
        <v>3.9</v>
      </c>
      <c r="X355" s="61">
        <v>4.7</v>
      </c>
      <c r="Y355" s="61">
        <v>24</v>
      </c>
      <c r="Z355" s="61">
        <v>80</v>
      </c>
      <c r="AA355" s="61">
        <v>19</v>
      </c>
      <c r="AB355" s="61">
        <v>19</v>
      </c>
      <c r="AC355" s="61">
        <v>4.3</v>
      </c>
      <c r="AD355" s="61">
        <v>4.8</v>
      </c>
      <c r="AE355" s="164" t="s">
        <v>94</v>
      </c>
      <c r="AF355" s="164" t="s">
        <v>94</v>
      </c>
      <c r="AG355" s="61">
        <v>22</v>
      </c>
      <c r="AH355" s="61">
        <v>33</v>
      </c>
      <c r="AI355" s="67">
        <v>0.8</v>
      </c>
      <c r="AJ355" s="52">
        <v>0.9</v>
      </c>
      <c r="AK355" s="269">
        <f t="shared" si="32"/>
        <v>9.9999999999999978E-2</v>
      </c>
      <c r="AL355" s="61">
        <v>2.5</v>
      </c>
      <c r="AM355" s="61">
        <v>4</v>
      </c>
      <c r="AN355" s="61">
        <v>6.4</v>
      </c>
      <c r="AO355" s="61">
        <v>7</v>
      </c>
      <c r="AP355" s="61">
        <v>29</v>
      </c>
      <c r="AQ355" s="61">
        <v>27</v>
      </c>
      <c r="AR355" s="61">
        <v>7.2</v>
      </c>
      <c r="AS355" s="67">
        <v>9</v>
      </c>
      <c r="AT355" s="61">
        <v>4.5</v>
      </c>
      <c r="AU355" s="61">
        <v>4.5</v>
      </c>
      <c r="AV355" s="61">
        <v>78</v>
      </c>
      <c r="AW355" s="61">
        <v>92</v>
      </c>
      <c r="AX355" s="98">
        <v>134</v>
      </c>
      <c r="AY355" s="61">
        <v>139</v>
      </c>
      <c r="AZ355" s="61">
        <v>2.1</v>
      </c>
      <c r="BA355" s="61">
        <v>2.4</v>
      </c>
      <c r="BB355" s="61">
        <v>102</v>
      </c>
      <c r="BC355" s="61">
        <v>105</v>
      </c>
      <c r="BD355" s="96">
        <f t="shared" si="33"/>
        <v>280.26000000000005</v>
      </c>
      <c r="BE355" s="96">
        <f t="shared" si="34"/>
        <v>292.28777777777782</v>
      </c>
      <c r="BF355" s="61">
        <v>4.92</v>
      </c>
      <c r="BG355" s="61" t="s">
        <v>94</v>
      </c>
      <c r="BH355" s="61">
        <v>15.4</v>
      </c>
      <c r="BI355" s="61" t="s">
        <v>94</v>
      </c>
      <c r="BJ355" s="61">
        <v>48.2</v>
      </c>
      <c r="BK355" s="61" t="s">
        <v>94</v>
      </c>
      <c r="BL355" s="61">
        <v>98</v>
      </c>
      <c r="BM355" s="61" t="s">
        <v>94</v>
      </c>
      <c r="BN355" s="61">
        <v>31.2</v>
      </c>
      <c r="BO355" s="61" t="s">
        <v>94</v>
      </c>
      <c r="BP355" s="61">
        <v>31.8</v>
      </c>
      <c r="BQ355" s="61" t="s">
        <v>94</v>
      </c>
      <c r="BR355" s="61">
        <v>234</v>
      </c>
      <c r="BS355" s="61" t="s">
        <v>94</v>
      </c>
      <c r="BT355" s="61">
        <v>13.5</v>
      </c>
      <c r="BU355" s="61" t="s">
        <v>94</v>
      </c>
      <c r="BV355" s="164" t="s">
        <v>94</v>
      </c>
      <c r="BW355" s="164" t="s">
        <v>94</v>
      </c>
      <c r="BX355" s="61">
        <v>4.46</v>
      </c>
      <c r="BY355" s="61" t="s">
        <v>94</v>
      </c>
      <c r="BZ355" s="61">
        <v>43.4</v>
      </c>
      <c r="CA355" s="61" t="s">
        <v>94</v>
      </c>
      <c r="CB355" s="61">
        <v>46.4</v>
      </c>
      <c r="CC355" s="61" t="s">
        <v>94</v>
      </c>
      <c r="CD355" s="61">
        <v>7.76</v>
      </c>
      <c r="CE355" s="61" t="s">
        <v>94</v>
      </c>
      <c r="CF355" s="61">
        <v>0.93899999999999995</v>
      </c>
      <c r="CG355" s="61" t="s">
        <v>94</v>
      </c>
      <c r="CH355" s="61">
        <v>1.48</v>
      </c>
      <c r="CI355" s="61" t="s">
        <v>94</v>
      </c>
      <c r="CJ355" s="86" t="b">
        <f t="shared" si="35"/>
        <v>0</v>
      </c>
      <c r="CK355" s="2" t="b">
        <f t="shared" si="36"/>
        <v>1</v>
      </c>
      <c r="CL355" s="98">
        <f t="shared" si="37"/>
        <v>67.389839999999992</v>
      </c>
      <c r="CM355" s="96">
        <v>75.599999999999994</v>
      </c>
      <c r="CN355" s="98">
        <v>177</v>
      </c>
      <c r="CO355" s="96" t="s">
        <v>139</v>
      </c>
      <c r="CP355" s="98">
        <v>60</v>
      </c>
      <c r="CQ355" s="98">
        <v>59</v>
      </c>
      <c r="CR355" s="170" t="s">
        <v>140</v>
      </c>
    </row>
    <row r="356" spans="1:96" ht="15.75" customHeight="1">
      <c r="A356" s="79">
        <v>2023</v>
      </c>
      <c r="B356" s="79" t="s">
        <v>172</v>
      </c>
      <c r="C356" s="61">
        <v>3291</v>
      </c>
      <c r="D356" s="61">
        <v>32</v>
      </c>
      <c r="E356" s="61">
        <v>81.7</v>
      </c>
      <c r="F356" s="61">
        <v>2</v>
      </c>
      <c r="G356" s="369" t="s">
        <v>82</v>
      </c>
      <c r="H356" s="369" t="s">
        <v>83</v>
      </c>
      <c r="I356" s="369" t="s">
        <v>84</v>
      </c>
      <c r="J356" s="369">
        <v>0</v>
      </c>
      <c r="K356" s="369">
        <v>37.5</v>
      </c>
      <c r="L356" s="369">
        <v>62.5</v>
      </c>
      <c r="M356" s="61">
        <v>1276</v>
      </c>
      <c r="N356" s="61">
        <v>2440</v>
      </c>
      <c r="O356" s="61" t="s">
        <v>94</v>
      </c>
      <c r="P356" s="61" t="s">
        <v>94</v>
      </c>
      <c r="Q356" s="61">
        <v>3.1</v>
      </c>
      <c r="R356" s="61">
        <v>2.9</v>
      </c>
      <c r="S356" s="61">
        <v>2.5</v>
      </c>
      <c r="T356" s="61">
        <v>530</v>
      </c>
      <c r="U356" s="61">
        <v>94</v>
      </c>
      <c r="V356" s="61">
        <v>138</v>
      </c>
      <c r="W356" s="61">
        <v>5.0999999999999996</v>
      </c>
      <c r="X356" s="61">
        <v>4.5</v>
      </c>
      <c r="Y356" s="61">
        <v>49</v>
      </c>
      <c r="Z356" s="61">
        <v>119</v>
      </c>
      <c r="AA356" s="61">
        <v>30</v>
      </c>
      <c r="AB356" s="61">
        <v>28</v>
      </c>
      <c r="AC356" s="61">
        <v>3.4</v>
      </c>
      <c r="AD356" s="61">
        <v>5.0999999999999996</v>
      </c>
      <c r="AE356" s="164" t="s">
        <v>94</v>
      </c>
      <c r="AF356" s="164" t="s">
        <v>94</v>
      </c>
      <c r="AG356" s="61">
        <v>28</v>
      </c>
      <c r="AH356" s="61">
        <v>37</v>
      </c>
      <c r="AI356" s="67">
        <v>0.9</v>
      </c>
      <c r="AJ356" s="52">
        <v>0.99</v>
      </c>
      <c r="AK356" s="269">
        <f t="shared" si="32"/>
        <v>8.9999999999999969E-2</v>
      </c>
      <c r="AL356" s="61">
        <v>4.0999999999999996</v>
      </c>
      <c r="AM356" s="61">
        <v>4.5999999999999996</v>
      </c>
      <c r="AN356" s="61">
        <v>8.1999999999999993</v>
      </c>
      <c r="AO356" s="61">
        <v>6.8</v>
      </c>
      <c r="AP356" s="61">
        <v>46</v>
      </c>
      <c r="AQ356" s="61">
        <v>74</v>
      </c>
      <c r="AR356" s="61">
        <v>8.6999999999999993</v>
      </c>
      <c r="AS356" s="67">
        <v>9.1999999999999993</v>
      </c>
      <c r="AT356" s="61">
        <v>5</v>
      </c>
      <c r="AU356" s="61">
        <v>4.3</v>
      </c>
      <c r="AV356" s="61">
        <v>97</v>
      </c>
      <c r="AW356" s="61">
        <v>104</v>
      </c>
      <c r="AX356" s="98">
        <v>141</v>
      </c>
      <c r="AY356" s="61">
        <v>140</v>
      </c>
      <c r="AZ356" s="61">
        <v>2.2000000000000002</v>
      </c>
      <c r="BA356" s="61">
        <v>2.2000000000000002</v>
      </c>
      <c r="BB356" s="61">
        <v>108</v>
      </c>
      <c r="BC356" s="61">
        <v>104</v>
      </c>
      <c r="BD356" s="96">
        <f t="shared" si="33"/>
        <v>296.42388888888888</v>
      </c>
      <c r="BE356" s="96">
        <f t="shared" si="34"/>
        <v>295.20911111111116</v>
      </c>
      <c r="BF356" s="61">
        <v>6.28</v>
      </c>
      <c r="BG356" s="61">
        <v>4.3499999999999996</v>
      </c>
      <c r="BH356" s="61">
        <v>13.6</v>
      </c>
      <c r="BI356" s="61">
        <v>13.9</v>
      </c>
      <c r="BJ356" s="61">
        <v>46.1</v>
      </c>
      <c r="BK356" s="61">
        <v>42.1</v>
      </c>
      <c r="BL356" s="61">
        <v>73.400000000000006</v>
      </c>
      <c r="BM356" s="61">
        <v>96.8</v>
      </c>
      <c r="BN356" s="61">
        <v>21.7</v>
      </c>
      <c r="BO356" s="61">
        <v>31.9</v>
      </c>
      <c r="BP356" s="61">
        <v>29.5</v>
      </c>
      <c r="BQ356" s="61">
        <v>33</v>
      </c>
      <c r="BR356" s="61">
        <v>279</v>
      </c>
      <c r="BS356" s="61">
        <v>280</v>
      </c>
      <c r="BT356" s="61">
        <v>13.2</v>
      </c>
      <c r="BU356" s="61">
        <v>13.2</v>
      </c>
      <c r="BV356" s="164" t="s">
        <v>94</v>
      </c>
      <c r="BW356" s="164" t="s">
        <v>94</v>
      </c>
      <c r="BX356" s="61">
        <v>9.3699999999999992</v>
      </c>
      <c r="BY356" s="61">
        <v>9.75</v>
      </c>
      <c r="BZ356" s="61">
        <v>80.400000000000006</v>
      </c>
      <c r="CA356" s="61">
        <v>75.099999999999994</v>
      </c>
      <c r="CB356" s="61">
        <v>11.2</v>
      </c>
      <c r="CC356" s="61">
        <v>18.7</v>
      </c>
      <c r="CD356" s="61">
        <v>7.76</v>
      </c>
      <c r="CE356" s="61">
        <v>5.6</v>
      </c>
      <c r="CF356" s="61">
        <v>3.6999999999999998E-2</v>
      </c>
      <c r="CG356" s="61">
        <v>0.5</v>
      </c>
      <c r="CH356" s="61">
        <v>0.52800000000000002</v>
      </c>
      <c r="CI356" s="61">
        <v>0.1</v>
      </c>
      <c r="CJ356" s="86" t="b">
        <f t="shared" si="35"/>
        <v>0</v>
      </c>
      <c r="CK356" s="2" t="b">
        <f t="shared" si="36"/>
        <v>1</v>
      </c>
      <c r="CL356" s="98">
        <f t="shared" si="37"/>
        <v>63.856044999999995</v>
      </c>
      <c r="CM356" s="96">
        <v>79.849999999999994</v>
      </c>
      <c r="CN356" s="98">
        <v>178.5</v>
      </c>
      <c r="CO356" s="96" t="s">
        <v>141</v>
      </c>
      <c r="CP356" s="98">
        <v>50</v>
      </c>
      <c r="CQ356" s="98">
        <v>56</v>
      </c>
      <c r="CR356" s="170" t="s">
        <v>142</v>
      </c>
    </row>
    <row r="357" spans="1:96" ht="15.75" customHeight="1">
      <c r="A357" s="79">
        <v>2023</v>
      </c>
      <c r="B357" s="79" t="s">
        <v>172</v>
      </c>
      <c r="C357" s="61">
        <v>3292</v>
      </c>
      <c r="D357" s="61">
        <v>30</v>
      </c>
      <c r="E357" s="61">
        <v>73.900000000000006</v>
      </c>
      <c r="F357" s="61">
        <v>2</v>
      </c>
      <c r="G357" s="164" t="s">
        <v>94</v>
      </c>
      <c r="H357" s="164" t="s">
        <v>94</v>
      </c>
      <c r="I357" s="164" t="s">
        <v>94</v>
      </c>
      <c r="J357" s="164" t="s">
        <v>94</v>
      </c>
      <c r="K357" s="164" t="s">
        <v>94</v>
      </c>
      <c r="L357" s="164" t="s">
        <v>94</v>
      </c>
      <c r="M357" s="61">
        <v>714</v>
      </c>
      <c r="N357" s="61">
        <v>9503</v>
      </c>
      <c r="O357" s="61" t="s">
        <v>94</v>
      </c>
      <c r="P357" s="61" t="s">
        <v>94</v>
      </c>
      <c r="Q357" s="61">
        <v>2.1</v>
      </c>
      <c r="R357" s="61">
        <v>2.8</v>
      </c>
      <c r="S357" s="61">
        <v>238</v>
      </c>
      <c r="T357" s="61">
        <v>864</v>
      </c>
      <c r="U357" s="61">
        <v>54</v>
      </c>
      <c r="V357" s="61">
        <v>386</v>
      </c>
      <c r="W357" s="61">
        <v>5</v>
      </c>
      <c r="X357" s="61">
        <v>4.5</v>
      </c>
      <c r="Y357" s="61">
        <v>40</v>
      </c>
      <c r="Z357" s="61">
        <v>203</v>
      </c>
      <c r="AA357" s="61">
        <v>22</v>
      </c>
      <c r="AB357" s="61">
        <v>50</v>
      </c>
      <c r="AC357" s="61">
        <v>3.5</v>
      </c>
      <c r="AD357" s="61">
        <v>4.8</v>
      </c>
      <c r="AE357" s="164" t="s">
        <v>94</v>
      </c>
      <c r="AF357" s="164" t="s">
        <v>94</v>
      </c>
      <c r="AG357" s="61">
        <v>28</v>
      </c>
      <c r="AH357" s="61">
        <v>67</v>
      </c>
      <c r="AI357" s="67">
        <v>1.4</v>
      </c>
      <c r="AJ357" s="52" t="s">
        <v>94</v>
      </c>
      <c r="AK357" s="269" t="str">
        <f t="shared" si="32"/>
        <v>Dados Insuficientes</v>
      </c>
      <c r="AL357" s="61">
        <v>4.5</v>
      </c>
      <c r="AM357" s="61">
        <v>4.0999999999999996</v>
      </c>
      <c r="AN357" s="61">
        <v>8.1999999999999993</v>
      </c>
      <c r="AO357" s="61">
        <v>6.8</v>
      </c>
      <c r="AP357" s="61">
        <v>26</v>
      </c>
      <c r="AQ357" s="61">
        <v>33</v>
      </c>
      <c r="AR357" s="61">
        <v>8.9</v>
      </c>
      <c r="AS357" s="61">
        <v>9</v>
      </c>
      <c r="AT357" s="61">
        <v>4.8</v>
      </c>
      <c r="AU357" s="61">
        <v>4.5</v>
      </c>
      <c r="AV357" s="61">
        <v>106</v>
      </c>
      <c r="AW357" s="61">
        <v>98</v>
      </c>
      <c r="AX357" s="61">
        <v>143</v>
      </c>
      <c r="AY357" s="61">
        <v>135</v>
      </c>
      <c r="AZ357" s="61">
        <v>2</v>
      </c>
      <c r="BA357" s="61">
        <v>1.9</v>
      </c>
      <c r="BB357" s="61">
        <v>109</v>
      </c>
      <c r="BC357" s="61">
        <v>102</v>
      </c>
      <c r="BD357" s="96">
        <f t="shared" si="33"/>
        <v>300.34688888888894</v>
      </c>
      <c r="BE357" s="96">
        <f t="shared" si="34"/>
        <v>290.89777777777783</v>
      </c>
      <c r="BF357" s="61">
        <v>5.68</v>
      </c>
      <c r="BG357" s="61">
        <v>5.53</v>
      </c>
      <c r="BH357" s="61">
        <v>14.2</v>
      </c>
      <c r="BI357" s="61">
        <v>12.7</v>
      </c>
      <c r="BJ357" s="61">
        <v>45.4</v>
      </c>
      <c r="BK357" s="61">
        <v>39.6</v>
      </c>
      <c r="BL357" s="61">
        <v>79.8</v>
      </c>
      <c r="BM357" s="61">
        <v>71.5</v>
      </c>
      <c r="BN357" s="61">
        <v>25</v>
      </c>
      <c r="BO357" s="61">
        <v>22.9</v>
      </c>
      <c r="BP357" s="61">
        <v>31.4</v>
      </c>
      <c r="BQ357" s="61">
        <v>32</v>
      </c>
      <c r="BR357" s="61">
        <v>262</v>
      </c>
      <c r="BS357" s="61">
        <v>312</v>
      </c>
      <c r="BT357" s="61">
        <v>12.8</v>
      </c>
      <c r="BU357" s="61">
        <v>14.2</v>
      </c>
      <c r="BV357" s="164" t="s">
        <v>94</v>
      </c>
      <c r="BW357" s="164" t="s">
        <v>94</v>
      </c>
      <c r="BX357" s="61">
        <v>5.13</v>
      </c>
      <c r="BY357" s="61">
        <v>13.82</v>
      </c>
      <c r="BZ357" s="61">
        <v>70.5</v>
      </c>
      <c r="CA357" s="61">
        <v>80.099999999999994</v>
      </c>
      <c r="CB357" s="61">
        <v>19.8</v>
      </c>
      <c r="CC357" s="61">
        <v>10.7</v>
      </c>
      <c r="CD357" s="61">
        <v>7.3</v>
      </c>
      <c r="CE357" s="61">
        <v>9.1</v>
      </c>
      <c r="CF357" s="61">
        <v>0.36899999999999999</v>
      </c>
      <c r="CG357" s="61">
        <v>0.4</v>
      </c>
      <c r="CH357" s="61">
        <v>1.98</v>
      </c>
      <c r="CI357" s="61">
        <v>0.1</v>
      </c>
      <c r="CJ357" s="86" t="e">
        <f t="shared" si="35"/>
        <v>#VALUE!</v>
      </c>
      <c r="CK357" s="2" t="b">
        <f t="shared" si="36"/>
        <v>1</v>
      </c>
      <c r="CL357" s="98">
        <f t="shared" si="37"/>
        <v>68.712220000000002</v>
      </c>
      <c r="CM357" s="96">
        <v>73.900000000000006</v>
      </c>
      <c r="CN357" s="98">
        <v>188</v>
      </c>
      <c r="CO357" s="96" t="s">
        <v>143</v>
      </c>
      <c r="CP357" s="98">
        <v>43</v>
      </c>
      <c r="CQ357" s="98">
        <v>47</v>
      </c>
      <c r="CR357" s="170" t="s">
        <v>144</v>
      </c>
    </row>
    <row r="358" spans="1:96" ht="15.75" customHeight="1">
      <c r="A358" s="79">
        <v>2023</v>
      </c>
      <c r="B358" s="79" t="s">
        <v>172</v>
      </c>
      <c r="C358" s="61">
        <v>3296</v>
      </c>
      <c r="D358" s="61">
        <v>32</v>
      </c>
      <c r="E358" s="61">
        <v>69.2</v>
      </c>
      <c r="F358" s="61">
        <v>1</v>
      </c>
      <c r="G358" s="164" t="s">
        <v>94</v>
      </c>
      <c r="H358" s="164" t="s">
        <v>94</v>
      </c>
      <c r="I358" s="164" t="s">
        <v>94</v>
      </c>
      <c r="J358" s="164" t="s">
        <v>94</v>
      </c>
      <c r="K358" s="164" t="s">
        <v>94</v>
      </c>
      <c r="L358" s="164" t="s">
        <v>94</v>
      </c>
      <c r="M358" s="61">
        <v>389</v>
      </c>
      <c r="N358" s="61">
        <v>4570</v>
      </c>
      <c r="O358" s="61" t="s">
        <v>94</v>
      </c>
      <c r="P358" s="61" t="s">
        <v>94</v>
      </c>
      <c r="Q358" s="61">
        <v>3</v>
      </c>
      <c r="R358" s="61">
        <v>3.7</v>
      </c>
      <c r="S358" s="61">
        <v>225</v>
      </c>
      <c r="T358" s="61">
        <v>485</v>
      </c>
      <c r="U358" s="61">
        <v>34</v>
      </c>
      <c r="V358" s="61">
        <v>213</v>
      </c>
      <c r="W358" s="67">
        <v>5.5</v>
      </c>
      <c r="X358" s="61">
        <v>4.3</v>
      </c>
      <c r="Y358" s="61">
        <v>28</v>
      </c>
      <c r="Z358" s="61">
        <v>109</v>
      </c>
      <c r="AA358" s="61">
        <v>25</v>
      </c>
      <c r="AB358" s="61">
        <v>39</v>
      </c>
      <c r="AC358" s="61">
        <v>5.9</v>
      </c>
      <c r="AD358" s="61">
        <v>6.3</v>
      </c>
      <c r="AE358" s="164" t="s">
        <v>94</v>
      </c>
      <c r="AF358" s="164" t="s">
        <v>94</v>
      </c>
      <c r="AG358" s="61">
        <v>39</v>
      </c>
      <c r="AH358" s="61">
        <v>37</v>
      </c>
      <c r="AI358" s="61">
        <v>0.8</v>
      </c>
      <c r="AJ358" s="52" t="s">
        <v>94</v>
      </c>
      <c r="AK358" s="269" t="str">
        <f t="shared" si="32"/>
        <v>Dados Insuficientes</v>
      </c>
      <c r="AL358" s="61">
        <v>4.2</v>
      </c>
      <c r="AM358" s="61">
        <v>3.8</v>
      </c>
      <c r="AN358" s="61">
        <v>8.4</v>
      </c>
      <c r="AO358" s="61">
        <v>6.9</v>
      </c>
      <c r="AP358" s="61">
        <v>47</v>
      </c>
      <c r="AQ358" s="61">
        <v>27</v>
      </c>
      <c r="AR358" s="61">
        <v>9.1</v>
      </c>
      <c r="AS358" s="61">
        <v>9.4</v>
      </c>
      <c r="AT358" s="61">
        <v>5</v>
      </c>
      <c r="AU358" s="61">
        <v>3.9</v>
      </c>
      <c r="AV358" s="61">
        <v>86</v>
      </c>
      <c r="AW358" s="61">
        <v>130</v>
      </c>
      <c r="AX358" s="61">
        <v>148</v>
      </c>
      <c r="AY358" s="61">
        <v>139</v>
      </c>
      <c r="AZ358" s="61">
        <v>2.2999999999999998</v>
      </c>
      <c r="BA358" s="61">
        <v>2.1</v>
      </c>
      <c r="BB358" s="61">
        <v>110</v>
      </c>
      <c r="BC358" s="61">
        <v>105</v>
      </c>
      <c r="BD358" s="96">
        <f t="shared" si="33"/>
        <v>310.57444444444451</v>
      </c>
      <c r="BE358" s="96">
        <f t="shared" si="34"/>
        <v>294.26622222222227</v>
      </c>
      <c r="BF358" s="61">
        <v>5.71</v>
      </c>
      <c r="BG358" s="61" t="s">
        <v>94</v>
      </c>
      <c r="BH358" s="61">
        <v>15.7</v>
      </c>
      <c r="BI358" s="61" t="s">
        <v>94</v>
      </c>
      <c r="BJ358" s="61">
        <v>48.5</v>
      </c>
      <c r="BK358" s="61" t="s">
        <v>94</v>
      </c>
      <c r="BL358" s="61">
        <v>84.9</v>
      </c>
      <c r="BM358" s="61" t="s">
        <v>94</v>
      </c>
      <c r="BN358" s="61">
        <v>27.5</v>
      </c>
      <c r="BO358" s="61" t="s">
        <v>94</v>
      </c>
      <c r="BP358" s="61">
        <v>32.4</v>
      </c>
      <c r="BQ358" s="61" t="s">
        <v>94</v>
      </c>
      <c r="BR358" s="61">
        <v>218</v>
      </c>
      <c r="BS358" s="61" t="s">
        <v>94</v>
      </c>
      <c r="BT358" s="61">
        <v>11.3</v>
      </c>
      <c r="BU358" s="61" t="s">
        <v>94</v>
      </c>
      <c r="BV358" s="164" t="s">
        <v>94</v>
      </c>
      <c r="BW358" s="164" t="s">
        <v>94</v>
      </c>
      <c r="BX358" s="61">
        <v>3.76</v>
      </c>
      <c r="BY358" s="61" t="s">
        <v>94</v>
      </c>
      <c r="BZ358" s="61">
        <v>70.900000000000006</v>
      </c>
      <c r="CA358" s="61" t="s">
        <v>94</v>
      </c>
      <c r="CB358" s="61">
        <v>20.8</v>
      </c>
      <c r="CC358" s="61" t="s">
        <v>94</v>
      </c>
      <c r="CD358" s="61">
        <v>5.61</v>
      </c>
      <c r="CE358" s="61" t="s">
        <v>94</v>
      </c>
      <c r="CF358" s="61">
        <v>2.02</v>
      </c>
      <c r="CG358" s="61" t="s">
        <v>94</v>
      </c>
      <c r="CH358" s="61">
        <v>0.67200000000000004</v>
      </c>
      <c r="CI358" s="61" t="s">
        <v>94</v>
      </c>
      <c r="CJ358" s="86" t="e">
        <f t="shared" si="35"/>
        <v>#VALUE!</v>
      </c>
      <c r="CK358" s="2" t="b">
        <f t="shared" si="36"/>
        <v>1</v>
      </c>
      <c r="CL358" s="98">
        <f t="shared" si="37"/>
        <v>63.499780000000001</v>
      </c>
      <c r="CM358" s="96">
        <v>71.3</v>
      </c>
      <c r="CN358" s="98">
        <v>175.5</v>
      </c>
      <c r="CO358" s="96" t="s">
        <v>147</v>
      </c>
      <c r="CP358" s="98">
        <v>59</v>
      </c>
      <c r="CQ358" s="98">
        <v>58</v>
      </c>
      <c r="CR358" s="61" t="s">
        <v>148</v>
      </c>
    </row>
    <row r="359" spans="1:96" ht="15.75" customHeight="1">
      <c r="A359" s="79">
        <v>2023</v>
      </c>
      <c r="B359" s="79" t="s">
        <v>172</v>
      </c>
      <c r="C359" s="61">
        <v>3305</v>
      </c>
      <c r="D359" s="61">
        <v>33</v>
      </c>
      <c r="E359" s="61">
        <v>83.4</v>
      </c>
      <c r="F359" s="61">
        <v>2</v>
      </c>
      <c r="G359" s="164" t="s">
        <v>94</v>
      </c>
      <c r="H359" s="164" t="s">
        <v>94</v>
      </c>
      <c r="I359" s="164" t="s">
        <v>94</v>
      </c>
      <c r="J359" s="164" t="s">
        <v>94</v>
      </c>
      <c r="K359" s="164" t="s">
        <v>94</v>
      </c>
      <c r="L359" s="164" t="s">
        <v>94</v>
      </c>
      <c r="M359" s="61">
        <v>391</v>
      </c>
      <c r="N359" s="61">
        <v>1701</v>
      </c>
      <c r="O359" s="61" t="s">
        <v>94</v>
      </c>
      <c r="P359" s="61" t="s">
        <v>94</v>
      </c>
      <c r="Q359" s="61">
        <v>2.8</v>
      </c>
      <c r="R359" s="61">
        <v>2.5</v>
      </c>
      <c r="S359" s="61">
        <v>184</v>
      </c>
      <c r="T359" s="61">
        <v>309</v>
      </c>
      <c r="U359" s="61">
        <v>36</v>
      </c>
      <c r="V359" s="61">
        <v>69</v>
      </c>
      <c r="W359" s="61">
        <v>4.9000000000000004</v>
      </c>
      <c r="X359" s="61">
        <v>3.9</v>
      </c>
      <c r="Y359" s="61">
        <v>27</v>
      </c>
      <c r="Z359" s="61">
        <v>49</v>
      </c>
      <c r="AA359" s="61">
        <v>28</v>
      </c>
      <c r="AB359" s="61">
        <v>22</v>
      </c>
      <c r="AC359" s="61">
        <v>3.5</v>
      </c>
      <c r="AD359" s="61">
        <v>4.4000000000000004</v>
      </c>
      <c r="AE359" s="164" t="s">
        <v>94</v>
      </c>
      <c r="AF359" s="164" t="s">
        <v>94</v>
      </c>
      <c r="AG359" s="61">
        <v>33</v>
      </c>
      <c r="AH359" s="61">
        <v>53</v>
      </c>
      <c r="AI359" s="61">
        <v>0.8</v>
      </c>
      <c r="AJ359" s="52">
        <v>0.65</v>
      </c>
      <c r="AK359" s="269">
        <f t="shared" si="32"/>
        <v>0</v>
      </c>
      <c r="AL359" s="61">
        <v>3.7</v>
      </c>
      <c r="AM359" s="61">
        <v>3.4</v>
      </c>
      <c r="AN359" s="61">
        <v>8.1999999999999993</v>
      </c>
      <c r="AO359" s="61">
        <v>6.3</v>
      </c>
      <c r="AP359" s="61">
        <v>74</v>
      </c>
      <c r="AQ359" s="61">
        <v>38</v>
      </c>
      <c r="AR359" s="61">
        <v>8.4</v>
      </c>
      <c r="AS359" s="61">
        <v>8.3000000000000007</v>
      </c>
      <c r="AT359" s="61">
        <v>4.8</v>
      </c>
      <c r="AU359" s="61">
        <v>4.2</v>
      </c>
      <c r="AV359" s="61">
        <v>95</v>
      </c>
      <c r="AW359" s="61">
        <v>105</v>
      </c>
      <c r="AX359" s="61">
        <v>137</v>
      </c>
      <c r="AY359" s="61">
        <v>136</v>
      </c>
      <c r="AZ359" s="61">
        <v>2.2000000000000002</v>
      </c>
      <c r="BA359" s="61">
        <v>2.1</v>
      </c>
      <c r="BB359" s="61">
        <v>103</v>
      </c>
      <c r="BC359" s="61">
        <v>105</v>
      </c>
      <c r="BD359" s="96">
        <f t="shared" si="33"/>
        <v>289.3174444444445</v>
      </c>
      <c r="BE359" s="96">
        <f t="shared" si="34"/>
        <v>290.31366666666662</v>
      </c>
      <c r="BF359" s="61">
        <v>5.07</v>
      </c>
      <c r="BG359" s="61">
        <v>4.0599999999999996</v>
      </c>
      <c r="BH359" s="61">
        <v>15</v>
      </c>
      <c r="BI359" s="61">
        <v>12.3</v>
      </c>
      <c r="BJ359" s="61">
        <v>46</v>
      </c>
      <c r="BK359" s="61">
        <v>37.200000000000003</v>
      </c>
      <c r="BL359" s="61">
        <v>90.8</v>
      </c>
      <c r="BM359" s="61">
        <v>91.8</v>
      </c>
      <c r="BN359" s="61">
        <v>29.6</v>
      </c>
      <c r="BO359" s="61">
        <v>30.4</v>
      </c>
      <c r="BP359" s="61">
        <v>32.6</v>
      </c>
      <c r="BQ359" s="61">
        <v>33.1</v>
      </c>
      <c r="BR359" s="61">
        <v>257</v>
      </c>
      <c r="BS359" s="61">
        <v>265</v>
      </c>
      <c r="BT359" s="61">
        <v>11.3</v>
      </c>
      <c r="BU359" s="61">
        <v>12.2</v>
      </c>
      <c r="BV359" s="164" t="s">
        <v>94</v>
      </c>
      <c r="BW359" s="164" t="s">
        <v>94</v>
      </c>
      <c r="BX359" s="61">
        <v>7.36</v>
      </c>
      <c r="BY359" s="61">
        <v>9.35</v>
      </c>
      <c r="BZ359" s="61">
        <v>74.3</v>
      </c>
      <c r="CA359" s="61">
        <v>83.2</v>
      </c>
      <c r="CB359" s="61">
        <v>15.5</v>
      </c>
      <c r="CC359" s="61">
        <v>8.1</v>
      </c>
      <c r="CD359" s="61">
        <v>8.8800000000000008</v>
      </c>
      <c r="CE359" s="61">
        <v>7.9</v>
      </c>
      <c r="CF359" s="61">
        <v>0.23100000000000001</v>
      </c>
      <c r="CG359" s="61">
        <v>0.6</v>
      </c>
      <c r="CH359" s="61">
        <v>1.05</v>
      </c>
      <c r="CI359" s="61">
        <v>0.2</v>
      </c>
      <c r="CJ359" s="86" t="b">
        <f t="shared" si="35"/>
        <v>0</v>
      </c>
      <c r="CK359" s="2" t="b">
        <f t="shared" si="36"/>
        <v>1</v>
      </c>
      <c r="CL359" s="98">
        <f t="shared" si="37"/>
        <v>79.646280000000004</v>
      </c>
      <c r="CM359" s="96">
        <v>89.45</v>
      </c>
      <c r="CN359" s="98">
        <v>179</v>
      </c>
      <c r="CO359" s="96" t="s">
        <v>149</v>
      </c>
      <c r="CP359" s="98">
        <v>56</v>
      </c>
      <c r="CQ359" s="98">
        <v>54</v>
      </c>
      <c r="CR359" s="61" t="s">
        <v>150</v>
      </c>
    </row>
    <row r="360" spans="1:96" ht="15.75" customHeight="1">
      <c r="A360" s="79">
        <v>2023</v>
      </c>
      <c r="B360" s="79" t="s">
        <v>172</v>
      </c>
      <c r="C360" s="61">
        <v>3306</v>
      </c>
      <c r="D360" s="61">
        <v>33</v>
      </c>
      <c r="E360" s="61">
        <v>76.099999999999994</v>
      </c>
      <c r="F360" s="61">
        <v>1</v>
      </c>
      <c r="G360" s="369" t="s">
        <v>86</v>
      </c>
      <c r="H360" s="369" t="s">
        <v>83</v>
      </c>
      <c r="I360" s="369" t="s">
        <v>84</v>
      </c>
      <c r="J360" s="369">
        <f>9-9</f>
        <v>0</v>
      </c>
      <c r="K360" s="369">
        <v>62.5</v>
      </c>
      <c r="L360" s="369">
        <v>37.5</v>
      </c>
      <c r="M360" s="61">
        <v>251</v>
      </c>
      <c r="N360" s="61">
        <v>300</v>
      </c>
      <c r="O360" s="61" t="s">
        <v>94</v>
      </c>
      <c r="P360" s="61" t="s">
        <v>94</v>
      </c>
      <c r="Q360" s="61">
        <v>1.9</v>
      </c>
      <c r="R360" s="61">
        <v>3.7</v>
      </c>
      <c r="S360" s="61">
        <v>226</v>
      </c>
      <c r="T360" s="61">
        <v>216</v>
      </c>
      <c r="U360" s="61">
        <v>49</v>
      </c>
      <c r="V360" s="61">
        <v>44</v>
      </c>
      <c r="W360" s="61">
        <v>5.8</v>
      </c>
      <c r="X360" s="61">
        <v>5.8</v>
      </c>
      <c r="Y360" s="61">
        <v>40</v>
      </c>
      <c r="Z360" s="61">
        <v>39</v>
      </c>
      <c r="AA360" s="61">
        <v>18</v>
      </c>
      <c r="AB360" s="61">
        <v>17</v>
      </c>
      <c r="AC360" s="61">
        <v>7.2</v>
      </c>
      <c r="AD360" s="177">
        <v>44964</v>
      </c>
      <c r="AE360" s="164" t="s">
        <v>94</v>
      </c>
      <c r="AF360" s="164" t="s">
        <v>94</v>
      </c>
      <c r="AG360" s="61">
        <v>42</v>
      </c>
      <c r="AH360" s="61">
        <v>45</v>
      </c>
      <c r="AI360" s="61">
        <v>0.8</v>
      </c>
      <c r="AJ360" s="52" t="s">
        <v>94</v>
      </c>
      <c r="AK360" s="269" t="str">
        <f t="shared" si="32"/>
        <v>Dados Insuficientes</v>
      </c>
      <c r="AL360" s="61">
        <v>5.3</v>
      </c>
      <c r="AM360" s="177">
        <v>45021</v>
      </c>
      <c r="AN360" s="61">
        <v>7</v>
      </c>
      <c r="AO360" s="61">
        <v>10.4</v>
      </c>
      <c r="AP360" s="61">
        <v>35</v>
      </c>
      <c r="AQ360" s="61">
        <v>104</v>
      </c>
      <c r="AR360" s="61">
        <v>9.8000000000000007</v>
      </c>
      <c r="AS360" s="61">
        <v>11.8</v>
      </c>
      <c r="AT360" s="61">
        <v>5.5</v>
      </c>
      <c r="AU360" s="61">
        <v>5.6</v>
      </c>
      <c r="AV360" s="61">
        <v>90</v>
      </c>
      <c r="AW360" s="61">
        <v>96</v>
      </c>
      <c r="AX360" s="61">
        <v>149</v>
      </c>
      <c r="AY360" s="61">
        <v>172</v>
      </c>
      <c r="AZ360" s="61">
        <v>2.2000000000000002</v>
      </c>
      <c r="BA360" s="61">
        <v>2.2000000000000002</v>
      </c>
      <c r="BB360" s="61">
        <v>109</v>
      </c>
      <c r="BC360" s="61">
        <v>131</v>
      </c>
      <c r="BD360" s="96">
        <f t="shared" si="33"/>
        <v>314.12</v>
      </c>
      <c r="BE360" s="96">
        <f t="shared" si="34"/>
        <v>357.96933333333334</v>
      </c>
      <c r="BF360" s="61">
        <v>5.32</v>
      </c>
      <c r="BG360" s="61">
        <v>4.82</v>
      </c>
      <c r="BH360" s="61">
        <v>15.2</v>
      </c>
      <c r="BI360" s="61">
        <v>13.9</v>
      </c>
      <c r="BJ360" s="61">
        <v>47.3</v>
      </c>
      <c r="BK360" s="61">
        <v>42.5</v>
      </c>
      <c r="BL360" s="61">
        <v>88.9</v>
      </c>
      <c r="BM360" s="61">
        <v>88.3</v>
      </c>
      <c r="BN360" s="61">
        <v>28.5</v>
      </c>
      <c r="BO360" s="61">
        <v>28.9</v>
      </c>
      <c r="BP360" s="61">
        <v>32.1</v>
      </c>
      <c r="BQ360" s="61">
        <v>32.700000000000003</v>
      </c>
      <c r="BR360" s="61">
        <v>179</v>
      </c>
      <c r="BS360" s="61">
        <v>196</v>
      </c>
      <c r="BT360" s="61">
        <v>11.8</v>
      </c>
      <c r="BU360" s="61">
        <v>12.1</v>
      </c>
      <c r="BV360" s="164" t="s">
        <v>94</v>
      </c>
      <c r="BW360" s="164" t="s">
        <v>94</v>
      </c>
      <c r="BX360" s="61">
        <v>6.33</v>
      </c>
      <c r="BY360" s="61">
        <v>10.36</v>
      </c>
      <c r="BZ360" s="61">
        <v>49.6</v>
      </c>
      <c r="CA360" s="61">
        <v>56.6</v>
      </c>
      <c r="CB360" s="61">
        <v>35.5</v>
      </c>
      <c r="CC360" s="61">
        <v>35.799999999999997</v>
      </c>
      <c r="CD360" s="61">
        <v>11.7</v>
      </c>
      <c r="CE360" s="61">
        <v>5.6</v>
      </c>
      <c r="CF360" s="61">
        <v>1.43</v>
      </c>
      <c r="CG360" s="61">
        <v>2</v>
      </c>
      <c r="CH360" s="61">
        <v>1.8</v>
      </c>
      <c r="CI360" s="61">
        <v>0</v>
      </c>
      <c r="CJ360" s="86" t="e">
        <f t="shared" si="35"/>
        <v>#VALUE!</v>
      </c>
      <c r="CK360" s="2" t="b">
        <f t="shared" si="36"/>
        <v>0</v>
      </c>
      <c r="CL360" s="98">
        <f t="shared" si="37"/>
        <v>63.732880000000009</v>
      </c>
      <c r="CM360" s="96">
        <v>76.400000000000006</v>
      </c>
      <c r="CN360" s="98">
        <v>175.5</v>
      </c>
      <c r="CO360" s="96" t="s">
        <v>151</v>
      </c>
      <c r="CP360" s="98">
        <v>53</v>
      </c>
      <c r="CQ360" s="98">
        <v>50</v>
      </c>
      <c r="CR360" s="61" t="s">
        <v>152</v>
      </c>
    </row>
    <row r="361" spans="1:96" ht="15.75" customHeight="1">
      <c r="A361" s="79">
        <v>2023</v>
      </c>
      <c r="B361" s="79" t="s">
        <v>172</v>
      </c>
      <c r="C361" s="61">
        <v>3309</v>
      </c>
      <c r="D361" s="61">
        <v>30</v>
      </c>
      <c r="E361" s="61">
        <v>91.5</v>
      </c>
      <c r="F361" s="61">
        <v>2</v>
      </c>
      <c r="G361" s="164" t="s">
        <v>94</v>
      </c>
      <c r="H361" s="164" t="s">
        <v>94</v>
      </c>
      <c r="I361" s="164" t="s">
        <v>94</v>
      </c>
      <c r="J361" s="164" t="s">
        <v>94</v>
      </c>
      <c r="K361" s="164" t="s">
        <v>94</v>
      </c>
      <c r="L361" s="164" t="s">
        <v>94</v>
      </c>
      <c r="M361" s="61">
        <v>829</v>
      </c>
      <c r="N361" s="61">
        <v>1558</v>
      </c>
      <c r="O361" s="61" t="s">
        <v>94</v>
      </c>
      <c r="P361" s="61" t="s">
        <v>94</v>
      </c>
      <c r="Q361" s="61">
        <v>1.7</v>
      </c>
      <c r="R361" s="61">
        <v>3.8</v>
      </c>
      <c r="S361" s="61">
        <v>278</v>
      </c>
      <c r="T361" s="61">
        <v>380</v>
      </c>
      <c r="U361" s="61">
        <v>77</v>
      </c>
      <c r="V361" s="61">
        <v>93</v>
      </c>
      <c r="W361" s="61">
        <v>5.7</v>
      </c>
      <c r="X361" s="61">
        <v>5.2</v>
      </c>
      <c r="Y361" s="61">
        <v>60</v>
      </c>
      <c r="Z361" s="61">
        <v>74</v>
      </c>
      <c r="AA361" s="61">
        <v>33</v>
      </c>
      <c r="AB361" s="61">
        <v>29</v>
      </c>
      <c r="AC361" s="61">
        <v>7.2</v>
      </c>
      <c r="AD361" s="61">
        <v>6.7</v>
      </c>
      <c r="AE361" s="164" t="s">
        <v>94</v>
      </c>
      <c r="AF361" s="164" t="s">
        <v>94</v>
      </c>
      <c r="AG361" s="61">
        <v>45</v>
      </c>
      <c r="AH361" s="61">
        <v>49</v>
      </c>
      <c r="AI361" s="67">
        <v>0.8</v>
      </c>
      <c r="AJ361" s="52" t="s">
        <v>94</v>
      </c>
      <c r="AK361" s="269" t="str">
        <f t="shared" si="32"/>
        <v>Dados Insuficientes</v>
      </c>
      <c r="AL361" s="61">
        <v>5</v>
      </c>
      <c r="AM361" s="61">
        <v>4.5</v>
      </c>
      <c r="AN361" s="61">
        <v>10.7</v>
      </c>
      <c r="AO361" s="61">
        <v>8.4</v>
      </c>
      <c r="AP361" s="61">
        <v>67</v>
      </c>
      <c r="AQ361" s="61">
        <v>87</v>
      </c>
      <c r="AR361" s="61">
        <v>9.6999999999999993</v>
      </c>
      <c r="AS361" s="61">
        <v>9.6</v>
      </c>
      <c r="AT361" s="61">
        <v>5.9</v>
      </c>
      <c r="AU361" s="61">
        <v>4.7</v>
      </c>
      <c r="AV361" s="61">
        <v>110</v>
      </c>
      <c r="AW361" s="61">
        <v>103</v>
      </c>
      <c r="AX361" s="61">
        <v>152</v>
      </c>
      <c r="AY361" s="61">
        <v>141</v>
      </c>
      <c r="AZ361" s="61">
        <v>2.2999999999999998</v>
      </c>
      <c r="BA361" s="61">
        <v>2.2000000000000002</v>
      </c>
      <c r="BB361" s="61">
        <v>111</v>
      </c>
      <c r="BC361" s="61">
        <v>106</v>
      </c>
      <c r="BD361" s="96">
        <f t="shared" si="33"/>
        <v>322.22177777777779</v>
      </c>
      <c r="BE361" s="96">
        <f t="shared" si="34"/>
        <v>299.74922222222227</v>
      </c>
      <c r="BF361" s="61">
        <v>5.2</v>
      </c>
      <c r="BG361" s="61">
        <v>4.58</v>
      </c>
      <c r="BH361" s="61">
        <v>15.2</v>
      </c>
      <c r="BI361" s="61">
        <v>13.5</v>
      </c>
      <c r="BJ361" s="61">
        <v>46.9</v>
      </c>
      <c r="BK361" s="61">
        <v>41.5</v>
      </c>
      <c r="BL361" s="61">
        <v>90.3</v>
      </c>
      <c r="BM361" s="61">
        <v>90.8</v>
      </c>
      <c r="BN361" s="61">
        <v>29.2</v>
      </c>
      <c r="BO361" s="61">
        <v>29.5</v>
      </c>
      <c r="BP361" s="61">
        <v>32.299999999999997</v>
      </c>
      <c r="BQ361" s="61">
        <v>32.5</v>
      </c>
      <c r="BR361" s="61">
        <v>307</v>
      </c>
      <c r="BS361" s="61">
        <v>371</v>
      </c>
      <c r="BT361" s="61">
        <v>12.5</v>
      </c>
      <c r="BU361" s="61">
        <v>13.1</v>
      </c>
      <c r="BV361" s="164" t="s">
        <v>94</v>
      </c>
      <c r="BW361" s="164" t="s">
        <v>94</v>
      </c>
      <c r="BX361" s="61">
        <v>6.36</v>
      </c>
      <c r="BY361" s="61">
        <v>12.54</v>
      </c>
      <c r="BZ361" s="61">
        <v>62</v>
      </c>
      <c r="CA361" s="61">
        <v>82.7</v>
      </c>
      <c r="CB361" s="61">
        <v>30.9</v>
      </c>
      <c r="CC361" s="61">
        <v>13.6</v>
      </c>
      <c r="CD361" s="61">
        <v>3.89</v>
      </c>
      <c r="CE361" s="61">
        <v>3.1</v>
      </c>
      <c r="CF361" s="61">
        <v>2.0299999999999998</v>
      </c>
      <c r="CG361" s="61">
        <v>0.3</v>
      </c>
      <c r="CH361" s="61">
        <v>1.1599999999999999</v>
      </c>
      <c r="CI361" s="61">
        <v>0.3</v>
      </c>
      <c r="CJ361" s="86" t="e">
        <f t="shared" si="35"/>
        <v>#VALUE!</v>
      </c>
      <c r="CK361" s="2" t="b">
        <f t="shared" si="36"/>
        <v>1</v>
      </c>
      <c r="CL361" s="98">
        <f t="shared" si="37"/>
        <v>76.103560000000002</v>
      </c>
      <c r="CM361" s="96">
        <v>88.4</v>
      </c>
      <c r="CN361" s="98">
        <v>183</v>
      </c>
      <c r="CO361" s="96" t="s">
        <v>153</v>
      </c>
      <c r="CP361" s="98" t="s">
        <v>94</v>
      </c>
      <c r="CQ361" s="98" t="s">
        <v>94</v>
      </c>
      <c r="CR361" s="61" t="s">
        <v>154</v>
      </c>
    </row>
    <row r="362" spans="1:96" ht="15.75" customHeight="1">
      <c r="A362" s="79">
        <v>2023</v>
      </c>
      <c r="B362" s="79" t="s">
        <v>172</v>
      </c>
      <c r="C362" s="61">
        <v>3311</v>
      </c>
      <c r="D362" s="61">
        <v>35</v>
      </c>
      <c r="E362" s="61">
        <v>77.099999999999994</v>
      </c>
      <c r="F362" s="61">
        <v>2</v>
      </c>
      <c r="G362" s="164" t="s">
        <v>94</v>
      </c>
      <c r="H362" s="164" t="s">
        <v>94</v>
      </c>
      <c r="I362" s="164" t="s">
        <v>94</v>
      </c>
      <c r="J362" s="164" t="s">
        <v>94</v>
      </c>
      <c r="K362" s="164" t="s">
        <v>94</v>
      </c>
      <c r="L362" s="164" t="s">
        <v>94</v>
      </c>
      <c r="M362" s="61">
        <v>751</v>
      </c>
      <c r="N362" s="61">
        <v>7349</v>
      </c>
      <c r="O362" s="61" t="s">
        <v>94</v>
      </c>
      <c r="P362" s="61" t="s">
        <v>94</v>
      </c>
      <c r="Q362" s="61">
        <v>3</v>
      </c>
      <c r="R362" s="61">
        <v>3.5</v>
      </c>
      <c r="S362" s="61">
        <v>336</v>
      </c>
      <c r="T362" s="61">
        <v>779</v>
      </c>
      <c r="U362" s="61">
        <v>64</v>
      </c>
      <c r="V362" s="61">
        <v>299</v>
      </c>
      <c r="W362" s="61">
        <v>5.8</v>
      </c>
      <c r="X362" s="61">
        <v>4.5999999999999996</v>
      </c>
      <c r="Y362" s="61">
        <v>80</v>
      </c>
      <c r="Z362" s="61">
        <v>277</v>
      </c>
      <c r="AA362" s="61">
        <v>38</v>
      </c>
      <c r="AB362" s="61">
        <v>31</v>
      </c>
      <c r="AC362" s="61">
        <v>6.2</v>
      </c>
      <c r="AD362" s="61">
        <v>5.2</v>
      </c>
      <c r="AE362" s="164" t="s">
        <v>94</v>
      </c>
      <c r="AF362" s="164" t="s">
        <v>94</v>
      </c>
      <c r="AG362" s="61">
        <v>37</v>
      </c>
      <c r="AH362" s="61">
        <v>42</v>
      </c>
      <c r="AI362" s="61">
        <v>1</v>
      </c>
      <c r="AJ362" s="52">
        <v>1.76</v>
      </c>
      <c r="AK362" s="269">
        <f t="shared" si="32"/>
        <v>0.76</v>
      </c>
      <c r="AL362" s="61">
        <v>3.6</v>
      </c>
      <c r="AM362" s="61">
        <v>4.0999999999999996</v>
      </c>
      <c r="AN362" s="61">
        <v>10</v>
      </c>
      <c r="AO362" s="61">
        <v>6.9</v>
      </c>
      <c r="AP362" s="61">
        <v>47</v>
      </c>
      <c r="AQ362" s="61">
        <v>67</v>
      </c>
      <c r="AR362" s="61">
        <v>10.199999999999999</v>
      </c>
      <c r="AS362" s="61">
        <v>9.3000000000000007</v>
      </c>
      <c r="AT362" s="61">
        <v>5.0999999999999996</v>
      </c>
      <c r="AU362" s="61">
        <v>4.2</v>
      </c>
      <c r="AV362" s="61">
        <v>107</v>
      </c>
      <c r="AW362" s="61">
        <v>92</v>
      </c>
      <c r="AX362" s="61">
        <v>155</v>
      </c>
      <c r="AY362" s="61">
        <v>139</v>
      </c>
      <c r="AZ362" s="61">
        <v>2.5</v>
      </c>
      <c r="BA362" s="61">
        <v>2.2999999999999998</v>
      </c>
      <c r="BB362" s="61">
        <v>116</v>
      </c>
      <c r="BC362" s="61">
        <v>103</v>
      </c>
      <c r="BD362" s="96">
        <f t="shared" si="33"/>
        <v>324.7887777777778</v>
      </c>
      <c r="BE362" s="96">
        <f t="shared" si="34"/>
        <v>293.22977777777777</v>
      </c>
      <c r="BF362" s="61">
        <v>5.25</v>
      </c>
      <c r="BG362" s="61">
        <v>4.8</v>
      </c>
      <c r="BH362" s="61">
        <v>15.9</v>
      </c>
      <c r="BI362" s="61">
        <v>14.5</v>
      </c>
      <c r="BJ362" s="61">
        <v>47.6</v>
      </c>
      <c r="BK362" s="61">
        <v>44.5</v>
      </c>
      <c r="BL362" s="61">
        <v>90.6</v>
      </c>
      <c r="BM362" s="61">
        <v>92.7</v>
      </c>
      <c r="BN362" s="61">
        <v>30.2</v>
      </c>
      <c r="BO362" s="61">
        <v>30.2</v>
      </c>
      <c r="BP362" s="61">
        <v>33.299999999999997</v>
      </c>
      <c r="BQ362" s="61">
        <v>32.6</v>
      </c>
      <c r="BR362" s="61">
        <v>190</v>
      </c>
      <c r="BS362" s="61">
        <v>212</v>
      </c>
      <c r="BT362" s="61">
        <v>12.1</v>
      </c>
      <c r="BU362" s="61">
        <v>13.2</v>
      </c>
      <c r="BV362" s="164" t="s">
        <v>94</v>
      </c>
      <c r="BW362" s="164" t="s">
        <v>94</v>
      </c>
      <c r="BX362" s="61">
        <v>5.6</v>
      </c>
      <c r="BY362" s="61">
        <v>8.77</v>
      </c>
      <c r="BZ362" s="61">
        <v>68.900000000000006</v>
      </c>
      <c r="CA362" s="61">
        <v>70.599999999999994</v>
      </c>
      <c r="CB362" s="61">
        <v>22.2</v>
      </c>
      <c r="CC362" s="61">
        <v>18.600000000000001</v>
      </c>
      <c r="CD362" s="61">
        <v>7.41</v>
      </c>
      <c r="CE362" s="61">
        <v>8.6999999999999993</v>
      </c>
      <c r="CF362" s="61">
        <v>0.318</v>
      </c>
      <c r="CG362" s="61">
        <v>2</v>
      </c>
      <c r="CH362" s="61">
        <v>1.1499999999999999</v>
      </c>
      <c r="CI362" s="61">
        <v>0.1</v>
      </c>
      <c r="CJ362" s="86" t="b">
        <f t="shared" si="35"/>
        <v>1</v>
      </c>
      <c r="CK362" s="2" t="b">
        <f t="shared" si="36"/>
        <v>1</v>
      </c>
      <c r="CL362" s="98">
        <f t="shared" si="37"/>
        <v>64.97972</v>
      </c>
      <c r="CM362" s="96">
        <v>80.599999999999994</v>
      </c>
      <c r="CN362" s="98">
        <v>173</v>
      </c>
      <c r="CO362" s="96" t="s">
        <v>155</v>
      </c>
      <c r="CP362" s="98">
        <v>60</v>
      </c>
      <c r="CQ362" s="98">
        <v>62</v>
      </c>
      <c r="CR362" s="61" t="s">
        <v>156</v>
      </c>
    </row>
    <row r="363" spans="1:96" ht="15.75" customHeight="1">
      <c r="A363" s="79">
        <v>2023</v>
      </c>
      <c r="B363" s="79" t="s">
        <v>172</v>
      </c>
      <c r="C363" s="61">
        <v>3317</v>
      </c>
      <c r="D363" s="61">
        <v>34</v>
      </c>
      <c r="E363" s="61">
        <v>79.7</v>
      </c>
      <c r="F363" s="61">
        <v>2</v>
      </c>
      <c r="G363" s="164" t="s">
        <v>94</v>
      </c>
      <c r="H363" s="164" t="s">
        <v>94</v>
      </c>
      <c r="I363" s="164" t="s">
        <v>94</v>
      </c>
      <c r="J363" s="164" t="s">
        <v>94</v>
      </c>
      <c r="K363" s="164" t="s">
        <v>94</v>
      </c>
      <c r="L363" s="164" t="s">
        <v>94</v>
      </c>
      <c r="M363" s="61">
        <v>967</v>
      </c>
      <c r="N363" s="61">
        <v>1876</v>
      </c>
      <c r="O363" s="61" t="s">
        <v>94</v>
      </c>
      <c r="P363" s="61" t="s">
        <v>94</v>
      </c>
      <c r="Q363" s="61">
        <v>3.9</v>
      </c>
      <c r="R363" s="61">
        <v>3.5</v>
      </c>
      <c r="S363" s="61">
        <v>253</v>
      </c>
      <c r="T363" s="61">
        <v>447</v>
      </c>
      <c r="U363" s="61">
        <v>57</v>
      </c>
      <c r="V363" s="61">
        <v>83</v>
      </c>
      <c r="W363" s="61">
        <v>4.9000000000000004</v>
      </c>
      <c r="X363" s="61">
        <v>4.7</v>
      </c>
      <c r="Y363" s="61">
        <v>37</v>
      </c>
      <c r="Z363" s="61">
        <v>68</v>
      </c>
      <c r="AA363" s="61">
        <v>23</v>
      </c>
      <c r="AB363" s="61">
        <v>22</v>
      </c>
      <c r="AC363" s="61">
        <v>5.6</v>
      </c>
      <c r="AD363" s="61">
        <v>5.5</v>
      </c>
      <c r="AE363" s="164" t="s">
        <v>94</v>
      </c>
      <c r="AF363" s="164" t="s">
        <v>94</v>
      </c>
      <c r="AG363" s="61">
        <v>34</v>
      </c>
      <c r="AH363" s="61">
        <v>32</v>
      </c>
      <c r="AI363" s="61">
        <v>0.5</v>
      </c>
      <c r="AJ363" s="52" t="s">
        <v>94</v>
      </c>
      <c r="AK363" s="269" t="str">
        <f t="shared" si="32"/>
        <v>Dados Insuficientes</v>
      </c>
      <c r="AL363" s="61">
        <v>3.5</v>
      </c>
      <c r="AM363" s="61">
        <v>3.4</v>
      </c>
      <c r="AN363" s="61">
        <v>7.8</v>
      </c>
      <c r="AO363" s="61">
        <v>7</v>
      </c>
      <c r="AP363" s="61">
        <v>46</v>
      </c>
      <c r="AQ363" s="61">
        <v>25</v>
      </c>
      <c r="AR363" s="61">
        <v>8.9</v>
      </c>
      <c r="AS363" s="61">
        <v>8.8000000000000007</v>
      </c>
      <c r="AT363" s="61">
        <v>5.2</v>
      </c>
      <c r="AU363" s="61">
        <v>4.3</v>
      </c>
      <c r="AV363" s="61">
        <v>99</v>
      </c>
      <c r="AW363" s="61">
        <v>133</v>
      </c>
      <c r="AX363" s="61">
        <v>138</v>
      </c>
      <c r="AY363" s="61">
        <v>139</v>
      </c>
      <c r="AZ363" s="61">
        <v>1.9</v>
      </c>
      <c r="BA363" s="61">
        <v>2.1</v>
      </c>
      <c r="BB363" s="61">
        <v>103</v>
      </c>
      <c r="BC363" s="61">
        <v>106</v>
      </c>
      <c r="BD363" s="96">
        <f t="shared" si="33"/>
        <v>292.34366666666665</v>
      </c>
      <c r="BE363" s="96">
        <f t="shared" si="34"/>
        <v>294.36855555555553</v>
      </c>
      <c r="BF363" s="61">
        <v>5.54</v>
      </c>
      <c r="BG363" s="61">
        <v>4.62</v>
      </c>
      <c r="BH363" s="61">
        <v>14.8</v>
      </c>
      <c r="BI363" s="61">
        <v>12.4</v>
      </c>
      <c r="BJ363" s="61">
        <v>46.5</v>
      </c>
      <c r="BK363" s="61">
        <v>38.6</v>
      </c>
      <c r="BL363" s="61">
        <v>83.9</v>
      </c>
      <c r="BM363" s="61">
        <v>83.5</v>
      </c>
      <c r="BN363" s="61">
        <v>26.7</v>
      </c>
      <c r="BO363" s="61">
        <v>26.8</v>
      </c>
      <c r="BP363" s="61">
        <v>31.9</v>
      </c>
      <c r="BQ363" s="61">
        <v>32.1</v>
      </c>
      <c r="BR363" s="61">
        <v>348</v>
      </c>
      <c r="BS363" s="61">
        <v>418</v>
      </c>
      <c r="BT363" s="61">
        <v>12.5</v>
      </c>
      <c r="BU363" s="61">
        <v>13</v>
      </c>
      <c r="BV363" s="164" t="s">
        <v>94</v>
      </c>
      <c r="BW363" s="164" t="s">
        <v>94</v>
      </c>
      <c r="BX363" s="61">
        <v>7.31</v>
      </c>
      <c r="BY363" s="61">
        <v>12.44</v>
      </c>
      <c r="BZ363" s="61">
        <v>40.700000000000003</v>
      </c>
      <c r="CA363" s="61">
        <v>80</v>
      </c>
      <c r="CB363" s="61">
        <v>40.1</v>
      </c>
      <c r="CC363" s="61">
        <v>14</v>
      </c>
      <c r="CD363" s="61">
        <v>7.48</v>
      </c>
      <c r="CE363" s="61">
        <v>5.0999999999999996</v>
      </c>
      <c r="CF363" s="61">
        <v>10.4</v>
      </c>
      <c r="CG363" s="61">
        <v>0.9</v>
      </c>
      <c r="CH363" s="61">
        <v>1.28</v>
      </c>
      <c r="CI363" s="61">
        <v>0</v>
      </c>
      <c r="CJ363" s="86" t="e">
        <f t="shared" si="35"/>
        <v>#VALUE!</v>
      </c>
      <c r="CK363" s="2" t="b">
        <f t="shared" si="36"/>
        <v>1</v>
      </c>
      <c r="CL363" s="98">
        <f t="shared" si="37"/>
        <v>62.787399999999991</v>
      </c>
      <c r="CM363" s="96">
        <v>80.599999999999994</v>
      </c>
      <c r="CN363" s="98">
        <v>179</v>
      </c>
      <c r="CO363" s="96" t="s">
        <v>157</v>
      </c>
      <c r="CP363" s="98">
        <v>66</v>
      </c>
      <c r="CQ363" s="98">
        <v>60</v>
      </c>
      <c r="CR363" s="61" t="s">
        <v>158</v>
      </c>
    </row>
    <row r="364" spans="1:96" ht="15.75" customHeight="1">
      <c r="A364" s="79">
        <v>2023</v>
      </c>
      <c r="B364" s="79" t="s">
        <v>172</v>
      </c>
      <c r="C364" s="61">
        <v>3328</v>
      </c>
      <c r="D364" s="61" t="s">
        <v>94</v>
      </c>
      <c r="E364" s="61">
        <v>85.1</v>
      </c>
      <c r="F364" s="61" t="s">
        <v>94</v>
      </c>
      <c r="G364" s="164" t="s">
        <v>94</v>
      </c>
      <c r="H364" s="164" t="s">
        <v>94</v>
      </c>
      <c r="I364" s="164" t="s">
        <v>94</v>
      </c>
      <c r="J364" s="164" t="s">
        <v>94</v>
      </c>
      <c r="K364" s="164" t="s">
        <v>94</v>
      </c>
      <c r="L364" s="164" t="s">
        <v>94</v>
      </c>
      <c r="M364" s="61">
        <v>170</v>
      </c>
      <c r="N364" s="61">
        <v>1967</v>
      </c>
      <c r="O364" s="61" t="s">
        <v>94</v>
      </c>
      <c r="P364" s="61" t="s">
        <v>94</v>
      </c>
      <c r="Q364" s="61">
        <v>2.8</v>
      </c>
      <c r="R364" s="61">
        <v>2.5</v>
      </c>
      <c r="S364" s="61">
        <v>162</v>
      </c>
      <c r="T364" s="61">
        <v>363</v>
      </c>
      <c r="U364" s="61">
        <v>31</v>
      </c>
      <c r="V364" s="61">
        <v>102</v>
      </c>
      <c r="W364" s="67">
        <v>4.5</v>
      </c>
      <c r="X364" s="61">
        <v>4.9000000000000004</v>
      </c>
      <c r="Y364" s="61">
        <v>19</v>
      </c>
      <c r="Z364" s="61">
        <v>78</v>
      </c>
      <c r="AA364" s="67">
        <v>18</v>
      </c>
      <c r="AB364" s="61">
        <v>43</v>
      </c>
      <c r="AC364" s="61">
        <v>5.8</v>
      </c>
      <c r="AD364" s="61">
        <v>5.8</v>
      </c>
      <c r="AE364" s="164" t="s">
        <v>94</v>
      </c>
      <c r="AF364" s="164" t="s">
        <v>94</v>
      </c>
      <c r="AG364" s="61">
        <v>36</v>
      </c>
      <c r="AH364" s="61">
        <v>51</v>
      </c>
      <c r="AI364" s="61">
        <v>0.7</v>
      </c>
      <c r="AJ364" s="52">
        <v>1.06</v>
      </c>
      <c r="AK364" s="269">
        <f t="shared" si="32"/>
        <v>0.3600000000000001</v>
      </c>
      <c r="AL364" s="61">
        <v>4</v>
      </c>
      <c r="AM364" s="61">
        <v>3.9</v>
      </c>
      <c r="AN364" s="61">
        <v>7</v>
      </c>
      <c r="AO364" s="61">
        <v>7</v>
      </c>
      <c r="AP364" s="61">
        <v>10</v>
      </c>
      <c r="AQ364" s="61">
        <v>50</v>
      </c>
      <c r="AR364" s="61">
        <v>8.6</v>
      </c>
      <c r="AS364" s="61">
        <v>9.3000000000000007</v>
      </c>
      <c r="AT364" s="61">
        <v>4.5999999999999996</v>
      </c>
      <c r="AU364" s="61">
        <v>4.3</v>
      </c>
      <c r="AV364" s="61">
        <v>101</v>
      </c>
      <c r="AW364" s="61">
        <v>107</v>
      </c>
      <c r="AX364" s="61">
        <v>134</v>
      </c>
      <c r="AY364" s="61">
        <v>141</v>
      </c>
      <c r="AZ364" s="61">
        <v>1.9</v>
      </c>
      <c r="BA364" s="61">
        <v>2</v>
      </c>
      <c r="BB364" s="61">
        <v>102</v>
      </c>
      <c r="BC364" s="61">
        <v>108</v>
      </c>
      <c r="BD364" s="96">
        <f t="shared" si="33"/>
        <v>284.24877777777778</v>
      </c>
      <c r="BE364" s="96">
        <f t="shared" si="34"/>
        <v>299.59411111111115</v>
      </c>
      <c r="BF364" s="61">
        <v>5.38</v>
      </c>
      <c r="BG364" s="61">
        <v>4.8600000000000003</v>
      </c>
      <c r="BH364" s="61">
        <v>14.2</v>
      </c>
      <c r="BI364" s="61">
        <v>13.2</v>
      </c>
      <c r="BJ364" s="61">
        <v>45.1</v>
      </c>
      <c r="BK364" s="61">
        <v>40.799999999999997</v>
      </c>
      <c r="BL364" s="61">
        <v>83.8</v>
      </c>
      <c r="BM364" s="61">
        <v>83.9</v>
      </c>
      <c r="BN364" s="61">
        <v>26.5</v>
      </c>
      <c r="BO364" s="61">
        <v>27.3</v>
      </c>
      <c r="BP364" s="61">
        <v>31.6</v>
      </c>
      <c r="BQ364" s="61">
        <v>32.5</v>
      </c>
      <c r="BR364" s="61">
        <v>211</v>
      </c>
      <c r="BS364" s="61">
        <v>258</v>
      </c>
      <c r="BT364" s="61">
        <v>12.4</v>
      </c>
      <c r="BU364" s="61">
        <v>12.8</v>
      </c>
      <c r="BV364" s="164" t="s">
        <v>94</v>
      </c>
      <c r="BW364" s="164" t="s">
        <v>94</v>
      </c>
      <c r="BX364" s="61">
        <v>5.37</v>
      </c>
      <c r="BY364" s="61">
        <v>9.49</v>
      </c>
      <c r="BZ364" s="61">
        <v>71.5</v>
      </c>
      <c r="CA364" s="61">
        <v>79.900000000000006</v>
      </c>
      <c r="CB364" s="61">
        <v>17.100000000000001</v>
      </c>
      <c r="CC364" s="61">
        <v>13.9</v>
      </c>
      <c r="CD364" s="61">
        <v>6.44</v>
      </c>
      <c r="CE364" s="61">
        <v>5.6</v>
      </c>
      <c r="CF364" s="61">
        <v>4.04</v>
      </c>
      <c r="CG364" s="61">
        <v>0.5</v>
      </c>
      <c r="CH364" s="61">
        <v>0.97299999999999998</v>
      </c>
      <c r="CI364" s="61">
        <v>0.1</v>
      </c>
      <c r="CJ364" s="86" t="b">
        <f t="shared" si="35"/>
        <v>1</v>
      </c>
      <c r="CK364" s="2" t="b">
        <f t="shared" si="36"/>
        <v>1</v>
      </c>
      <c r="CL364" s="98" t="s">
        <v>94</v>
      </c>
      <c r="CM364" s="61" t="s">
        <v>94</v>
      </c>
      <c r="CN364" s="61" t="s">
        <v>94</v>
      </c>
      <c r="CO364" s="61" t="s">
        <v>94</v>
      </c>
      <c r="CP364" s="61" t="s">
        <v>94</v>
      </c>
      <c r="CQ364" s="61" t="s">
        <v>94</v>
      </c>
      <c r="CR364" s="61" t="s">
        <v>94</v>
      </c>
    </row>
    <row r="365" spans="1:96" ht="15.75" customHeight="1">
      <c r="A365" s="79">
        <v>2023</v>
      </c>
      <c r="B365" s="79" t="s">
        <v>172</v>
      </c>
      <c r="C365" s="61">
        <v>3330</v>
      </c>
      <c r="D365" s="61">
        <v>28</v>
      </c>
      <c r="E365" s="61">
        <v>74.5</v>
      </c>
      <c r="F365" s="61">
        <v>1</v>
      </c>
      <c r="G365" s="369" t="s">
        <v>89</v>
      </c>
      <c r="H365" s="369" t="s">
        <v>90</v>
      </c>
      <c r="I365" s="369" t="s">
        <v>93</v>
      </c>
      <c r="J365" s="369">
        <v>0</v>
      </c>
      <c r="K365" s="369">
        <v>50</v>
      </c>
      <c r="L365" s="369">
        <v>50</v>
      </c>
      <c r="M365" s="61">
        <v>645</v>
      </c>
      <c r="N365" s="61">
        <v>5171</v>
      </c>
      <c r="O365" s="61" t="s">
        <v>94</v>
      </c>
      <c r="P365" s="61" t="s">
        <v>94</v>
      </c>
      <c r="Q365" s="61">
        <v>3.3</v>
      </c>
      <c r="R365" s="61">
        <v>3.3</v>
      </c>
      <c r="S365" s="61">
        <v>232</v>
      </c>
      <c r="T365" s="61">
        <v>573</v>
      </c>
      <c r="U365" s="61">
        <v>45</v>
      </c>
      <c r="V365" s="61">
        <v>182</v>
      </c>
      <c r="W365" s="61">
        <v>5.2</v>
      </c>
      <c r="X365" s="61">
        <v>4.9000000000000004</v>
      </c>
      <c r="Y365" s="61">
        <v>30</v>
      </c>
      <c r="Z365" s="61">
        <v>103</v>
      </c>
      <c r="AA365" s="61">
        <v>18</v>
      </c>
      <c r="AB365" s="61">
        <v>15</v>
      </c>
      <c r="AC365" s="61">
        <v>5.7</v>
      </c>
      <c r="AD365" s="61">
        <v>4.9000000000000004</v>
      </c>
      <c r="AE365" s="164" t="s">
        <v>94</v>
      </c>
      <c r="AF365" s="164" t="s">
        <v>94</v>
      </c>
      <c r="AG365" s="61">
        <v>32</v>
      </c>
      <c r="AH365" s="61">
        <v>33</v>
      </c>
      <c r="AI365" s="61">
        <v>0.9</v>
      </c>
      <c r="AJ365" s="52">
        <v>0.75</v>
      </c>
      <c r="AK365" s="269">
        <f t="shared" si="32"/>
        <v>0</v>
      </c>
      <c r="AL365" s="61">
        <v>3.9</v>
      </c>
      <c r="AM365" s="61">
        <v>4.0999999999999996</v>
      </c>
      <c r="AN365" s="61">
        <v>7.7</v>
      </c>
      <c r="AO365" s="61">
        <v>6.8</v>
      </c>
      <c r="AP365" s="61">
        <v>10</v>
      </c>
      <c r="AQ365" s="61">
        <v>48</v>
      </c>
      <c r="AR365" s="61">
        <v>9.1999999999999993</v>
      </c>
      <c r="AS365" s="61">
        <v>8.9</v>
      </c>
      <c r="AT365" s="61">
        <v>4.5999999999999996</v>
      </c>
      <c r="AU365" s="61">
        <v>4.0999999999999996</v>
      </c>
      <c r="AV365" s="61">
        <v>90</v>
      </c>
      <c r="AW365" s="61">
        <v>76</v>
      </c>
      <c r="AX365" s="61">
        <v>137</v>
      </c>
      <c r="AY365" s="61">
        <v>138</v>
      </c>
      <c r="AZ365" s="61">
        <v>2</v>
      </c>
      <c r="BA365" s="61">
        <v>2</v>
      </c>
      <c r="BB365" s="61">
        <v>102</v>
      </c>
      <c r="BC365" s="61">
        <v>99</v>
      </c>
      <c r="BD365" s="96">
        <f t="shared" si="33"/>
        <v>288.45933333333329</v>
      </c>
      <c r="BE365" s="96">
        <f t="shared" si="34"/>
        <v>288.66155555555554</v>
      </c>
      <c r="BF365" s="61">
        <v>4.91</v>
      </c>
      <c r="BG365" s="61">
        <v>4.6399999999999997</v>
      </c>
      <c r="BH365" s="61">
        <v>14.3</v>
      </c>
      <c r="BI365" s="61">
        <v>13.7</v>
      </c>
      <c r="BJ365" s="61">
        <v>44</v>
      </c>
      <c r="BK365" s="61">
        <v>42.3</v>
      </c>
      <c r="BL365" s="61">
        <v>89.6</v>
      </c>
      <c r="BM365" s="61">
        <v>91.1</v>
      </c>
      <c r="BN365" s="61">
        <v>29.1</v>
      </c>
      <c r="BO365" s="61">
        <v>29.6</v>
      </c>
      <c r="BP365" s="61">
        <v>32.5</v>
      </c>
      <c r="BQ365" s="61">
        <v>32.5</v>
      </c>
      <c r="BR365" s="61">
        <v>150</v>
      </c>
      <c r="BS365" s="61">
        <v>210</v>
      </c>
      <c r="BT365" s="61">
        <v>11.8</v>
      </c>
      <c r="BU365" s="61">
        <v>12.4</v>
      </c>
      <c r="BV365" s="164" t="s">
        <v>94</v>
      </c>
      <c r="BW365" s="164" t="s">
        <v>94</v>
      </c>
      <c r="BX365" s="61">
        <v>5.05</v>
      </c>
      <c r="BY365" s="61">
        <v>9.2100000000000009</v>
      </c>
      <c r="BZ365" s="61">
        <v>68.099999999999994</v>
      </c>
      <c r="CA365" s="61">
        <v>82.7</v>
      </c>
      <c r="CB365" s="61">
        <v>22.3</v>
      </c>
      <c r="CC365" s="61">
        <v>10.6</v>
      </c>
      <c r="CD365" s="61">
        <v>8.7799999999999994</v>
      </c>
      <c r="CE365" s="61">
        <v>6.2</v>
      </c>
      <c r="CF365" s="61">
        <v>0.26700000000000002</v>
      </c>
      <c r="CG365" s="61">
        <v>0.3</v>
      </c>
      <c r="CH365" s="61">
        <v>0.53300000000000003</v>
      </c>
      <c r="CI365" s="61">
        <v>0.2</v>
      </c>
      <c r="CJ365" s="86" t="b">
        <f t="shared" si="35"/>
        <v>0</v>
      </c>
      <c r="CK365" s="2" t="b">
        <f t="shared" si="36"/>
        <v>1</v>
      </c>
      <c r="CL365" s="98">
        <f t="shared" ref="CL365:CL384" si="38">$CM365-($CM365*(0.01*$CR365))</f>
        <v>67.44474000000001</v>
      </c>
      <c r="CM365" s="61">
        <v>75.900000000000006</v>
      </c>
      <c r="CN365" s="61">
        <v>182</v>
      </c>
      <c r="CO365" s="96" t="s">
        <v>159</v>
      </c>
      <c r="CP365" s="61">
        <v>52</v>
      </c>
      <c r="CQ365" s="61">
        <v>42</v>
      </c>
      <c r="CR365" s="61" t="s">
        <v>160</v>
      </c>
    </row>
    <row r="366" spans="1:96" ht="15.75" customHeight="1">
      <c r="A366" s="79">
        <v>2023</v>
      </c>
      <c r="B366" s="79" t="s">
        <v>172</v>
      </c>
      <c r="C366" s="61">
        <v>3331</v>
      </c>
      <c r="D366" s="61">
        <v>28</v>
      </c>
      <c r="E366" s="61">
        <v>89.2</v>
      </c>
      <c r="F366" s="61">
        <v>1</v>
      </c>
      <c r="G366" s="369" t="s">
        <v>89</v>
      </c>
      <c r="H366" s="369" t="s">
        <v>83</v>
      </c>
      <c r="I366" s="369" t="s">
        <v>93</v>
      </c>
      <c r="J366" s="369" t="s">
        <v>206</v>
      </c>
      <c r="K366" s="369">
        <v>75</v>
      </c>
      <c r="L366" s="369">
        <v>25</v>
      </c>
      <c r="M366" s="61">
        <v>156</v>
      </c>
      <c r="N366" s="61">
        <v>804</v>
      </c>
      <c r="O366" s="61" t="s">
        <v>94</v>
      </c>
      <c r="P366" s="61" t="s">
        <v>94</v>
      </c>
      <c r="Q366" s="61">
        <v>4.4000000000000004</v>
      </c>
      <c r="R366" s="61">
        <v>3.1</v>
      </c>
      <c r="S366" s="61">
        <v>181</v>
      </c>
      <c r="T366" s="61">
        <v>300</v>
      </c>
      <c r="U366" s="61">
        <v>28</v>
      </c>
      <c r="V366" s="61">
        <v>58</v>
      </c>
      <c r="W366" s="61">
        <v>5.2</v>
      </c>
      <c r="X366" s="61">
        <v>4.7</v>
      </c>
      <c r="Y366" s="61">
        <v>26</v>
      </c>
      <c r="Z366" s="61">
        <v>54</v>
      </c>
      <c r="AA366" s="61">
        <v>16</v>
      </c>
      <c r="AB366" s="61">
        <v>15</v>
      </c>
      <c r="AC366" s="61">
        <v>5.6</v>
      </c>
      <c r="AD366" s="61">
        <v>5.8</v>
      </c>
      <c r="AE366" s="164" t="s">
        <v>94</v>
      </c>
      <c r="AF366" s="164" t="s">
        <v>94</v>
      </c>
      <c r="AG366" s="61">
        <v>43</v>
      </c>
      <c r="AH366" s="61">
        <v>42</v>
      </c>
      <c r="AI366" s="61">
        <v>1</v>
      </c>
      <c r="AJ366" s="52">
        <v>1.1499999999999999</v>
      </c>
      <c r="AK366" s="269">
        <f t="shared" si="32"/>
        <v>0.14999999999999991</v>
      </c>
      <c r="AL366" s="61">
        <v>3.9</v>
      </c>
      <c r="AM366" s="61">
        <v>4</v>
      </c>
      <c r="AN366" s="61">
        <v>7.6</v>
      </c>
      <c r="AO366" s="61">
        <v>7</v>
      </c>
      <c r="AP366" s="61">
        <v>42</v>
      </c>
      <c r="AQ366" s="61">
        <v>51</v>
      </c>
      <c r="AR366" s="61">
        <v>9.4</v>
      </c>
      <c r="AS366" s="61">
        <v>9.3000000000000007</v>
      </c>
      <c r="AT366" s="61">
        <v>5</v>
      </c>
      <c r="AU366" s="61">
        <v>3.9</v>
      </c>
      <c r="AV366" s="61">
        <v>77</v>
      </c>
      <c r="AW366" s="61">
        <v>98</v>
      </c>
      <c r="AX366" s="61">
        <v>142</v>
      </c>
      <c r="AY366" s="61">
        <v>138</v>
      </c>
      <c r="AZ366" s="61">
        <v>2</v>
      </c>
      <c r="BA366" s="61">
        <v>2.2000000000000002</v>
      </c>
      <c r="BB366" s="61">
        <v>105</v>
      </c>
      <c r="BC366" s="61">
        <v>101</v>
      </c>
      <c r="BD366" s="96">
        <f t="shared" si="33"/>
        <v>299.50611111111112</v>
      </c>
      <c r="BE366" s="96">
        <f t="shared" si="34"/>
        <v>291.19511111111115</v>
      </c>
      <c r="BF366" s="61">
        <v>5.82</v>
      </c>
      <c r="BG366" s="61">
        <v>5.14</v>
      </c>
      <c r="BH366" s="61">
        <v>16.5</v>
      </c>
      <c r="BI366" s="61">
        <v>14.7</v>
      </c>
      <c r="BJ366" s="61">
        <v>49.8</v>
      </c>
      <c r="BK366" s="61">
        <v>44.9</v>
      </c>
      <c r="BL366" s="61">
        <v>85.6</v>
      </c>
      <c r="BM366" s="61">
        <v>87.4</v>
      </c>
      <c r="BN366" s="61">
        <v>28.4</v>
      </c>
      <c r="BO366" s="61">
        <v>28.7</v>
      </c>
      <c r="BP366" s="61">
        <v>33.1</v>
      </c>
      <c r="BQ366" s="61">
        <v>32.799999999999997</v>
      </c>
      <c r="BR366" s="61">
        <v>250</v>
      </c>
      <c r="BS366" s="61">
        <v>368</v>
      </c>
      <c r="BT366" s="61">
        <v>12.2</v>
      </c>
      <c r="BU366" s="61">
        <v>13.1</v>
      </c>
      <c r="BV366" s="164" t="s">
        <v>94</v>
      </c>
      <c r="BW366" s="164" t="s">
        <v>94</v>
      </c>
      <c r="BX366" s="61">
        <v>8.23</v>
      </c>
      <c r="BY366" s="61">
        <v>16.18</v>
      </c>
      <c r="BZ366" s="61">
        <v>79.099999999999994</v>
      </c>
      <c r="CA366" s="61">
        <v>88.2</v>
      </c>
      <c r="CB366" s="61">
        <v>14</v>
      </c>
      <c r="CC366" s="61">
        <v>6.7</v>
      </c>
      <c r="CD366" s="61">
        <v>6.07</v>
      </c>
      <c r="CE366" s="61">
        <v>4.7</v>
      </c>
      <c r="CF366" s="61">
        <v>0.221</v>
      </c>
      <c r="CG366" s="61">
        <v>0.2</v>
      </c>
      <c r="CH366" s="61">
        <v>0.55200000000000005</v>
      </c>
      <c r="CI366" s="61">
        <v>0.2</v>
      </c>
      <c r="CJ366" s="86" t="b">
        <f t="shared" si="35"/>
        <v>0</v>
      </c>
      <c r="CK366" s="2" t="b">
        <f t="shared" si="36"/>
        <v>0</v>
      </c>
      <c r="CL366" s="98">
        <f t="shared" si="38"/>
        <v>74.301159999999996</v>
      </c>
      <c r="CM366" s="61">
        <v>91.1</v>
      </c>
      <c r="CN366" s="61">
        <v>181.5</v>
      </c>
      <c r="CO366" s="96" t="s">
        <v>161</v>
      </c>
      <c r="CP366" s="61">
        <v>70</v>
      </c>
      <c r="CQ366" s="61">
        <v>66</v>
      </c>
      <c r="CR366" s="61" t="s">
        <v>162</v>
      </c>
    </row>
    <row r="367" spans="1:96" ht="15.75" customHeight="1">
      <c r="A367" s="79">
        <v>2023</v>
      </c>
      <c r="B367" s="79" t="s">
        <v>172</v>
      </c>
      <c r="C367" s="61">
        <v>3343</v>
      </c>
      <c r="D367" s="61">
        <v>27</v>
      </c>
      <c r="E367" s="61">
        <v>75.900000000000006</v>
      </c>
      <c r="F367" s="61">
        <v>2</v>
      </c>
      <c r="G367" s="164" t="s">
        <v>94</v>
      </c>
      <c r="H367" s="164" t="s">
        <v>94</v>
      </c>
      <c r="I367" s="164" t="s">
        <v>94</v>
      </c>
      <c r="J367" s="164" t="s">
        <v>94</v>
      </c>
      <c r="K367" s="164" t="s">
        <v>94</v>
      </c>
      <c r="L367" s="164" t="s">
        <v>94</v>
      </c>
      <c r="M367" s="61">
        <v>811</v>
      </c>
      <c r="N367" s="61">
        <v>2806</v>
      </c>
      <c r="O367" s="61" t="s">
        <v>94</v>
      </c>
      <c r="P367" s="61" t="s">
        <v>94</v>
      </c>
      <c r="Q367" s="61">
        <v>2.2999999999999998</v>
      </c>
      <c r="R367" s="61">
        <v>3</v>
      </c>
      <c r="S367" s="61">
        <v>271</v>
      </c>
      <c r="T367" s="61">
        <v>505</v>
      </c>
      <c r="U367" s="61">
        <v>60</v>
      </c>
      <c r="V367" s="61">
        <v>126</v>
      </c>
      <c r="W367" s="61">
        <v>5.8</v>
      </c>
      <c r="X367" s="61">
        <v>4.4000000000000004</v>
      </c>
      <c r="Y367" s="61">
        <v>41</v>
      </c>
      <c r="Z367" s="61">
        <v>176</v>
      </c>
      <c r="AA367" s="61">
        <v>22</v>
      </c>
      <c r="AB367" s="61">
        <v>20</v>
      </c>
      <c r="AC367" s="61">
        <v>5.9</v>
      </c>
      <c r="AD367" s="61">
        <v>5.6</v>
      </c>
      <c r="AE367" s="164" t="s">
        <v>94</v>
      </c>
      <c r="AF367" s="164" t="s">
        <v>94</v>
      </c>
      <c r="AG367" s="61">
        <v>44</v>
      </c>
      <c r="AH367" s="61">
        <v>40</v>
      </c>
      <c r="AI367" s="61">
        <v>0.7</v>
      </c>
      <c r="AJ367" s="52">
        <v>1.57</v>
      </c>
      <c r="AK367" s="269">
        <f t="shared" si="32"/>
        <v>0.87000000000000011</v>
      </c>
      <c r="AL367" s="61">
        <v>5.2</v>
      </c>
      <c r="AM367" s="61">
        <v>4.8</v>
      </c>
      <c r="AN367" s="61">
        <v>9.6</v>
      </c>
      <c r="AO367" s="61">
        <v>6.5</v>
      </c>
      <c r="AP367" s="61">
        <v>38</v>
      </c>
      <c r="AQ367" s="61">
        <v>45</v>
      </c>
      <c r="AR367" s="61">
        <v>9.3000000000000007</v>
      </c>
      <c r="AS367" s="61">
        <v>8.6</v>
      </c>
      <c r="AT367" s="61">
        <v>5</v>
      </c>
      <c r="AU367" s="61">
        <v>4.2</v>
      </c>
      <c r="AV367" s="61">
        <v>110</v>
      </c>
      <c r="AW367" s="61">
        <v>109</v>
      </c>
      <c r="AX367" s="61">
        <v>144</v>
      </c>
      <c r="AY367" s="61">
        <v>137</v>
      </c>
      <c r="AZ367" s="61">
        <v>2.2000000000000002</v>
      </c>
      <c r="BA367" s="61">
        <v>2.2999999999999998</v>
      </c>
      <c r="BB367" s="61">
        <v>106</v>
      </c>
      <c r="BC367" s="61">
        <v>101</v>
      </c>
      <c r="BD367" s="96">
        <f t="shared" si="33"/>
        <v>305.50111111111107</v>
      </c>
      <c r="BE367" s="96">
        <f t="shared" si="34"/>
        <v>290.26255555555559</v>
      </c>
      <c r="BF367" s="61">
        <v>5.39</v>
      </c>
      <c r="BG367" s="61">
        <v>4.8099999999999996</v>
      </c>
      <c r="BH367" s="61">
        <v>14.2</v>
      </c>
      <c r="BI367" s="61">
        <v>12.9</v>
      </c>
      <c r="BJ367" s="61">
        <v>45.3</v>
      </c>
      <c r="BK367" s="61">
        <v>40.799999999999997</v>
      </c>
      <c r="BL367" s="61">
        <v>84</v>
      </c>
      <c r="BM367" s="61">
        <v>84.9</v>
      </c>
      <c r="BN367" s="61">
        <v>26.4</v>
      </c>
      <c r="BO367" s="61">
        <v>26.7</v>
      </c>
      <c r="BP367" s="61">
        <v>31.4</v>
      </c>
      <c r="BQ367" s="61">
        <v>31.5</v>
      </c>
      <c r="BR367" s="61">
        <v>223</v>
      </c>
      <c r="BS367" s="61">
        <v>318</v>
      </c>
      <c r="BT367" s="61">
        <v>12</v>
      </c>
      <c r="BU367" s="61">
        <v>12.3</v>
      </c>
      <c r="BV367" s="164" t="s">
        <v>94</v>
      </c>
      <c r="BW367" s="164" t="s">
        <v>94</v>
      </c>
      <c r="BX367" s="61">
        <v>7.87</v>
      </c>
      <c r="BY367" s="61">
        <v>12.41</v>
      </c>
      <c r="BZ367" s="61">
        <v>73.599999999999994</v>
      </c>
      <c r="CA367" s="61">
        <v>81.400000000000006</v>
      </c>
      <c r="CB367" s="61">
        <v>19.100000000000001</v>
      </c>
      <c r="CC367" s="61">
        <v>12.2</v>
      </c>
      <c r="CD367" s="61">
        <v>6.32</v>
      </c>
      <c r="CE367" s="61">
        <v>5.9</v>
      </c>
      <c r="CF367" s="61">
        <v>0.42099999999999999</v>
      </c>
      <c r="CG367" s="61">
        <v>0.4</v>
      </c>
      <c r="CH367" s="61">
        <v>0.55200000000000005</v>
      </c>
      <c r="CI367" s="61">
        <v>0.1</v>
      </c>
      <c r="CJ367" s="86" t="b">
        <f t="shared" si="35"/>
        <v>1</v>
      </c>
      <c r="CK367" s="2" t="b">
        <f t="shared" si="36"/>
        <v>1</v>
      </c>
      <c r="CL367" s="98">
        <f t="shared" si="38"/>
        <v>65.795109999999994</v>
      </c>
      <c r="CM367" s="98">
        <v>75.099999999999994</v>
      </c>
      <c r="CN367" s="98">
        <v>170</v>
      </c>
      <c r="CO367" s="96" t="s">
        <v>94</v>
      </c>
      <c r="CP367" s="98">
        <v>48</v>
      </c>
      <c r="CQ367" s="98">
        <v>60</v>
      </c>
      <c r="CR367" s="61" t="s">
        <v>165</v>
      </c>
    </row>
    <row r="368" spans="1:96" ht="15.75" customHeight="1">
      <c r="A368" s="79">
        <v>2023</v>
      </c>
      <c r="B368" s="79" t="s">
        <v>172</v>
      </c>
      <c r="C368" s="61">
        <v>3347</v>
      </c>
      <c r="D368" s="61">
        <v>28</v>
      </c>
      <c r="E368" s="61">
        <v>82.5</v>
      </c>
      <c r="F368" s="61">
        <v>2</v>
      </c>
      <c r="G368" s="369" t="s">
        <v>86</v>
      </c>
      <c r="H368" s="369" t="s">
        <v>92</v>
      </c>
      <c r="I368" s="369" t="s">
        <v>84</v>
      </c>
      <c r="J368" s="369">
        <v>0</v>
      </c>
      <c r="K368" s="369">
        <v>75</v>
      </c>
      <c r="L368" s="369">
        <v>25</v>
      </c>
      <c r="M368" s="61">
        <v>665</v>
      </c>
      <c r="N368" s="61">
        <v>5503</v>
      </c>
      <c r="O368" s="61" t="s">
        <v>94</v>
      </c>
      <c r="P368" s="61" t="s">
        <v>94</v>
      </c>
      <c r="Q368" s="61">
        <v>3.1</v>
      </c>
      <c r="R368" s="61">
        <v>2.7</v>
      </c>
      <c r="S368" s="61">
        <v>194</v>
      </c>
      <c r="T368" s="61">
        <v>651</v>
      </c>
      <c r="U368" s="61">
        <v>39</v>
      </c>
      <c r="V368" s="61">
        <v>208</v>
      </c>
      <c r="W368" s="61">
        <v>3.9</v>
      </c>
      <c r="X368" s="61">
        <v>4.5999999999999996</v>
      </c>
      <c r="Y368" s="61">
        <v>28</v>
      </c>
      <c r="Z368" s="61">
        <v>110</v>
      </c>
      <c r="AA368" s="61">
        <v>20</v>
      </c>
      <c r="AB368" s="61">
        <v>21</v>
      </c>
      <c r="AC368" s="61">
        <v>4.5</v>
      </c>
      <c r="AD368" s="61">
        <v>4.9000000000000004</v>
      </c>
      <c r="AE368" s="164" t="s">
        <v>94</v>
      </c>
      <c r="AF368" s="164" t="s">
        <v>94</v>
      </c>
      <c r="AG368" s="61">
        <v>37</v>
      </c>
      <c r="AH368" s="61">
        <v>47</v>
      </c>
      <c r="AI368" s="61">
        <v>0.8</v>
      </c>
      <c r="AJ368" s="52">
        <v>0.73</v>
      </c>
      <c r="AK368" s="269">
        <f t="shared" si="32"/>
        <v>0</v>
      </c>
      <c r="AL368" s="61">
        <v>3.5</v>
      </c>
      <c r="AM368" s="61">
        <v>4.0999999999999996</v>
      </c>
      <c r="AN368" s="61">
        <v>6.6</v>
      </c>
      <c r="AO368" s="61">
        <v>6.9</v>
      </c>
      <c r="AP368" s="61">
        <v>34</v>
      </c>
      <c r="AQ368" s="61">
        <v>10</v>
      </c>
      <c r="AR368" s="61">
        <v>7.2</v>
      </c>
      <c r="AS368" s="61">
        <v>8.8000000000000007</v>
      </c>
      <c r="AT368" s="61">
        <v>4.5</v>
      </c>
      <c r="AU368" s="61">
        <v>4.4000000000000004</v>
      </c>
      <c r="AV368" s="61">
        <v>90</v>
      </c>
      <c r="AW368" s="61">
        <v>117</v>
      </c>
      <c r="AX368" s="61">
        <v>132</v>
      </c>
      <c r="AY368" s="61">
        <v>136</v>
      </c>
      <c r="AZ368" s="61">
        <v>1.8</v>
      </c>
      <c r="BA368" s="61">
        <v>2.1</v>
      </c>
      <c r="BB368" s="61">
        <v>101</v>
      </c>
      <c r="BC368" s="61">
        <v>101</v>
      </c>
      <c r="BD368" s="96">
        <f t="shared" si="33"/>
        <v>279.80666666666667</v>
      </c>
      <c r="BE368" s="96">
        <f t="shared" si="34"/>
        <v>290.45233333333334</v>
      </c>
      <c r="BF368" s="61">
        <v>5.22</v>
      </c>
      <c r="BG368" s="61">
        <v>4.58</v>
      </c>
      <c r="BH368" s="61">
        <v>14.7</v>
      </c>
      <c r="BI368" s="61">
        <v>13.3</v>
      </c>
      <c r="BJ368" s="61">
        <v>45.9</v>
      </c>
      <c r="BK368" s="61">
        <v>40.5</v>
      </c>
      <c r="BL368" s="61">
        <v>87.8</v>
      </c>
      <c r="BM368" s="61">
        <v>88.5</v>
      </c>
      <c r="BN368" s="61">
        <v>28.1</v>
      </c>
      <c r="BO368" s="61">
        <v>29</v>
      </c>
      <c r="BP368" s="61">
        <v>32</v>
      </c>
      <c r="BQ368" s="61">
        <v>32.700000000000003</v>
      </c>
      <c r="BR368" s="61">
        <v>267</v>
      </c>
      <c r="BS368" s="61">
        <v>286</v>
      </c>
      <c r="BT368" s="61">
        <v>12.2</v>
      </c>
      <c r="BU368" s="61">
        <v>12.9</v>
      </c>
      <c r="BV368" s="164" t="s">
        <v>94</v>
      </c>
      <c r="BW368" s="164" t="s">
        <v>94</v>
      </c>
      <c r="BX368" s="61">
        <v>5.0199999999999996</v>
      </c>
      <c r="BY368" s="61">
        <v>8.18</v>
      </c>
      <c r="BZ368" s="61">
        <v>59.2</v>
      </c>
      <c r="CA368" s="61">
        <v>84.1</v>
      </c>
      <c r="CB368" s="61">
        <v>29.2</v>
      </c>
      <c r="CC368" s="61">
        <v>9.6</v>
      </c>
      <c r="CD368" s="61">
        <v>7.36</v>
      </c>
      <c r="CE368" s="61">
        <v>5.5</v>
      </c>
      <c r="CF368" s="61">
        <v>3.47</v>
      </c>
      <c r="CG368" s="61">
        <v>0.5</v>
      </c>
      <c r="CH368" s="61">
        <v>0.88400000000000001</v>
      </c>
      <c r="CI368" s="61">
        <v>0.3</v>
      </c>
      <c r="CJ368" s="86" t="b">
        <f t="shared" si="35"/>
        <v>0</v>
      </c>
      <c r="CK368" s="2" t="b">
        <f t="shared" si="36"/>
        <v>1</v>
      </c>
      <c r="CL368" s="98">
        <f t="shared" si="38"/>
        <v>74.264600000000002</v>
      </c>
      <c r="CM368" s="159">
        <v>82.7</v>
      </c>
      <c r="CN368" s="159">
        <v>179.5</v>
      </c>
      <c r="CO368" s="96" t="s">
        <v>166</v>
      </c>
      <c r="CP368" s="159">
        <v>58</v>
      </c>
      <c r="CQ368" s="159">
        <v>52</v>
      </c>
      <c r="CR368" s="61" t="s">
        <v>167</v>
      </c>
    </row>
    <row r="369" spans="1:96" ht="15.75" customHeight="1">
      <c r="A369" s="79">
        <v>2023</v>
      </c>
      <c r="B369" s="79" t="s">
        <v>172</v>
      </c>
      <c r="C369" s="61">
        <v>3348</v>
      </c>
      <c r="D369" s="61">
        <v>29</v>
      </c>
      <c r="E369" s="61">
        <v>81.900000000000006</v>
      </c>
      <c r="F369" s="61">
        <v>2</v>
      </c>
      <c r="G369" s="369" t="s">
        <v>86</v>
      </c>
      <c r="H369" s="369" t="s">
        <v>90</v>
      </c>
      <c r="I369" s="369" t="s">
        <v>84</v>
      </c>
      <c r="J369" s="369" t="s">
        <v>206</v>
      </c>
      <c r="K369" s="369">
        <v>62.5</v>
      </c>
      <c r="L369" s="369">
        <v>37.5</v>
      </c>
      <c r="M369" s="61">
        <v>140</v>
      </c>
      <c r="N369" s="61">
        <v>1528</v>
      </c>
      <c r="O369" s="61" t="s">
        <v>94</v>
      </c>
      <c r="P369" s="61" t="s">
        <v>94</v>
      </c>
      <c r="Q369" s="61">
        <v>3.3</v>
      </c>
      <c r="R369" s="164" t="s">
        <v>94</v>
      </c>
      <c r="S369" s="61">
        <v>180</v>
      </c>
      <c r="T369" s="61">
        <v>391</v>
      </c>
      <c r="U369" s="61">
        <v>22</v>
      </c>
      <c r="V369" s="61">
        <v>83</v>
      </c>
      <c r="W369" s="61">
        <v>3.6</v>
      </c>
      <c r="X369" s="61">
        <v>4.5</v>
      </c>
      <c r="Y369" s="61">
        <v>19</v>
      </c>
      <c r="Z369" s="61">
        <v>73</v>
      </c>
      <c r="AA369" s="61">
        <v>12</v>
      </c>
      <c r="AB369" s="61">
        <v>15</v>
      </c>
      <c r="AC369" s="61">
        <v>3.5</v>
      </c>
      <c r="AD369" s="61">
        <v>4.8</v>
      </c>
      <c r="AE369" s="164" t="s">
        <v>94</v>
      </c>
      <c r="AF369" s="164" t="s">
        <v>94</v>
      </c>
      <c r="AG369" s="61">
        <v>30</v>
      </c>
      <c r="AH369" s="61">
        <v>42</v>
      </c>
      <c r="AI369" s="61">
        <v>0.7</v>
      </c>
      <c r="AJ369" s="52">
        <v>0.93</v>
      </c>
      <c r="AK369" s="269">
        <f t="shared" si="32"/>
        <v>0.23000000000000009</v>
      </c>
      <c r="AL369" s="61">
        <v>4.0999999999999996</v>
      </c>
      <c r="AM369" s="61">
        <v>4.2</v>
      </c>
      <c r="AN369" s="61">
        <v>6.3</v>
      </c>
      <c r="AO369" s="61">
        <v>7</v>
      </c>
      <c r="AP369" s="61">
        <v>40</v>
      </c>
      <c r="AQ369" s="61">
        <v>10</v>
      </c>
      <c r="AR369" s="61">
        <v>7</v>
      </c>
      <c r="AS369" s="61">
        <v>8.8000000000000007</v>
      </c>
      <c r="AT369" s="61">
        <v>4.5</v>
      </c>
      <c r="AU369" s="61">
        <v>4.2</v>
      </c>
      <c r="AV369" s="61">
        <v>82</v>
      </c>
      <c r="AW369" s="61">
        <v>71</v>
      </c>
      <c r="AX369" s="61">
        <v>132</v>
      </c>
      <c r="AY369" s="61">
        <v>140</v>
      </c>
      <c r="AZ369" s="61">
        <v>1.7</v>
      </c>
      <c r="BA369" s="61">
        <v>2.2999999999999998</v>
      </c>
      <c r="BB369" s="61">
        <v>101</v>
      </c>
      <c r="BC369" s="61">
        <v>103</v>
      </c>
      <c r="BD369" s="96">
        <f t="shared" si="33"/>
        <v>278.12888888888892</v>
      </c>
      <c r="BE369" s="96">
        <f t="shared" si="34"/>
        <v>293.74811111111109</v>
      </c>
      <c r="BF369" s="61">
        <v>5.59</v>
      </c>
      <c r="BG369" s="61">
        <v>4.8499999999999996</v>
      </c>
      <c r="BH369" s="61">
        <v>15.9</v>
      </c>
      <c r="BI369" s="61">
        <v>14.3</v>
      </c>
      <c r="BJ369" s="61">
        <v>47.8</v>
      </c>
      <c r="BK369" s="61">
        <v>42.7</v>
      </c>
      <c r="BL369" s="61">
        <v>85.4</v>
      </c>
      <c r="BM369" s="61">
        <v>88.1</v>
      </c>
      <c r="BN369" s="61">
        <v>28.4</v>
      </c>
      <c r="BO369" s="61">
        <v>29.5</v>
      </c>
      <c r="BP369" s="61">
        <v>33.200000000000003</v>
      </c>
      <c r="BQ369" s="61">
        <v>33.5</v>
      </c>
      <c r="BR369" s="61">
        <v>212</v>
      </c>
      <c r="BS369" s="61">
        <v>249</v>
      </c>
      <c r="BT369" s="61">
        <v>10.8</v>
      </c>
      <c r="BU369" s="61">
        <v>12.2</v>
      </c>
      <c r="BV369" s="164" t="s">
        <v>94</v>
      </c>
      <c r="BW369" s="164" t="s">
        <v>94</v>
      </c>
      <c r="BX369" s="61">
        <v>7.01</v>
      </c>
      <c r="BY369" s="61">
        <v>10.24</v>
      </c>
      <c r="BZ369" s="61">
        <v>63.8</v>
      </c>
      <c r="CA369" s="61">
        <v>71.2</v>
      </c>
      <c r="CB369" s="61">
        <v>25.3</v>
      </c>
      <c r="CC369" s="61">
        <v>21.1</v>
      </c>
      <c r="CD369" s="61">
        <v>8.56</v>
      </c>
      <c r="CE369" s="61">
        <v>6</v>
      </c>
      <c r="CF369" s="61">
        <v>1.38</v>
      </c>
      <c r="CG369" s="61">
        <v>1.7</v>
      </c>
      <c r="CH369" s="61">
        <v>0.90200000000000002</v>
      </c>
      <c r="CI369" s="61">
        <v>0</v>
      </c>
      <c r="CJ369" s="86" t="b">
        <f t="shared" si="35"/>
        <v>0</v>
      </c>
      <c r="CK369" s="2" t="b">
        <f t="shared" si="36"/>
        <v>1</v>
      </c>
      <c r="CL369" s="98">
        <f t="shared" si="38"/>
        <v>70.179900000000004</v>
      </c>
      <c r="CM369" s="61">
        <v>80.5</v>
      </c>
      <c r="CN369" s="61">
        <v>181</v>
      </c>
      <c r="CO369" s="96" t="s">
        <v>168</v>
      </c>
      <c r="CP369" s="61">
        <v>60</v>
      </c>
      <c r="CQ369" s="61">
        <v>50</v>
      </c>
      <c r="CR369" s="61" t="s">
        <v>169</v>
      </c>
    </row>
    <row r="370" spans="1:96" ht="15.75" customHeight="1">
      <c r="A370" s="79">
        <v>2023</v>
      </c>
      <c r="B370" s="79" t="s">
        <v>172</v>
      </c>
      <c r="C370" s="61">
        <v>3350</v>
      </c>
      <c r="D370" s="61">
        <v>29</v>
      </c>
      <c r="E370" s="61">
        <v>83.1</v>
      </c>
      <c r="F370" s="61">
        <v>2</v>
      </c>
      <c r="G370" s="369" t="s">
        <v>86</v>
      </c>
      <c r="H370" s="369" t="s">
        <v>92</v>
      </c>
      <c r="I370" s="369" t="s">
        <v>87</v>
      </c>
      <c r="J370" s="369">
        <v>0</v>
      </c>
      <c r="K370" s="369">
        <v>62.5</v>
      </c>
      <c r="L370" s="369">
        <v>37.5</v>
      </c>
      <c r="M370" s="61">
        <v>588</v>
      </c>
      <c r="N370" s="61">
        <v>3543</v>
      </c>
      <c r="O370" s="61" t="s">
        <v>94</v>
      </c>
      <c r="P370" s="61" t="s">
        <v>94</v>
      </c>
      <c r="Q370" s="61">
        <v>2.8</v>
      </c>
      <c r="R370" s="61">
        <v>3.4</v>
      </c>
      <c r="S370" s="61">
        <v>269</v>
      </c>
      <c r="T370" s="61">
        <v>590</v>
      </c>
      <c r="U370" s="61">
        <v>54</v>
      </c>
      <c r="V370" s="61">
        <v>184</v>
      </c>
      <c r="W370" s="61">
        <v>5.3</v>
      </c>
      <c r="X370" s="61">
        <v>4.4000000000000004</v>
      </c>
      <c r="Y370" s="61">
        <v>48</v>
      </c>
      <c r="Z370" s="61">
        <v>98</v>
      </c>
      <c r="AA370" s="61">
        <v>18</v>
      </c>
      <c r="AB370" s="61">
        <v>13</v>
      </c>
      <c r="AC370" s="61">
        <v>4.2</v>
      </c>
      <c r="AD370" s="61">
        <v>3.9</v>
      </c>
      <c r="AE370" s="164" t="s">
        <v>94</v>
      </c>
      <c r="AF370" s="164" t="s">
        <v>94</v>
      </c>
      <c r="AG370" s="61">
        <v>43</v>
      </c>
      <c r="AH370" s="61">
        <v>40</v>
      </c>
      <c r="AI370" s="61">
        <v>0.6</v>
      </c>
      <c r="AJ370" s="52">
        <v>0.65</v>
      </c>
      <c r="AK370" s="269">
        <f t="shared" si="32"/>
        <v>5.0000000000000044E-2</v>
      </c>
      <c r="AL370" s="61">
        <v>4.4000000000000004</v>
      </c>
      <c r="AM370" s="61">
        <v>3.3</v>
      </c>
      <c r="AN370" s="61">
        <v>8.8000000000000007</v>
      </c>
      <c r="AO370" s="61">
        <v>6.8</v>
      </c>
      <c r="AP370" s="61">
        <v>26</v>
      </c>
      <c r="AQ370" s="61">
        <v>10</v>
      </c>
      <c r="AR370" s="61">
        <v>8.9</v>
      </c>
      <c r="AS370" s="61">
        <v>8.6999999999999993</v>
      </c>
      <c r="AT370" s="61">
        <v>4.7</v>
      </c>
      <c r="AU370" s="61">
        <v>4.0999999999999996</v>
      </c>
      <c r="AV370" s="61">
        <v>106</v>
      </c>
      <c r="AW370" s="61">
        <v>82</v>
      </c>
      <c r="AX370" s="61">
        <v>144</v>
      </c>
      <c r="AY370" s="61">
        <v>135</v>
      </c>
      <c r="AZ370" s="61">
        <v>2</v>
      </c>
      <c r="BA370" s="61">
        <v>2.1</v>
      </c>
      <c r="BB370" s="61">
        <v>106</v>
      </c>
      <c r="BC370" s="61">
        <v>101</v>
      </c>
      <c r="BD370" s="96">
        <f t="shared" si="33"/>
        <v>304.52088888888892</v>
      </c>
      <c r="BE370" s="96">
        <f t="shared" si="34"/>
        <v>284.63155555555556</v>
      </c>
      <c r="BF370" s="61">
        <v>4.95</v>
      </c>
      <c r="BG370" s="61">
        <v>4.12</v>
      </c>
      <c r="BH370" s="61">
        <v>14.2</v>
      </c>
      <c r="BI370" s="61">
        <v>11.9</v>
      </c>
      <c r="BJ370" s="61">
        <v>42.9</v>
      </c>
      <c r="BK370" s="61">
        <v>35.9</v>
      </c>
      <c r="BL370" s="61">
        <v>86.6</v>
      </c>
      <c r="BM370" s="61">
        <v>87</v>
      </c>
      <c r="BN370" s="61">
        <v>28.7</v>
      </c>
      <c r="BO370" s="61">
        <v>29</v>
      </c>
      <c r="BP370" s="61">
        <v>33.1</v>
      </c>
      <c r="BQ370" s="61">
        <v>33.299999999999997</v>
      </c>
      <c r="BR370" s="61">
        <v>212</v>
      </c>
      <c r="BS370" s="61">
        <v>343</v>
      </c>
      <c r="BT370" s="61">
        <v>11.6</v>
      </c>
      <c r="BU370" s="61">
        <v>12.7</v>
      </c>
      <c r="BV370" s="164" t="s">
        <v>94</v>
      </c>
      <c r="BW370" s="164" t="s">
        <v>94</v>
      </c>
      <c r="BX370" s="61">
        <v>6.35</v>
      </c>
      <c r="BY370" s="61">
        <v>11.38</v>
      </c>
      <c r="BZ370" s="61">
        <v>66.2</v>
      </c>
      <c r="CA370" s="61">
        <v>72.099999999999994</v>
      </c>
      <c r="CB370" s="61">
        <v>26.1</v>
      </c>
      <c r="CC370" s="61">
        <v>20</v>
      </c>
      <c r="CD370" s="61">
        <v>5.42</v>
      </c>
      <c r="CE370" s="61">
        <v>7</v>
      </c>
      <c r="CF370" s="61">
        <v>1.5</v>
      </c>
      <c r="CG370" s="61">
        <v>0.8</v>
      </c>
      <c r="CH370" s="61">
        <v>0.79400000000000004</v>
      </c>
      <c r="CI370" s="61">
        <v>0</v>
      </c>
      <c r="CJ370" s="86" t="b">
        <f t="shared" si="35"/>
        <v>0</v>
      </c>
      <c r="CK370" s="2" t="b">
        <f t="shared" si="36"/>
        <v>1</v>
      </c>
      <c r="CL370" s="98">
        <f t="shared" si="38"/>
        <v>75.160799999999995</v>
      </c>
      <c r="CM370" s="61">
        <v>85.8</v>
      </c>
      <c r="CN370" s="61">
        <v>178</v>
      </c>
      <c r="CO370" s="96" t="s">
        <v>170</v>
      </c>
      <c r="CP370" s="61">
        <v>55</v>
      </c>
      <c r="CQ370" s="61">
        <v>56</v>
      </c>
      <c r="CR370" s="61" t="s">
        <v>171</v>
      </c>
    </row>
    <row r="371" spans="1:96" ht="15.75" customHeight="1">
      <c r="A371" s="83">
        <v>2023</v>
      </c>
      <c r="B371" s="83" t="s">
        <v>184</v>
      </c>
      <c r="C371" s="61">
        <v>3261</v>
      </c>
      <c r="D371" s="52" t="s">
        <v>94</v>
      </c>
      <c r="E371" s="61">
        <v>79.400000000000006</v>
      </c>
      <c r="F371" s="52" t="s">
        <v>94</v>
      </c>
      <c r="G371" s="164" t="s">
        <v>94</v>
      </c>
      <c r="H371" s="164" t="s">
        <v>94</v>
      </c>
      <c r="I371" s="164" t="s">
        <v>94</v>
      </c>
      <c r="J371" s="164" t="s">
        <v>94</v>
      </c>
      <c r="K371" s="164" t="s">
        <v>94</v>
      </c>
      <c r="L371" s="164" t="s">
        <v>94</v>
      </c>
      <c r="M371" s="61">
        <v>126</v>
      </c>
      <c r="N371" s="61">
        <v>2881</v>
      </c>
      <c r="O371" s="61" t="s">
        <v>94</v>
      </c>
      <c r="P371" s="61" t="s">
        <v>94</v>
      </c>
      <c r="Q371" s="177">
        <v>45047</v>
      </c>
      <c r="R371" s="61">
        <v>2.9</v>
      </c>
      <c r="S371" s="61">
        <v>178</v>
      </c>
      <c r="T371" s="61">
        <v>277</v>
      </c>
      <c r="U371" s="61">
        <v>41</v>
      </c>
      <c r="V371" s="61">
        <v>142</v>
      </c>
      <c r="W371" s="61">
        <v>4.0999999999999996</v>
      </c>
      <c r="X371" s="61">
        <v>4.4000000000000004</v>
      </c>
      <c r="Y371" s="61">
        <v>36</v>
      </c>
      <c r="Z371" s="61">
        <v>46</v>
      </c>
      <c r="AA371" s="61">
        <v>29</v>
      </c>
      <c r="AB371" s="61">
        <v>35</v>
      </c>
      <c r="AC371" s="61">
        <v>3.6</v>
      </c>
      <c r="AD371" s="61">
        <v>6.9</v>
      </c>
      <c r="AE371" s="61" t="s">
        <v>94</v>
      </c>
      <c r="AF371" s="61" t="s">
        <v>94</v>
      </c>
      <c r="AG371" s="61">
        <v>35</v>
      </c>
      <c r="AH371" s="61">
        <v>75</v>
      </c>
      <c r="AI371" s="61">
        <v>0.52</v>
      </c>
      <c r="AJ371" s="61">
        <v>0.96</v>
      </c>
      <c r="AK371" s="269">
        <f t="shared" si="32"/>
        <v>0.43999999999999995</v>
      </c>
      <c r="AL371" s="61">
        <v>3.9</v>
      </c>
      <c r="AM371" s="61">
        <v>6.5</v>
      </c>
      <c r="AN371" s="61">
        <v>7.5</v>
      </c>
      <c r="AO371" s="61">
        <v>7.8</v>
      </c>
      <c r="AP371" s="61">
        <v>10</v>
      </c>
      <c r="AQ371" s="61">
        <v>10</v>
      </c>
      <c r="AR371" s="61">
        <v>9.3000000000000007</v>
      </c>
      <c r="AS371" s="61">
        <v>9.1999999999999993</v>
      </c>
      <c r="AT371" s="61">
        <v>4.7</v>
      </c>
      <c r="AU371" s="61">
        <v>4.5999999999999996</v>
      </c>
      <c r="AV371" s="61">
        <v>105</v>
      </c>
      <c r="AW371" s="61">
        <v>88</v>
      </c>
      <c r="AX371" s="61">
        <v>139</v>
      </c>
      <c r="AY371" s="61">
        <v>137</v>
      </c>
      <c r="AZ371" s="61">
        <v>2.2999999999999998</v>
      </c>
      <c r="BA371" s="61">
        <v>2.2999999999999998</v>
      </c>
      <c r="BB371" s="61">
        <v>106</v>
      </c>
      <c r="BC371" s="61">
        <v>99</v>
      </c>
      <c r="BD371" s="96">
        <f t="shared" si="33"/>
        <v>293.82366666666661</v>
      </c>
      <c r="BE371" s="96">
        <f t="shared" si="34"/>
        <v>295.49822222222218</v>
      </c>
      <c r="BF371" s="61">
        <v>4.5199999999999996</v>
      </c>
      <c r="BG371" s="61">
        <v>4.34</v>
      </c>
      <c r="BH371" s="61">
        <v>13.5</v>
      </c>
      <c r="BI371" s="61">
        <v>12.9</v>
      </c>
      <c r="BJ371" s="61">
        <v>41.7</v>
      </c>
      <c r="BK371" s="61">
        <v>40.4</v>
      </c>
      <c r="BL371" s="61">
        <v>92.3</v>
      </c>
      <c r="BM371" s="61">
        <v>93</v>
      </c>
      <c r="BN371" s="61">
        <v>29.8</v>
      </c>
      <c r="BO371" s="61">
        <v>29.7</v>
      </c>
      <c r="BP371" s="61">
        <v>32.299999999999997</v>
      </c>
      <c r="BQ371" s="61">
        <v>31.9</v>
      </c>
      <c r="BR371" s="61">
        <v>353</v>
      </c>
      <c r="BS371" s="61">
        <v>471</v>
      </c>
      <c r="BT371" s="61">
        <v>12.7</v>
      </c>
      <c r="BU371" s="61">
        <v>13</v>
      </c>
      <c r="BV371" s="61" t="s">
        <v>94</v>
      </c>
      <c r="BW371" s="61" t="s">
        <v>94</v>
      </c>
      <c r="BX371" s="61">
        <v>8.0500000000000007</v>
      </c>
      <c r="BY371" s="61">
        <v>12.82</v>
      </c>
      <c r="BZ371" s="61">
        <v>71.400000000000006</v>
      </c>
      <c r="CA371" s="61">
        <v>74.900000000000006</v>
      </c>
      <c r="CB371" s="61">
        <v>19.7</v>
      </c>
      <c r="CC371" s="61">
        <v>17.5</v>
      </c>
      <c r="CD371" s="61">
        <v>7.2</v>
      </c>
      <c r="CE371" s="61">
        <v>7.3</v>
      </c>
      <c r="CF371" s="61">
        <v>1.3</v>
      </c>
      <c r="CG371" s="61">
        <v>0.1</v>
      </c>
      <c r="CH371" s="61">
        <v>0.4</v>
      </c>
      <c r="CI371" s="61">
        <v>0.2</v>
      </c>
      <c r="CJ371" s="86" t="b">
        <f t="shared" si="35"/>
        <v>1</v>
      </c>
      <c r="CK371" s="2" t="b">
        <f t="shared" si="36"/>
        <v>1</v>
      </c>
      <c r="CL371" s="98">
        <f t="shared" si="38"/>
        <v>73.156725000000009</v>
      </c>
      <c r="CM371" s="96">
        <v>81.150000000000006</v>
      </c>
      <c r="CN371" s="98">
        <v>178.5</v>
      </c>
      <c r="CO371" s="96" t="s">
        <v>119</v>
      </c>
      <c r="CP371" s="98">
        <v>56</v>
      </c>
      <c r="CQ371" s="98">
        <v>50</v>
      </c>
      <c r="CR371" s="61" t="s">
        <v>120</v>
      </c>
    </row>
    <row r="372" spans="1:96" ht="15.75" customHeight="1">
      <c r="A372" s="83">
        <v>2023</v>
      </c>
      <c r="B372" s="83" t="s">
        <v>184</v>
      </c>
      <c r="C372" s="61">
        <v>3262</v>
      </c>
      <c r="D372" s="52">
        <v>25</v>
      </c>
      <c r="E372" s="61">
        <v>69.8</v>
      </c>
      <c r="F372" s="52">
        <v>1</v>
      </c>
      <c r="G372" s="369" t="s">
        <v>82</v>
      </c>
      <c r="H372" s="369" t="s">
        <v>90</v>
      </c>
      <c r="I372" s="369" t="s">
        <v>84</v>
      </c>
      <c r="J372" s="369" t="s">
        <v>206</v>
      </c>
      <c r="K372" s="369">
        <v>37.5</v>
      </c>
      <c r="L372" s="369">
        <v>62.5</v>
      </c>
      <c r="M372" s="61">
        <v>190</v>
      </c>
      <c r="N372" s="61">
        <v>3132</v>
      </c>
      <c r="O372" s="61" t="s">
        <v>94</v>
      </c>
      <c r="P372" s="61" t="s">
        <v>94</v>
      </c>
      <c r="Q372" s="61">
        <v>1.8</v>
      </c>
      <c r="R372" s="61">
        <v>3.5</v>
      </c>
      <c r="S372" s="61">
        <v>259</v>
      </c>
      <c r="T372" s="61">
        <v>419</v>
      </c>
      <c r="U372" s="61">
        <v>49</v>
      </c>
      <c r="V372" s="61">
        <v>153</v>
      </c>
      <c r="W372" s="61">
        <v>4.4000000000000004</v>
      </c>
      <c r="X372" s="61">
        <v>4.5999999999999996</v>
      </c>
      <c r="Y372" s="61">
        <v>41</v>
      </c>
      <c r="Z372" s="61">
        <v>59</v>
      </c>
      <c r="AA372" s="61">
        <v>25</v>
      </c>
      <c r="AB372" s="61">
        <v>27</v>
      </c>
      <c r="AC372" s="61">
        <v>3.1</v>
      </c>
      <c r="AD372" s="61">
        <v>5.6</v>
      </c>
      <c r="AE372" s="61" t="s">
        <v>94</v>
      </c>
      <c r="AF372" s="61" t="s">
        <v>94</v>
      </c>
      <c r="AG372" s="61">
        <v>52</v>
      </c>
      <c r="AH372" s="61">
        <v>80</v>
      </c>
      <c r="AI372" s="61">
        <v>0.59</v>
      </c>
      <c r="AJ372" s="61">
        <v>0.81</v>
      </c>
      <c r="AK372" s="269">
        <f t="shared" si="32"/>
        <v>0.22000000000000008</v>
      </c>
      <c r="AL372" s="61">
        <v>4.8</v>
      </c>
      <c r="AM372" s="61">
        <v>5.4</v>
      </c>
      <c r="AN372" s="61">
        <v>8.1</v>
      </c>
      <c r="AO372" s="61">
        <v>8.3000000000000007</v>
      </c>
      <c r="AP372" s="61">
        <v>39</v>
      </c>
      <c r="AQ372" s="61">
        <v>10</v>
      </c>
      <c r="AR372" s="61">
        <v>10</v>
      </c>
      <c r="AS372" s="61">
        <v>9.9</v>
      </c>
      <c r="AT372" s="61">
        <v>5.5</v>
      </c>
      <c r="AU372" s="61">
        <v>4.5999999999999996</v>
      </c>
      <c r="AV372" s="61">
        <v>101</v>
      </c>
      <c r="AW372" s="61">
        <v>111</v>
      </c>
      <c r="AX372" s="61">
        <v>138</v>
      </c>
      <c r="AY372" s="61">
        <v>140</v>
      </c>
      <c r="AZ372" s="61">
        <v>2</v>
      </c>
      <c r="BA372" s="61">
        <v>2.2000000000000002</v>
      </c>
      <c r="BB372" s="61">
        <v>103</v>
      </c>
      <c r="BC372" s="61">
        <v>102</v>
      </c>
      <c r="BD372" s="96">
        <f t="shared" si="33"/>
        <v>296.02944444444449</v>
      </c>
      <c r="BE372" s="96">
        <f t="shared" si="34"/>
        <v>303.38099999999997</v>
      </c>
      <c r="BF372" s="61">
        <v>5.07</v>
      </c>
      <c r="BG372" s="96">
        <v>4.7</v>
      </c>
      <c r="BH372" s="61">
        <v>15</v>
      </c>
      <c r="BI372" s="61">
        <v>13.9</v>
      </c>
      <c r="BJ372" s="61">
        <v>46.8</v>
      </c>
      <c r="BK372" s="61">
        <v>43.5</v>
      </c>
      <c r="BL372" s="61">
        <v>92.4</v>
      </c>
      <c r="BM372" s="61">
        <v>92.5</v>
      </c>
      <c r="BN372" s="61">
        <v>29.5</v>
      </c>
      <c r="BO372" s="61">
        <v>29.6</v>
      </c>
      <c r="BP372" s="61">
        <v>31.9</v>
      </c>
      <c r="BQ372" s="61">
        <v>32</v>
      </c>
      <c r="BR372" s="61">
        <v>301</v>
      </c>
      <c r="BS372" s="61">
        <v>335</v>
      </c>
      <c r="BT372" s="61">
        <v>12.5</v>
      </c>
      <c r="BU372" s="61">
        <v>12.9</v>
      </c>
      <c r="BV372" s="61" t="s">
        <v>94</v>
      </c>
      <c r="BW372" s="61" t="s">
        <v>94</v>
      </c>
      <c r="BX372" s="61">
        <v>12.68</v>
      </c>
      <c r="BY372" s="61">
        <v>19.68</v>
      </c>
      <c r="BZ372" s="61">
        <v>74.7</v>
      </c>
      <c r="CA372" s="61">
        <v>79.2</v>
      </c>
      <c r="CB372" s="61">
        <v>15.7</v>
      </c>
      <c r="CC372" s="61">
        <v>12</v>
      </c>
      <c r="CD372" s="61">
        <v>8.6</v>
      </c>
      <c r="CE372" s="61">
        <v>8.6999999999999993</v>
      </c>
      <c r="CF372" s="61">
        <v>0.6</v>
      </c>
      <c r="CG372" s="61">
        <v>0</v>
      </c>
      <c r="CH372" s="61">
        <v>0.4</v>
      </c>
      <c r="CI372" s="61">
        <v>0.1</v>
      </c>
      <c r="CJ372" s="86" t="b">
        <f t="shared" si="35"/>
        <v>0</v>
      </c>
      <c r="CK372" s="2" t="b">
        <f t="shared" si="36"/>
        <v>1</v>
      </c>
      <c r="CL372" s="98">
        <f t="shared" si="38"/>
        <v>63.201930000000004</v>
      </c>
      <c r="CM372" s="96">
        <v>75.900000000000006</v>
      </c>
      <c r="CN372" s="98">
        <v>179</v>
      </c>
      <c r="CO372" s="96" t="s">
        <v>121</v>
      </c>
      <c r="CP372" s="98">
        <v>52</v>
      </c>
      <c r="CQ372" s="98">
        <v>58</v>
      </c>
      <c r="CR372" s="61" t="s">
        <v>122</v>
      </c>
    </row>
    <row r="373" spans="1:96" ht="15.75" customHeight="1">
      <c r="A373" s="83">
        <v>2023</v>
      </c>
      <c r="B373" s="83" t="s">
        <v>184</v>
      </c>
      <c r="C373" s="61">
        <v>3364</v>
      </c>
      <c r="D373" s="52">
        <v>27</v>
      </c>
      <c r="E373" s="61">
        <v>84.4</v>
      </c>
      <c r="F373" s="52">
        <v>2</v>
      </c>
      <c r="G373" s="164" t="s">
        <v>94</v>
      </c>
      <c r="H373" s="164" t="s">
        <v>94</v>
      </c>
      <c r="I373" s="164" t="s">
        <v>94</v>
      </c>
      <c r="J373" s="164" t="s">
        <v>94</v>
      </c>
      <c r="K373" s="164" t="s">
        <v>94</v>
      </c>
      <c r="L373" s="164" t="s">
        <v>94</v>
      </c>
      <c r="M373" s="61">
        <v>313</v>
      </c>
      <c r="N373" s="61">
        <v>6717</v>
      </c>
      <c r="O373" s="61" t="s">
        <v>94</v>
      </c>
      <c r="P373" s="61" t="s">
        <v>94</v>
      </c>
      <c r="Q373" s="61">
        <v>1.8</v>
      </c>
      <c r="R373" s="61">
        <v>2.8</v>
      </c>
      <c r="S373" s="61">
        <v>288</v>
      </c>
      <c r="T373" s="61">
        <v>388</v>
      </c>
      <c r="U373" s="61">
        <v>36</v>
      </c>
      <c r="V373" s="61">
        <v>168</v>
      </c>
      <c r="W373" s="61">
        <v>4.4000000000000004</v>
      </c>
      <c r="X373" s="61">
        <v>4.3</v>
      </c>
      <c r="Y373" s="61">
        <v>55</v>
      </c>
      <c r="Z373" s="61">
        <v>69</v>
      </c>
      <c r="AA373" s="61">
        <v>33</v>
      </c>
      <c r="AB373" s="61">
        <v>35</v>
      </c>
      <c r="AC373" s="61">
        <v>3.8</v>
      </c>
      <c r="AD373" s="61">
        <v>5.7</v>
      </c>
      <c r="AE373" s="61" t="s">
        <v>94</v>
      </c>
      <c r="AF373" s="61" t="s">
        <v>94</v>
      </c>
      <c r="AG373" s="61">
        <v>61</v>
      </c>
      <c r="AH373" s="61">
        <v>67</v>
      </c>
      <c r="AI373" s="61">
        <v>0.62</v>
      </c>
      <c r="AJ373" s="61">
        <v>0.84</v>
      </c>
      <c r="AK373" s="269">
        <f t="shared" si="32"/>
        <v>0.21999999999999997</v>
      </c>
      <c r="AL373" s="61">
        <v>4</v>
      </c>
      <c r="AM373" s="61">
        <v>4.5999999999999996</v>
      </c>
      <c r="AN373" s="61">
        <v>7.1</v>
      </c>
      <c r="AO373" s="61">
        <v>7</v>
      </c>
      <c r="AP373" s="61">
        <v>44</v>
      </c>
      <c r="AQ373" s="61">
        <v>10</v>
      </c>
      <c r="AR373" s="61">
        <v>9.6999999999999993</v>
      </c>
      <c r="AS373" s="61">
        <v>9.1</v>
      </c>
      <c r="AT373" s="61">
        <v>4.5</v>
      </c>
      <c r="AU373" s="61">
        <v>4</v>
      </c>
      <c r="AV373" s="61">
        <v>103</v>
      </c>
      <c r="AW373" s="61">
        <v>134</v>
      </c>
      <c r="AX373" s="61">
        <v>139</v>
      </c>
      <c r="AY373" s="61">
        <v>137</v>
      </c>
      <c r="AZ373" s="61">
        <v>2</v>
      </c>
      <c r="BA373" s="61">
        <v>2.2000000000000002</v>
      </c>
      <c r="BB373" s="61">
        <v>103</v>
      </c>
      <c r="BC373" s="61">
        <v>100</v>
      </c>
      <c r="BD373" s="96">
        <f t="shared" si="33"/>
        <v>297.65722222222229</v>
      </c>
      <c r="BE373" s="96">
        <f t="shared" si="34"/>
        <v>295.98777777777781</v>
      </c>
      <c r="BF373" s="61">
        <v>4.9800000000000004</v>
      </c>
      <c r="BG373" s="61">
        <v>4.82</v>
      </c>
      <c r="BH373" s="61">
        <v>15</v>
      </c>
      <c r="BI373" s="61">
        <v>14.4</v>
      </c>
      <c r="BJ373" s="61">
        <v>45.1</v>
      </c>
      <c r="BK373" s="61">
        <v>43.6</v>
      </c>
      <c r="BL373" s="61">
        <v>90.6</v>
      </c>
      <c r="BM373" s="61">
        <v>90.6</v>
      </c>
      <c r="BN373" s="61">
        <v>30.2</v>
      </c>
      <c r="BO373" s="61">
        <v>29.9</v>
      </c>
      <c r="BP373" s="61">
        <v>33.299999999999997</v>
      </c>
      <c r="BQ373" s="61">
        <v>33</v>
      </c>
      <c r="BR373" s="61">
        <v>313</v>
      </c>
      <c r="BS373" s="61">
        <v>346</v>
      </c>
      <c r="BT373" s="61">
        <v>12.8</v>
      </c>
      <c r="BU373" s="61">
        <v>12.8</v>
      </c>
      <c r="BV373" s="61" t="s">
        <v>94</v>
      </c>
      <c r="BW373" s="61" t="s">
        <v>94</v>
      </c>
      <c r="BX373" s="61">
        <v>8.11</v>
      </c>
      <c r="BY373" s="61">
        <v>13.71</v>
      </c>
      <c r="BZ373" s="61">
        <v>66.400000000000006</v>
      </c>
      <c r="CA373" s="61">
        <v>73.7</v>
      </c>
      <c r="CB373" s="61">
        <v>24.3</v>
      </c>
      <c r="CC373" s="61">
        <v>17.5</v>
      </c>
      <c r="CD373" s="61">
        <v>7.7</v>
      </c>
      <c r="CE373" s="61">
        <v>8</v>
      </c>
      <c r="CF373" s="61">
        <v>1.5</v>
      </c>
      <c r="CG373" s="61">
        <v>0.4</v>
      </c>
      <c r="CH373" s="61">
        <v>0.1</v>
      </c>
      <c r="CI373" s="61">
        <v>0.4</v>
      </c>
      <c r="CJ373" s="86" t="b">
        <f t="shared" si="35"/>
        <v>0</v>
      </c>
      <c r="CK373" s="2" t="b">
        <f t="shared" si="36"/>
        <v>1</v>
      </c>
      <c r="CL373" s="98">
        <f t="shared" si="38"/>
        <v>76.304699999999997</v>
      </c>
      <c r="CM373" s="96">
        <v>88.5</v>
      </c>
      <c r="CN373" s="98">
        <v>176</v>
      </c>
      <c r="CO373" s="96" t="s">
        <v>123</v>
      </c>
      <c r="CP373" s="98">
        <v>80</v>
      </c>
      <c r="CQ373" s="98">
        <v>88</v>
      </c>
      <c r="CR373" s="61" t="s">
        <v>124</v>
      </c>
    </row>
    <row r="374" spans="1:96" ht="15.75" customHeight="1">
      <c r="A374" s="83">
        <v>2023</v>
      </c>
      <c r="B374" s="83" t="s">
        <v>184</v>
      </c>
      <c r="C374" s="61">
        <v>3268</v>
      </c>
      <c r="D374" s="52">
        <v>24</v>
      </c>
      <c r="E374" s="61">
        <v>74.099999999999994</v>
      </c>
      <c r="F374" s="52">
        <v>2</v>
      </c>
      <c r="G374" s="369" t="s">
        <v>86</v>
      </c>
      <c r="H374" s="369" t="s">
        <v>83</v>
      </c>
      <c r="I374" s="369" t="s">
        <v>84</v>
      </c>
      <c r="J374" s="369" t="s">
        <v>205</v>
      </c>
      <c r="K374" s="369">
        <v>50</v>
      </c>
      <c r="L374" s="369">
        <v>50</v>
      </c>
      <c r="M374" s="61">
        <v>405</v>
      </c>
      <c r="N374" s="61">
        <v>38374</v>
      </c>
      <c r="O374" s="61" t="s">
        <v>94</v>
      </c>
      <c r="P374" s="61" t="s">
        <v>94</v>
      </c>
      <c r="Q374" s="61">
        <v>1.4</v>
      </c>
      <c r="R374" s="61">
        <v>3.2</v>
      </c>
      <c r="S374" s="61">
        <v>287</v>
      </c>
      <c r="T374" s="61">
        <v>971</v>
      </c>
      <c r="U374" s="61">
        <v>60</v>
      </c>
      <c r="V374" s="61">
        <v>657</v>
      </c>
      <c r="W374" s="61">
        <v>4.7</v>
      </c>
      <c r="X374" s="61">
        <v>5.2</v>
      </c>
      <c r="Y374" s="61">
        <v>76</v>
      </c>
      <c r="Z374" s="61">
        <v>131</v>
      </c>
      <c r="AA374" s="61">
        <v>34</v>
      </c>
      <c r="AB374" s="61">
        <v>40</v>
      </c>
      <c r="AC374" s="61">
        <v>3.7</v>
      </c>
      <c r="AD374" s="61">
        <v>10.5</v>
      </c>
      <c r="AE374" s="61" t="s">
        <v>94</v>
      </c>
      <c r="AF374" s="61" t="s">
        <v>94</v>
      </c>
      <c r="AG374" s="61">
        <v>35</v>
      </c>
      <c r="AH374" s="61">
        <v>94</v>
      </c>
      <c r="AI374" s="61">
        <v>1.01</v>
      </c>
      <c r="AJ374" s="61">
        <v>1.34</v>
      </c>
      <c r="AK374" s="269">
        <f t="shared" si="32"/>
        <v>0.33000000000000007</v>
      </c>
      <c r="AL374" s="61">
        <v>4.5</v>
      </c>
      <c r="AM374" s="61">
        <v>7.3</v>
      </c>
      <c r="AN374" s="61">
        <v>7.9</v>
      </c>
      <c r="AO374" s="61">
        <v>8.9</v>
      </c>
      <c r="AP374" s="61">
        <v>10</v>
      </c>
      <c r="AQ374" s="61">
        <v>10</v>
      </c>
      <c r="AR374" s="61">
        <v>9.8000000000000007</v>
      </c>
      <c r="AS374" s="61">
        <v>9.4</v>
      </c>
      <c r="AT374" s="61">
        <v>4.8</v>
      </c>
      <c r="AU374" s="61">
        <v>4.9000000000000004</v>
      </c>
      <c r="AV374" s="61">
        <v>102</v>
      </c>
      <c r="AW374" s="61">
        <v>92</v>
      </c>
      <c r="AX374" s="61">
        <v>137</v>
      </c>
      <c r="AY374" s="61">
        <v>137</v>
      </c>
      <c r="AZ374" s="61">
        <v>2.2000000000000002</v>
      </c>
      <c r="BA374" s="61">
        <v>2.4</v>
      </c>
      <c r="BB374" s="61">
        <v>103</v>
      </c>
      <c r="BC374" s="61">
        <v>100</v>
      </c>
      <c r="BD374" s="96">
        <f t="shared" si="33"/>
        <v>290.09800000000001</v>
      </c>
      <c r="BE374" s="96">
        <f t="shared" si="34"/>
        <v>299.47844444444451</v>
      </c>
      <c r="BF374" s="61">
        <v>4.55</v>
      </c>
      <c r="BG374" s="61">
        <v>4.74</v>
      </c>
      <c r="BH374" s="61">
        <v>13.9</v>
      </c>
      <c r="BI374" s="61">
        <v>14.5</v>
      </c>
      <c r="BJ374" s="61">
        <v>42.6</v>
      </c>
      <c r="BK374" s="61">
        <v>44.6</v>
      </c>
      <c r="BL374" s="61">
        <v>93.6</v>
      </c>
      <c r="BM374" s="61">
        <v>93.9</v>
      </c>
      <c r="BN374" s="61">
        <v>30.5</v>
      </c>
      <c r="BO374" s="61">
        <v>30.5</v>
      </c>
      <c r="BP374" s="61">
        <v>32.5</v>
      </c>
      <c r="BQ374" s="61">
        <v>32.4</v>
      </c>
      <c r="BR374" s="61">
        <v>280</v>
      </c>
      <c r="BS374" s="61">
        <v>332</v>
      </c>
      <c r="BT374" s="61">
        <v>12.9</v>
      </c>
      <c r="BU374" s="61">
        <v>13.3</v>
      </c>
      <c r="BV374" s="61" t="s">
        <v>94</v>
      </c>
      <c r="BW374" s="61" t="s">
        <v>94</v>
      </c>
      <c r="BX374" s="61">
        <v>7.11</v>
      </c>
      <c r="BY374" s="61">
        <v>14.98</v>
      </c>
      <c r="BZ374" s="61">
        <v>58.1</v>
      </c>
      <c r="CA374" s="61">
        <v>81.7</v>
      </c>
      <c r="CB374" s="61">
        <v>29.4</v>
      </c>
      <c r="CC374" s="61">
        <v>10</v>
      </c>
      <c r="CD374" s="61">
        <v>8.4</v>
      </c>
      <c r="CE374" s="61">
        <v>8</v>
      </c>
      <c r="CF374" s="61">
        <v>3.4</v>
      </c>
      <c r="CG374" s="61">
        <v>0</v>
      </c>
      <c r="CH374" s="61">
        <v>0.7</v>
      </c>
      <c r="CI374" s="61">
        <v>0.3</v>
      </c>
      <c r="CJ374" s="86" t="b">
        <f t="shared" si="35"/>
        <v>1</v>
      </c>
      <c r="CK374" s="2" t="b">
        <f t="shared" si="36"/>
        <v>1</v>
      </c>
      <c r="CL374" s="98">
        <f t="shared" si="38"/>
        <v>69.677400000000006</v>
      </c>
      <c r="CM374" s="96">
        <v>78</v>
      </c>
      <c r="CN374" s="98">
        <v>178</v>
      </c>
      <c r="CO374" s="96" t="s">
        <v>127</v>
      </c>
      <c r="CP374" s="98">
        <v>56</v>
      </c>
      <c r="CQ374" s="98">
        <v>56</v>
      </c>
      <c r="CR374" s="61" t="s">
        <v>128</v>
      </c>
    </row>
    <row r="375" spans="1:96" ht="15.75" customHeight="1">
      <c r="A375" s="83">
        <v>2023</v>
      </c>
      <c r="B375" s="83" t="s">
        <v>184</v>
      </c>
      <c r="C375" s="61">
        <v>3374</v>
      </c>
      <c r="D375" s="52">
        <v>34</v>
      </c>
      <c r="E375" s="61">
        <v>77.2</v>
      </c>
      <c r="F375" s="52">
        <v>1</v>
      </c>
      <c r="G375" s="164" t="s">
        <v>94</v>
      </c>
      <c r="H375" s="164" t="s">
        <v>94</v>
      </c>
      <c r="I375" s="164" t="s">
        <v>94</v>
      </c>
      <c r="J375" s="164" t="s">
        <v>94</v>
      </c>
      <c r="K375" s="164" t="s">
        <v>94</v>
      </c>
      <c r="L375" s="164" t="s">
        <v>94</v>
      </c>
      <c r="M375" s="61">
        <v>223</v>
      </c>
      <c r="N375" s="61">
        <v>2770</v>
      </c>
      <c r="O375" s="61" t="s">
        <v>94</v>
      </c>
      <c r="P375" s="61" t="s">
        <v>94</v>
      </c>
      <c r="Q375" s="61">
        <v>1.6</v>
      </c>
      <c r="R375" s="61">
        <v>2.9</v>
      </c>
      <c r="S375" s="61">
        <v>202</v>
      </c>
      <c r="T375" s="61">
        <v>306</v>
      </c>
      <c r="U375" s="61">
        <v>58</v>
      </c>
      <c r="V375" s="61">
        <v>186</v>
      </c>
      <c r="W375" s="61">
        <v>3.8</v>
      </c>
      <c r="X375" s="61">
        <v>4.2</v>
      </c>
      <c r="Y375" s="61">
        <v>56</v>
      </c>
      <c r="Z375" s="61">
        <v>92</v>
      </c>
      <c r="AA375" s="61">
        <v>22</v>
      </c>
      <c r="AB375" s="61">
        <v>26</v>
      </c>
      <c r="AC375" s="61">
        <v>3.9</v>
      </c>
      <c r="AD375" s="61">
        <v>5.4</v>
      </c>
      <c r="AE375" s="61" t="s">
        <v>94</v>
      </c>
      <c r="AF375" s="61" t="s">
        <v>94</v>
      </c>
      <c r="AG375" s="61">
        <v>56</v>
      </c>
      <c r="AH375" s="61">
        <v>68</v>
      </c>
      <c r="AI375" s="61">
        <v>0.57999999999999996</v>
      </c>
      <c r="AJ375" s="61">
        <v>0.72</v>
      </c>
      <c r="AK375" s="269">
        <f t="shared" si="32"/>
        <v>0.14000000000000001</v>
      </c>
      <c r="AL375" s="61">
        <v>3.7</v>
      </c>
      <c r="AM375" s="61">
        <v>4.5999999999999996</v>
      </c>
      <c r="AN375" s="61">
        <v>6.6</v>
      </c>
      <c r="AO375" s="61">
        <v>7.1</v>
      </c>
      <c r="AP375" s="61">
        <v>10</v>
      </c>
      <c r="AQ375" s="61">
        <v>10</v>
      </c>
      <c r="AR375" s="61">
        <v>9</v>
      </c>
      <c r="AS375" s="61">
        <v>8.9</v>
      </c>
      <c r="AT375" s="61">
        <v>4.7</v>
      </c>
      <c r="AU375" s="61">
        <v>4.0999999999999996</v>
      </c>
      <c r="AV375" s="61">
        <v>93</v>
      </c>
      <c r="AW375" s="61">
        <v>109</v>
      </c>
      <c r="AX375" s="61">
        <v>139</v>
      </c>
      <c r="AY375" s="61">
        <v>138</v>
      </c>
      <c r="AZ375" s="61">
        <v>2</v>
      </c>
      <c r="BA375" s="61">
        <v>2.2999999999999998</v>
      </c>
      <c r="BB375" s="61">
        <v>108</v>
      </c>
      <c r="BC375" s="61">
        <v>103</v>
      </c>
      <c r="BD375" s="96">
        <f t="shared" si="33"/>
        <v>296.55699999999996</v>
      </c>
      <c r="BE375" s="96">
        <f t="shared" si="34"/>
        <v>296.6032222222222</v>
      </c>
      <c r="BF375" s="61">
        <v>4.82</v>
      </c>
      <c r="BG375" s="61">
        <v>5.17</v>
      </c>
      <c r="BH375" s="61">
        <v>11</v>
      </c>
      <c r="BI375" s="61">
        <v>12</v>
      </c>
      <c r="BJ375" s="61">
        <v>35.799999999999997</v>
      </c>
      <c r="BK375" s="61">
        <v>38.6</v>
      </c>
      <c r="BL375" s="61">
        <v>74.3</v>
      </c>
      <c r="BM375" s="61">
        <v>74.8</v>
      </c>
      <c r="BN375" s="61">
        <v>22.8</v>
      </c>
      <c r="BO375" s="61">
        <v>23.1</v>
      </c>
      <c r="BP375" s="61">
        <v>30.7</v>
      </c>
      <c r="BQ375" s="61">
        <v>30.9</v>
      </c>
      <c r="BR375" s="61">
        <v>312</v>
      </c>
      <c r="BS375" s="61">
        <v>330</v>
      </c>
      <c r="BT375" s="61">
        <v>12.6</v>
      </c>
      <c r="BU375" s="61">
        <v>13.1</v>
      </c>
      <c r="BV375" s="61" t="s">
        <v>94</v>
      </c>
      <c r="BW375" s="61" t="s">
        <v>94</v>
      </c>
      <c r="BX375" s="61">
        <v>10.16</v>
      </c>
      <c r="BY375" s="61">
        <v>15.42</v>
      </c>
      <c r="BZ375" s="61">
        <v>67.099999999999994</v>
      </c>
      <c r="CA375" s="61">
        <v>75.3</v>
      </c>
      <c r="CB375" s="61">
        <v>20.100000000000001</v>
      </c>
      <c r="CC375" s="61">
        <v>14.7</v>
      </c>
      <c r="CD375" s="61">
        <v>8</v>
      </c>
      <c r="CE375" s="61">
        <v>7.4</v>
      </c>
      <c r="CF375" s="61">
        <v>4.5</v>
      </c>
      <c r="CG375" s="61">
        <v>2.4</v>
      </c>
      <c r="CH375" s="61">
        <v>0.3</v>
      </c>
      <c r="CI375" s="61">
        <v>0.2</v>
      </c>
      <c r="CJ375" s="86" t="b">
        <f t="shared" si="35"/>
        <v>0</v>
      </c>
      <c r="CK375" s="2" t="b">
        <f t="shared" si="36"/>
        <v>1</v>
      </c>
      <c r="CL375" s="98">
        <f t="shared" si="38"/>
        <v>65.063019999999995</v>
      </c>
      <c r="CM375" s="96">
        <v>81.400000000000006</v>
      </c>
      <c r="CN375" s="98">
        <v>178.5</v>
      </c>
      <c r="CO375" s="96" t="s">
        <v>129</v>
      </c>
      <c r="CP375" s="98">
        <v>52</v>
      </c>
      <c r="CQ375" s="98">
        <v>52</v>
      </c>
      <c r="CR375" s="61" t="s">
        <v>130</v>
      </c>
    </row>
    <row r="376" spans="1:96" ht="15.75" customHeight="1">
      <c r="A376" s="83">
        <v>2023</v>
      </c>
      <c r="B376" s="83" t="s">
        <v>184</v>
      </c>
      <c r="C376" s="61">
        <v>3277</v>
      </c>
      <c r="D376" s="52">
        <v>32</v>
      </c>
      <c r="E376" s="61">
        <v>73.400000000000006</v>
      </c>
      <c r="F376" s="52">
        <v>2</v>
      </c>
      <c r="G376" s="369" t="s">
        <v>86</v>
      </c>
      <c r="H376" s="369" t="s">
        <v>83</v>
      </c>
      <c r="I376" s="369" t="s">
        <v>87</v>
      </c>
      <c r="J376" s="369" t="s">
        <v>206</v>
      </c>
      <c r="K376" s="369">
        <v>62.5</v>
      </c>
      <c r="L376" s="369">
        <v>37.5</v>
      </c>
      <c r="M376" s="61">
        <v>294</v>
      </c>
      <c r="N376" s="61">
        <v>1480</v>
      </c>
      <c r="O376" s="61" t="s">
        <v>94</v>
      </c>
      <c r="P376" s="61" t="s">
        <v>94</v>
      </c>
      <c r="Q376" s="61">
        <v>2.1</v>
      </c>
      <c r="R376" s="61">
        <v>2.1</v>
      </c>
      <c r="S376" s="61">
        <v>210</v>
      </c>
      <c r="T376" s="61">
        <v>307</v>
      </c>
      <c r="U376" s="61">
        <v>48</v>
      </c>
      <c r="V376" s="61">
        <v>98</v>
      </c>
      <c r="W376" s="61">
        <v>4.0999999999999996</v>
      </c>
      <c r="X376" s="61">
        <v>4.0999999999999996</v>
      </c>
      <c r="Y376" s="61">
        <v>36</v>
      </c>
      <c r="Z376" s="61">
        <v>42</v>
      </c>
      <c r="AA376" s="61">
        <v>19</v>
      </c>
      <c r="AB376" s="61">
        <v>19</v>
      </c>
      <c r="AC376" s="61">
        <v>3.7</v>
      </c>
      <c r="AD376" s="61">
        <v>5</v>
      </c>
      <c r="AE376" s="61" t="s">
        <v>94</v>
      </c>
      <c r="AF376" s="61" t="s">
        <v>94</v>
      </c>
      <c r="AG376" s="61">
        <v>38</v>
      </c>
      <c r="AH376" s="61">
        <v>66</v>
      </c>
      <c r="AI376" s="61">
        <v>0.62</v>
      </c>
      <c r="AJ376" s="61">
        <v>0.75</v>
      </c>
      <c r="AK376" s="269">
        <f t="shared" si="32"/>
        <v>0.13</v>
      </c>
      <c r="AL376" s="61">
        <v>3.6</v>
      </c>
      <c r="AM376" s="61">
        <v>4</v>
      </c>
      <c r="AN376" s="61">
        <v>7.3</v>
      </c>
      <c r="AO376" s="61">
        <v>7.3</v>
      </c>
      <c r="AP376" s="61">
        <v>10</v>
      </c>
      <c r="AQ376" s="61">
        <v>10</v>
      </c>
      <c r="AR376" s="61">
        <v>9.6</v>
      </c>
      <c r="AS376" s="61">
        <v>9.3000000000000007</v>
      </c>
      <c r="AT376" s="61">
        <v>4.9000000000000004</v>
      </c>
      <c r="AU376" s="61">
        <v>4.3</v>
      </c>
      <c r="AV376" s="61">
        <v>83</v>
      </c>
      <c r="AW376" s="61">
        <v>81</v>
      </c>
      <c r="AX376" s="61">
        <v>140</v>
      </c>
      <c r="AY376" s="61">
        <v>139</v>
      </c>
      <c r="AZ376" s="61">
        <v>2.2999999999999998</v>
      </c>
      <c r="BA376" s="61">
        <v>2.4</v>
      </c>
      <c r="BB376" s="61">
        <v>105</v>
      </c>
      <c r="BC376" s="61">
        <v>102</v>
      </c>
      <c r="BD376" s="96">
        <f t="shared" si="33"/>
        <v>295.15011111111113</v>
      </c>
      <c r="BE376" s="96">
        <f t="shared" si="34"/>
        <v>296.71300000000002</v>
      </c>
      <c r="BF376" s="61">
        <v>4.67</v>
      </c>
      <c r="BG376" s="96">
        <v>4.5</v>
      </c>
      <c r="BH376" s="61">
        <v>13.1</v>
      </c>
      <c r="BI376" s="61">
        <v>12.5</v>
      </c>
      <c r="BJ376" s="61">
        <v>39.9</v>
      </c>
      <c r="BK376" s="61">
        <v>39.299999999999997</v>
      </c>
      <c r="BL376" s="61">
        <v>85.3</v>
      </c>
      <c r="BM376" s="61">
        <v>87.2</v>
      </c>
      <c r="BN376" s="61">
        <v>28</v>
      </c>
      <c r="BO376" s="61">
        <v>27.7</v>
      </c>
      <c r="BP376" s="61">
        <v>32.799999999999997</v>
      </c>
      <c r="BQ376" s="61">
        <v>31.8</v>
      </c>
      <c r="BR376" s="61">
        <v>320</v>
      </c>
      <c r="BS376" s="61">
        <v>330</v>
      </c>
      <c r="BT376" s="61">
        <v>14.2</v>
      </c>
      <c r="BU376" s="61">
        <v>14.6</v>
      </c>
      <c r="BV376" s="61" t="s">
        <v>94</v>
      </c>
      <c r="BW376" s="61" t="s">
        <v>94</v>
      </c>
      <c r="BX376" s="61">
        <v>7.61</v>
      </c>
      <c r="BY376" s="61">
        <v>11.67</v>
      </c>
      <c r="BZ376" s="61">
        <v>76</v>
      </c>
      <c r="CA376" s="61">
        <v>72.7</v>
      </c>
      <c r="CB376" s="61">
        <v>16.399999999999999</v>
      </c>
      <c r="CC376" s="61">
        <v>17.899999999999999</v>
      </c>
      <c r="CD376" s="61">
        <v>6.7</v>
      </c>
      <c r="CE376" s="61">
        <v>9</v>
      </c>
      <c r="CF376" s="61">
        <v>0.6</v>
      </c>
      <c r="CG376" s="61">
        <v>0.2</v>
      </c>
      <c r="CH376" s="61">
        <v>0.3</v>
      </c>
      <c r="CI376" s="61">
        <v>0.2</v>
      </c>
      <c r="CJ376" s="86" t="b">
        <f t="shared" si="35"/>
        <v>0</v>
      </c>
      <c r="CK376" s="2" t="b">
        <f t="shared" si="36"/>
        <v>1</v>
      </c>
      <c r="CL376" s="98">
        <f t="shared" si="38"/>
        <v>67.988160000000008</v>
      </c>
      <c r="CM376" s="96">
        <v>77.400000000000006</v>
      </c>
      <c r="CN376" s="98">
        <v>172</v>
      </c>
      <c r="CO376" s="96" t="s">
        <v>131</v>
      </c>
      <c r="CP376" s="98">
        <v>52</v>
      </c>
      <c r="CQ376" s="98">
        <v>56</v>
      </c>
      <c r="CR376" s="61" t="s">
        <v>132</v>
      </c>
    </row>
    <row r="377" spans="1:96" ht="15.75" customHeight="1">
      <c r="A377" s="83">
        <v>2023</v>
      </c>
      <c r="B377" s="83" t="s">
        <v>184</v>
      </c>
      <c r="C377" s="61">
        <v>3282</v>
      </c>
      <c r="D377" s="52">
        <v>34</v>
      </c>
      <c r="E377" s="61">
        <v>74.3</v>
      </c>
      <c r="F377" s="52">
        <v>2</v>
      </c>
      <c r="G377" s="369" t="s">
        <v>89</v>
      </c>
      <c r="H377" s="369" t="s">
        <v>92</v>
      </c>
      <c r="I377" s="369" t="s">
        <v>84</v>
      </c>
      <c r="J377" s="369" t="s">
        <v>206</v>
      </c>
      <c r="K377" s="369">
        <v>75</v>
      </c>
      <c r="L377" s="369">
        <v>25</v>
      </c>
      <c r="M377" s="61">
        <v>288</v>
      </c>
      <c r="N377" s="61">
        <v>45036</v>
      </c>
      <c r="O377" s="61" t="s">
        <v>94</v>
      </c>
      <c r="P377" s="61" t="s">
        <v>94</v>
      </c>
      <c r="Q377" s="61">
        <v>2.4</v>
      </c>
      <c r="R377" s="61">
        <v>2</v>
      </c>
      <c r="S377" s="61">
        <v>339</v>
      </c>
      <c r="T377" s="61">
        <v>1183</v>
      </c>
      <c r="U377" s="61">
        <v>55</v>
      </c>
      <c r="V377" s="61">
        <v>1736</v>
      </c>
      <c r="W377" s="61">
        <v>4.3</v>
      </c>
      <c r="X377" s="61">
        <v>4.4000000000000004</v>
      </c>
      <c r="Y377" s="61">
        <v>67</v>
      </c>
      <c r="Z377" s="61">
        <v>215</v>
      </c>
      <c r="AA377" s="61">
        <v>90</v>
      </c>
      <c r="AB377" s="61">
        <v>80</v>
      </c>
      <c r="AC377" s="61">
        <v>4.0999999999999996</v>
      </c>
      <c r="AD377" s="61">
        <v>7</v>
      </c>
      <c r="AE377" s="61" t="s">
        <v>94</v>
      </c>
      <c r="AF377" s="61" t="s">
        <v>94</v>
      </c>
      <c r="AG377" s="61">
        <v>28</v>
      </c>
      <c r="AH377" s="61">
        <v>46</v>
      </c>
      <c r="AI377" s="61">
        <v>0.55000000000000004</v>
      </c>
      <c r="AJ377" s="61">
        <v>1.19</v>
      </c>
      <c r="AK377" s="269">
        <f t="shared" si="32"/>
        <v>0.6399999999999999</v>
      </c>
      <c r="AL377" s="61">
        <v>3.6</v>
      </c>
      <c r="AM377" s="61">
        <v>4.8</v>
      </c>
      <c r="AN377" s="61">
        <v>7.3</v>
      </c>
      <c r="AO377" s="61">
        <v>7.2</v>
      </c>
      <c r="AP377" s="61">
        <v>10</v>
      </c>
      <c r="AQ377" s="61">
        <v>10</v>
      </c>
      <c r="AR377" s="61">
        <v>9.6</v>
      </c>
      <c r="AS377" s="61">
        <v>9.3000000000000007</v>
      </c>
      <c r="AT377" s="61">
        <v>4.4000000000000004</v>
      </c>
      <c r="AU377" s="61">
        <v>4</v>
      </c>
      <c r="AV377" s="61">
        <v>98</v>
      </c>
      <c r="AW377" s="61">
        <v>98</v>
      </c>
      <c r="AX377" s="61">
        <v>139</v>
      </c>
      <c r="AY377" s="61">
        <v>136</v>
      </c>
      <c r="AZ377" s="61">
        <v>2</v>
      </c>
      <c r="BA377" s="61">
        <v>1.9</v>
      </c>
      <c r="BB377" s="61">
        <v>104</v>
      </c>
      <c r="BC377" s="61">
        <v>100</v>
      </c>
      <c r="BD377" s="96">
        <f t="shared" si="33"/>
        <v>291.65177777777785</v>
      </c>
      <c r="BE377" s="96">
        <f t="shared" si="34"/>
        <v>288.32777777777784</v>
      </c>
      <c r="BF377" s="61">
        <v>5.18</v>
      </c>
      <c r="BG377" s="61">
        <v>5.03</v>
      </c>
      <c r="BH377" s="61">
        <v>14.2</v>
      </c>
      <c r="BI377" s="61">
        <v>13.7</v>
      </c>
      <c r="BJ377" s="61">
        <v>44.2</v>
      </c>
      <c r="BK377" s="61">
        <v>43.1</v>
      </c>
      <c r="BL377" s="61">
        <v>85.3</v>
      </c>
      <c r="BM377" s="61">
        <v>85.6</v>
      </c>
      <c r="BN377" s="61">
        <v>27.4</v>
      </c>
      <c r="BO377" s="61">
        <v>27.2</v>
      </c>
      <c r="BP377" s="61">
        <v>32.1</v>
      </c>
      <c r="BQ377" s="61">
        <v>31.8</v>
      </c>
      <c r="BR377" s="61">
        <v>251</v>
      </c>
      <c r="BS377" s="61">
        <v>267</v>
      </c>
      <c r="BT377" s="61">
        <v>14.2</v>
      </c>
      <c r="BU377" s="61">
        <v>14.8</v>
      </c>
      <c r="BV377" s="61" t="s">
        <v>94</v>
      </c>
      <c r="BW377" s="61" t="s">
        <v>94</v>
      </c>
      <c r="BX377" s="61">
        <v>10.53</v>
      </c>
      <c r="BY377" s="61">
        <v>11.51</v>
      </c>
      <c r="BZ377" s="61">
        <v>70.400000000000006</v>
      </c>
      <c r="CA377" s="61">
        <v>79.2</v>
      </c>
      <c r="CB377" s="61">
        <v>17.3</v>
      </c>
      <c r="CC377" s="61">
        <v>12.9</v>
      </c>
      <c r="CD377" s="61">
        <v>11.3</v>
      </c>
      <c r="CE377" s="61">
        <v>7.4</v>
      </c>
      <c r="CF377" s="61">
        <v>0.9</v>
      </c>
      <c r="CG377" s="61">
        <v>0.4</v>
      </c>
      <c r="CH377" s="61">
        <v>0.1</v>
      </c>
      <c r="CI377" s="61">
        <v>0.4</v>
      </c>
      <c r="CJ377" s="86" t="b">
        <f t="shared" si="35"/>
        <v>1</v>
      </c>
      <c r="CK377" s="2" t="b">
        <f t="shared" si="36"/>
        <v>1</v>
      </c>
      <c r="CL377" s="98">
        <f t="shared" si="38"/>
        <v>64.173225000000002</v>
      </c>
      <c r="CM377" s="96">
        <v>84.25</v>
      </c>
      <c r="CN377" s="98">
        <v>177</v>
      </c>
      <c r="CO377" s="96" t="s">
        <v>135</v>
      </c>
      <c r="CP377" s="98" t="s">
        <v>94</v>
      </c>
      <c r="CQ377" s="98" t="s">
        <v>94</v>
      </c>
      <c r="CR377" s="61" t="s">
        <v>136</v>
      </c>
    </row>
    <row r="378" spans="1:96" ht="15.75" customHeight="1">
      <c r="A378" s="83">
        <v>2023</v>
      </c>
      <c r="B378" s="83" t="s">
        <v>184</v>
      </c>
      <c r="C378" s="61">
        <v>3283</v>
      </c>
      <c r="D378" s="52">
        <v>33</v>
      </c>
      <c r="E378" s="61">
        <v>66.2</v>
      </c>
      <c r="F378" s="52">
        <v>2</v>
      </c>
      <c r="G378" s="369" t="s">
        <v>86</v>
      </c>
      <c r="H378" s="369" t="s">
        <v>92</v>
      </c>
      <c r="I378" s="369" t="s">
        <v>84</v>
      </c>
      <c r="J378" s="369">
        <v>0</v>
      </c>
      <c r="K378" s="369">
        <v>75</v>
      </c>
      <c r="L378" s="369">
        <v>25</v>
      </c>
      <c r="M378" s="61">
        <v>366</v>
      </c>
      <c r="N378" s="61">
        <v>17059</v>
      </c>
      <c r="O378" s="61" t="s">
        <v>94</v>
      </c>
      <c r="P378" s="61" t="s">
        <v>94</v>
      </c>
      <c r="Q378" s="61">
        <v>2.4</v>
      </c>
      <c r="R378" s="61">
        <v>3.9</v>
      </c>
      <c r="S378" s="61">
        <v>234</v>
      </c>
      <c r="T378" s="61">
        <v>525</v>
      </c>
      <c r="U378" s="61">
        <v>65</v>
      </c>
      <c r="V378" s="61">
        <v>523</v>
      </c>
      <c r="W378" s="61">
        <v>4</v>
      </c>
      <c r="X378" s="61">
        <v>4.8</v>
      </c>
      <c r="Y378" s="61">
        <v>68</v>
      </c>
      <c r="Z378" s="61">
        <v>106</v>
      </c>
      <c r="AA378" s="61">
        <v>37</v>
      </c>
      <c r="AB378" s="61">
        <v>43</v>
      </c>
      <c r="AC378" s="61">
        <v>4.5999999999999996</v>
      </c>
      <c r="AD378" s="61">
        <v>8.5</v>
      </c>
      <c r="AE378" s="61" t="s">
        <v>94</v>
      </c>
      <c r="AF378" s="61" t="s">
        <v>94</v>
      </c>
      <c r="AG378" s="61">
        <v>44</v>
      </c>
      <c r="AH378" s="61">
        <v>96</v>
      </c>
      <c r="AI378" s="61">
        <v>0.72</v>
      </c>
      <c r="AJ378" s="61">
        <v>0.92</v>
      </c>
      <c r="AK378" s="269">
        <f t="shared" si="32"/>
        <v>0.20000000000000007</v>
      </c>
      <c r="AL378" s="61">
        <v>3.4</v>
      </c>
      <c r="AM378" s="61">
        <v>7.2</v>
      </c>
      <c r="AN378" s="61">
        <v>7.5</v>
      </c>
      <c r="AO378" s="61">
        <v>8.6999999999999993</v>
      </c>
      <c r="AP378" s="61">
        <v>10</v>
      </c>
      <c r="AQ378" s="61">
        <v>10</v>
      </c>
      <c r="AR378" s="61">
        <v>9</v>
      </c>
      <c r="AS378" s="61">
        <v>9.5</v>
      </c>
      <c r="AT378" s="61">
        <v>4.7</v>
      </c>
      <c r="AU378" s="61">
        <v>4.8</v>
      </c>
      <c r="AV378" s="61">
        <v>106</v>
      </c>
      <c r="AW378" s="61">
        <v>90</v>
      </c>
      <c r="AX378" s="61">
        <v>139</v>
      </c>
      <c r="AY378" s="61">
        <v>134</v>
      </c>
      <c r="AZ378" s="61">
        <v>2.1</v>
      </c>
      <c r="BA378" s="61">
        <v>2.5</v>
      </c>
      <c r="BB378" s="61">
        <v>105</v>
      </c>
      <c r="BC378" s="61">
        <v>95</v>
      </c>
      <c r="BD378" s="96">
        <f t="shared" si="33"/>
        <v>295.38755555555554</v>
      </c>
      <c r="BE378" s="96">
        <f t="shared" si="34"/>
        <v>293.91800000000001</v>
      </c>
      <c r="BF378" s="61">
        <v>4.0199999999999996</v>
      </c>
      <c r="BG378" s="61">
        <v>4.09</v>
      </c>
      <c r="BH378" s="61">
        <v>12.5</v>
      </c>
      <c r="BI378" s="61">
        <v>12.8</v>
      </c>
      <c r="BJ378" s="61">
        <v>39.1</v>
      </c>
      <c r="BK378" s="61">
        <v>40</v>
      </c>
      <c r="BL378" s="61">
        <v>97.1</v>
      </c>
      <c r="BM378" s="61">
        <v>97.6</v>
      </c>
      <c r="BN378" s="61">
        <v>31.1</v>
      </c>
      <c r="BO378" s="61">
        <v>31.3</v>
      </c>
      <c r="BP378" s="61">
        <v>32</v>
      </c>
      <c r="BQ378" s="61">
        <v>32</v>
      </c>
      <c r="BR378" s="61">
        <v>438</v>
      </c>
      <c r="BS378" s="61">
        <v>500</v>
      </c>
      <c r="BT378" s="61">
        <v>11.7</v>
      </c>
      <c r="BU378" s="61">
        <v>12.5</v>
      </c>
      <c r="BV378" s="61" t="s">
        <v>94</v>
      </c>
      <c r="BW378" s="61" t="s">
        <v>94</v>
      </c>
      <c r="BX378" s="61">
        <v>5.19</v>
      </c>
      <c r="BY378" s="61">
        <v>15.64</v>
      </c>
      <c r="BZ378" s="61">
        <v>70.599999999999994</v>
      </c>
      <c r="CA378" s="61">
        <v>87.2</v>
      </c>
      <c r="CB378" s="61">
        <v>20.9</v>
      </c>
      <c r="CC378" s="61">
        <v>7.6</v>
      </c>
      <c r="CD378" s="61">
        <v>6.8</v>
      </c>
      <c r="CE378" s="61">
        <v>5.0999999999999996</v>
      </c>
      <c r="CF378" s="61">
        <v>1.5</v>
      </c>
      <c r="CG378" s="61">
        <v>0</v>
      </c>
      <c r="CH378" s="61">
        <v>0.2</v>
      </c>
      <c r="CI378" s="61">
        <v>0.1</v>
      </c>
      <c r="CJ378" s="86" t="b">
        <f t="shared" si="35"/>
        <v>0</v>
      </c>
      <c r="CK378" s="2" t="b">
        <f t="shared" si="36"/>
        <v>1</v>
      </c>
      <c r="CL378" s="98">
        <f t="shared" si="38"/>
        <v>62.813019999999995</v>
      </c>
      <c r="CM378" s="96">
        <v>69.8</v>
      </c>
      <c r="CN378" s="98">
        <v>175</v>
      </c>
      <c r="CO378" s="96" t="s">
        <v>137</v>
      </c>
      <c r="CP378" s="98">
        <v>70</v>
      </c>
      <c r="CQ378" s="98">
        <v>61</v>
      </c>
      <c r="CR378" s="61" t="s">
        <v>138</v>
      </c>
    </row>
    <row r="379" spans="1:96" ht="15.75" customHeight="1">
      <c r="A379" s="83">
        <v>2023</v>
      </c>
      <c r="B379" s="83" t="s">
        <v>184</v>
      </c>
      <c r="C379" s="61">
        <v>3289</v>
      </c>
      <c r="D379" s="52">
        <v>34</v>
      </c>
      <c r="E379" s="61">
        <v>77.2</v>
      </c>
      <c r="F379" s="52">
        <v>2</v>
      </c>
      <c r="G379" s="369" t="s">
        <v>86</v>
      </c>
      <c r="H379" s="369" t="s">
        <v>92</v>
      </c>
      <c r="I379" s="369" t="s">
        <v>93</v>
      </c>
      <c r="J379" s="369" t="s">
        <v>205</v>
      </c>
      <c r="K379" s="369">
        <v>75</v>
      </c>
      <c r="L379" s="369">
        <v>25</v>
      </c>
      <c r="M379" s="61">
        <v>338</v>
      </c>
      <c r="N379" s="61">
        <v>5716</v>
      </c>
      <c r="O379" s="61" t="s">
        <v>94</v>
      </c>
      <c r="P379" s="61" t="s">
        <v>94</v>
      </c>
      <c r="Q379" s="61">
        <v>1.7</v>
      </c>
      <c r="R379" s="61">
        <v>2.8</v>
      </c>
      <c r="S379" s="61">
        <v>257</v>
      </c>
      <c r="T379" s="61">
        <v>398</v>
      </c>
      <c r="U379" s="61">
        <v>54</v>
      </c>
      <c r="V379" s="61">
        <v>157</v>
      </c>
      <c r="W379" s="61">
        <v>4.2</v>
      </c>
      <c r="X379" s="61">
        <v>4.4000000000000004</v>
      </c>
      <c r="Y379" s="61">
        <v>61</v>
      </c>
      <c r="Z379" s="61">
        <v>70</v>
      </c>
      <c r="AA379" s="61">
        <v>28</v>
      </c>
      <c r="AB379" s="61">
        <v>31</v>
      </c>
      <c r="AC379" s="61">
        <v>4.3</v>
      </c>
      <c r="AD379" s="61">
        <v>6.5</v>
      </c>
      <c r="AE379" s="61" t="s">
        <v>94</v>
      </c>
      <c r="AF379" s="61" t="s">
        <v>94</v>
      </c>
      <c r="AG379" s="61">
        <v>39</v>
      </c>
      <c r="AH379" s="61">
        <v>58</v>
      </c>
      <c r="AI379" s="61">
        <v>0.65</v>
      </c>
      <c r="AJ379" s="61">
        <v>0.9</v>
      </c>
      <c r="AK379" s="269">
        <f t="shared" si="32"/>
        <v>0.25</v>
      </c>
      <c r="AL379" s="61">
        <v>4</v>
      </c>
      <c r="AM379" s="61">
        <v>5</v>
      </c>
      <c r="AN379" s="61">
        <v>7.2</v>
      </c>
      <c r="AO379" s="61">
        <v>7.4</v>
      </c>
      <c r="AP379" s="61">
        <v>10</v>
      </c>
      <c r="AQ379" s="61">
        <v>14</v>
      </c>
      <c r="AR379" s="61">
        <v>9.6999999999999993</v>
      </c>
      <c r="AS379" s="61">
        <v>8.9</v>
      </c>
      <c r="AT379" s="61">
        <v>4.9000000000000004</v>
      </c>
      <c r="AU379" s="61">
        <v>4.5</v>
      </c>
      <c r="AV379" s="61">
        <v>101</v>
      </c>
      <c r="AW379" s="61">
        <v>91</v>
      </c>
      <c r="AX379" s="61">
        <v>140</v>
      </c>
      <c r="AY379" s="61">
        <v>138</v>
      </c>
      <c r="AZ379" s="61">
        <v>2.1</v>
      </c>
      <c r="BA379" s="61">
        <v>2.5</v>
      </c>
      <c r="BB379" s="61">
        <v>104</v>
      </c>
      <c r="BC379" s="61">
        <v>104</v>
      </c>
      <c r="BD379" s="96">
        <f t="shared" si="33"/>
        <v>296.46677777777779</v>
      </c>
      <c r="BE379" s="96">
        <f t="shared" si="34"/>
        <v>294.53055555555557</v>
      </c>
      <c r="BF379" s="61">
        <v>4.6900000000000004</v>
      </c>
      <c r="BG379" s="96">
        <v>4.5</v>
      </c>
      <c r="BH379" s="61">
        <v>15</v>
      </c>
      <c r="BI379" s="61">
        <v>14.5</v>
      </c>
      <c r="BJ379" s="61">
        <v>45.8</v>
      </c>
      <c r="BK379" s="61">
        <v>43.8</v>
      </c>
      <c r="BL379" s="61">
        <v>97.7</v>
      </c>
      <c r="BM379" s="61">
        <v>97.2</v>
      </c>
      <c r="BN379" s="61">
        <v>32</v>
      </c>
      <c r="BO379" s="61">
        <v>32.700000000000003</v>
      </c>
      <c r="BP379" s="61">
        <v>32.700000000000003</v>
      </c>
      <c r="BQ379" s="61">
        <v>33.200000000000003</v>
      </c>
      <c r="BR379" s="61">
        <v>299</v>
      </c>
      <c r="BS379" s="61">
        <v>335</v>
      </c>
      <c r="BT379" s="61">
        <v>12.9</v>
      </c>
      <c r="BU379" s="61">
        <v>13.2</v>
      </c>
      <c r="BV379" s="61" t="s">
        <v>94</v>
      </c>
      <c r="BW379" s="61" t="s">
        <v>94</v>
      </c>
      <c r="BX379" s="61">
        <v>4.82</v>
      </c>
      <c r="BY379" s="61">
        <v>10.34</v>
      </c>
      <c r="BZ379" s="61">
        <v>52.8</v>
      </c>
      <c r="CA379" s="61">
        <v>73.3</v>
      </c>
      <c r="CB379" s="61">
        <v>38.1</v>
      </c>
      <c r="CC379" s="61">
        <v>20.100000000000001</v>
      </c>
      <c r="CD379" s="61">
        <v>8.1</v>
      </c>
      <c r="CE379" s="61">
        <v>5.9</v>
      </c>
      <c r="CF379" s="61">
        <v>0.3</v>
      </c>
      <c r="CG379" s="61">
        <v>0.3</v>
      </c>
      <c r="CH379" s="61">
        <v>0.7</v>
      </c>
      <c r="CI379" s="61">
        <v>0.4</v>
      </c>
      <c r="CJ379" s="86" t="b">
        <f t="shared" si="35"/>
        <v>0</v>
      </c>
      <c r="CK379" s="2" t="b">
        <f t="shared" si="36"/>
        <v>1</v>
      </c>
      <c r="CL379" s="98">
        <f t="shared" si="38"/>
        <v>67.389839999999992</v>
      </c>
      <c r="CM379" s="96">
        <v>75.599999999999994</v>
      </c>
      <c r="CN379" s="98">
        <v>177</v>
      </c>
      <c r="CO379" s="96" t="s">
        <v>139</v>
      </c>
      <c r="CP379" s="98">
        <v>60</v>
      </c>
      <c r="CQ379" s="98">
        <v>59</v>
      </c>
      <c r="CR379" s="61" t="s">
        <v>140</v>
      </c>
    </row>
    <row r="380" spans="1:96" ht="15.75" customHeight="1">
      <c r="A380" s="83">
        <v>2023</v>
      </c>
      <c r="B380" s="83" t="s">
        <v>184</v>
      </c>
      <c r="C380" s="61">
        <v>3291</v>
      </c>
      <c r="D380" s="52">
        <v>32</v>
      </c>
      <c r="E380" s="61">
        <v>77.400000000000006</v>
      </c>
      <c r="F380" s="52">
        <v>2</v>
      </c>
      <c r="G380" s="369" t="s">
        <v>82</v>
      </c>
      <c r="H380" s="369" t="s">
        <v>83</v>
      </c>
      <c r="I380" s="369" t="s">
        <v>84</v>
      </c>
      <c r="J380" s="369">
        <v>0</v>
      </c>
      <c r="K380" s="369">
        <v>37.5</v>
      </c>
      <c r="L380" s="369">
        <v>62.5</v>
      </c>
      <c r="M380" s="61">
        <v>349</v>
      </c>
      <c r="N380" s="61">
        <v>12365</v>
      </c>
      <c r="O380" s="61" t="s">
        <v>94</v>
      </c>
      <c r="P380" s="61" t="s">
        <v>94</v>
      </c>
      <c r="Q380" s="61">
        <v>2.2000000000000002</v>
      </c>
      <c r="R380" s="61">
        <v>1.7</v>
      </c>
      <c r="S380" s="61">
        <v>287</v>
      </c>
      <c r="T380" s="61">
        <v>566</v>
      </c>
      <c r="U380" s="61">
        <v>65</v>
      </c>
      <c r="V380" s="61">
        <v>609</v>
      </c>
      <c r="W380" s="61">
        <v>4.0999999999999996</v>
      </c>
      <c r="X380" s="61">
        <v>4</v>
      </c>
      <c r="Y380" s="61">
        <v>73</v>
      </c>
      <c r="Z380" s="61">
        <v>155</v>
      </c>
      <c r="AA380" s="61">
        <v>29</v>
      </c>
      <c r="AB380" s="61">
        <v>30</v>
      </c>
      <c r="AC380" s="61">
        <v>3.5</v>
      </c>
      <c r="AD380" s="61">
        <v>4.3</v>
      </c>
      <c r="AE380" s="61" t="s">
        <v>94</v>
      </c>
      <c r="AF380" s="61" t="s">
        <v>94</v>
      </c>
      <c r="AG380" s="61">
        <v>53</v>
      </c>
      <c r="AH380" s="61">
        <v>53</v>
      </c>
      <c r="AI380" s="61">
        <v>0.67</v>
      </c>
      <c r="AJ380" s="61">
        <v>0.99</v>
      </c>
      <c r="AK380" s="269">
        <f t="shared" si="32"/>
        <v>0.31999999999999995</v>
      </c>
      <c r="AL380" s="61">
        <v>4</v>
      </c>
      <c r="AM380" s="61">
        <v>4.2</v>
      </c>
      <c r="AN380" s="61">
        <v>7.1</v>
      </c>
      <c r="AO380" s="61">
        <v>6.8</v>
      </c>
      <c r="AP380" s="61">
        <v>26</v>
      </c>
      <c r="AQ380" s="61">
        <v>10</v>
      </c>
      <c r="AR380" s="61">
        <v>9.6</v>
      </c>
      <c r="AS380" s="61">
        <v>9</v>
      </c>
      <c r="AT380" s="61">
        <v>5.3</v>
      </c>
      <c r="AU380" s="61">
        <v>4.8</v>
      </c>
      <c r="AV380" s="61">
        <v>99</v>
      </c>
      <c r="AW380" s="61">
        <v>84</v>
      </c>
      <c r="AX380" s="61">
        <v>139</v>
      </c>
      <c r="AY380" s="61">
        <v>135</v>
      </c>
      <c r="AZ380" s="61">
        <v>2</v>
      </c>
      <c r="BA380" s="61">
        <v>2.2000000000000002</v>
      </c>
      <c r="BB380" s="61">
        <v>107</v>
      </c>
      <c r="BC380" s="61">
        <v>101</v>
      </c>
      <c r="BD380" s="96">
        <f t="shared" si="33"/>
        <v>297.55633333333333</v>
      </c>
      <c r="BE380" s="96">
        <f t="shared" si="34"/>
        <v>288.22800000000001</v>
      </c>
      <c r="BF380" s="61">
        <v>5.95</v>
      </c>
      <c r="BG380" s="61">
        <v>5.84</v>
      </c>
      <c r="BH380" s="61">
        <v>13.5</v>
      </c>
      <c r="BI380" s="61">
        <v>13.3</v>
      </c>
      <c r="BJ380" s="61">
        <v>43.3</v>
      </c>
      <c r="BK380" s="61">
        <v>43</v>
      </c>
      <c r="BL380" s="61">
        <v>72.8</v>
      </c>
      <c r="BM380" s="61">
        <v>73.7</v>
      </c>
      <c r="BN380" s="61">
        <v>22.7</v>
      </c>
      <c r="BO380" s="61">
        <v>22.7</v>
      </c>
      <c r="BP380" s="61">
        <v>31.1</v>
      </c>
      <c r="BQ380" s="61">
        <v>30.8</v>
      </c>
      <c r="BR380" s="61">
        <v>351</v>
      </c>
      <c r="BS380" s="61">
        <v>331</v>
      </c>
      <c r="BT380" s="61">
        <v>14.8</v>
      </c>
      <c r="BU380" s="61">
        <v>15</v>
      </c>
      <c r="BV380" s="61" t="s">
        <v>94</v>
      </c>
      <c r="BW380" s="61" t="s">
        <v>94</v>
      </c>
      <c r="BX380" s="61">
        <v>11.66</v>
      </c>
      <c r="BY380" s="61">
        <v>21.23</v>
      </c>
      <c r="BZ380" s="61">
        <v>69.099999999999994</v>
      </c>
      <c r="CA380" s="61">
        <v>82.6</v>
      </c>
      <c r="CB380" s="61">
        <v>19.3</v>
      </c>
      <c r="CC380" s="61">
        <v>10.4</v>
      </c>
      <c r="CD380" s="61">
        <v>10.8</v>
      </c>
      <c r="CE380" s="61">
        <v>6.4</v>
      </c>
      <c r="CF380" s="61">
        <v>0.3</v>
      </c>
      <c r="CG380" s="61">
        <v>0.4</v>
      </c>
      <c r="CH380" s="61">
        <v>0.5</v>
      </c>
      <c r="CI380" s="61">
        <v>0.2</v>
      </c>
      <c r="CJ380" s="86" t="b">
        <f t="shared" si="35"/>
        <v>1</v>
      </c>
      <c r="CK380" s="2" t="b">
        <f t="shared" si="36"/>
        <v>1</v>
      </c>
      <c r="CL380" s="98">
        <f t="shared" si="38"/>
        <v>63.856044999999995</v>
      </c>
      <c r="CM380" s="96">
        <v>79.849999999999994</v>
      </c>
      <c r="CN380" s="98">
        <v>178.5</v>
      </c>
      <c r="CO380" s="96" t="s">
        <v>141</v>
      </c>
      <c r="CP380" s="98">
        <v>50</v>
      </c>
      <c r="CQ380" s="98">
        <v>56</v>
      </c>
      <c r="CR380" s="61" t="s">
        <v>142</v>
      </c>
    </row>
    <row r="381" spans="1:96" ht="15.75" customHeight="1">
      <c r="A381" s="83">
        <v>2023</v>
      </c>
      <c r="B381" s="83" t="s">
        <v>184</v>
      </c>
      <c r="C381" s="61">
        <v>3295</v>
      </c>
      <c r="D381" s="52">
        <v>34</v>
      </c>
      <c r="E381" s="61">
        <v>62.9</v>
      </c>
      <c r="F381" s="52">
        <v>2</v>
      </c>
      <c r="G381" s="164" t="s">
        <v>94</v>
      </c>
      <c r="H381" s="164" t="s">
        <v>94</v>
      </c>
      <c r="I381" s="164" t="s">
        <v>94</v>
      </c>
      <c r="J381" s="164" t="s">
        <v>94</v>
      </c>
      <c r="K381" s="164" t="s">
        <v>94</v>
      </c>
      <c r="L381" s="164" t="s">
        <v>94</v>
      </c>
      <c r="M381" s="61">
        <v>297</v>
      </c>
      <c r="N381" s="61">
        <v>12386</v>
      </c>
      <c r="O381" s="61" t="s">
        <v>94</v>
      </c>
      <c r="P381" s="61" t="s">
        <v>94</v>
      </c>
      <c r="Q381" s="61" t="s">
        <v>94</v>
      </c>
      <c r="R381" s="61">
        <v>3.2</v>
      </c>
      <c r="S381" s="61">
        <v>470</v>
      </c>
      <c r="T381" s="61">
        <v>739</v>
      </c>
      <c r="U381" s="61">
        <v>431</v>
      </c>
      <c r="V381" s="61">
        <v>545</v>
      </c>
      <c r="W381" s="61">
        <v>4.4000000000000004</v>
      </c>
      <c r="X381" s="61">
        <v>4.3</v>
      </c>
      <c r="Y381" s="61">
        <v>486</v>
      </c>
      <c r="Z381" s="61">
        <v>364</v>
      </c>
      <c r="AA381" s="61">
        <v>132</v>
      </c>
      <c r="AB381" s="61">
        <v>136</v>
      </c>
      <c r="AC381" s="61">
        <v>4.3</v>
      </c>
      <c r="AD381" s="61">
        <v>6.6</v>
      </c>
      <c r="AE381" s="61" t="s">
        <v>94</v>
      </c>
      <c r="AF381" s="61" t="s">
        <v>94</v>
      </c>
      <c r="AG381" s="61">
        <v>33</v>
      </c>
      <c r="AH381" s="61">
        <v>62</v>
      </c>
      <c r="AI381" s="61">
        <v>0.8</v>
      </c>
      <c r="AJ381" s="61">
        <v>1.2</v>
      </c>
      <c r="AK381" s="269">
        <f t="shared" si="32"/>
        <v>0.39999999999999991</v>
      </c>
      <c r="AL381" s="61">
        <v>3.9</v>
      </c>
      <c r="AM381" s="61">
        <v>5.0999999999999996</v>
      </c>
      <c r="AN381" s="61">
        <v>8.1</v>
      </c>
      <c r="AO381" s="61">
        <v>8.1999999999999993</v>
      </c>
      <c r="AP381" s="61">
        <v>10</v>
      </c>
      <c r="AQ381" s="61">
        <v>10</v>
      </c>
      <c r="AR381" s="61">
        <v>10.1</v>
      </c>
      <c r="AS381" s="61">
        <v>9.5</v>
      </c>
      <c r="AT381" s="61">
        <v>4</v>
      </c>
      <c r="AU381" s="61">
        <v>4.3</v>
      </c>
      <c r="AV381" s="61">
        <v>120</v>
      </c>
      <c r="AW381" s="61">
        <v>85</v>
      </c>
      <c r="AX381" s="61">
        <v>143</v>
      </c>
      <c r="AY381" s="61">
        <v>142</v>
      </c>
      <c r="AZ381" s="61">
        <v>2.4</v>
      </c>
      <c r="BA381" s="61">
        <v>2.4</v>
      </c>
      <c r="BB381" s="61">
        <v>107</v>
      </c>
      <c r="BC381" s="61">
        <v>103</v>
      </c>
      <c r="BD381" s="96">
        <f t="shared" si="33"/>
        <v>300.5866666666667</v>
      </c>
      <c r="BE381" s="96">
        <f t="shared" si="34"/>
        <v>301.88188888888891</v>
      </c>
      <c r="BF381" s="61">
        <v>4.1100000000000003</v>
      </c>
      <c r="BG381" s="61">
        <v>4.2300000000000004</v>
      </c>
      <c r="BH381" s="61">
        <v>12.7</v>
      </c>
      <c r="BI381" s="61">
        <v>12.9</v>
      </c>
      <c r="BJ381" s="61">
        <v>39.200000000000003</v>
      </c>
      <c r="BK381" s="61">
        <v>40.9</v>
      </c>
      <c r="BL381" s="61">
        <v>95.3</v>
      </c>
      <c r="BM381" s="61">
        <v>96.5</v>
      </c>
      <c r="BN381" s="61">
        <v>30.8</v>
      </c>
      <c r="BO381" s="61">
        <v>30.4</v>
      </c>
      <c r="BP381" s="61">
        <v>32.299999999999997</v>
      </c>
      <c r="BQ381" s="61">
        <v>31.5</v>
      </c>
      <c r="BR381" s="61">
        <v>324</v>
      </c>
      <c r="BS381" s="61">
        <v>390</v>
      </c>
      <c r="BT381" s="61">
        <v>12.2</v>
      </c>
      <c r="BU381" s="61">
        <v>12.8</v>
      </c>
      <c r="BV381" s="61" t="s">
        <v>94</v>
      </c>
      <c r="BW381" s="61" t="s">
        <v>94</v>
      </c>
      <c r="BX381" s="61">
        <v>12.16</v>
      </c>
      <c r="BY381" s="61">
        <v>23.64</v>
      </c>
      <c r="BZ381" s="61">
        <v>87.5</v>
      </c>
      <c r="CA381" s="61">
        <v>88.6</v>
      </c>
      <c r="CB381" s="61">
        <v>7.2</v>
      </c>
      <c r="CC381" s="61">
        <v>4.2</v>
      </c>
      <c r="CD381" s="61">
        <v>5.2</v>
      </c>
      <c r="CE381" s="61">
        <v>7.1</v>
      </c>
      <c r="CF381" s="61">
        <v>0</v>
      </c>
      <c r="CG381" s="61">
        <v>0</v>
      </c>
      <c r="CH381" s="61">
        <v>0.1</v>
      </c>
      <c r="CI381" s="61">
        <v>0.1</v>
      </c>
      <c r="CJ381" s="86" t="b">
        <f t="shared" si="35"/>
        <v>1</v>
      </c>
      <c r="CK381" s="2" t="b">
        <f t="shared" si="36"/>
        <v>1</v>
      </c>
      <c r="CL381" s="98">
        <f t="shared" si="38"/>
        <v>53.227999999999994</v>
      </c>
      <c r="CM381" s="96">
        <v>70</v>
      </c>
      <c r="CN381" s="98">
        <v>167</v>
      </c>
      <c r="CO381" s="96" t="s">
        <v>145</v>
      </c>
      <c r="CP381" s="98">
        <v>48</v>
      </c>
      <c r="CQ381" s="98">
        <v>42</v>
      </c>
      <c r="CR381" s="61" t="s">
        <v>146</v>
      </c>
    </row>
    <row r="382" spans="1:96" ht="15.75" customHeight="1">
      <c r="A382" s="83">
        <v>2023</v>
      </c>
      <c r="B382" s="83" t="s">
        <v>184</v>
      </c>
      <c r="C382" s="61">
        <v>3305</v>
      </c>
      <c r="D382" s="61">
        <v>33</v>
      </c>
      <c r="E382" s="61">
        <v>85</v>
      </c>
      <c r="F382" s="61">
        <v>2</v>
      </c>
      <c r="G382" s="164" t="s">
        <v>94</v>
      </c>
      <c r="H382" s="164" t="s">
        <v>94</v>
      </c>
      <c r="I382" s="164" t="s">
        <v>94</v>
      </c>
      <c r="J382" s="164" t="s">
        <v>94</v>
      </c>
      <c r="K382" s="164" t="s">
        <v>94</v>
      </c>
      <c r="L382" s="164" t="s">
        <v>94</v>
      </c>
      <c r="M382" s="61">
        <v>186</v>
      </c>
      <c r="N382" s="61">
        <v>3272</v>
      </c>
      <c r="O382" s="61" t="s">
        <v>94</v>
      </c>
      <c r="P382" s="61" t="s">
        <v>94</v>
      </c>
      <c r="Q382" s="61">
        <v>2.5</v>
      </c>
      <c r="R382" s="61">
        <v>1.3</v>
      </c>
      <c r="S382" s="61">
        <v>197</v>
      </c>
      <c r="T382" s="61">
        <v>240</v>
      </c>
      <c r="U382" s="61">
        <v>34</v>
      </c>
      <c r="V382" s="61">
        <v>103</v>
      </c>
      <c r="W382" s="61">
        <v>4.3</v>
      </c>
      <c r="X382" s="61">
        <v>4.4000000000000004</v>
      </c>
      <c r="Y382" s="61">
        <v>35</v>
      </c>
      <c r="Z382" s="61">
        <v>37</v>
      </c>
      <c r="AA382" s="61">
        <v>32</v>
      </c>
      <c r="AB382" s="61">
        <v>34</v>
      </c>
      <c r="AC382" s="61">
        <v>3.5</v>
      </c>
      <c r="AD382" s="61">
        <v>6.4</v>
      </c>
      <c r="AE382" s="61" t="s">
        <v>94</v>
      </c>
      <c r="AF382" s="61" t="s">
        <v>94</v>
      </c>
      <c r="AG382" s="61">
        <v>54</v>
      </c>
      <c r="AH382" s="61">
        <v>98</v>
      </c>
      <c r="AI382" s="61">
        <v>0.52</v>
      </c>
      <c r="AJ382" s="61">
        <v>0.65</v>
      </c>
      <c r="AK382" s="269">
        <f t="shared" si="32"/>
        <v>0.13</v>
      </c>
      <c r="AL382" s="61">
        <v>3.3</v>
      </c>
      <c r="AM382" s="61">
        <v>5.0999999999999996</v>
      </c>
      <c r="AN382" s="61">
        <v>7.9</v>
      </c>
      <c r="AO382" s="61">
        <v>8.1999999999999993</v>
      </c>
      <c r="AP382" s="61">
        <v>10</v>
      </c>
      <c r="AQ382" s="61">
        <v>10</v>
      </c>
      <c r="AR382" s="61">
        <v>9.8000000000000007</v>
      </c>
      <c r="AS382" s="61">
        <v>9.5</v>
      </c>
      <c r="AT382" s="61">
        <v>4.5</v>
      </c>
      <c r="AU382" s="61">
        <v>4.7</v>
      </c>
      <c r="AV382" s="61">
        <v>99</v>
      </c>
      <c r="AW382" s="61">
        <v>96</v>
      </c>
      <c r="AX382" s="61">
        <v>142</v>
      </c>
      <c r="AY382" s="61">
        <v>139</v>
      </c>
      <c r="AZ382" s="61">
        <v>2.2000000000000002</v>
      </c>
      <c r="BA382" s="61">
        <v>2.7</v>
      </c>
      <c r="BB382" s="61">
        <v>109</v>
      </c>
      <c r="BC382" s="61">
        <v>101</v>
      </c>
      <c r="BD382" s="96">
        <f t="shared" si="33"/>
        <v>301.815</v>
      </c>
      <c r="BE382" s="96">
        <f t="shared" si="34"/>
        <v>303.74866666666662</v>
      </c>
      <c r="BF382" s="61">
        <v>4.28</v>
      </c>
      <c r="BG382" s="61">
        <v>4.37</v>
      </c>
      <c r="BH382" s="61">
        <v>13</v>
      </c>
      <c r="BI382" s="61">
        <v>13.2</v>
      </c>
      <c r="BJ382" s="61">
        <v>40.200000000000003</v>
      </c>
      <c r="BK382" s="61">
        <v>41.7</v>
      </c>
      <c r="BL382" s="61">
        <v>94.1</v>
      </c>
      <c r="BM382" s="61">
        <v>95.4</v>
      </c>
      <c r="BN382" s="61">
        <v>30.3</v>
      </c>
      <c r="BO382" s="61">
        <v>30.2</v>
      </c>
      <c r="BP382" s="61">
        <v>32.200000000000003</v>
      </c>
      <c r="BQ382" s="61">
        <v>31.6</v>
      </c>
      <c r="BR382" s="61">
        <v>338</v>
      </c>
      <c r="BS382" s="61">
        <v>393</v>
      </c>
      <c r="BT382" s="61">
        <v>12.3</v>
      </c>
      <c r="BU382" s="61">
        <v>12.4</v>
      </c>
      <c r="BV382" s="61" t="s">
        <v>94</v>
      </c>
      <c r="BW382" s="61" t="s">
        <v>94</v>
      </c>
      <c r="BX382" s="61">
        <v>9.3800000000000008</v>
      </c>
      <c r="BY382" s="61">
        <v>11.74</v>
      </c>
      <c r="BZ382" s="61">
        <v>74.099999999999994</v>
      </c>
      <c r="CA382" s="61">
        <v>71.2</v>
      </c>
      <c r="CB382" s="61">
        <v>16.3</v>
      </c>
      <c r="CC382" s="61">
        <v>18.100000000000001</v>
      </c>
      <c r="CD382" s="61">
        <v>8.3000000000000007</v>
      </c>
      <c r="CE382" s="61">
        <v>9.9</v>
      </c>
      <c r="CF382" s="61">
        <v>0.8</v>
      </c>
      <c r="CG382" s="61">
        <v>0.5</v>
      </c>
      <c r="CH382" s="61">
        <v>0.5</v>
      </c>
      <c r="CI382" s="61">
        <v>0.3</v>
      </c>
      <c r="CJ382" s="86" t="b">
        <f t="shared" si="35"/>
        <v>0</v>
      </c>
      <c r="CK382" s="2" t="b">
        <f t="shared" si="36"/>
        <v>1</v>
      </c>
      <c r="CL382" s="98">
        <f t="shared" si="38"/>
        <v>79.646280000000004</v>
      </c>
      <c r="CM382" s="96">
        <v>89.45</v>
      </c>
      <c r="CN382" s="98">
        <v>179</v>
      </c>
      <c r="CO382" s="96" t="s">
        <v>149</v>
      </c>
      <c r="CP382" s="98">
        <v>56</v>
      </c>
      <c r="CQ382" s="98">
        <v>54</v>
      </c>
      <c r="CR382" s="61" t="s">
        <v>150</v>
      </c>
    </row>
    <row r="383" spans="1:96" ht="15.75" customHeight="1">
      <c r="A383" s="83">
        <v>2023</v>
      </c>
      <c r="B383" s="83" t="s">
        <v>184</v>
      </c>
      <c r="C383" s="176">
        <v>3306</v>
      </c>
      <c r="D383" s="61">
        <v>33</v>
      </c>
      <c r="E383" s="176">
        <v>70.900000000000006</v>
      </c>
      <c r="F383" s="61">
        <v>1</v>
      </c>
      <c r="G383" s="369" t="s">
        <v>86</v>
      </c>
      <c r="H383" s="369" t="s">
        <v>83</v>
      </c>
      <c r="I383" s="369" t="s">
        <v>84</v>
      </c>
      <c r="J383" s="369">
        <f>9-9</f>
        <v>0</v>
      </c>
      <c r="K383" s="369">
        <v>62.5</v>
      </c>
      <c r="L383" s="369">
        <v>37.5</v>
      </c>
      <c r="M383" s="176">
        <v>325</v>
      </c>
      <c r="N383" s="176" t="s">
        <v>94</v>
      </c>
      <c r="O383" s="61" t="s">
        <v>94</v>
      </c>
      <c r="P383" s="61" t="s">
        <v>94</v>
      </c>
      <c r="Q383" s="176">
        <v>1.6</v>
      </c>
      <c r="R383" s="176" t="s">
        <v>94</v>
      </c>
      <c r="S383" s="176">
        <v>153</v>
      </c>
      <c r="T383" s="176" t="s">
        <v>94</v>
      </c>
      <c r="U383" s="176">
        <v>45</v>
      </c>
      <c r="V383" s="176" t="s">
        <v>94</v>
      </c>
      <c r="W383" s="176">
        <v>4.7</v>
      </c>
      <c r="X383" s="176" t="s">
        <v>94</v>
      </c>
      <c r="Y383" s="176">
        <v>24</v>
      </c>
      <c r="Z383" s="176" t="s">
        <v>94</v>
      </c>
      <c r="AA383" s="176">
        <v>16</v>
      </c>
      <c r="AB383" s="176" t="s">
        <v>94</v>
      </c>
      <c r="AC383" s="176">
        <v>5.3</v>
      </c>
      <c r="AD383" s="176" t="s">
        <v>94</v>
      </c>
      <c r="AE383" s="61" t="s">
        <v>94</v>
      </c>
      <c r="AF383" s="61" t="s">
        <v>94</v>
      </c>
      <c r="AG383" s="176">
        <v>35</v>
      </c>
      <c r="AH383" s="176" t="s">
        <v>94</v>
      </c>
      <c r="AI383" s="176">
        <v>0.75</v>
      </c>
      <c r="AJ383" s="176" t="s">
        <v>94</v>
      </c>
      <c r="AK383" s="269" t="str">
        <f t="shared" si="32"/>
        <v>Dados Insuficientes</v>
      </c>
      <c r="AL383" s="176">
        <v>5</v>
      </c>
      <c r="AM383" s="176" t="s">
        <v>94</v>
      </c>
      <c r="AN383" s="176">
        <v>8.5</v>
      </c>
      <c r="AO383" s="176" t="s">
        <v>94</v>
      </c>
      <c r="AP383" s="176">
        <v>24</v>
      </c>
      <c r="AQ383" s="176" t="s">
        <v>94</v>
      </c>
      <c r="AR383" s="176">
        <v>9.8000000000000007</v>
      </c>
      <c r="AS383" s="176" t="s">
        <v>94</v>
      </c>
      <c r="AT383" s="176">
        <v>5</v>
      </c>
      <c r="AU383" s="176" t="s">
        <v>94</v>
      </c>
      <c r="AV383" s="176">
        <v>93</v>
      </c>
      <c r="AW383" s="176" t="s">
        <v>94</v>
      </c>
      <c r="AX383" s="176">
        <v>141</v>
      </c>
      <c r="AY383" s="176" t="s">
        <v>94</v>
      </c>
      <c r="AZ383" s="176">
        <v>2</v>
      </c>
      <c r="BA383" s="176" t="s">
        <v>94</v>
      </c>
      <c r="BB383" s="176">
        <v>105</v>
      </c>
      <c r="BC383" s="176" t="s">
        <v>94</v>
      </c>
      <c r="BD383" s="96">
        <f t="shared" si="33"/>
        <v>297.33499999999998</v>
      </c>
      <c r="BE383" s="96" t="e">
        <f t="shared" si="34"/>
        <v>#VALUE!</v>
      </c>
      <c r="BF383" s="176">
        <v>5.01</v>
      </c>
      <c r="BG383" s="176" t="s">
        <v>94</v>
      </c>
      <c r="BH383" s="176">
        <v>14.4</v>
      </c>
      <c r="BI383" s="176" t="s">
        <v>94</v>
      </c>
      <c r="BJ383" s="176">
        <v>44.7</v>
      </c>
      <c r="BK383" s="176" t="s">
        <v>94</v>
      </c>
      <c r="BL383" s="176">
        <v>89.1</v>
      </c>
      <c r="BM383" s="176" t="s">
        <v>94</v>
      </c>
      <c r="BN383" s="176">
        <v>28.7</v>
      </c>
      <c r="BO383" s="176" t="s">
        <v>94</v>
      </c>
      <c r="BP383" s="176">
        <v>32.200000000000003</v>
      </c>
      <c r="BQ383" s="176" t="s">
        <v>94</v>
      </c>
      <c r="BR383" s="176">
        <v>250</v>
      </c>
      <c r="BS383" s="176" t="s">
        <v>94</v>
      </c>
      <c r="BT383" s="176">
        <v>12.5</v>
      </c>
      <c r="BU383" s="176" t="s">
        <v>94</v>
      </c>
      <c r="BV383" s="61" t="s">
        <v>94</v>
      </c>
      <c r="BW383" s="61" t="s">
        <v>94</v>
      </c>
      <c r="BX383" s="176">
        <v>8.49</v>
      </c>
      <c r="BY383" s="176" t="s">
        <v>94</v>
      </c>
      <c r="BZ383" s="176">
        <v>64.3</v>
      </c>
      <c r="CA383" s="176" t="s">
        <v>94</v>
      </c>
      <c r="CB383" s="176">
        <v>27.8</v>
      </c>
      <c r="CC383" s="176" t="s">
        <v>94</v>
      </c>
      <c r="CD383" s="176">
        <v>6.8</v>
      </c>
      <c r="CE383" s="176" t="s">
        <v>94</v>
      </c>
      <c r="CF383" s="176">
        <v>0.8</v>
      </c>
      <c r="CG383" s="176" t="s">
        <v>94</v>
      </c>
      <c r="CH383" s="176">
        <v>0.3</v>
      </c>
      <c r="CI383" s="176" t="s">
        <v>94</v>
      </c>
      <c r="CJ383" s="86" t="e">
        <f t="shared" si="35"/>
        <v>#VALUE!</v>
      </c>
      <c r="CK383" s="2" t="b">
        <f t="shared" si="36"/>
        <v>1</v>
      </c>
      <c r="CL383" s="98">
        <f t="shared" si="38"/>
        <v>63.732880000000009</v>
      </c>
      <c r="CM383" s="96">
        <v>76.400000000000006</v>
      </c>
      <c r="CN383" s="98">
        <v>175.5</v>
      </c>
      <c r="CO383" s="96" t="s">
        <v>151</v>
      </c>
      <c r="CP383" s="98">
        <v>53</v>
      </c>
      <c r="CQ383" s="98">
        <v>50</v>
      </c>
      <c r="CR383" s="61" t="s">
        <v>152</v>
      </c>
    </row>
    <row r="384" spans="1:96" ht="15.75" customHeight="1">
      <c r="A384" s="83">
        <v>2023</v>
      </c>
      <c r="B384" s="83" t="s">
        <v>184</v>
      </c>
      <c r="C384" s="61">
        <v>3311</v>
      </c>
      <c r="D384" s="52">
        <v>35</v>
      </c>
      <c r="E384" s="61">
        <v>75.2</v>
      </c>
      <c r="F384" s="52">
        <v>2</v>
      </c>
      <c r="G384" s="164" t="s">
        <v>94</v>
      </c>
      <c r="H384" s="164" t="s">
        <v>94</v>
      </c>
      <c r="I384" s="164" t="s">
        <v>94</v>
      </c>
      <c r="J384" s="164" t="s">
        <v>94</v>
      </c>
      <c r="K384" s="164" t="s">
        <v>94</v>
      </c>
      <c r="L384" s="164" t="s">
        <v>94</v>
      </c>
      <c r="M384" s="61">
        <v>606</v>
      </c>
      <c r="N384" s="61">
        <v>16935</v>
      </c>
      <c r="O384" s="61" t="s">
        <v>94</v>
      </c>
      <c r="P384" s="61" t="s">
        <v>94</v>
      </c>
      <c r="Q384" s="61">
        <v>2.4</v>
      </c>
      <c r="R384" s="61">
        <v>2.1</v>
      </c>
      <c r="S384" s="61">
        <v>345</v>
      </c>
      <c r="T384" s="61">
        <v>728</v>
      </c>
      <c r="U384" s="61">
        <v>61</v>
      </c>
      <c r="V384" s="61">
        <v>513</v>
      </c>
      <c r="W384" s="61">
        <v>4.3</v>
      </c>
      <c r="X384" s="61">
        <v>4.4000000000000004</v>
      </c>
      <c r="Y384" s="61">
        <v>81</v>
      </c>
      <c r="Z384" s="61">
        <v>141</v>
      </c>
      <c r="AA384" s="61">
        <v>41</v>
      </c>
      <c r="AB384" s="61">
        <v>41</v>
      </c>
      <c r="AC384" s="61">
        <v>4.0999999999999996</v>
      </c>
      <c r="AD384" s="61">
        <v>6.4</v>
      </c>
      <c r="AE384" s="61" t="s">
        <v>94</v>
      </c>
      <c r="AF384" s="61" t="s">
        <v>94</v>
      </c>
      <c r="AG384" s="61">
        <v>44</v>
      </c>
      <c r="AH384" s="61">
        <v>67</v>
      </c>
      <c r="AI384" s="61">
        <v>0.64</v>
      </c>
      <c r="AJ384" s="61">
        <v>1.76</v>
      </c>
      <c r="AK384" s="269">
        <f t="shared" si="32"/>
        <v>1.1200000000000001</v>
      </c>
      <c r="AL384" s="61">
        <v>3.7</v>
      </c>
      <c r="AM384" s="61">
        <v>5.2</v>
      </c>
      <c r="AN384" s="61">
        <v>7.5</v>
      </c>
      <c r="AO384" s="61">
        <v>7.7</v>
      </c>
      <c r="AP384" s="61">
        <v>18</v>
      </c>
      <c r="AQ384" s="61">
        <v>10</v>
      </c>
      <c r="AR384" s="61">
        <v>9.6</v>
      </c>
      <c r="AS384" s="61">
        <v>9.6</v>
      </c>
      <c r="AT384" s="61">
        <v>5</v>
      </c>
      <c r="AU384" s="61">
        <v>4.4000000000000004</v>
      </c>
      <c r="AV384" s="61">
        <v>102</v>
      </c>
      <c r="AW384" s="61">
        <v>104</v>
      </c>
      <c r="AX384" s="61">
        <v>140</v>
      </c>
      <c r="AY384" s="61">
        <v>139</v>
      </c>
      <c r="AZ384" s="61">
        <v>2.5</v>
      </c>
      <c r="BA384" s="61">
        <v>2.6</v>
      </c>
      <c r="BB384" s="61">
        <v>104</v>
      </c>
      <c r="BC384" s="61">
        <v>99</v>
      </c>
      <c r="BD384" s="96">
        <f t="shared" si="33"/>
        <v>297.54999999999995</v>
      </c>
      <c r="BE384" s="96">
        <f t="shared" si="34"/>
        <v>298.53511111111118</v>
      </c>
      <c r="BF384" s="61">
        <v>4.91</v>
      </c>
      <c r="BG384" s="61">
        <v>4.74</v>
      </c>
      <c r="BH384" s="61">
        <v>14.9</v>
      </c>
      <c r="BI384" s="61">
        <v>14.4</v>
      </c>
      <c r="BJ384" s="61">
        <v>46.6</v>
      </c>
      <c r="BK384" s="61">
        <v>45.1</v>
      </c>
      <c r="BL384" s="61">
        <v>94.8</v>
      </c>
      <c r="BM384" s="61">
        <v>95.1</v>
      </c>
      <c r="BN384" s="61">
        <v>30.4</v>
      </c>
      <c r="BO384" s="61">
        <v>30.4</v>
      </c>
      <c r="BP384" s="61">
        <v>32</v>
      </c>
      <c r="BQ384" s="61">
        <v>32</v>
      </c>
      <c r="BR384" s="61">
        <v>220</v>
      </c>
      <c r="BS384" s="61">
        <v>239</v>
      </c>
      <c r="BT384" s="61">
        <v>13.3</v>
      </c>
      <c r="BU384" s="61">
        <v>13.9</v>
      </c>
      <c r="BV384" s="61" t="s">
        <v>94</v>
      </c>
      <c r="BW384" s="61" t="s">
        <v>94</v>
      </c>
      <c r="BX384" s="61">
        <v>6.33</v>
      </c>
      <c r="BY384" s="96">
        <v>15.1</v>
      </c>
      <c r="BZ384" s="61">
        <v>64.7</v>
      </c>
      <c r="CA384" s="61">
        <v>76</v>
      </c>
      <c r="CB384" s="61">
        <v>24.8</v>
      </c>
      <c r="CC384" s="61">
        <v>13.7</v>
      </c>
      <c r="CD384" s="61">
        <v>8.4</v>
      </c>
      <c r="CE384" s="61">
        <v>10</v>
      </c>
      <c r="CF384" s="61">
        <v>1.2</v>
      </c>
      <c r="CG384" s="61">
        <v>0.1</v>
      </c>
      <c r="CH384" s="61">
        <v>0.9</v>
      </c>
      <c r="CI384" s="61">
        <v>0.2</v>
      </c>
      <c r="CJ384" s="86" t="b">
        <f t="shared" si="35"/>
        <v>1</v>
      </c>
      <c r="CK384" s="2" t="b">
        <f t="shared" si="36"/>
        <v>1</v>
      </c>
      <c r="CL384" s="98">
        <f t="shared" si="38"/>
        <v>64.97972</v>
      </c>
      <c r="CM384" s="96">
        <v>80.599999999999994</v>
      </c>
      <c r="CN384" s="98">
        <v>173</v>
      </c>
      <c r="CO384" s="96" t="s">
        <v>155</v>
      </c>
      <c r="CP384" s="98">
        <v>60</v>
      </c>
      <c r="CQ384" s="98">
        <v>62</v>
      </c>
      <c r="CR384" s="61" t="s">
        <v>156</v>
      </c>
    </row>
    <row r="385" spans="1:96" ht="15.75" customHeight="1">
      <c r="A385" s="83">
        <v>2023</v>
      </c>
      <c r="B385" s="83" t="s">
        <v>184</v>
      </c>
      <c r="C385" s="61">
        <v>3328</v>
      </c>
      <c r="D385" s="52" t="s">
        <v>94</v>
      </c>
      <c r="E385" s="61">
        <v>87.2</v>
      </c>
      <c r="F385" s="52" t="s">
        <v>94</v>
      </c>
      <c r="G385" s="164" t="s">
        <v>94</v>
      </c>
      <c r="H385" s="164" t="s">
        <v>94</v>
      </c>
      <c r="I385" s="164" t="s">
        <v>94</v>
      </c>
      <c r="J385" s="164" t="s">
        <v>94</v>
      </c>
      <c r="K385" s="164" t="s">
        <v>94</v>
      </c>
      <c r="L385" s="164" t="s">
        <v>94</v>
      </c>
      <c r="M385" s="61">
        <v>170</v>
      </c>
      <c r="N385" s="61">
        <v>1199</v>
      </c>
      <c r="O385" s="61" t="s">
        <v>94</v>
      </c>
      <c r="P385" s="61" t="s">
        <v>94</v>
      </c>
      <c r="Q385" s="61">
        <v>1.9</v>
      </c>
      <c r="R385" s="61">
        <v>2.2999999999999998</v>
      </c>
      <c r="S385" s="61">
        <v>208</v>
      </c>
      <c r="T385" s="61">
        <v>280</v>
      </c>
      <c r="U385" s="61">
        <v>40</v>
      </c>
      <c r="V385" s="61">
        <v>107</v>
      </c>
      <c r="W385" s="61">
        <v>4.3</v>
      </c>
      <c r="X385" s="61">
        <v>4.0999999999999996</v>
      </c>
      <c r="Y385" s="61">
        <v>36</v>
      </c>
      <c r="Z385" s="61">
        <v>55</v>
      </c>
      <c r="AA385" s="61">
        <v>34</v>
      </c>
      <c r="AB385" s="61">
        <v>33</v>
      </c>
      <c r="AC385" s="61">
        <v>4.3</v>
      </c>
      <c r="AD385" s="61">
        <v>5.6</v>
      </c>
      <c r="AE385" s="61" t="s">
        <v>94</v>
      </c>
      <c r="AF385" s="61" t="s">
        <v>94</v>
      </c>
      <c r="AG385" s="61">
        <v>40</v>
      </c>
      <c r="AH385" s="61">
        <v>61</v>
      </c>
      <c r="AI385" s="61">
        <v>0.77</v>
      </c>
      <c r="AJ385" s="61">
        <v>1.06</v>
      </c>
      <c r="AK385" s="269">
        <f t="shared" si="32"/>
        <v>0.29000000000000004</v>
      </c>
      <c r="AL385" s="61">
        <v>3.5</v>
      </c>
      <c r="AM385" s="61">
        <v>4.3</v>
      </c>
      <c r="AN385" s="61">
        <v>7.1</v>
      </c>
      <c r="AO385" s="61">
        <v>7</v>
      </c>
      <c r="AP385" s="61">
        <v>10</v>
      </c>
      <c r="AQ385" s="61">
        <v>10</v>
      </c>
      <c r="AR385" s="61">
        <v>9.1999999999999993</v>
      </c>
      <c r="AS385" s="61">
        <v>9</v>
      </c>
      <c r="AT385" s="61">
        <v>4.5</v>
      </c>
      <c r="AU385" s="61">
        <v>4.5</v>
      </c>
      <c r="AV385" s="61">
        <v>109</v>
      </c>
      <c r="AW385" s="61">
        <v>87</v>
      </c>
      <c r="AX385" s="61">
        <v>140</v>
      </c>
      <c r="AY385" s="61">
        <v>139</v>
      </c>
      <c r="AZ385" s="61">
        <v>2.1</v>
      </c>
      <c r="BA385" s="61">
        <v>2.2999999999999998</v>
      </c>
      <c r="BB385" s="61">
        <v>108</v>
      </c>
      <c r="BC385" s="61">
        <v>103</v>
      </c>
      <c r="BD385" s="96">
        <f t="shared" si="33"/>
        <v>296.40055555555563</v>
      </c>
      <c r="BE385" s="96">
        <f t="shared" si="34"/>
        <v>296.63500000000005</v>
      </c>
      <c r="BF385" s="61">
        <v>5.17</v>
      </c>
      <c r="BG385" s="61">
        <v>4.8899999999999997</v>
      </c>
      <c r="BH385" s="61">
        <v>13.9</v>
      </c>
      <c r="BI385" s="61">
        <v>13.2</v>
      </c>
      <c r="BJ385" s="61">
        <v>44.2</v>
      </c>
      <c r="BK385" s="61">
        <v>41.9</v>
      </c>
      <c r="BL385" s="61">
        <v>85.6</v>
      </c>
      <c r="BM385" s="61">
        <v>85.7</v>
      </c>
      <c r="BN385" s="61">
        <v>26.9</v>
      </c>
      <c r="BO385" s="61">
        <v>26.9</v>
      </c>
      <c r="BP385" s="61">
        <v>31.4</v>
      </c>
      <c r="BQ385" s="61">
        <v>31.4</v>
      </c>
      <c r="BR385" s="61">
        <v>294</v>
      </c>
      <c r="BS385" s="61">
        <v>313</v>
      </c>
      <c r="BT385" s="61">
        <v>12.9</v>
      </c>
      <c r="BU385" s="61">
        <v>13</v>
      </c>
      <c r="BV385" s="61" t="s">
        <v>94</v>
      </c>
      <c r="BW385" s="61" t="s">
        <v>94</v>
      </c>
      <c r="BX385" s="61">
        <v>5.04</v>
      </c>
      <c r="BY385" s="61">
        <v>11.28</v>
      </c>
      <c r="BZ385" s="61">
        <v>64.900000000000006</v>
      </c>
      <c r="CA385" s="61">
        <v>75</v>
      </c>
      <c r="CB385" s="61">
        <v>26.2</v>
      </c>
      <c r="CC385" s="61">
        <v>16.3</v>
      </c>
      <c r="CD385" s="61">
        <v>6.6</v>
      </c>
      <c r="CE385" s="61">
        <v>7.4</v>
      </c>
      <c r="CF385" s="61">
        <v>1.9</v>
      </c>
      <c r="CG385" s="61">
        <v>1.2</v>
      </c>
      <c r="CH385" s="61">
        <v>0.4</v>
      </c>
      <c r="CI385" s="61">
        <v>0.1</v>
      </c>
      <c r="CJ385" s="86" t="b">
        <f t="shared" si="35"/>
        <v>0</v>
      </c>
      <c r="CK385" s="2" t="b">
        <f t="shared" si="36"/>
        <v>1</v>
      </c>
      <c r="CL385" s="98" t="s">
        <v>94</v>
      </c>
      <c r="CM385" s="61" t="s">
        <v>94</v>
      </c>
      <c r="CN385" s="61" t="s">
        <v>94</v>
      </c>
      <c r="CO385" s="61" t="s">
        <v>94</v>
      </c>
      <c r="CP385" s="61" t="s">
        <v>94</v>
      </c>
      <c r="CQ385" s="61" t="s">
        <v>94</v>
      </c>
      <c r="CR385" s="61" t="s">
        <v>94</v>
      </c>
    </row>
    <row r="386" spans="1:96" ht="15.75" customHeight="1">
      <c r="A386" s="83">
        <v>2023</v>
      </c>
      <c r="B386" s="83" t="s">
        <v>184</v>
      </c>
      <c r="C386" s="61">
        <v>3330</v>
      </c>
      <c r="D386" s="52">
        <v>28</v>
      </c>
      <c r="E386" s="61">
        <v>78.5</v>
      </c>
      <c r="F386" s="52">
        <v>1</v>
      </c>
      <c r="G386" s="369" t="s">
        <v>89</v>
      </c>
      <c r="H386" s="369" t="s">
        <v>90</v>
      </c>
      <c r="I386" s="369" t="s">
        <v>93</v>
      </c>
      <c r="J386" s="369">
        <v>0</v>
      </c>
      <c r="K386" s="369">
        <v>50</v>
      </c>
      <c r="L386" s="369">
        <v>50</v>
      </c>
      <c r="M386" s="61">
        <v>1350</v>
      </c>
      <c r="N386" s="61">
        <v>26814</v>
      </c>
      <c r="O386" s="61" t="s">
        <v>94</v>
      </c>
      <c r="P386" s="61" t="s">
        <v>94</v>
      </c>
      <c r="Q386" s="61">
        <v>1.4</v>
      </c>
      <c r="R386" s="61">
        <v>2.1</v>
      </c>
      <c r="S386" s="61">
        <v>359</v>
      </c>
      <c r="T386" s="61">
        <v>896</v>
      </c>
      <c r="U386" s="61">
        <v>161</v>
      </c>
      <c r="V386" s="61">
        <v>723</v>
      </c>
      <c r="W386" s="61">
        <v>4.3</v>
      </c>
      <c r="X386" s="61">
        <v>4.5</v>
      </c>
      <c r="Y386" s="61">
        <v>149</v>
      </c>
      <c r="Z386" s="61">
        <v>187</v>
      </c>
      <c r="AA386" s="61">
        <v>31</v>
      </c>
      <c r="AB386" s="61">
        <v>29</v>
      </c>
      <c r="AC386" s="61">
        <v>3.7</v>
      </c>
      <c r="AD386" s="61">
        <v>4.5999999999999996</v>
      </c>
      <c r="AE386" s="61" t="s">
        <v>94</v>
      </c>
      <c r="AF386" s="61" t="s">
        <v>94</v>
      </c>
      <c r="AG386" s="61">
        <v>45</v>
      </c>
      <c r="AH386" s="61">
        <v>55</v>
      </c>
      <c r="AI386" s="61">
        <v>0.65</v>
      </c>
      <c r="AJ386" s="61">
        <v>0.75</v>
      </c>
      <c r="AK386" s="269">
        <f t="shared" ref="AK386:AK449" si="39">IFERROR(IF((AJ386-AI386)&lt;0,0,(AJ386-AI386)),"Dados Insuficientes")</f>
        <v>9.9999999999999978E-2</v>
      </c>
      <c r="AL386" s="61">
        <v>3.8</v>
      </c>
      <c r="AM386" s="61">
        <v>5</v>
      </c>
      <c r="AN386" s="61">
        <v>7.1</v>
      </c>
      <c r="AO386" s="61">
        <v>7.3</v>
      </c>
      <c r="AP386" s="61">
        <v>10</v>
      </c>
      <c r="AQ386" s="61">
        <v>10</v>
      </c>
      <c r="AR386" s="61">
        <v>9</v>
      </c>
      <c r="AS386" s="61">
        <v>9.3000000000000007</v>
      </c>
      <c r="AT386" s="61">
        <v>4.5999999999999996</v>
      </c>
      <c r="AU386" s="61">
        <v>4.2</v>
      </c>
      <c r="AV386" s="61">
        <v>100</v>
      </c>
      <c r="AW386" s="61">
        <v>102</v>
      </c>
      <c r="AX386" s="61">
        <v>138</v>
      </c>
      <c r="AY386" s="61">
        <v>143</v>
      </c>
      <c r="AZ386" s="177">
        <v>44928</v>
      </c>
      <c r="BA386" s="61">
        <v>2.4</v>
      </c>
      <c r="BB386" s="61">
        <v>104</v>
      </c>
      <c r="BC386" s="61">
        <v>106</v>
      </c>
      <c r="BD386" s="96">
        <f t="shared" ref="BD386:BD411" si="40">1.86*(AX386+AT386)+1.15*(AV386/18)+(AG386/6)+14</f>
        <v>293.1248888888889</v>
      </c>
      <c r="BE386" s="96">
        <f t="shared" ref="BE386:BE411" si="41">1.86*(AY386+AU386)+1.15*(AW386/18)+(AH386/6)+14</f>
        <v>303.47533333333331</v>
      </c>
      <c r="BF386" s="61">
        <v>4.3600000000000003</v>
      </c>
      <c r="BG386" s="61">
        <v>4.21</v>
      </c>
      <c r="BH386" s="61">
        <v>12.9</v>
      </c>
      <c r="BI386" s="61">
        <v>12.3</v>
      </c>
      <c r="BJ386" s="61">
        <v>40.1</v>
      </c>
      <c r="BK386" s="61">
        <v>39</v>
      </c>
      <c r="BL386" s="61">
        <v>92.1</v>
      </c>
      <c r="BM386" s="61">
        <v>92.5</v>
      </c>
      <c r="BN386" s="61">
        <v>29.5</v>
      </c>
      <c r="BO386" s="61">
        <v>29.3</v>
      </c>
      <c r="BP386" s="61">
        <v>32.1</v>
      </c>
      <c r="BQ386" s="61">
        <v>31.6</v>
      </c>
      <c r="BR386" s="61">
        <v>228</v>
      </c>
      <c r="BS386" s="61">
        <v>234</v>
      </c>
      <c r="BT386" s="61">
        <v>13.6</v>
      </c>
      <c r="BU386" s="61">
        <v>13.7</v>
      </c>
      <c r="BV386" s="61" t="s">
        <v>94</v>
      </c>
      <c r="BW386" s="61" t="s">
        <v>94</v>
      </c>
      <c r="BX386" s="61">
        <v>7.35</v>
      </c>
      <c r="BY386" s="61">
        <v>11.18</v>
      </c>
      <c r="BZ386" s="61">
        <v>77.8</v>
      </c>
      <c r="CA386" s="61">
        <v>79.400000000000006</v>
      </c>
      <c r="CB386" s="61">
        <v>14.7</v>
      </c>
      <c r="CC386" s="61">
        <v>13.5</v>
      </c>
      <c r="CD386" s="61">
        <v>6.5</v>
      </c>
      <c r="CE386" s="61">
        <v>6.8</v>
      </c>
      <c r="CF386" s="61">
        <v>0.7</v>
      </c>
      <c r="CG386" s="61">
        <v>0.2</v>
      </c>
      <c r="CH386" s="61">
        <v>0.3</v>
      </c>
      <c r="CI386" s="61">
        <v>0.1</v>
      </c>
      <c r="CJ386" s="86" t="b">
        <f t="shared" ref="CJ386:CJ411" si="42">(AJ386-AI386)&gt;=0.3</f>
        <v>0</v>
      </c>
      <c r="CK386" s="2" t="b">
        <f t="shared" ref="CK386:CK411" si="43">OR(N386&gt;=1000,M386&gt;=1000)</f>
        <v>1</v>
      </c>
      <c r="CL386" s="98">
        <f t="shared" ref="CL386:CL411" si="44">$CM386-($CM386*(0.01*$CR386))</f>
        <v>67.44474000000001</v>
      </c>
      <c r="CM386" s="61">
        <v>75.900000000000006</v>
      </c>
      <c r="CN386" s="61">
        <v>182</v>
      </c>
      <c r="CO386" s="96" t="s">
        <v>159</v>
      </c>
      <c r="CP386" s="61">
        <v>52</v>
      </c>
      <c r="CQ386" s="61">
        <v>42</v>
      </c>
      <c r="CR386" s="61" t="s">
        <v>160</v>
      </c>
    </row>
    <row r="387" spans="1:96" ht="15.75" customHeight="1">
      <c r="A387" s="83">
        <v>2023</v>
      </c>
      <c r="B387" s="83" t="s">
        <v>184</v>
      </c>
      <c r="C387" s="61">
        <v>3331</v>
      </c>
      <c r="D387" s="52">
        <v>28</v>
      </c>
      <c r="E387" s="61">
        <v>81.099999999999994</v>
      </c>
      <c r="F387" s="52">
        <v>1</v>
      </c>
      <c r="G387" s="369" t="s">
        <v>89</v>
      </c>
      <c r="H387" s="369" t="s">
        <v>83</v>
      </c>
      <c r="I387" s="369" t="s">
        <v>93</v>
      </c>
      <c r="J387" s="369" t="s">
        <v>206</v>
      </c>
      <c r="K387" s="369">
        <v>75</v>
      </c>
      <c r="L387" s="369">
        <v>25</v>
      </c>
      <c r="M387" s="61">
        <v>205</v>
      </c>
      <c r="N387" s="61">
        <v>3982</v>
      </c>
      <c r="O387" s="61" t="s">
        <v>94</v>
      </c>
      <c r="P387" s="61" t="s">
        <v>94</v>
      </c>
      <c r="Q387" s="61">
        <v>2.7</v>
      </c>
      <c r="R387" s="61">
        <v>2.1</v>
      </c>
      <c r="S387" s="61">
        <v>223</v>
      </c>
      <c r="T387" s="61">
        <v>323</v>
      </c>
      <c r="U387" s="61">
        <v>35</v>
      </c>
      <c r="V387" s="61">
        <v>121</v>
      </c>
      <c r="W387" s="61">
        <v>4.5999999999999996</v>
      </c>
      <c r="X387" s="61">
        <v>4.9000000000000004</v>
      </c>
      <c r="Y387" s="61">
        <v>35</v>
      </c>
      <c r="Z387" s="61">
        <v>58</v>
      </c>
      <c r="AA387" s="61">
        <v>17</v>
      </c>
      <c r="AB387" s="61">
        <v>19</v>
      </c>
      <c r="AC387" s="61">
        <v>4.4000000000000004</v>
      </c>
      <c r="AD387" s="61">
        <v>6.7</v>
      </c>
      <c r="AE387" s="61" t="s">
        <v>94</v>
      </c>
      <c r="AF387" s="61" t="s">
        <v>94</v>
      </c>
      <c r="AG387" s="61">
        <v>34</v>
      </c>
      <c r="AH387" s="61">
        <v>57</v>
      </c>
      <c r="AI387" s="61">
        <v>0.88</v>
      </c>
      <c r="AJ387" s="61">
        <v>1.1499999999999999</v>
      </c>
      <c r="AK387" s="269">
        <f t="shared" si="39"/>
        <v>0.26999999999999991</v>
      </c>
      <c r="AL387" s="61">
        <v>4.0999999999999996</v>
      </c>
      <c r="AM387" s="61">
        <v>4.7</v>
      </c>
      <c r="AN387" s="61">
        <v>7.4</v>
      </c>
      <c r="AO387" s="61">
        <v>7.9</v>
      </c>
      <c r="AP387" s="61">
        <v>10</v>
      </c>
      <c r="AQ387" s="61">
        <v>10</v>
      </c>
      <c r="AR387" s="61">
        <v>9.5</v>
      </c>
      <c r="AS387" s="61">
        <v>10</v>
      </c>
      <c r="AT387" s="61">
        <v>5</v>
      </c>
      <c r="AU387" s="61">
        <v>4.4000000000000004</v>
      </c>
      <c r="AV387" s="61">
        <v>101</v>
      </c>
      <c r="AW387" s="61">
        <v>91</v>
      </c>
      <c r="AX387" s="61">
        <v>141</v>
      </c>
      <c r="AY387" s="61">
        <v>144</v>
      </c>
      <c r="AZ387" s="61">
        <v>2.4</v>
      </c>
      <c r="BA387" s="61">
        <v>2.6</v>
      </c>
      <c r="BB387" s="61">
        <v>103</v>
      </c>
      <c r="BC387" s="61">
        <v>108</v>
      </c>
      <c r="BD387" s="96">
        <f t="shared" si="40"/>
        <v>297.67944444444447</v>
      </c>
      <c r="BE387" s="96">
        <f t="shared" si="41"/>
        <v>305.33788888888887</v>
      </c>
      <c r="BF387" s="61">
        <v>4.93</v>
      </c>
      <c r="BG387" s="61">
        <v>5.04</v>
      </c>
      <c r="BH387" s="61">
        <v>14.3</v>
      </c>
      <c r="BI387" s="61">
        <v>14.4</v>
      </c>
      <c r="BJ387" s="61">
        <v>44.2</v>
      </c>
      <c r="BK387" s="61">
        <v>45.1</v>
      </c>
      <c r="BL387" s="61">
        <v>89.7</v>
      </c>
      <c r="BM387" s="61">
        <v>89.4</v>
      </c>
      <c r="BN387" s="61">
        <v>29.1</v>
      </c>
      <c r="BO387" s="61">
        <v>28.6</v>
      </c>
      <c r="BP387" s="61">
        <v>32.4</v>
      </c>
      <c r="BQ387" s="61">
        <v>32</v>
      </c>
      <c r="BR387" s="61">
        <v>333</v>
      </c>
      <c r="BS387" s="61">
        <v>384</v>
      </c>
      <c r="BT387" s="61">
        <v>13.3</v>
      </c>
      <c r="BU387" s="61">
        <v>13.3</v>
      </c>
      <c r="BV387" s="61" t="s">
        <v>94</v>
      </c>
      <c r="BW387" s="61" t="s">
        <v>94</v>
      </c>
      <c r="BX387" s="61">
        <v>11.94</v>
      </c>
      <c r="BY387" s="61">
        <v>14.55</v>
      </c>
      <c r="BZ387" s="61">
        <v>84</v>
      </c>
      <c r="CA387" s="61">
        <v>81.7</v>
      </c>
      <c r="CB387" s="61">
        <v>10.4</v>
      </c>
      <c r="CC387" s="61">
        <v>10.4</v>
      </c>
      <c r="CD387" s="61">
        <v>5</v>
      </c>
      <c r="CE387" s="61">
        <v>7.6</v>
      </c>
      <c r="CF387" s="61">
        <v>0.3</v>
      </c>
      <c r="CG387" s="61">
        <v>0.1</v>
      </c>
      <c r="CH387" s="61">
        <v>0.3</v>
      </c>
      <c r="CI387" s="61">
        <v>0.2</v>
      </c>
      <c r="CJ387" s="86" t="b">
        <f t="shared" si="42"/>
        <v>0</v>
      </c>
      <c r="CK387" s="2" t="b">
        <f t="shared" si="43"/>
        <v>1</v>
      </c>
      <c r="CL387" s="98">
        <f t="shared" si="44"/>
        <v>74.301159999999996</v>
      </c>
      <c r="CM387" s="61">
        <v>91.1</v>
      </c>
      <c r="CN387" s="61">
        <v>181.5</v>
      </c>
      <c r="CO387" s="96" t="s">
        <v>161</v>
      </c>
      <c r="CP387" s="61">
        <v>70</v>
      </c>
      <c r="CQ387" s="61">
        <v>66</v>
      </c>
      <c r="CR387" s="61" t="s">
        <v>162</v>
      </c>
    </row>
    <row r="388" spans="1:96" ht="15.75" customHeight="1">
      <c r="A388" s="83">
        <v>2023</v>
      </c>
      <c r="B388" s="83" t="s">
        <v>184</v>
      </c>
      <c r="C388" s="61">
        <v>3340</v>
      </c>
      <c r="D388" s="52">
        <v>29</v>
      </c>
      <c r="E388" s="61">
        <v>81.099999999999994</v>
      </c>
      <c r="F388" s="52">
        <v>2</v>
      </c>
      <c r="G388" s="369" t="s">
        <v>86</v>
      </c>
      <c r="H388" s="369" t="s">
        <v>92</v>
      </c>
      <c r="I388" s="369" t="s">
        <v>84</v>
      </c>
      <c r="J388" s="369" t="s">
        <v>206</v>
      </c>
      <c r="K388" s="369">
        <v>87.5</v>
      </c>
      <c r="L388" s="369">
        <v>12.5</v>
      </c>
      <c r="M388" s="61">
        <v>223</v>
      </c>
      <c r="N388" s="61">
        <v>1570</v>
      </c>
      <c r="O388" s="61" t="s">
        <v>94</v>
      </c>
      <c r="P388" s="61" t="s">
        <v>94</v>
      </c>
      <c r="Q388" s="61">
        <v>1.7</v>
      </c>
      <c r="R388" s="61">
        <v>2.2000000000000002</v>
      </c>
      <c r="S388" s="61">
        <v>190</v>
      </c>
      <c r="T388" s="61">
        <v>302</v>
      </c>
      <c r="U388" s="61">
        <v>35</v>
      </c>
      <c r="V388" s="61">
        <v>121</v>
      </c>
      <c r="W388" s="61">
        <v>4.3</v>
      </c>
      <c r="X388" s="61">
        <v>5.3</v>
      </c>
      <c r="Y388" s="61">
        <v>40</v>
      </c>
      <c r="Z388" s="61">
        <v>84</v>
      </c>
      <c r="AA388" s="61">
        <v>18</v>
      </c>
      <c r="AB388" s="61">
        <v>22</v>
      </c>
      <c r="AC388" s="61">
        <v>4.5999999999999996</v>
      </c>
      <c r="AD388" s="61">
        <v>7.1</v>
      </c>
      <c r="AE388" s="61" t="s">
        <v>94</v>
      </c>
      <c r="AF388" s="61" t="s">
        <v>94</v>
      </c>
      <c r="AG388" s="61">
        <v>44</v>
      </c>
      <c r="AH388" s="61">
        <v>58</v>
      </c>
      <c r="AI388" s="61">
        <v>0.71</v>
      </c>
      <c r="AJ388" s="61">
        <v>0.79</v>
      </c>
      <c r="AK388" s="269">
        <f t="shared" si="39"/>
        <v>8.0000000000000071E-2</v>
      </c>
      <c r="AL388" s="61">
        <v>3.5</v>
      </c>
      <c r="AM388" s="61">
        <v>5.3</v>
      </c>
      <c r="AN388" s="61">
        <v>7.5</v>
      </c>
      <c r="AO388" s="61">
        <v>9.1999999999999993</v>
      </c>
      <c r="AP388" s="61">
        <v>57</v>
      </c>
      <c r="AQ388" s="61">
        <v>10</v>
      </c>
      <c r="AR388" s="61">
        <v>9.6999999999999993</v>
      </c>
      <c r="AS388" s="61">
        <v>10.6</v>
      </c>
      <c r="AT388" s="61">
        <v>4.8</v>
      </c>
      <c r="AU388" s="61">
        <v>4.4000000000000004</v>
      </c>
      <c r="AV388" s="61">
        <v>100</v>
      </c>
      <c r="AW388" s="61">
        <v>92</v>
      </c>
      <c r="AX388" s="61">
        <v>140</v>
      </c>
      <c r="AY388" s="61">
        <v>147</v>
      </c>
      <c r="AZ388" s="61">
        <v>2.2000000000000002</v>
      </c>
      <c r="BA388" s="61">
        <v>2.5</v>
      </c>
      <c r="BB388" s="61">
        <v>105</v>
      </c>
      <c r="BC388" s="61">
        <v>107</v>
      </c>
      <c r="BD388" s="96">
        <f t="shared" si="40"/>
        <v>297.05022222222226</v>
      </c>
      <c r="BE388" s="96">
        <f t="shared" si="41"/>
        <v>311.14844444444452</v>
      </c>
      <c r="BF388" s="61">
        <v>4.95</v>
      </c>
      <c r="BG388" s="61">
        <v>5.08</v>
      </c>
      <c r="BH388" s="61">
        <v>14.3</v>
      </c>
      <c r="BI388" s="61">
        <v>14.5</v>
      </c>
      <c r="BJ388" s="61">
        <v>42.9</v>
      </c>
      <c r="BK388" s="61">
        <v>44.3</v>
      </c>
      <c r="BL388" s="61">
        <v>86.7</v>
      </c>
      <c r="BM388" s="61">
        <v>87.2</v>
      </c>
      <c r="BN388" s="61">
        <v>28.9</v>
      </c>
      <c r="BO388" s="61">
        <v>28.5</v>
      </c>
      <c r="BP388" s="61">
        <v>33.4</v>
      </c>
      <c r="BQ388" s="61">
        <v>32.700000000000003</v>
      </c>
      <c r="BR388" s="61">
        <v>339</v>
      </c>
      <c r="BS388" s="61">
        <v>357</v>
      </c>
      <c r="BT388" s="61">
        <v>12.2</v>
      </c>
      <c r="BU388" s="61">
        <v>12.4</v>
      </c>
      <c r="BV388" s="61" t="s">
        <v>94</v>
      </c>
      <c r="BW388" s="61" t="s">
        <v>94</v>
      </c>
      <c r="BX388" s="61">
        <v>7.3</v>
      </c>
      <c r="BY388" s="96">
        <v>10.6</v>
      </c>
      <c r="BZ388" s="61">
        <v>58.7</v>
      </c>
      <c r="CA388" s="61">
        <v>68.8</v>
      </c>
      <c r="CB388" s="61">
        <v>31.6</v>
      </c>
      <c r="CC388" s="61">
        <v>22.1</v>
      </c>
      <c r="CD388" s="61">
        <v>6.6</v>
      </c>
      <c r="CE388" s="61">
        <v>8.1</v>
      </c>
      <c r="CF388" s="61">
        <v>2</v>
      </c>
      <c r="CG388" s="61">
        <v>0.5</v>
      </c>
      <c r="CH388" s="61">
        <v>1.1000000000000001</v>
      </c>
      <c r="CI388" s="61">
        <v>0.5</v>
      </c>
      <c r="CJ388" s="86" t="b">
        <f t="shared" si="42"/>
        <v>0</v>
      </c>
      <c r="CK388" s="2" t="b">
        <f t="shared" si="43"/>
        <v>1</v>
      </c>
      <c r="CL388" s="98">
        <f t="shared" si="44"/>
        <v>76.399559999999994</v>
      </c>
      <c r="CM388" s="98">
        <v>82.8</v>
      </c>
      <c r="CN388" s="98">
        <v>182</v>
      </c>
      <c r="CO388" s="96" t="s">
        <v>163</v>
      </c>
      <c r="CP388" s="98">
        <v>56</v>
      </c>
      <c r="CQ388" s="98">
        <v>59</v>
      </c>
      <c r="CR388" s="61" t="s">
        <v>164</v>
      </c>
    </row>
    <row r="389" spans="1:96" ht="15.75" customHeight="1">
      <c r="A389" s="83">
        <v>2023</v>
      </c>
      <c r="B389" s="83" t="s">
        <v>184</v>
      </c>
      <c r="C389" s="61">
        <v>3343</v>
      </c>
      <c r="D389" s="52">
        <v>27</v>
      </c>
      <c r="E389" s="61">
        <v>72.900000000000006</v>
      </c>
      <c r="F389" s="52">
        <v>2</v>
      </c>
      <c r="G389" s="369" t="s">
        <v>86</v>
      </c>
      <c r="H389" s="369" t="s">
        <v>83</v>
      </c>
      <c r="I389" s="369" t="s">
        <v>87</v>
      </c>
      <c r="J389" s="369">
        <v>0</v>
      </c>
      <c r="K389" s="369">
        <v>50</v>
      </c>
      <c r="L389" s="369">
        <v>50</v>
      </c>
      <c r="M389" s="61">
        <v>340</v>
      </c>
      <c r="N389" s="61">
        <v>11324</v>
      </c>
      <c r="O389" s="61" t="s">
        <v>94</v>
      </c>
      <c r="P389" s="61" t="s">
        <v>94</v>
      </c>
      <c r="Q389" s="61">
        <v>2.1</v>
      </c>
      <c r="R389" s="61">
        <v>2.2000000000000002</v>
      </c>
      <c r="S389" s="61">
        <v>250</v>
      </c>
      <c r="T389" s="61">
        <v>488</v>
      </c>
      <c r="U389" s="61">
        <v>39</v>
      </c>
      <c r="V389" s="61">
        <v>320</v>
      </c>
      <c r="W389" s="61">
        <v>4.8</v>
      </c>
      <c r="X389" s="61">
        <v>4.9000000000000004</v>
      </c>
      <c r="Y389" s="61">
        <v>42</v>
      </c>
      <c r="Z389" s="61">
        <v>74</v>
      </c>
      <c r="AA389" s="61">
        <v>21</v>
      </c>
      <c r="AB389" s="61">
        <v>20</v>
      </c>
      <c r="AC389" s="61">
        <v>5.2</v>
      </c>
      <c r="AD389" s="61">
        <v>8.6</v>
      </c>
      <c r="AE389" s="61" t="s">
        <v>94</v>
      </c>
      <c r="AF389" s="61" t="s">
        <v>94</v>
      </c>
      <c r="AG389" s="61">
        <v>43</v>
      </c>
      <c r="AH389" s="61">
        <v>82</v>
      </c>
      <c r="AI389" s="61">
        <v>0.6</v>
      </c>
      <c r="AJ389" s="61">
        <v>1.57</v>
      </c>
      <c r="AK389" s="269">
        <f t="shared" si="39"/>
        <v>0.97000000000000008</v>
      </c>
      <c r="AL389" s="61">
        <v>4.7</v>
      </c>
      <c r="AM389" s="61">
        <v>6.1</v>
      </c>
      <c r="AN389" s="61">
        <v>7.8</v>
      </c>
      <c r="AO389" s="61">
        <v>7.8</v>
      </c>
      <c r="AP389" s="61">
        <v>11</v>
      </c>
      <c r="AQ389" s="61">
        <v>10</v>
      </c>
      <c r="AR389" s="61">
        <v>9.9</v>
      </c>
      <c r="AS389" s="61">
        <v>9.6999999999999993</v>
      </c>
      <c r="AT389" s="61">
        <v>4.8</v>
      </c>
      <c r="AU389" s="61">
        <v>4.5</v>
      </c>
      <c r="AV389" s="61">
        <v>103</v>
      </c>
      <c r="AW389" s="61">
        <v>105</v>
      </c>
      <c r="AX389" s="61">
        <v>139</v>
      </c>
      <c r="AY389" s="61">
        <v>142</v>
      </c>
      <c r="AZ389" s="61">
        <v>2.1</v>
      </c>
      <c r="BA389" s="61">
        <v>2.2000000000000002</v>
      </c>
      <c r="BB389" s="61">
        <v>102</v>
      </c>
      <c r="BC389" s="61">
        <v>105</v>
      </c>
      <c r="BD389" s="96">
        <f t="shared" si="40"/>
        <v>295.21522222222228</v>
      </c>
      <c r="BE389" s="96">
        <f t="shared" si="41"/>
        <v>306.86500000000001</v>
      </c>
      <c r="BF389" s="61">
        <v>5.24</v>
      </c>
      <c r="BG389" s="61">
        <v>4.79</v>
      </c>
      <c r="BH389" s="61">
        <v>14</v>
      </c>
      <c r="BI389" s="61">
        <v>13</v>
      </c>
      <c r="BJ389" s="61">
        <v>45.4</v>
      </c>
      <c r="BK389" s="61">
        <v>41.5</v>
      </c>
      <c r="BL389" s="61">
        <v>86.7</v>
      </c>
      <c r="BM389" s="61">
        <v>86.6</v>
      </c>
      <c r="BN389" s="61">
        <v>26.7</v>
      </c>
      <c r="BO389" s="61">
        <v>27.2</v>
      </c>
      <c r="BP389" s="61">
        <v>30.8</v>
      </c>
      <c r="BQ389" s="61">
        <v>31.4</v>
      </c>
      <c r="BR389" s="61">
        <v>318</v>
      </c>
      <c r="BS389" s="61">
        <v>356</v>
      </c>
      <c r="BT389" s="61">
        <v>12.8</v>
      </c>
      <c r="BU389" s="61">
        <v>13.3</v>
      </c>
      <c r="BV389" s="61" t="s">
        <v>94</v>
      </c>
      <c r="BW389" s="61" t="s">
        <v>94</v>
      </c>
      <c r="BX389" s="61">
        <v>8.73</v>
      </c>
      <c r="BY389" s="61">
        <v>13.08</v>
      </c>
      <c r="BZ389" s="61">
        <v>74</v>
      </c>
      <c r="CA389" s="61">
        <v>78.2</v>
      </c>
      <c r="CB389" s="61">
        <v>17.399999999999999</v>
      </c>
      <c r="CC389" s="61">
        <v>13.2</v>
      </c>
      <c r="CD389" s="61">
        <v>7.4</v>
      </c>
      <c r="CE389" s="61">
        <v>8.5</v>
      </c>
      <c r="CF389" s="61">
        <v>1</v>
      </c>
      <c r="CG389" s="61">
        <v>0.1</v>
      </c>
      <c r="CH389" s="61">
        <v>0.2</v>
      </c>
      <c r="CI389" s="61">
        <v>0</v>
      </c>
      <c r="CJ389" s="86" t="b">
        <f t="shared" si="42"/>
        <v>1</v>
      </c>
      <c r="CK389" s="2" t="b">
        <f t="shared" si="43"/>
        <v>1</v>
      </c>
      <c r="CL389" s="98">
        <f t="shared" si="44"/>
        <v>65.795109999999994</v>
      </c>
      <c r="CM389" s="98">
        <v>75.099999999999994</v>
      </c>
      <c r="CN389" s="98">
        <v>170</v>
      </c>
      <c r="CO389" s="96" t="s">
        <v>94</v>
      </c>
      <c r="CP389" s="98">
        <v>48</v>
      </c>
      <c r="CQ389" s="98">
        <v>60</v>
      </c>
      <c r="CR389" s="61" t="s">
        <v>165</v>
      </c>
    </row>
    <row r="390" spans="1:96" ht="15.75" customHeight="1">
      <c r="A390" s="83">
        <v>2023</v>
      </c>
      <c r="B390" s="83" t="s">
        <v>184</v>
      </c>
      <c r="C390" s="61">
        <v>3347</v>
      </c>
      <c r="D390" s="52">
        <v>28</v>
      </c>
      <c r="E390" s="61">
        <v>84.6</v>
      </c>
      <c r="F390" s="52">
        <v>2</v>
      </c>
      <c r="G390" s="369" t="s">
        <v>86</v>
      </c>
      <c r="H390" s="369" t="s">
        <v>92</v>
      </c>
      <c r="I390" s="369" t="s">
        <v>84</v>
      </c>
      <c r="J390" s="369">
        <v>0</v>
      </c>
      <c r="K390" s="369">
        <v>75</v>
      </c>
      <c r="L390" s="369">
        <v>25</v>
      </c>
      <c r="M390" s="61">
        <v>312</v>
      </c>
      <c r="N390" s="61">
        <v>4688</v>
      </c>
      <c r="O390" s="61" t="s">
        <v>94</v>
      </c>
      <c r="P390" s="61" t="s">
        <v>94</v>
      </c>
      <c r="Q390" s="61">
        <v>2.6</v>
      </c>
      <c r="R390" s="61">
        <v>1.8</v>
      </c>
      <c r="S390" s="61">
        <v>305</v>
      </c>
      <c r="T390" s="61">
        <v>456</v>
      </c>
      <c r="U390" s="61">
        <v>115</v>
      </c>
      <c r="V390" s="61">
        <v>163</v>
      </c>
      <c r="W390" s="61">
        <v>4.2</v>
      </c>
      <c r="X390" s="61">
        <v>4.7</v>
      </c>
      <c r="Y390" s="61">
        <v>111</v>
      </c>
      <c r="Z390" s="61">
        <v>109</v>
      </c>
      <c r="AA390" s="61">
        <v>34</v>
      </c>
      <c r="AB390" s="61">
        <v>35</v>
      </c>
      <c r="AC390" s="61">
        <v>3.9</v>
      </c>
      <c r="AD390" s="61">
        <v>4.7</v>
      </c>
      <c r="AE390" s="61" t="s">
        <v>94</v>
      </c>
      <c r="AF390" s="61" t="s">
        <v>94</v>
      </c>
      <c r="AG390" s="61">
        <v>42</v>
      </c>
      <c r="AH390" s="61">
        <v>52</v>
      </c>
      <c r="AI390" s="61">
        <v>0.79</v>
      </c>
      <c r="AJ390" s="61">
        <v>0.73</v>
      </c>
      <c r="AK390" s="269">
        <f t="shared" si="39"/>
        <v>0</v>
      </c>
      <c r="AL390" s="61">
        <v>3.7</v>
      </c>
      <c r="AM390" s="61">
        <v>6.1</v>
      </c>
      <c r="AN390" s="61">
        <v>7.5</v>
      </c>
      <c r="AO390" s="61">
        <v>8</v>
      </c>
      <c r="AP390" s="61">
        <v>10</v>
      </c>
      <c r="AQ390" s="61">
        <v>10</v>
      </c>
      <c r="AR390" s="61">
        <v>9.8000000000000007</v>
      </c>
      <c r="AS390" s="61">
        <v>10</v>
      </c>
      <c r="AT390" s="61">
        <v>4.8</v>
      </c>
      <c r="AU390" s="61">
        <v>5.0999999999999996</v>
      </c>
      <c r="AV390" s="61">
        <v>112</v>
      </c>
      <c r="AW390" s="61">
        <v>100</v>
      </c>
      <c r="AX390" s="61">
        <v>146</v>
      </c>
      <c r="AY390" s="61">
        <v>148</v>
      </c>
      <c r="AZ390" s="61">
        <v>2.2000000000000002</v>
      </c>
      <c r="BA390" s="61">
        <v>2.5</v>
      </c>
      <c r="BB390" s="61">
        <v>111</v>
      </c>
      <c r="BC390" s="61">
        <v>112</v>
      </c>
      <c r="BD390" s="96">
        <f t="shared" si="40"/>
        <v>308.64355555555562</v>
      </c>
      <c r="BE390" s="96">
        <f t="shared" si="41"/>
        <v>313.82155555555562</v>
      </c>
      <c r="BF390" s="61">
        <v>4.59</v>
      </c>
      <c r="BG390" s="96">
        <v>4.4000000000000004</v>
      </c>
      <c r="BH390" s="61">
        <v>13.2</v>
      </c>
      <c r="BI390" s="61">
        <v>12.6</v>
      </c>
      <c r="BJ390" s="61">
        <v>41.6</v>
      </c>
      <c r="BK390" s="61">
        <v>40.1</v>
      </c>
      <c r="BL390" s="61">
        <v>90.5</v>
      </c>
      <c r="BM390" s="61">
        <v>91.1</v>
      </c>
      <c r="BN390" s="61">
        <v>28.8</v>
      </c>
      <c r="BO390" s="61">
        <v>28.4</v>
      </c>
      <c r="BP390" s="61">
        <v>31.8</v>
      </c>
      <c r="BQ390" s="61">
        <v>31.4</v>
      </c>
      <c r="BR390" s="61">
        <v>380</v>
      </c>
      <c r="BS390" s="61">
        <v>390</v>
      </c>
      <c r="BT390" s="61">
        <v>13</v>
      </c>
      <c r="BU390" s="61">
        <v>13</v>
      </c>
      <c r="BV390" s="61" t="s">
        <v>94</v>
      </c>
      <c r="BW390" s="61" t="s">
        <v>94</v>
      </c>
      <c r="BX390" s="61">
        <v>5.64</v>
      </c>
      <c r="BY390" s="61">
        <v>8.82</v>
      </c>
      <c r="BZ390" s="61">
        <v>63.8</v>
      </c>
      <c r="CA390" s="61">
        <v>67.099999999999994</v>
      </c>
      <c r="CB390" s="61">
        <v>21.4</v>
      </c>
      <c r="CC390" s="61">
        <v>20.2</v>
      </c>
      <c r="CD390" s="61">
        <v>10</v>
      </c>
      <c r="CE390" s="61">
        <v>11.2</v>
      </c>
      <c r="CF390" s="61">
        <v>4.0999999999999996</v>
      </c>
      <c r="CG390" s="61">
        <v>1.4</v>
      </c>
      <c r="CH390" s="61">
        <v>0.7</v>
      </c>
      <c r="CI390" s="61">
        <v>0.1</v>
      </c>
      <c r="CJ390" s="86" t="b">
        <f t="shared" si="42"/>
        <v>0</v>
      </c>
      <c r="CK390" s="2" t="b">
        <f t="shared" si="43"/>
        <v>1</v>
      </c>
      <c r="CL390" s="98">
        <f t="shared" si="44"/>
        <v>74.264600000000002</v>
      </c>
      <c r="CM390" s="159">
        <v>82.7</v>
      </c>
      <c r="CN390" s="159">
        <v>179.5</v>
      </c>
      <c r="CO390" s="96" t="s">
        <v>166</v>
      </c>
      <c r="CP390" s="159">
        <v>58</v>
      </c>
      <c r="CQ390" s="159">
        <v>52</v>
      </c>
      <c r="CR390" s="61" t="s">
        <v>167</v>
      </c>
    </row>
    <row r="391" spans="1:96" ht="15.75" customHeight="1">
      <c r="A391" s="83">
        <v>2023</v>
      </c>
      <c r="B391" s="83" t="s">
        <v>184</v>
      </c>
      <c r="C391" s="61">
        <v>3348</v>
      </c>
      <c r="D391" s="52">
        <v>29</v>
      </c>
      <c r="E391" s="61">
        <v>79.400000000000006</v>
      </c>
      <c r="F391" s="52">
        <v>2</v>
      </c>
      <c r="G391" s="369" t="s">
        <v>86</v>
      </c>
      <c r="H391" s="369" t="s">
        <v>90</v>
      </c>
      <c r="I391" s="369" t="s">
        <v>84</v>
      </c>
      <c r="J391" s="369" t="s">
        <v>206</v>
      </c>
      <c r="K391" s="369">
        <v>62.5</v>
      </c>
      <c r="L391" s="369">
        <v>37.5</v>
      </c>
      <c r="M391" s="61">
        <v>109</v>
      </c>
      <c r="N391" s="61">
        <v>6710</v>
      </c>
      <c r="O391" s="61" t="s">
        <v>94</v>
      </c>
      <c r="P391" s="61" t="s">
        <v>94</v>
      </c>
      <c r="Q391" s="61">
        <v>2.5</v>
      </c>
      <c r="R391" s="61">
        <v>1.9</v>
      </c>
      <c r="S391" s="61">
        <v>222</v>
      </c>
      <c r="T391" s="61">
        <v>310</v>
      </c>
      <c r="U391" s="61">
        <v>39</v>
      </c>
      <c r="V391" s="61">
        <v>181</v>
      </c>
      <c r="W391" s="61">
        <v>4.4000000000000004</v>
      </c>
      <c r="X391" s="61">
        <v>4.8</v>
      </c>
      <c r="Y391" s="61">
        <v>54</v>
      </c>
      <c r="Z391" s="61">
        <v>49</v>
      </c>
      <c r="AA391" s="61">
        <v>19</v>
      </c>
      <c r="AB391" s="61">
        <v>20</v>
      </c>
      <c r="AC391" s="61">
        <v>4.2</v>
      </c>
      <c r="AD391" s="61">
        <v>6.1</v>
      </c>
      <c r="AE391" s="61" t="s">
        <v>94</v>
      </c>
      <c r="AF391" s="61" t="s">
        <v>94</v>
      </c>
      <c r="AG391" s="61">
        <v>64</v>
      </c>
      <c r="AH391" s="61">
        <v>70</v>
      </c>
      <c r="AI391" s="61">
        <v>1.06</v>
      </c>
      <c r="AJ391" s="61">
        <v>0.93</v>
      </c>
      <c r="AK391" s="269">
        <f t="shared" si="39"/>
        <v>0</v>
      </c>
      <c r="AL391" s="61">
        <v>5.0999999999999996</v>
      </c>
      <c r="AM391" s="61">
        <v>4.7</v>
      </c>
      <c r="AN391" s="61">
        <v>7.5</v>
      </c>
      <c r="AO391" s="61">
        <v>8.1</v>
      </c>
      <c r="AP391" s="61">
        <v>10</v>
      </c>
      <c r="AQ391" s="61">
        <v>10</v>
      </c>
      <c r="AR391" s="61">
        <v>9.6999999999999993</v>
      </c>
      <c r="AS391" s="61">
        <v>9.9</v>
      </c>
      <c r="AT391" s="61">
        <v>4.5999999999999996</v>
      </c>
      <c r="AU391" s="61">
        <v>5</v>
      </c>
      <c r="AV391" s="61">
        <v>80</v>
      </c>
      <c r="AW391" s="61">
        <v>105</v>
      </c>
      <c r="AX391" s="61">
        <v>141</v>
      </c>
      <c r="AY391" s="61">
        <v>143</v>
      </c>
      <c r="AZ391" s="61">
        <v>2.1</v>
      </c>
      <c r="BA391" s="61">
        <v>2.4</v>
      </c>
      <c r="BB391" s="61">
        <v>104</v>
      </c>
      <c r="BC391" s="61">
        <v>107</v>
      </c>
      <c r="BD391" s="96">
        <f t="shared" si="40"/>
        <v>300.5937777777778</v>
      </c>
      <c r="BE391" s="96">
        <f t="shared" si="41"/>
        <v>307.65500000000003</v>
      </c>
      <c r="BF391" s="61">
        <v>5.03</v>
      </c>
      <c r="BG391" s="61">
        <v>4.95</v>
      </c>
      <c r="BH391" s="61">
        <v>14.8</v>
      </c>
      <c r="BI391" s="61">
        <v>14.3</v>
      </c>
      <c r="BJ391" s="61">
        <v>45.1</v>
      </c>
      <c r="BK391" s="61">
        <v>44.3</v>
      </c>
      <c r="BL391" s="61">
        <v>89.6</v>
      </c>
      <c r="BM391" s="61">
        <v>89.6</v>
      </c>
      <c r="BN391" s="61">
        <v>29.4</v>
      </c>
      <c r="BO391" s="61">
        <v>28.9</v>
      </c>
      <c r="BP391" s="61">
        <v>32.799999999999997</v>
      </c>
      <c r="BQ391" s="61">
        <v>32.299999999999997</v>
      </c>
      <c r="BR391" s="61">
        <v>279</v>
      </c>
      <c r="BS391" s="61">
        <v>349</v>
      </c>
      <c r="BT391" s="61">
        <v>12.6</v>
      </c>
      <c r="BU391" s="61">
        <v>12.8</v>
      </c>
      <c r="BV391" s="61" t="s">
        <v>94</v>
      </c>
      <c r="BW391" s="61" t="s">
        <v>94</v>
      </c>
      <c r="BX391" s="61">
        <v>12.27</v>
      </c>
      <c r="BY391" s="61">
        <v>16.11</v>
      </c>
      <c r="BZ391" s="61">
        <v>77.099999999999994</v>
      </c>
      <c r="CA391" s="61">
        <v>76.3</v>
      </c>
      <c r="CB391" s="61">
        <v>15.9</v>
      </c>
      <c r="CC391" s="61">
        <v>15.6</v>
      </c>
      <c r="CD391" s="61">
        <v>5.8</v>
      </c>
      <c r="CE391" s="61">
        <v>7.6</v>
      </c>
      <c r="CF391" s="61">
        <v>0.9</v>
      </c>
      <c r="CG391" s="61">
        <v>0.3</v>
      </c>
      <c r="CH391" s="61">
        <v>0.3</v>
      </c>
      <c r="CI391" s="61">
        <v>0.2</v>
      </c>
      <c r="CJ391" s="86" t="b">
        <f t="shared" si="42"/>
        <v>0</v>
      </c>
      <c r="CK391" s="2" t="b">
        <f t="shared" si="43"/>
        <v>1</v>
      </c>
      <c r="CL391" s="98">
        <f t="shared" si="44"/>
        <v>70.179900000000004</v>
      </c>
      <c r="CM391" s="61">
        <v>80.5</v>
      </c>
      <c r="CN391" s="61">
        <v>181</v>
      </c>
      <c r="CO391" s="96" t="s">
        <v>168</v>
      </c>
      <c r="CP391" s="61">
        <v>60</v>
      </c>
      <c r="CQ391" s="61">
        <v>50</v>
      </c>
      <c r="CR391" s="61" t="s">
        <v>169</v>
      </c>
    </row>
    <row r="392" spans="1:96" ht="19.5" customHeight="1">
      <c r="A392" s="83">
        <v>2023</v>
      </c>
      <c r="B392" s="83" t="s">
        <v>184</v>
      </c>
      <c r="C392" s="61">
        <v>3350</v>
      </c>
      <c r="D392" s="52">
        <v>29</v>
      </c>
      <c r="E392" s="61">
        <v>83.3</v>
      </c>
      <c r="F392" s="52">
        <v>2</v>
      </c>
      <c r="G392" s="369" t="s">
        <v>86</v>
      </c>
      <c r="H392" s="369" t="s">
        <v>92</v>
      </c>
      <c r="I392" s="369" t="s">
        <v>87</v>
      </c>
      <c r="J392" s="369">
        <v>0</v>
      </c>
      <c r="K392" s="369">
        <v>62.5</v>
      </c>
      <c r="L392" s="369">
        <v>37.5</v>
      </c>
      <c r="M392" s="61">
        <v>90</v>
      </c>
      <c r="N392" s="61">
        <v>4504</v>
      </c>
      <c r="O392" s="61" t="s">
        <v>94</v>
      </c>
      <c r="P392" s="61" t="s">
        <v>94</v>
      </c>
      <c r="Q392" s="61">
        <v>1.5</v>
      </c>
      <c r="R392" s="61">
        <v>1.8</v>
      </c>
      <c r="S392" s="61">
        <v>254</v>
      </c>
      <c r="T392" s="61">
        <v>862</v>
      </c>
      <c r="U392" s="61">
        <v>82</v>
      </c>
      <c r="V392" s="61">
        <v>692</v>
      </c>
      <c r="W392" s="61">
        <v>4.5999999999999996</v>
      </c>
      <c r="X392" s="61">
        <v>5.6</v>
      </c>
      <c r="Y392" s="61">
        <v>82</v>
      </c>
      <c r="Z392" s="61">
        <v>511</v>
      </c>
      <c r="AA392" s="61">
        <v>23</v>
      </c>
      <c r="AB392" s="61">
        <v>47</v>
      </c>
      <c r="AC392" s="61">
        <v>3.1</v>
      </c>
      <c r="AD392" s="61">
        <v>6.3</v>
      </c>
      <c r="AE392" s="61" t="s">
        <v>94</v>
      </c>
      <c r="AF392" s="61" t="s">
        <v>94</v>
      </c>
      <c r="AG392" s="61">
        <v>30</v>
      </c>
      <c r="AH392" s="61">
        <v>72</v>
      </c>
      <c r="AI392" s="61">
        <v>0.61</v>
      </c>
      <c r="AJ392" s="61">
        <v>0.65</v>
      </c>
      <c r="AK392" s="269">
        <f t="shared" si="39"/>
        <v>4.0000000000000036E-2</v>
      </c>
      <c r="AL392" s="61">
        <v>3.4</v>
      </c>
      <c r="AM392" s="61">
        <v>5.9</v>
      </c>
      <c r="AN392" s="61">
        <v>8.3000000000000007</v>
      </c>
      <c r="AO392" s="61">
        <v>10.5</v>
      </c>
      <c r="AP392" s="61">
        <v>11</v>
      </c>
      <c r="AQ392" s="61">
        <v>10</v>
      </c>
      <c r="AR392" s="61">
        <v>9.6999999999999993</v>
      </c>
      <c r="AS392" s="61">
        <v>11.2</v>
      </c>
      <c r="AT392" s="61">
        <v>5.0999999999999996</v>
      </c>
      <c r="AU392" s="61">
        <v>4.7</v>
      </c>
      <c r="AV392" s="61">
        <v>102</v>
      </c>
      <c r="AW392" s="61">
        <v>180</v>
      </c>
      <c r="AX392" s="61">
        <v>138</v>
      </c>
      <c r="AY392" s="61">
        <v>149</v>
      </c>
      <c r="AZ392" s="61">
        <v>2.1</v>
      </c>
      <c r="BA392" s="61">
        <v>2.8</v>
      </c>
      <c r="BB392" s="61">
        <v>102</v>
      </c>
      <c r="BC392" s="61">
        <v>107</v>
      </c>
      <c r="BD392" s="96">
        <f t="shared" si="40"/>
        <v>291.68266666666665</v>
      </c>
      <c r="BE392" s="96">
        <f t="shared" si="41"/>
        <v>323.38200000000001</v>
      </c>
      <c r="BF392" s="61">
        <v>4.68</v>
      </c>
      <c r="BG392" s="61">
        <v>4.53</v>
      </c>
      <c r="BH392" s="61">
        <v>13.6</v>
      </c>
      <c r="BI392" s="61">
        <v>13.1</v>
      </c>
      <c r="BJ392" s="61">
        <v>42.1</v>
      </c>
      <c r="BK392" s="61">
        <v>41.1</v>
      </c>
      <c r="BL392" s="61">
        <v>89.9</v>
      </c>
      <c r="BM392" s="61">
        <v>90.8</v>
      </c>
      <c r="BN392" s="61">
        <v>29</v>
      </c>
      <c r="BO392" s="61">
        <v>28.9</v>
      </c>
      <c r="BP392" s="61">
        <v>32.200000000000003</v>
      </c>
      <c r="BQ392" s="61">
        <v>31.8</v>
      </c>
      <c r="BR392" s="61">
        <v>445</v>
      </c>
      <c r="BS392" s="61">
        <v>449</v>
      </c>
      <c r="BT392" s="61">
        <v>12.9</v>
      </c>
      <c r="BU392" s="61">
        <v>13.2</v>
      </c>
      <c r="BV392" s="61" t="s">
        <v>94</v>
      </c>
      <c r="BW392" s="61" t="s">
        <v>94</v>
      </c>
      <c r="BX392" s="61">
        <v>6.37</v>
      </c>
      <c r="BY392" s="61">
        <v>12.86</v>
      </c>
      <c r="BZ392" s="61">
        <v>66.8</v>
      </c>
      <c r="CA392" s="61">
        <v>80.7</v>
      </c>
      <c r="CB392" s="61">
        <v>23.5</v>
      </c>
      <c r="CC392" s="61">
        <v>12.5</v>
      </c>
      <c r="CD392" s="61">
        <v>8.1999999999999993</v>
      </c>
      <c r="CE392" s="61">
        <v>5.9</v>
      </c>
      <c r="CF392" s="61">
        <v>1.3</v>
      </c>
      <c r="CG392" s="61">
        <v>0.8</v>
      </c>
      <c r="CH392" s="61">
        <v>0.2</v>
      </c>
      <c r="CI392" s="61">
        <v>0.1</v>
      </c>
      <c r="CJ392" s="86" t="b">
        <f t="shared" si="42"/>
        <v>0</v>
      </c>
      <c r="CK392" s="2" t="b">
        <f t="shared" si="43"/>
        <v>1</v>
      </c>
      <c r="CL392" s="98">
        <f t="shared" si="44"/>
        <v>75.160799999999995</v>
      </c>
      <c r="CM392" s="61">
        <v>85.8</v>
      </c>
      <c r="CN392" s="61">
        <v>178</v>
      </c>
      <c r="CO392" s="96" t="s">
        <v>170</v>
      </c>
      <c r="CP392" s="61">
        <v>55</v>
      </c>
      <c r="CQ392" s="61">
        <v>56</v>
      </c>
      <c r="CR392" s="61" t="s">
        <v>171</v>
      </c>
    </row>
    <row r="393" spans="1:96" ht="15.75" customHeight="1">
      <c r="A393" s="83">
        <v>2023</v>
      </c>
      <c r="B393" s="83" t="s">
        <v>187</v>
      </c>
      <c r="C393" s="61">
        <v>3262</v>
      </c>
      <c r="D393" s="52">
        <v>25</v>
      </c>
      <c r="E393" s="178">
        <v>72.099999999999994</v>
      </c>
      <c r="F393" s="301">
        <v>1</v>
      </c>
      <c r="G393" s="369" t="s">
        <v>82</v>
      </c>
      <c r="H393" s="369" t="s">
        <v>90</v>
      </c>
      <c r="I393" s="369" t="s">
        <v>84</v>
      </c>
      <c r="J393" s="369" t="s">
        <v>206</v>
      </c>
      <c r="K393" s="369">
        <v>37.5</v>
      </c>
      <c r="L393" s="369">
        <v>62.5</v>
      </c>
      <c r="M393" s="368">
        <v>120</v>
      </c>
      <c r="N393" s="61">
        <v>2600</v>
      </c>
      <c r="O393" s="61" t="s">
        <v>94</v>
      </c>
      <c r="P393" s="61" t="s">
        <v>94</v>
      </c>
      <c r="Q393" s="61" t="s">
        <v>94</v>
      </c>
      <c r="R393" s="61" t="s">
        <v>94</v>
      </c>
      <c r="S393" s="61">
        <v>239</v>
      </c>
      <c r="T393" s="61">
        <v>313</v>
      </c>
      <c r="U393" s="61">
        <v>28</v>
      </c>
      <c r="V393" s="61">
        <v>98</v>
      </c>
      <c r="W393" s="61" t="s">
        <v>94</v>
      </c>
      <c r="X393" s="61" t="s">
        <v>94</v>
      </c>
      <c r="Y393" s="61" t="s">
        <v>94</v>
      </c>
      <c r="Z393" s="61" t="s">
        <v>94</v>
      </c>
      <c r="AA393" s="61" t="s">
        <v>94</v>
      </c>
      <c r="AB393" s="61" t="s">
        <v>94</v>
      </c>
      <c r="AC393" s="61" t="s">
        <v>94</v>
      </c>
      <c r="AD393" s="61" t="s">
        <v>94</v>
      </c>
      <c r="AE393" s="61" t="s">
        <v>94</v>
      </c>
      <c r="AF393" s="61" t="s">
        <v>94</v>
      </c>
      <c r="AG393" s="61">
        <v>39</v>
      </c>
      <c r="AH393" s="61">
        <v>49</v>
      </c>
      <c r="AI393" s="61">
        <v>0.8</v>
      </c>
      <c r="AJ393" s="61">
        <v>1.3</v>
      </c>
      <c r="AK393" s="269">
        <f t="shared" si="39"/>
        <v>0.5</v>
      </c>
      <c r="AL393" s="61" t="s">
        <v>94</v>
      </c>
      <c r="AM393" s="61" t="s">
        <v>94</v>
      </c>
      <c r="AN393" s="61" t="s">
        <v>94</v>
      </c>
      <c r="AO393" s="61" t="s">
        <v>94</v>
      </c>
      <c r="AP393" s="61" t="s">
        <v>94</v>
      </c>
      <c r="AQ393" s="61" t="s">
        <v>94</v>
      </c>
      <c r="AR393" s="61" t="s">
        <v>94</v>
      </c>
      <c r="AS393" s="61" t="s">
        <v>94</v>
      </c>
      <c r="AT393" s="61">
        <v>5.2</v>
      </c>
      <c r="AU393" s="61">
        <v>3.9</v>
      </c>
      <c r="AV393" s="61">
        <v>78</v>
      </c>
      <c r="AW393" s="61">
        <v>121</v>
      </c>
      <c r="AX393" s="61">
        <v>140</v>
      </c>
      <c r="AY393" s="61">
        <v>137</v>
      </c>
      <c r="AZ393" s="61" t="s">
        <v>94</v>
      </c>
      <c r="BA393" s="61" t="s">
        <v>94</v>
      </c>
      <c r="BB393" s="61">
        <v>100</v>
      </c>
      <c r="BC393" s="61">
        <v>99</v>
      </c>
      <c r="BD393" s="96">
        <f t="shared" si="40"/>
        <v>295.55533333333335</v>
      </c>
      <c r="BE393" s="96">
        <f t="shared" si="41"/>
        <v>291.97122222222225</v>
      </c>
      <c r="BF393" s="61">
        <v>5.33</v>
      </c>
      <c r="BG393" s="61">
        <v>5.55</v>
      </c>
      <c r="BH393" s="61">
        <v>15.5</v>
      </c>
      <c r="BI393" s="61">
        <v>16.2</v>
      </c>
      <c r="BJ393" s="61">
        <v>47.1</v>
      </c>
      <c r="BK393" s="61">
        <v>47.5</v>
      </c>
      <c r="BL393" s="61">
        <v>88.4</v>
      </c>
      <c r="BM393" s="61">
        <v>85.6</v>
      </c>
      <c r="BN393" s="61">
        <v>29.1</v>
      </c>
      <c r="BO393" s="61">
        <v>29.2</v>
      </c>
      <c r="BP393" s="61">
        <v>32.9</v>
      </c>
      <c r="BQ393" s="61">
        <v>34.1</v>
      </c>
      <c r="BR393" s="61">
        <v>271</v>
      </c>
      <c r="BS393" s="61">
        <v>374</v>
      </c>
      <c r="BT393" s="61">
        <v>12.1</v>
      </c>
      <c r="BU393" s="61">
        <v>12.5</v>
      </c>
      <c r="BV393" s="61" t="s">
        <v>94</v>
      </c>
      <c r="BW393" s="61" t="s">
        <v>94</v>
      </c>
      <c r="BX393" s="61">
        <v>10.33</v>
      </c>
      <c r="BY393" s="61">
        <v>15.73</v>
      </c>
      <c r="BZ393" s="61">
        <v>66.2</v>
      </c>
      <c r="CA393" s="61">
        <v>60.5</v>
      </c>
      <c r="CB393" s="61">
        <v>23.3</v>
      </c>
      <c r="CC393" s="61">
        <v>25.7</v>
      </c>
      <c r="CD393" s="61">
        <v>8.3000000000000007</v>
      </c>
      <c r="CE393" s="61">
        <v>13.2</v>
      </c>
      <c r="CF393" s="61">
        <v>1.2</v>
      </c>
      <c r="CG393" s="61">
        <v>0.2</v>
      </c>
      <c r="CH393" s="61">
        <v>0.5</v>
      </c>
      <c r="CI393" s="61">
        <v>0.4</v>
      </c>
      <c r="CJ393" s="86" t="b">
        <f t="shared" si="42"/>
        <v>1</v>
      </c>
      <c r="CK393" s="2" t="b">
        <f t="shared" si="43"/>
        <v>1</v>
      </c>
      <c r="CL393" s="98">
        <f t="shared" si="44"/>
        <v>63.201930000000004</v>
      </c>
      <c r="CM393" s="96">
        <v>75.900000000000006</v>
      </c>
      <c r="CN393" s="98">
        <v>179</v>
      </c>
      <c r="CO393" s="96" t="s">
        <v>121</v>
      </c>
      <c r="CP393" s="98">
        <v>52</v>
      </c>
      <c r="CQ393" s="98">
        <v>58</v>
      </c>
      <c r="CR393" s="61" t="s">
        <v>122</v>
      </c>
    </row>
    <row r="394" spans="1:96" ht="15.75" customHeight="1">
      <c r="A394" s="83">
        <v>2023</v>
      </c>
      <c r="B394" s="83" t="s">
        <v>187</v>
      </c>
      <c r="C394" s="61">
        <v>3264</v>
      </c>
      <c r="D394" s="52">
        <v>27</v>
      </c>
      <c r="E394" s="178">
        <v>87.7</v>
      </c>
      <c r="F394" s="301">
        <v>2</v>
      </c>
      <c r="G394" s="369" t="s">
        <v>89</v>
      </c>
      <c r="H394" s="369" t="s">
        <v>92</v>
      </c>
      <c r="I394" s="369" t="s">
        <v>93</v>
      </c>
      <c r="J394" s="369">
        <v>0</v>
      </c>
      <c r="K394" s="369">
        <v>75</v>
      </c>
      <c r="L394" s="369">
        <v>25</v>
      </c>
      <c r="M394" s="368">
        <v>179</v>
      </c>
      <c r="N394" s="61">
        <v>890</v>
      </c>
      <c r="O394" s="61" t="s">
        <v>94</v>
      </c>
      <c r="P394" s="61" t="s">
        <v>94</v>
      </c>
      <c r="Q394" s="61" t="s">
        <v>94</v>
      </c>
      <c r="R394" s="61" t="s">
        <v>94</v>
      </c>
      <c r="S394" s="61">
        <v>229</v>
      </c>
      <c r="T394" s="61">
        <v>216</v>
      </c>
      <c r="U394" s="61">
        <v>22</v>
      </c>
      <c r="V394" s="61">
        <v>38</v>
      </c>
      <c r="W394" s="61" t="s">
        <v>94</v>
      </c>
      <c r="X394" s="61" t="s">
        <v>94</v>
      </c>
      <c r="Y394" s="61" t="s">
        <v>94</v>
      </c>
      <c r="Z394" s="61" t="s">
        <v>94</v>
      </c>
      <c r="AA394" s="61" t="s">
        <v>94</v>
      </c>
      <c r="AB394" s="61" t="s">
        <v>94</v>
      </c>
      <c r="AC394" s="61" t="s">
        <v>94</v>
      </c>
      <c r="AD394" s="61" t="s">
        <v>94</v>
      </c>
      <c r="AE394" s="61" t="s">
        <v>94</v>
      </c>
      <c r="AF394" s="61" t="s">
        <v>94</v>
      </c>
      <c r="AG394" s="61">
        <v>35</v>
      </c>
      <c r="AH394" s="61">
        <v>35</v>
      </c>
      <c r="AI394" s="61">
        <v>0.8</v>
      </c>
      <c r="AJ394" s="61">
        <v>1</v>
      </c>
      <c r="AK394" s="269">
        <f t="shared" si="39"/>
        <v>0.19999999999999996</v>
      </c>
      <c r="AL394" s="61" t="s">
        <v>94</v>
      </c>
      <c r="AM394" s="61" t="s">
        <v>94</v>
      </c>
      <c r="AN394" s="61" t="s">
        <v>94</v>
      </c>
      <c r="AO394" s="61" t="s">
        <v>94</v>
      </c>
      <c r="AP394" s="61" t="s">
        <v>94</v>
      </c>
      <c r="AQ394" s="61" t="s">
        <v>94</v>
      </c>
      <c r="AR394" s="61" t="s">
        <v>94</v>
      </c>
      <c r="AS394" s="61" t="s">
        <v>94</v>
      </c>
      <c r="AT394" s="61">
        <v>4.2</v>
      </c>
      <c r="AU394" s="61">
        <v>3.9</v>
      </c>
      <c r="AV394" s="61">
        <v>107</v>
      </c>
      <c r="AW394" s="61">
        <v>91</v>
      </c>
      <c r="AX394" s="61">
        <v>141</v>
      </c>
      <c r="AY394" s="61">
        <v>135</v>
      </c>
      <c r="AZ394" s="61" t="s">
        <v>94</v>
      </c>
      <c r="BA394" s="61" t="s">
        <v>94</v>
      </c>
      <c r="BB394" s="61">
        <v>101</v>
      </c>
      <c r="BC394" s="61">
        <v>99</v>
      </c>
      <c r="BD394" s="96">
        <f t="shared" si="40"/>
        <v>296.74144444444443</v>
      </c>
      <c r="BE394" s="96">
        <f t="shared" si="41"/>
        <v>284.00122222222222</v>
      </c>
      <c r="BF394" s="61">
        <v>5.07</v>
      </c>
      <c r="BG394" s="61">
        <v>5.33</v>
      </c>
      <c r="BH394" s="61">
        <v>15</v>
      </c>
      <c r="BI394" s="61">
        <v>15.7</v>
      </c>
      <c r="BJ394" s="61">
        <v>42.9</v>
      </c>
      <c r="BK394" s="61">
        <v>44</v>
      </c>
      <c r="BL394" s="61">
        <v>84.6</v>
      </c>
      <c r="BM394" s="61">
        <v>82.6</v>
      </c>
      <c r="BN394" s="61">
        <v>29.6</v>
      </c>
      <c r="BO394" s="61">
        <v>29.5</v>
      </c>
      <c r="BP394" s="61">
        <v>35</v>
      </c>
      <c r="BQ394" s="61">
        <v>35.700000000000003</v>
      </c>
      <c r="BR394" s="61">
        <v>211</v>
      </c>
      <c r="BS394" s="61">
        <v>282</v>
      </c>
      <c r="BT394" s="61">
        <v>11.9</v>
      </c>
      <c r="BU394" s="61">
        <v>11.9</v>
      </c>
      <c r="BV394" s="61" t="s">
        <v>94</v>
      </c>
      <c r="BW394" s="61" t="s">
        <v>94</v>
      </c>
      <c r="BX394" s="61">
        <v>6.18</v>
      </c>
      <c r="BY394" s="61">
        <v>9.2200000000000006</v>
      </c>
      <c r="BZ394" s="61">
        <v>53.1</v>
      </c>
      <c r="CA394" s="61">
        <v>57</v>
      </c>
      <c r="CB394" s="61">
        <v>36.200000000000003</v>
      </c>
      <c r="CC394" s="61">
        <v>32.799999999999997</v>
      </c>
      <c r="CD394" s="61">
        <v>9.1</v>
      </c>
      <c r="CE394" s="61">
        <v>9.3000000000000007</v>
      </c>
      <c r="CF394" s="61">
        <v>1</v>
      </c>
      <c r="CG394" s="61">
        <v>0.4</v>
      </c>
      <c r="CH394" s="61">
        <v>0.6</v>
      </c>
      <c r="CI394" s="61">
        <v>0.5</v>
      </c>
      <c r="CJ394" s="86" t="b">
        <f t="shared" si="42"/>
        <v>0</v>
      </c>
      <c r="CK394" s="2" t="b">
        <f t="shared" si="43"/>
        <v>0</v>
      </c>
      <c r="CL394" s="98">
        <f t="shared" si="44"/>
        <v>76.304699999999997</v>
      </c>
      <c r="CM394" s="96">
        <v>88.5</v>
      </c>
      <c r="CN394" s="98">
        <v>176</v>
      </c>
      <c r="CO394" s="96" t="s">
        <v>123</v>
      </c>
      <c r="CP394" s="98">
        <v>80</v>
      </c>
      <c r="CQ394" s="98">
        <v>88</v>
      </c>
      <c r="CR394" s="61" t="s">
        <v>124</v>
      </c>
    </row>
    <row r="395" spans="1:96" ht="15.75" customHeight="1">
      <c r="A395" s="83">
        <v>2023</v>
      </c>
      <c r="B395" s="83" t="s">
        <v>187</v>
      </c>
      <c r="C395" s="61">
        <v>3268</v>
      </c>
      <c r="D395" s="52">
        <v>24</v>
      </c>
      <c r="E395" s="178">
        <v>75.900000000000006</v>
      </c>
      <c r="F395" s="301">
        <v>2</v>
      </c>
      <c r="G395" s="369" t="s">
        <v>86</v>
      </c>
      <c r="H395" s="369" t="s">
        <v>83</v>
      </c>
      <c r="I395" s="369" t="s">
        <v>84</v>
      </c>
      <c r="J395" s="369" t="s">
        <v>205</v>
      </c>
      <c r="K395" s="369">
        <v>50</v>
      </c>
      <c r="L395" s="369">
        <v>50</v>
      </c>
      <c r="M395" s="368">
        <v>295</v>
      </c>
      <c r="N395" s="61">
        <v>4761</v>
      </c>
      <c r="O395" s="61" t="s">
        <v>94</v>
      </c>
      <c r="P395" s="61" t="s">
        <v>94</v>
      </c>
      <c r="Q395" s="61" t="s">
        <v>94</v>
      </c>
      <c r="R395" s="61" t="s">
        <v>94</v>
      </c>
      <c r="S395" s="61">
        <v>202</v>
      </c>
      <c r="T395" s="61">
        <v>217</v>
      </c>
      <c r="U395" s="61">
        <v>30</v>
      </c>
      <c r="V395" s="61">
        <v>119</v>
      </c>
      <c r="W395" s="61" t="s">
        <v>94</v>
      </c>
      <c r="X395" s="61" t="s">
        <v>94</v>
      </c>
      <c r="Y395" s="61" t="s">
        <v>94</v>
      </c>
      <c r="Z395" s="61" t="s">
        <v>94</v>
      </c>
      <c r="AA395" s="61" t="s">
        <v>94</v>
      </c>
      <c r="AB395" s="61" t="s">
        <v>94</v>
      </c>
      <c r="AC395" s="61" t="s">
        <v>94</v>
      </c>
      <c r="AD395" s="61" t="s">
        <v>94</v>
      </c>
      <c r="AE395" s="61" t="s">
        <v>94</v>
      </c>
      <c r="AF395" s="61" t="s">
        <v>94</v>
      </c>
      <c r="AG395" s="61">
        <v>34</v>
      </c>
      <c r="AH395" s="61">
        <v>48</v>
      </c>
      <c r="AI395" s="61">
        <v>0.7</v>
      </c>
      <c r="AJ395" s="61">
        <v>1.2</v>
      </c>
      <c r="AK395" s="269">
        <f t="shared" si="39"/>
        <v>0.5</v>
      </c>
      <c r="AL395" s="61" t="s">
        <v>94</v>
      </c>
      <c r="AM395" s="61" t="s">
        <v>94</v>
      </c>
      <c r="AN395" s="61" t="s">
        <v>94</v>
      </c>
      <c r="AO395" s="61" t="s">
        <v>94</v>
      </c>
      <c r="AP395" s="61" t="s">
        <v>94</v>
      </c>
      <c r="AQ395" s="61" t="s">
        <v>94</v>
      </c>
      <c r="AR395" s="61" t="s">
        <v>94</v>
      </c>
      <c r="AS395" s="61" t="s">
        <v>94</v>
      </c>
      <c r="AT395" s="61">
        <v>4.7</v>
      </c>
      <c r="AU395" s="61">
        <v>3.9</v>
      </c>
      <c r="AV395" s="61">
        <v>95</v>
      </c>
      <c r="AW395" s="61">
        <v>108</v>
      </c>
      <c r="AX395" s="61">
        <v>141</v>
      </c>
      <c r="AY395" s="61">
        <v>150</v>
      </c>
      <c r="AZ395" s="61" t="s">
        <v>94</v>
      </c>
      <c r="BA395" s="61" t="s">
        <v>94</v>
      </c>
      <c r="BB395" s="61">
        <v>101</v>
      </c>
      <c r="BC395" s="61">
        <v>107</v>
      </c>
      <c r="BD395" s="96">
        <f t="shared" si="40"/>
        <v>296.73811111111115</v>
      </c>
      <c r="BE395" s="96">
        <f t="shared" si="41"/>
        <v>315.154</v>
      </c>
      <c r="BF395" s="61">
        <v>4.99</v>
      </c>
      <c r="BG395" s="61">
        <v>4.8899999999999997</v>
      </c>
      <c r="BH395" s="61">
        <v>15.1</v>
      </c>
      <c r="BI395" s="61">
        <v>14.9</v>
      </c>
      <c r="BJ395" s="61">
        <v>44.9</v>
      </c>
      <c r="BK395" s="61">
        <v>43.1</v>
      </c>
      <c r="BL395" s="61">
        <v>90</v>
      </c>
      <c r="BM395" s="61">
        <v>88.1</v>
      </c>
      <c r="BN395" s="61">
        <v>30.3</v>
      </c>
      <c r="BO395" s="61">
        <v>30.5</v>
      </c>
      <c r="BP395" s="61">
        <v>33.6</v>
      </c>
      <c r="BQ395" s="61">
        <v>34.6</v>
      </c>
      <c r="BR395" s="61">
        <v>236</v>
      </c>
      <c r="BS395" s="61">
        <v>268</v>
      </c>
      <c r="BT395" s="61">
        <v>12.5</v>
      </c>
      <c r="BU395" s="61">
        <v>12.7</v>
      </c>
      <c r="BV395" s="61" t="s">
        <v>94</v>
      </c>
      <c r="BW395" s="61" t="s">
        <v>94</v>
      </c>
      <c r="BX395" s="61">
        <v>6.86</v>
      </c>
      <c r="BY395" s="61">
        <v>11.51</v>
      </c>
      <c r="BZ395" s="61">
        <v>51.4</v>
      </c>
      <c r="CA395" s="61">
        <v>50.8</v>
      </c>
      <c r="CB395" s="61">
        <v>29.9</v>
      </c>
      <c r="CC395" s="61">
        <v>36.799999999999997</v>
      </c>
      <c r="CD395" s="61">
        <v>12</v>
      </c>
      <c r="CE395" s="61">
        <v>11.6</v>
      </c>
      <c r="CF395" s="61">
        <v>5.7</v>
      </c>
      <c r="CG395" s="61">
        <v>0.3</v>
      </c>
      <c r="CH395" s="61">
        <v>1</v>
      </c>
      <c r="CI395" s="61">
        <v>0.5</v>
      </c>
      <c r="CJ395" s="86" t="b">
        <f t="shared" si="42"/>
        <v>1</v>
      </c>
      <c r="CK395" s="2" t="b">
        <f t="shared" si="43"/>
        <v>1</v>
      </c>
      <c r="CL395" s="98">
        <f t="shared" si="44"/>
        <v>69.677400000000006</v>
      </c>
      <c r="CM395" s="96">
        <v>78</v>
      </c>
      <c r="CN395" s="98">
        <v>178</v>
      </c>
      <c r="CO395" s="96" t="s">
        <v>127</v>
      </c>
      <c r="CP395" s="98">
        <v>56</v>
      </c>
      <c r="CQ395" s="98">
        <v>56</v>
      </c>
      <c r="CR395" s="61" t="s">
        <v>128</v>
      </c>
    </row>
    <row r="396" spans="1:96" ht="15.75" customHeight="1">
      <c r="A396" s="83">
        <v>2023</v>
      </c>
      <c r="B396" s="83" t="s">
        <v>187</v>
      </c>
      <c r="C396" s="61">
        <v>3274</v>
      </c>
      <c r="D396" s="52">
        <v>34</v>
      </c>
      <c r="E396" s="178">
        <v>74</v>
      </c>
      <c r="F396" s="301">
        <v>1</v>
      </c>
      <c r="G396" s="369" t="s">
        <v>89</v>
      </c>
      <c r="H396" s="369" t="s">
        <v>83</v>
      </c>
      <c r="I396" s="369" t="s">
        <v>84</v>
      </c>
      <c r="J396" s="369">
        <v>0</v>
      </c>
      <c r="K396" s="369">
        <v>50</v>
      </c>
      <c r="L396" s="369">
        <v>50</v>
      </c>
      <c r="M396" s="368">
        <v>125</v>
      </c>
      <c r="N396" s="61">
        <v>1313</v>
      </c>
      <c r="O396" s="61" t="s">
        <v>94</v>
      </c>
      <c r="P396" s="61" t="s">
        <v>94</v>
      </c>
      <c r="Q396" s="61" t="s">
        <v>94</v>
      </c>
      <c r="R396" s="61" t="s">
        <v>94</v>
      </c>
      <c r="S396" s="61">
        <v>190</v>
      </c>
      <c r="T396" s="61">
        <v>138</v>
      </c>
      <c r="U396" s="61">
        <v>26</v>
      </c>
      <c r="V396" s="61">
        <v>74</v>
      </c>
      <c r="W396" s="61" t="s">
        <v>94</v>
      </c>
      <c r="X396" s="61" t="s">
        <v>94</v>
      </c>
      <c r="Y396" s="61" t="s">
        <v>94</v>
      </c>
      <c r="Z396" s="61" t="s">
        <v>94</v>
      </c>
      <c r="AA396" s="61" t="s">
        <v>94</v>
      </c>
      <c r="AB396" s="61" t="s">
        <v>94</v>
      </c>
      <c r="AC396" s="61" t="s">
        <v>94</v>
      </c>
      <c r="AD396" s="61" t="s">
        <v>94</v>
      </c>
      <c r="AE396" s="61" t="s">
        <v>94</v>
      </c>
      <c r="AF396" s="61" t="s">
        <v>94</v>
      </c>
      <c r="AG396" s="61">
        <v>40</v>
      </c>
      <c r="AH396" s="61">
        <v>37</v>
      </c>
      <c r="AI396" s="61">
        <v>0.9</v>
      </c>
      <c r="AJ396" s="61">
        <v>1.2</v>
      </c>
      <c r="AK396" s="269">
        <f t="shared" si="39"/>
        <v>0.29999999999999993</v>
      </c>
      <c r="AL396" s="61" t="s">
        <v>94</v>
      </c>
      <c r="AM396" s="61" t="s">
        <v>94</v>
      </c>
      <c r="AN396" s="61" t="s">
        <v>94</v>
      </c>
      <c r="AO396" s="61" t="s">
        <v>94</v>
      </c>
      <c r="AP396" s="61" t="s">
        <v>94</v>
      </c>
      <c r="AQ396" s="61" t="s">
        <v>94</v>
      </c>
      <c r="AR396" s="61" t="s">
        <v>94</v>
      </c>
      <c r="AS396" s="61" t="s">
        <v>94</v>
      </c>
      <c r="AT396" s="61">
        <v>4.0999999999999996</v>
      </c>
      <c r="AU396" s="61">
        <v>4.0999999999999996</v>
      </c>
      <c r="AV396" s="61">
        <v>82</v>
      </c>
      <c r="AW396" s="61">
        <v>86</v>
      </c>
      <c r="AX396" s="61">
        <v>142</v>
      </c>
      <c r="AY396" s="61">
        <v>139</v>
      </c>
      <c r="AZ396" s="61" t="s">
        <v>94</v>
      </c>
      <c r="BA396" s="61" t="s">
        <v>94</v>
      </c>
      <c r="BB396" s="61">
        <v>104</v>
      </c>
      <c r="BC396" s="61">
        <v>102</v>
      </c>
      <c r="BD396" s="96">
        <f t="shared" si="40"/>
        <v>297.65155555555555</v>
      </c>
      <c r="BE396" s="96">
        <f t="shared" si="41"/>
        <v>291.82711111111115</v>
      </c>
      <c r="BF396" s="61">
        <v>5.67</v>
      </c>
      <c r="BG396" s="61">
        <v>6.05</v>
      </c>
      <c r="BH396" s="61">
        <v>12.7</v>
      </c>
      <c r="BI396" s="61">
        <v>13.4</v>
      </c>
      <c r="BJ396" s="61">
        <v>40.700000000000003</v>
      </c>
      <c r="BK396" s="61">
        <v>42.5</v>
      </c>
      <c r="BL396" s="61">
        <v>71.8</v>
      </c>
      <c r="BM396" s="61">
        <v>70.2</v>
      </c>
      <c r="BN396" s="61">
        <v>22.4</v>
      </c>
      <c r="BO396" s="61">
        <v>22.1</v>
      </c>
      <c r="BP396" s="61">
        <v>31.2</v>
      </c>
      <c r="BQ396" s="61">
        <v>31.5</v>
      </c>
      <c r="BR396" s="61">
        <v>271</v>
      </c>
      <c r="BS396" s="61">
        <v>297</v>
      </c>
      <c r="BT396" s="61">
        <v>13.5</v>
      </c>
      <c r="BU396" s="61">
        <v>13.7</v>
      </c>
      <c r="BV396" s="61" t="s">
        <v>94</v>
      </c>
      <c r="BW396" s="61" t="s">
        <v>94</v>
      </c>
      <c r="BX396" s="61">
        <v>11.6</v>
      </c>
      <c r="BY396" s="61">
        <v>18.66</v>
      </c>
      <c r="BZ396" s="61">
        <v>61.4</v>
      </c>
      <c r="CA396" s="61">
        <v>68.900000000000006</v>
      </c>
      <c r="CB396" s="61">
        <v>25.9</v>
      </c>
      <c r="CC396" s="61">
        <v>21.2</v>
      </c>
      <c r="CD396" s="61">
        <v>8.9</v>
      </c>
      <c r="CE396" s="61">
        <v>8.4</v>
      </c>
      <c r="CF396" s="61">
        <v>3.2</v>
      </c>
      <c r="CG396" s="61">
        <v>0.9</v>
      </c>
      <c r="CH396" s="61">
        <v>0.6</v>
      </c>
      <c r="CI396" s="61">
        <v>0.6</v>
      </c>
      <c r="CJ396" s="86" t="b">
        <f t="shared" si="42"/>
        <v>1</v>
      </c>
      <c r="CK396" s="2" t="b">
        <f t="shared" si="43"/>
        <v>1</v>
      </c>
      <c r="CL396" s="98">
        <f t="shared" si="44"/>
        <v>65.063019999999995</v>
      </c>
      <c r="CM396" s="96">
        <v>81.400000000000006</v>
      </c>
      <c r="CN396" s="98">
        <v>178.5</v>
      </c>
      <c r="CO396" s="96" t="s">
        <v>129</v>
      </c>
      <c r="CP396" s="98">
        <v>52</v>
      </c>
      <c r="CQ396" s="98">
        <v>52</v>
      </c>
      <c r="CR396" s="61" t="s">
        <v>130</v>
      </c>
    </row>
    <row r="397" spans="1:96" ht="15.75" customHeight="1">
      <c r="A397" s="83">
        <v>2023</v>
      </c>
      <c r="B397" s="83" t="s">
        <v>187</v>
      </c>
      <c r="C397" s="61">
        <v>3277</v>
      </c>
      <c r="D397" s="52">
        <v>32</v>
      </c>
      <c r="E397" s="178">
        <v>74.7</v>
      </c>
      <c r="F397" s="301">
        <v>2</v>
      </c>
      <c r="G397" s="369" t="s">
        <v>86</v>
      </c>
      <c r="H397" s="369" t="s">
        <v>83</v>
      </c>
      <c r="I397" s="369" t="s">
        <v>87</v>
      </c>
      <c r="J397" s="369" t="s">
        <v>206</v>
      </c>
      <c r="K397" s="369">
        <v>62.5</v>
      </c>
      <c r="L397" s="369">
        <v>37.5</v>
      </c>
      <c r="M397" s="368">
        <v>108</v>
      </c>
      <c r="N397" s="61">
        <v>1114</v>
      </c>
      <c r="O397" s="61" t="s">
        <v>94</v>
      </c>
      <c r="P397" s="61" t="s">
        <v>94</v>
      </c>
      <c r="Q397" s="61" t="s">
        <v>94</v>
      </c>
      <c r="R397" s="61" t="s">
        <v>94</v>
      </c>
      <c r="S397" s="61">
        <v>162</v>
      </c>
      <c r="T397" s="61">
        <v>93</v>
      </c>
      <c r="U397" s="61">
        <v>26</v>
      </c>
      <c r="V397" s="61">
        <v>50</v>
      </c>
      <c r="W397" s="61" t="s">
        <v>94</v>
      </c>
      <c r="X397" s="61" t="s">
        <v>94</v>
      </c>
      <c r="Y397" s="61" t="s">
        <v>94</v>
      </c>
      <c r="Z397" s="61" t="s">
        <v>94</v>
      </c>
      <c r="AA397" s="61" t="s">
        <v>94</v>
      </c>
      <c r="AB397" s="61" t="s">
        <v>94</v>
      </c>
      <c r="AC397" s="61" t="s">
        <v>94</v>
      </c>
      <c r="AD397" s="61" t="s">
        <v>94</v>
      </c>
      <c r="AE397" s="61" t="s">
        <v>94</v>
      </c>
      <c r="AF397" s="61" t="s">
        <v>94</v>
      </c>
      <c r="AG397" s="61">
        <v>44</v>
      </c>
      <c r="AH397" s="61">
        <v>44</v>
      </c>
      <c r="AI397" s="61">
        <v>0.9</v>
      </c>
      <c r="AJ397" s="61">
        <v>1.1000000000000001</v>
      </c>
      <c r="AK397" s="269">
        <f t="shared" si="39"/>
        <v>0.20000000000000007</v>
      </c>
      <c r="AL397" s="61" t="s">
        <v>94</v>
      </c>
      <c r="AM397" s="61" t="s">
        <v>94</v>
      </c>
      <c r="AN397" s="61" t="s">
        <v>94</v>
      </c>
      <c r="AO397" s="61" t="s">
        <v>94</v>
      </c>
      <c r="AP397" s="61" t="s">
        <v>94</v>
      </c>
      <c r="AQ397" s="61" t="s">
        <v>94</v>
      </c>
      <c r="AR397" s="61" t="s">
        <v>94</v>
      </c>
      <c r="AS397" s="61" t="s">
        <v>94</v>
      </c>
      <c r="AT397" s="61">
        <v>4.2</v>
      </c>
      <c r="AU397" s="61">
        <v>4.0999999999999996</v>
      </c>
      <c r="AV397" s="61">
        <v>74</v>
      </c>
      <c r="AW397" s="61">
        <v>82</v>
      </c>
      <c r="AX397" s="61">
        <v>141</v>
      </c>
      <c r="AY397" s="61">
        <v>138</v>
      </c>
      <c r="AZ397" s="61" t="s">
        <v>94</v>
      </c>
      <c r="BA397" s="61" t="s">
        <v>94</v>
      </c>
      <c r="BB397" s="61">
        <v>103</v>
      </c>
      <c r="BC397" s="61">
        <v>103</v>
      </c>
      <c r="BD397" s="96">
        <f t="shared" si="40"/>
        <v>296.13311111111108</v>
      </c>
      <c r="BE397" s="96">
        <f t="shared" si="41"/>
        <v>290.87822222222218</v>
      </c>
      <c r="BF397" s="61">
        <v>5.34</v>
      </c>
      <c r="BG397" s="61">
        <v>5.17</v>
      </c>
      <c r="BH397" s="61">
        <v>14.6</v>
      </c>
      <c r="BI397" s="61">
        <v>14.2</v>
      </c>
      <c r="BJ397" s="61">
        <v>44.3</v>
      </c>
      <c r="BK397" s="61">
        <v>42.8</v>
      </c>
      <c r="BL397" s="61">
        <v>83</v>
      </c>
      <c r="BM397" s="61">
        <v>82.8</v>
      </c>
      <c r="BN397" s="61">
        <v>27.3</v>
      </c>
      <c r="BO397" s="61">
        <v>27.5</v>
      </c>
      <c r="BP397" s="61">
        <v>33</v>
      </c>
      <c r="BQ397" s="61">
        <v>33.200000000000003</v>
      </c>
      <c r="BR397" s="61">
        <v>234</v>
      </c>
      <c r="BS397" s="61">
        <v>214</v>
      </c>
      <c r="BT397" s="61">
        <v>13.9</v>
      </c>
      <c r="BU397" s="61">
        <v>14.3</v>
      </c>
      <c r="BV397" s="61" t="s">
        <v>94</v>
      </c>
      <c r="BW397" s="61" t="s">
        <v>94</v>
      </c>
      <c r="BX397" s="61">
        <v>5.55</v>
      </c>
      <c r="BY397" s="61">
        <v>11.18</v>
      </c>
      <c r="BZ397" s="61">
        <v>54.3</v>
      </c>
      <c r="CA397" s="61">
        <v>63.6</v>
      </c>
      <c r="CB397" s="61">
        <v>29.7</v>
      </c>
      <c r="CC397" s="61">
        <v>25.8</v>
      </c>
      <c r="CD397" s="61">
        <v>14.2</v>
      </c>
      <c r="CE397" s="61">
        <v>10.1</v>
      </c>
      <c r="CF397" s="61">
        <v>1.3</v>
      </c>
      <c r="CG397" s="61">
        <v>0.2</v>
      </c>
      <c r="CH397" s="61">
        <v>0.5</v>
      </c>
      <c r="CI397" s="61">
        <v>0.3</v>
      </c>
      <c r="CJ397" s="86" t="b">
        <f t="shared" si="42"/>
        <v>0</v>
      </c>
      <c r="CK397" s="2" t="b">
        <f t="shared" si="43"/>
        <v>1</v>
      </c>
      <c r="CL397" s="98">
        <f t="shared" si="44"/>
        <v>67.988160000000008</v>
      </c>
      <c r="CM397" s="96">
        <v>77.400000000000006</v>
      </c>
      <c r="CN397" s="98">
        <v>172</v>
      </c>
      <c r="CO397" s="96" t="s">
        <v>131</v>
      </c>
      <c r="CP397" s="98">
        <v>52</v>
      </c>
      <c r="CQ397" s="98">
        <v>56</v>
      </c>
      <c r="CR397" s="61" t="s">
        <v>132</v>
      </c>
    </row>
    <row r="398" spans="1:96" ht="15.75" customHeight="1">
      <c r="A398" s="83">
        <v>2023</v>
      </c>
      <c r="B398" s="83" t="s">
        <v>187</v>
      </c>
      <c r="C398" s="61">
        <v>3282</v>
      </c>
      <c r="D398" s="52">
        <v>34</v>
      </c>
      <c r="E398" s="178">
        <v>76.5</v>
      </c>
      <c r="F398" s="301">
        <v>2</v>
      </c>
      <c r="G398" s="369" t="s">
        <v>89</v>
      </c>
      <c r="H398" s="369" t="s">
        <v>92</v>
      </c>
      <c r="I398" s="369" t="s">
        <v>84</v>
      </c>
      <c r="J398" s="369" t="s">
        <v>206</v>
      </c>
      <c r="K398" s="369">
        <v>75</v>
      </c>
      <c r="L398" s="369">
        <v>25</v>
      </c>
      <c r="M398" s="368">
        <v>90</v>
      </c>
      <c r="N398" s="61">
        <v>1386</v>
      </c>
      <c r="O398" s="61" t="s">
        <v>94</v>
      </c>
      <c r="P398" s="61" t="s">
        <v>94</v>
      </c>
      <c r="Q398" s="61" t="s">
        <v>94</v>
      </c>
      <c r="R398" s="61" t="s">
        <v>94</v>
      </c>
      <c r="S398" s="61">
        <v>181</v>
      </c>
      <c r="T398" s="61">
        <v>133</v>
      </c>
      <c r="U398" s="61">
        <v>21</v>
      </c>
      <c r="V398" s="61">
        <v>58</v>
      </c>
      <c r="W398" s="61" t="s">
        <v>94</v>
      </c>
      <c r="X398" s="61" t="s">
        <v>94</v>
      </c>
      <c r="Y398" s="61" t="s">
        <v>94</v>
      </c>
      <c r="Z398" s="61" t="s">
        <v>94</v>
      </c>
      <c r="AA398" s="61" t="s">
        <v>94</v>
      </c>
      <c r="AB398" s="61" t="s">
        <v>94</v>
      </c>
      <c r="AC398" s="61" t="s">
        <v>94</v>
      </c>
      <c r="AD398" s="61" t="s">
        <v>94</v>
      </c>
      <c r="AE398" s="61" t="s">
        <v>94</v>
      </c>
      <c r="AF398" s="61" t="s">
        <v>94</v>
      </c>
      <c r="AG398" s="61">
        <v>27</v>
      </c>
      <c r="AH398" s="61">
        <v>36</v>
      </c>
      <c r="AI398" s="61">
        <v>0.8</v>
      </c>
      <c r="AJ398" s="61">
        <v>1.3</v>
      </c>
      <c r="AK398" s="269">
        <f t="shared" si="39"/>
        <v>0.5</v>
      </c>
      <c r="AL398" s="61" t="s">
        <v>94</v>
      </c>
      <c r="AM398" s="61" t="s">
        <v>94</v>
      </c>
      <c r="AN398" s="61" t="s">
        <v>94</v>
      </c>
      <c r="AO398" s="61" t="s">
        <v>94</v>
      </c>
      <c r="AP398" s="61" t="s">
        <v>94</v>
      </c>
      <c r="AQ398" s="61" t="s">
        <v>94</v>
      </c>
      <c r="AR398" s="61" t="s">
        <v>94</v>
      </c>
      <c r="AS398" s="61" t="s">
        <v>94</v>
      </c>
      <c r="AT398" s="61">
        <v>4.3</v>
      </c>
      <c r="AU398" s="61">
        <v>3.9</v>
      </c>
      <c r="AV398" s="61">
        <v>84</v>
      </c>
      <c r="AW398" s="61">
        <v>108</v>
      </c>
      <c r="AX398" s="61">
        <v>137</v>
      </c>
      <c r="AY398" s="61">
        <v>142</v>
      </c>
      <c r="AZ398" s="61" t="s">
        <v>94</v>
      </c>
      <c r="BA398" s="61" t="s">
        <v>94</v>
      </c>
      <c r="BB398" s="61">
        <v>100</v>
      </c>
      <c r="BC398" s="61">
        <v>104</v>
      </c>
      <c r="BD398" s="96">
        <f t="shared" si="40"/>
        <v>286.68466666666671</v>
      </c>
      <c r="BE398" s="96">
        <f t="shared" si="41"/>
        <v>298.274</v>
      </c>
      <c r="BF398" s="61">
        <v>5.63</v>
      </c>
      <c r="BG398" s="61">
        <v>5.59</v>
      </c>
      <c r="BH398" s="61">
        <v>15</v>
      </c>
      <c r="BI398" s="61">
        <v>14.9</v>
      </c>
      <c r="BJ398" s="61">
        <v>46.4</v>
      </c>
      <c r="BK398" s="61">
        <v>45.3</v>
      </c>
      <c r="BL398" s="61">
        <v>82.4</v>
      </c>
      <c r="BM398" s="61">
        <v>81</v>
      </c>
      <c r="BN398" s="61">
        <v>26.6</v>
      </c>
      <c r="BO398" s="61">
        <v>26.7</v>
      </c>
      <c r="BP398" s="61">
        <v>32.299999999999997</v>
      </c>
      <c r="BQ398" s="61">
        <v>32.9</v>
      </c>
      <c r="BR398" s="61">
        <v>246</v>
      </c>
      <c r="BS398" s="61">
        <v>245</v>
      </c>
      <c r="BT398" s="61">
        <v>14.4</v>
      </c>
      <c r="BU398" s="61">
        <v>14.8</v>
      </c>
      <c r="BV398" s="61" t="s">
        <v>94</v>
      </c>
      <c r="BW398" s="61" t="s">
        <v>94</v>
      </c>
      <c r="BX398" s="61">
        <v>10.119999999999999</v>
      </c>
      <c r="BY398" s="61">
        <v>16.920000000000002</v>
      </c>
      <c r="BZ398" s="61">
        <v>61.1</v>
      </c>
      <c r="CA398" s="61">
        <v>70.2</v>
      </c>
      <c r="CB398" s="61">
        <v>25.2</v>
      </c>
      <c r="CC398" s="61">
        <v>18.899999999999999</v>
      </c>
      <c r="CD398" s="61">
        <v>12.6</v>
      </c>
      <c r="CE398" s="61">
        <v>10</v>
      </c>
      <c r="CF398" s="61">
        <v>0.6</v>
      </c>
      <c r="CG398" s="61">
        <v>0.8</v>
      </c>
      <c r="CH398" s="61">
        <v>0.5</v>
      </c>
      <c r="CI398" s="61">
        <v>0.1</v>
      </c>
      <c r="CJ398" s="86" t="b">
        <f t="shared" si="42"/>
        <v>1</v>
      </c>
      <c r="CK398" s="2" t="b">
        <f t="shared" si="43"/>
        <v>1</v>
      </c>
      <c r="CL398" s="98">
        <f t="shared" si="44"/>
        <v>64.173225000000002</v>
      </c>
      <c r="CM398" s="96">
        <v>84.25</v>
      </c>
      <c r="CN398" s="98">
        <v>177</v>
      </c>
      <c r="CO398" s="96" t="s">
        <v>135</v>
      </c>
      <c r="CP398" s="98" t="s">
        <v>94</v>
      </c>
      <c r="CQ398" s="98" t="s">
        <v>94</v>
      </c>
      <c r="CR398" s="61" t="s">
        <v>136</v>
      </c>
    </row>
    <row r="399" spans="1:96" ht="15.75" customHeight="1">
      <c r="A399" s="83">
        <v>2023</v>
      </c>
      <c r="B399" s="83" t="s">
        <v>187</v>
      </c>
      <c r="C399" s="61">
        <v>3283</v>
      </c>
      <c r="D399" s="52">
        <v>33</v>
      </c>
      <c r="E399" s="178">
        <v>68.099999999999994</v>
      </c>
      <c r="F399" s="301">
        <v>2</v>
      </c>
      <c r="G399" s="369" t="s">
        <v>86</v>
      </c>
      <c r="H399" s="369" t="s">
        <v>92</v>
      </c>
      <c r="I399" s="369" t="s">
        <v>84</v>
      </c>
      <c r="J399" s="369">
        <v>0</v>
      </c>
      <c r="K399" s="369">
        <v>75</v>
      </c>
      <c r="L399" s="369">
        <v>25</v>
      </c>
      <c r="M399" s="368">
        <v>212</v>
      </c>
      <c r="N399" s="61">
        <v>2903</v>
      </c>
      <c r="O399" s="61" t="s">
        <v>94</v>
      </c>
      <c r="P399" s="61" t="s">
        <v>94</v>
      </c>
      <c r="Q399" s="61" t="s">
        <v>94</v>
      </c>
      <c r="R399" s="61" t="s">
        <v>94</v>
      </c>
      <c r="S399" s="61">
        <v>164</v>
      </c>
      <c r="T399" s="61">
        <v>146</v>
      </c>
      <c r="U399" s="61">
        <v>27</v>
      </c>
      <c r="V399" s="61">
        <v>86</v>
      </c>
      <c r="W399" s="61" t="s">
        <v>94</v>
      </c>
      <c r="X399" s="61" t="s">
        <v>94</v>
      </c>
      <c r="Y399" s="61" t="s">
        <v>94</v>
      </c>
      <c r="Z399" s="61" t="s">
        <v>94</v>
      </c>
      <c r="AA399" s="61" t="s">
        <v>94</v>
      </c>
      <c r="AB399" s="61" t="s">
        <v>94</v>
      </c>
      <c r="AC399" s="61" t="s">
        <v>94</v>
      </c>
      <c r="AD399" s="61" t="s">
        <v>94</v>
      </c>
      <c r="AE399" s="61" t="s">
        <v>94</v>
      </c>
      <c r="AF399" s="61" t="s">
        <v>94</v>
      </c>
      <c r="AG399" s="61">
        <v>28</v>
      </c>
      <c r="AH399" s="61">
        <v>54</v>
      </c>
      <c r="AI399" s="61">
        <v>0.9</v>
      </c>
      <c r="AJ399" s="61">
        <v>1.6</v>
      </c>
      <c r="AK399" s="269">
        <f t="shared" si="39"/>
        <v>0.70000000000000007</v>
      </c>
      <c r="AL399" s="61" t="s">
        <v>94</v>
      </c>
      <c r="AM399" s="61" t="s">
        <v>94</v>
      </c>
      <c r="AN399" s="61" t="s">
        <v>94</v>
      </c>
      <c r="AO399" s="61" t="s">
        <v>94</v>
      </c>
      <c r="AP399" s="61" t="s">
        <v>94</v>
      </c>
      <c r="AQ399" s="61" t="s">
        <v>94</v>
      </c>
      <c r="AR399" s="61" t="s">
        <v>94</v>
      </c>
      <c r="AS399" s="61" t="s">
        <v>94</v>
      </c>
      <c r="AT399" s="61">
        <v>4.5</v>
      </c>
      <c r="AU399" s="61">
        <v>4.5999999999999996</v>
      </c>
      <c r="AV399" s="61">
        <v>100</v>
      </c>
      <c r="AW399" s="61">
        <v>121</v>
      </c>
      <c r="AX399" s="61">
        <v>141</v>
      </c>
      <c r="AY399" s="61">
        <v>134</v>
      </c>
      <c r="AZ399" s="61" t="s">
        <v>94</v>
      </c>
      <c r="BA399" s="61" t="s">
        <v>94</v>
      </c>
      <c r="BB399" s="61">
        <v>101</v>
      </c>
      <c r="BC399" s="61">
        <v>93</v>
      </c>
      <c r="BD399" s="96">
        <f t="shared" si="40"/>
        <v>295.6855555555556</v>
      </c>
      <c r="BE399" s="96">
        <f t="shared" si="41"/>
        <v>288.52655555555555</v>
      </c>
      <c r="BF399" s="61">
        <v>4.59</v>
      </c>
      <c r="BG399" s="61">
        <v>4.99</v>
      </c>
      <c r="BH399" s="61">
        <v>14.4</v>
      </c>
      <c r="BI399" s="61">
        <v>15.5</v>
      </c>
      <c r="BJ399" s="61">
        <v>43.2</v>
      </c>
      <c r="BK399" s="61">
        <v>45.5</v>
      </c>
      <c r="BL399" s="61">
        <v>94.1</v>
      </c>
      <c r="BM399" s="61">
        <v>91.2</v>
      </c>
      <c r="BN399" s="61">
        <v>31.4</v>
      </c>
      <c r="BO399" s="61">
        <v>31.1</v>
      </c>
      <c r="BP399" s="61">
        <v>33.299999999999997</v>
      </c>
      <c r="BQ399" s="61">
        <v>34.1</v>
      </c>
      <c r="BR399" s="61">
        <v>159</v>
      </c>
      <c r="BS399" s="61">
        <v>160</v>
      </c>
      <c r="BT399" s="61">
        <v>12.2</v>
      </c>
      <c r="BU399" s="61">
        <v>12.3</v>
      </c>
      <c r="BV399" s="61" t="s">
        <v>94</v>
      </c>
      <c r="BW399" s="61" t="s">
        <v>94</v>
      </c>
      <c r="BX399" s="61">
        <v>4.37</v>
      </c>
      <c r="BY399" s="61">
        <v>11.38</v>
      </c>
      <c r="BZ399" s="61">
        <v>49.9</v>
      </c>
      <c r="CA399" s="61">
        <v>74.099999999999994</v>
      </c>
      <c r="CB399" s="61">
        <v>35.9</v>
      </c>
      <c r="CC399" s="61">
        <v>16.899999999999999</v>
      </c>
      <c r="CD399" s="61">
        <v>9.4</v>
      </c>
      <c r="CE399" s="61">
        <v>8.6</v>
      </c>
      <c r="CF399" s="61">
        <v>3.9</v>
      </c>
      <c r="CG399" s="61">
        <v>0.1</v>
      </c>
      <c r="CH399" s="61">
        <v>0.9</v>
      </c>
      <c r="CI399" s="61">
        <v>0.3</v>
      </c>
      <c r="CJ399" s="86" t="b">
        <f t="shared" si="42"/>
        <v>1</v>
      </c>
      <c r="CK399" s="2" t="b">
        <f t="shared" si="43"/>
        <v>1</v>
      </c>
      <c r="CL399" s="98">
        <f t="shared" si="44"/>
        <v>62.813019999999995</v>
      </c>
      <c r="CM399" s="96">
        <v>69.8</v>
      </c>
      <c r="CN399" s="98">
        <v>175</v>
      </c>
      <c r="CO399" s="96" t="s">
        <v>137</v>
      </c>
      <c r="CP399" s="98">
        <v>70</v>
      </c>
      <c r="CQ399" s="98">
        <v>61</v>
      </c>
      <c r="CR399" s="61" t="s">
        <v>138</v>
      </c>
    </row>
    <row r="400" spans="1:96" ht="15.75" customHeight="1">
      <c r="A400" s="83">
        <v>2023</v>
      </c>
      <c r="B400" s="83" t="s">
        <v>187</v>
      </c>
      <c r="C400" s="61">
        <v>3289</v>
      </c>
      <c r="D400" s="52">
        <v>34</v>
      </c>
      <c r="E400" s="178">
        <v>78.099999999999994</v>
      </c>
      <c r="F400" s="301">
        <v>2</v>
      </c>
      <c r="G400" s="369" t="s">
        <v>86</v>
      </c>
      <c r="H400" s="369" t="s">
        <v>92</v>
      </c>
      <c r="I400" s="369" t="s">
        <v>93</v>
      </c>
      <c r="J400" s="369" t="s">
        <v>205</v>
      </c>
      <c r="K400" s="369">
        <v>75</v>
      </c>
      <c r="L400" s="369">
        <v>25</v>
      </c>
      <c r="M400" s="368">
        <v>116</v>
      </c>
      <c r="N400" s="61">
        <v>353</v>
      </c>
      <c r="O400" s="61" t="s">
        <v>94</v>
      </c>
      <c r="P400" s="61" t="s">
        <v>94</v>
      </c>
      <c r="Q400" s="61" t="s">
        <v>94</v>
      </c>
      <c r="R400" s="61" t="s">
        <v>94</v>
      </c>
      <c r="S400" s="61">
        <v>194</v>
      </c>
      <c r="T400" s="61">
        <v>117</v>
      </c>
      <c r="U400" s="61">
        <v>23</v>
      </c>
      <c r="V400" s="61">
        <v>26</v>
      </c>
      <c r="W400" s="61" t="s">
        <v>94</v>
      </c>
      <c r="X400" s="61" t="s">
        <v>94</v>
      </c>
      <c r="Y400" s="61" t="s">
        <v>94</v>
      </c>
      <c r="Z400" s="61" t="s">
        <v>94</v>
      </c>
      <c r="AA400" s="61" t="s">
        <v>94</v>
      </c>
      <c r="AB400" s="61" t="s">
        <v>94</v>
      </c>
      <c r="AC400" s="61" t="s">
        <v>94</v>
      </c>
      <c r="AD400" s="61" t="s">
        <v>94</v>
      </c>
      <c r="AE400" s="61" t="s">
        <v>94</v>
      </c>
      <c r="AF400" s="61" t="s">
        <v>94</v>
      </c>
      <c r="AG400" s="61">
        <v>27</v>
      </c>
      <c r="AH400" s="61">
        <v>28</v>
      </c>
      <c r="AI400" s="61">
        <v>0.7</v>
      </c>
      <c r="AJ400" s="61">
        <v>0.7</v>
      </c>
      <c r="AK400" s="269">
        <f t="shared" si="39"/>
        <v>0</v>
      </c>
      <c r="AL400" s="61" t="s">
        <v>94</v>
      </c>
      <c r="AM400" s="61" t="s">
        <v>94</v>
      </c>
      <c r="AN400" s="61" t="s">
        <v>94</v>
      </c>
      <c r="AO400" s="61" t="s">
        <v>94</v>
      </c>
      <c r="AP400" s="61" t="s">
        <v>94</v>
      </c>
      <c r="AQ400" s="61" t="s">
        <v>94</v>
      </c>
      <c r="AR400" s="61" t="s">
        <v>94</v>
      </c>
      <c r="AS400" s="61" t="s">
        <v>94</v>
      </c>
      <c r="AT400" s="61">
        <v>4.3</v>
      </c>
      <c r="AU400" s="61">
        <v>4</v>
      </c>
      <c r="AV400" s="61">
        <v>78</v>
      </c>
      <c r="AW400" s="61">
        <v>88</v>
      </c>
      <c r="AX400" s="61">
        <v>141</v>
      </c>
      <c r="AY400" s="61">
        <v>132</v>
      </c>
      <c r="AZ400" s="61" t="s">
        <v>94</v>
      </c>
      <c r="BA400" s="61" t="s">
        <v>94</v>
      </c>
      <c r="BB400" s="61">
        <v>102</v>
      </c>
      <c r="BC400" s="61">
        <v>98</v>
      </c>
      <c r="BD400" s="96">
        <f t="shared" si="40"/>
        <v>293.74133333333339</v>
      </c>
      <c r="BE400" s="96">
        <f t="shared" si="41"/>
        <v>277.24888888888893</v>
      </c>
      <c r="BF400" s="96">
        <v>5.0999999999999996</v>
      </c>
      <c r="BG400" s="96">
        <v>4.9000000000000004</v>
      </c>
      <c r="BH400" s="61">
        <v>15.9</v>
      </c>
      <c r="BI400" s="61">
        <v>15.2</v>
      </c>
      <c r="BJ400" s="61">
        <v>47.1</v>
      </c>
      <c r="BK400" s="61">
        <v>44.2</v>
      </c>
      <c r="BL400" s="61">
        <v>92.4</v>
      </c>
      <c r="BM400" s="61">
        <v>90.2</v>
      </c>
      <c r="BN400" s="61">
        <v>31.2</v>
      </c>
      <c r="BO400" s="61">
        <v>31</v>
      </c>
      <c r="BP400" s="61">
        <v>33.799999999999997</v>
      </c>
      <c r="BQ400" s="61">
        <v>34.4</v>
      </c>
      <c r="BR400" s="61">
        <v>269</v>
      </c>
      <c r="BS400" s="61">
        <v>273</v>
      </c>
      <c r="BT400" s="61">
        <v>12.1</v>
      </c>
      <c r="BU400" s="61">
        <v>12.3</v>
      </c>
      <c r="BV400" s="61" t="s">
        <v>94</v>
      </c>
      <c r="BW400" s="61" t="s">
        <v>94</v>
      </c>
      <c r="BX400" s="61">
        <v>6.58</v>
      </c>
      <c r="BY400" s="61">
        <v>6.28</v>
      </c>
      <c r="BZ400" s="61">
        <v>38.5</v>
      </c>
      <c r="CA400" s="61">
        <v>48.9</v>
      </c>
      <c r="CB400" s="61">
        <v>38.5</v>
      </c>
      <c r="CC400" s="61">
        <v>37.1</v>
      </c>
      <c r="CD400" s="61">
        <v>13.7</v>
      </c>
      <c r="CE400" s="61">
        <v>12.7</v>
      </c>
      <c r="CF400" s="61">
        <v>1.1000000000000001</v>
      </c>
      <c r="CG400" s="61">
        <v>0.5</v>
      </c>
      <c r="CH400" s="61">
        <v>1.1000000000000001</v>
      </c>
      <c r="CI400" s="61">
        <v>0.8</v>
      </c>
      <c r="CJ400" s="86" t="b">
        <f t="shared" si="42"/>
        <v>0</v>
      </c>
      <c r="CK400" s="2" t="b">
        <f t="shared" si="43"/>
        <v>0</v>
      </c>
      <c r="CL400" s="98">
        <f t="shared" si="44"/>
        <v>67.389839999999992</v>
      </c>
      <c r="CM400" s="96">
        <v>75.599999999999994</v>
      </c>
      <c r="CN400" s="98">
        <v>177</v>
      </c>
      <c r="CO400" s="96" t="s">
        <v>139</v>
      </c>
      <c r="CP400" s="98">
        <v>60</v>
      </c>
      <c r="CQ400" s="98">
        <v>59</v>
      </c>
      <c r="CR400" s="61" t="s">
        <v>140</v>
      </c>
    </row>
    <row r="401" spans="1:96" ht="15.75" customHeight="1">
      <c r="A401" s="83">
        <v>2023</v>
      </c>
      <c r="B401" s="83" t="s">
        <v>187</v>
      </c>
      <c r="C401" s="61">
        <v>3291</v>
      </c>
      <c r="D401" s="52">
        <v>32</v>
      </c>
      <c r="E401" s="178">
        <v>75.099999999999994</v>
      </c>
      <c r="F401" s="301">
        <v>2</v>
      </c>
      <c r="G401" s="369" t="s">
        <v>82</v>
      </c>
      <c r="H401" s="369" t="s">
        <v>83</v>
      </c>
      <c r="I401" s="369" t="s">
        <v>84</v>
      </c>
      <c r="J401" s="369">
        <v>0</v>
      </c>
      <c r="K401" s="369">
        <v>37.5</v>
      </c>
      <c r="L401" s="369">
        <v>62.5</v>
      </c>
      <c r="M401" s="368">
        <v>287</v>
      </c>
      <c r="N401" s="61">
        <v>3219</v>
      </c>
      <c r="O401" s="61" t="s">
        <v>94</v>
      </c>
      <c r="P401" s="61" t="s">
        <v>94</v>
      </c>
      <c r="Q401" s="61" t="s">
        <v>94</v>
      </c>
      <c r="R401" s="61" t="s">
        <v>94</v>
      </c>
      <c r="S401" s="61">
        <v>210</v>
      </c>
      <c r="T401" s="61">
        <v>131</v>
      </c>
      <c r="U401" s="61">
        <v>32</v>
      </c>
      <c r="V401" s="61">
        <v>85</v>
      </c>
      <c r="W401" s="61" t="s">
        <v>94</v>
      </c>
      <c r="X401" s="61" t="s">
        <v>94</v>
      </c>
      <c r="Y401" s="61" t="s">
        <v>94</v>
      </c>
      <c r="Z401" s="61" t="s">
        <v>94</v>
      </c>
      <c r="AA401" s="61" t="s">
        <v>94</v>
      </c>
      <c r="AB401" s="61" t="s">
        <v>94</v>
      </c>
      <c r="AC401" s="61" t="s">
        <v>94</v>
      </c>
      <c r="AD401" s="61" t="s">
        <v>94</v>
      </c>
      <c r="AE401" s="61" t="s">
        <v>94</v>
      </c>
      <c r="AF401" s="61" t="s">
        <v>94</v>
      </c>
      <c r="AG401" s="61">
        <v>33</v>
      </c>
      <c r="AH401" s="61">
        <v>51</v>
      </c>
      <c r="AI401" s="61">
        <v>0.9</v>
      </c>
      <c r="AJ401" s="61">
        <v>1.4</v>
      </c>
      <c r="AK401" s="269">
        <f t="shared" si="39"/>
        <v>0.49999999999999989</v>
      </c>
      <c r="AL401" s="61" t="s">
        <v>94</v>
      </c>
      <c r="AM401" s="61" t="s">
        <v>94</v>
      </c>
      <c r="AN401" s="61" t="s">
        <v>94</v>
      </c>
      <c r="AO401" s="61" t="s">
        <v>94</v>
      </c>
      <c r="AP401" s="61" t="s">
        <v>94</v>
      </c>
      <c r="AQ401" s="61" t="s">
        <v>94</v>
      </c>
      <c r="AR401" s="61" t="s">
        <v>94</v>
      </c>
      <c r="AS401" s="61" t="s">
        <v>94</v>
      </c>
      <c r="AT401" s="61">
        <v>4.5999999999999996</v>
      </c>
      <c r="AU401" s="61">
        <v>4.0999999999999996</v>
      </c>
      <c r="AV401" s="61">
        <v>84</v>
      </c>
      <c r="AW401" s="61">
        <v>104</v>
      </c>
      <c r="AX401" s="61">
        <v>140</v>
      </c>
      <c r="AY401" s="61">
        <v>136</v>
      </c>
      <c r="AZ401" s="61" t="s">
        <v>94</v>
      </c>
      <c r="BA401" s="61" t="s">
        <v>94</v>
      </c>
      <c r="BB401" s="61">
        <v>106</v>
      </c>
      <c r="BC401" s="61">
        <v>100</v>
      </c>
      <c r="BD401" s="96">
        <f t="shared" si="40"/>
        <v>293.82266666666669</v>
      </c>
      <c r="BE401" s="96">
        <f t="shared" si="41"/>
        <v>289.73044444444446</v>
      </c>
      <c r="BF401" s="61">
        <v>6.26</v>
      </c>
      <c r="BG401" s="61">
        <v>6.63</v>
      </c>
      <c r="BH401" s="61">
        <v>13.9</v>
      </c>
      <c r="BI401" s="61">
        <v>14.7</v>
      </c>
      <c r="BJ401" s="61">
        <v>44.2</v>
      </c>
      <c r="BK401" s="61">
        <v>45.5</v>
      </c>
      <c r="BL401" s="61">
        <v>70.599999999999994</v>
      </c>
      <c r="BM401" s="61">
        <v>68.599999999999994</v>
      </c>
      <c r="BN401" s="61">
        <v>22.2</v>
      </c>
      <c r="BO401" s="61">
        <v>22.2</v>
      </c>
      <c r="BP401" s="61">
        <v>31.4</v>
      </c>
      <c r="BQ401" s="61">
        <v>32.299999999999997</v>
      </c>
      <c r="BR401" s="61">
        <v>308</v>
      </c>
      <c r="BS401" s="61">
        <v>344</v>
      </c>
      <c r="BT401" s="61">
        <v>14.8</v>
      </c>
      <c r="BU401" s="61">
        <v>15</v>
      </c>
      <c r="BV401" s="61" t="s">
        <v>94</v>
      </c>
      <c r="BW401" s="61" t="s">
        <v>94</v>
      </c>
      <c r="BX401" s="96">
        <v>7.4</v>
      </c>
      <c r="BY401" s="96">
        <v>13.3</v>
      </c>
      <c r="BZ401" s="61">
        <v>58</v>
      </c>
      <c r="CA401" s="61">
        <v>73</v>
      </c>
      <c r="CB401" s="61">
        <v>28.2</v>
      </c>
      <c r="CC401" s="61">
        <v>18.399999999999999</v>
      </c>
      <c r="CD401" s="61">
        <v>10.9</v>
      </c>
      <c r="CE401" s="61">
        <v>7.8</v>
      </c>
      <c r="CF401" s="61">
        <v>1.8</v>
      </c>
      <c r="CG401" s="61">
        <v>0.3</v>
      </c>
      <c r="CH401" s="61">
        <v>1.1000000000000001</v>
      </c>
      <c r="CI401" s="61">
        <v>0.5</v>
      </c>
      <c r="CJ401" s="86" t="b">
        <f t="shared" si="42"/>
        <v>1</v>
      </c>
      <c r="CK401" s="2" t="b">
        <f t="shared" si="43"/>
        <v>1</v>
      </c>
      <c r="CL401" s="98">
        <f t="shared" si="44"/>
        <v>63.856044999999995</v>
      </c>
      <c r="CM401" s="96">
        <v>79.849999999999994</v>
      </c>
      <c r="CN401" s="98">
        <v>178.5</v>
      </c>
      <c r="CO401" s="96" t="s">
        <v>141</v>
      </c>
      <c r="CP401" s="98">
        <v>50</v>
      </c>
      <c r="CQ401" s="98">
        <v>56</v>
      </c>
      <c r="CR401" s="61" t="s">
        <v>142</v>
      </c>
    </row>
    <row r="402" spans="1:96" ht="15.75" customHeight="1">
      <c r="A402" s="83">
        <v>2023</v>
      </c>
      <c r="B402" s="83" t="s">
        <v>187</v>
      </c>
      <c r="C402" s="61">
        <v>3305</v>
      </c>
      <c r="D402" s="52">
        <v>33</v>
      </c>
      <c r="E402" s="178">
        <v>86.2</v>
      </c>
      <c r="F402" s="301">
        <v>2</v>
      </c>
      <c r="G402" s="370" t="s">
        <v>94</v>
      </c>
      <c r="H402" s="370" t="s">
        <v>94</v>
      </c>
      <c r="I402" s="370" t="s">
        <v>94</v>
      </c>
      <c r="J402" s="370" t="s">
        <v>94</v>
      </c>
      <c r="K402" s="370" t="s">
        <v>94</v>
      </c>
      <c r="L402" s="370" t="s">
        <v>94</v>
      </c>
      <c r="M402" s="368">
        <v>130</v>
      </c>
      <c r="N402" s="61">
        <v>1284</v>
      </c>
      <c r="O402" s="61" t="s">
        <v>94</v>
      </c>
      <c r="P402" s="61" t="s">
        <v>94</v>
      </c>
      <c r="Q402" s="61" t="s">
        <v>94</v>
      </c>
      <c r="R402" s="61" t="s">
        <v>94</v>
      </c>
      <c r="S402" s="61">
        <v>171</v>
      </c>
      <c r="T402" s="61">
        <v>180</v>
      </c>
      <c r="U402" s="61">
        <v>26</v>
      </c>
      <c r="V402" s="61">
        <v>63</v>
      </c>
      <c r="W402" s="61" t="s">
        <v>94</v>
      </c>
      <c r="X402" s="61" t="s">
        <v>94</v>
      </c>
      <c r="Y402" s="61" t="s">
        <v>94</v>
      </c>
      <c r="Z402" s="61" t="s">
        <v>94</v>
      </c>
      <c r="AA402" s="61" t="s">
        <v>94</v>
      </c>
      <c r="AB402" s="61" t="s">
        <v>94</v>
      </c>
      <c r="AC402" s="61" t="s">
        <v>94</v>
      </c>
      <c r="AD402" s="61" t="s">
        <v>94</v>
      </c>
      <c r="AE402" s="61" t="s">
        <v>94</v>
      </c>
      <c r="AF402" s="61" t="s">
        <v>94</v>
      </c>
      <c r="AG402" s="61">
        <v>36</v>
      </c>
      <c r="AH402" s="61">
        <v>55</v>
      </c>
      <c r="AI402" s="61">
        <v>0.7</v>
      </c>
      <c r="AJ402" s="61">
        <v>1.1000000000000001</v>
      </c>
      <c r="AK402" s="269">
        <f t="shared" si="39"/>
        <v>0.40000000000000013</v>
      </c>
      <c r="AL402" s="61" t="s">
        <v>94</v>
      </c>
      <c r="AM402" s="61" t="s">
        <v>94</v>
      </c>
      <c r="AN402" s="61" t="s">
        <v>94</v>
      </c>
      <c r="AO402" s="61" t="s">
        <v>94</v>
      </c>
      <c r="AP402" s="61" t="s">
        <v>94</v>
      </c>
      <c r="AQ402" s="61" t="s">
        <v>94</v>
      </c>
      <c r="AR402" s="61" t="s">
        <v>94</v>
      </c>
      <c r="AS402" s="61" t="s">
        <v>94</v>
      </c>
      <c r="AT402" s="61">
        <v>4.3</v>
      </c>
      <c r="AU402" s="61">
        <v>3.9</v>
      </c>
      <c r="AV402" s="61">
        <v>81</v>
      </c>
      <c r="AW402" s="61">
        <v>85</v>
      </c>
      <c r="AX402" s="61">
        <v>138</v>
      </c>
      <c r="AY402" s="61">
        <v>141</v>
      </c>
      <c r="AZ402" s="61" t="s">
        <v>94</v>
      </c>
      <c r="BA402" s="61" t="s">
        <v>94</v>
      </c>
      <c r="BB402" s="61">
        <v>100</v>
      </c>
      <c r="BC402" s="61">
        <v>101</v>
      </c>
      <c r="BD402" s="96">
        <f t="shared" si="40"/>
        <v>289.85300000000007</v>
      </c>
      <c r="BE402" s="96">
        <f t="shared" si="41"/>
        <v>298.11122222222224</v>
      </c>
      <c r="BF402" s="61">
        <v>5.17</v>
      </c>
      <c r="BG402" s="61">
        <v>5.18</v>
      </c>
      <c r="BH402" s="61">
        <v>15.7</v>
      </c>
      <c r="BI402" s="61">
        <v>15.6</v>
      </c>
      <c r="BJ402" s="61">
        <v>46.7</v>
      </c>
      <c r="BK402" s="61">
        <v>45.8</v>
      </c>
      <c r="BL402" s="61">
        <v>90.3</v>
      </c>
      <c r="BM402" s="61">
        <v>88.4</v>
      </c>
      <c r="BN402" s="61">
        <v>30.4</v>
      </c>
      <c r="BO402" s="61">
        <v>30.1</v>
      </c>
      <c r="BP402" s="61">
        <v>33.6</v>
      </c>
      <c r="BQ402" s="61">
        <v>34.1</v>
      </c>
      <c r="BR402" s="61">
        <v>279</v>
      </c>
      <c r="BS402" s="61">
        <v>332</v>
      </c>
      <c r="BT402" s="61">
        <v>11.5</v>
      </c>
      <c r="BU402" s="61">
        <v>11.7</v>
      </c>
      <c r="BV402" s="61" t="s">
        <v>94</v>
      </c>
      <c r="BW402" s="61" t="s">
        <v>94</v>
      </c>
      <c r="BX402" s="61">
        <v>7.85</v>
      </c>
      <c r="BY402" s="61">
        <v>12.82</v>
      </c>
      <c r="BZ402" s="61">
        <v>65.599999999999994</v>
      </c>
      <c r="CA402" s="61">
        <v>63.8</v>
      </c>
      <c r="CB402" s="61">
        <v>22.2</v>
      </c>
      <c r="CC402" s="61">
        <v>22.6</v>
      </c>
      <c r="CD402" s="61">
        <v>10.8</v>
      </c>
      <c r="CE402" s="61">
        <v>12.8</v>
      </c>
      <c r="CF402" s="61">
        <v>0.4</v>
      </c>
      <c r="CG402" s="61">
        <v>0.1</v>
      </c>
      <c r="CH402" s="61">
        <v>1</v>
      </c>
      <c r="CI402" s="61">
        <v>0.7</v>
      </c>
      <c r="CJ402" s="86" t="b">
        <f t="shared" si="42"/>
        <v>1</v>
      </c>
      <c r="CK402" s="2" t="b">
        <f t="shared" si="43"/>
        <v>1</v>
      </c>
      <c r="CL402" s="98">
        <f t="shared" si="44"/>
        <v>79.646280000000004</v>
      </c>
      <c r="CM402" s="96">
        <v>89.45</v>
      </c>
      <c r="CN402" s="98">
        <v>179</v>
      </c>
      <c r="CO402" s="96" t="s">
        <v>149</v>
      </c>
      <c r="CP402" s="98">
        <v>56</v>
      </c>
      <c r="CQ402" s="98">
        <v>54</v>
      </c>
      <c r="CR402" s="61" t="s">
        <v>150</v>
      </c>
    </row>
    <row r="403" spans="1:96" ht="15.75" customHeight="1">
      <c r="A403" s="83">
        <v>2023</v>
      </c>
      <c r="B403" s="83" t="s">
        <v>187</v>
      </c>
      <c r="C403" s="61">
        <v>3306</v>
      </c>
      <c r="D403" s="52">
        <v>33</v>
      </c>
      <c r="E403" s="178">
        <v>71.400000000000006</v>
      </c>
      <c r="F403" s="301">
        <v>1</v>
      </c>
      <c r="G403" s="369" t="s">
        <v>86</v>
      </c>
      <c r="H403" s="369" t="s">
        <v>83</v>
      </c>
      <c r="I403" s="369" t="s">
        <v>84</v>
      </c>
      <c r="J403" s="369">
        <f>9-9</f>
        <v>0</v>
      </c>
      <c r="K403" s="369">
        <v>62.5</v>
      </c>
      <c r="L403" s="369">
        <v>37.5</v>
      </c>
      <c r="M403" s="368">
        <v>89</v>
      </c>
      <c r="N403" s="61">
        <v>144</v>
      </c>
      <c r="O403" s="61" t="s">
        <v>94</v>
      </c>
      <c r="P403" s="61" t="s">
        <v>94</v>
      </c>
      <c r="Q403" s="61" t="s">
        <v>94</v>
      </c>
      <c r="R403" s="61" t="s">
        <v>94</v>
      </c>
      <c r="S403" s="61">
        <v>140</v>
      </c>
      <c r="T403" s="61">
        <v>151</v>
      </c>
      <c r="U403" s="61">
        <v>25</v>
      </c>
      <c r="V403" s="61">
        <v>31</v>
      </c>
      <c r="W403" s="61" t="s">
        <v>94</v>
      </c>
      <c r="X403" s="61" t="s">
        <v>94</v>
      </c>
      <c r="Y403" s="61" t="s">
        <v>94</v>
      </c>
      <c r="Z403" s="61" t="s">
        <v>94</v>
      </c>
      <c r="AA403" s="61" t="s">
        <v>94</v>
      </c>
      <c r="AB403" s="61" t="s">
        <v>94</v>
      </c>
      <c r="AC403" s="61" t="s">
        <v>94</v>
      </c>
      <c r="AD403" s="61" t="s">
        <v>94</v>
      </c>
      <c r="AE403" s="61" t="s">
        <v>94</v>
      </c>
      <c r="AF403" s="61" t="s">
        <v>94</v>
      </c>
      <c r="AG403" s="61">
        <v>35</v>
      </c>
      <c r="AH403" s="61">
        <v>32</v>
      </c>
      <c r="AI403" s="61">
        <v>0.8</v>
      </c>
      <c r="AJ403" s="61">
        <v>1.1000000000000001</v>
      </c>
      <c r="AK403" s="269">
        <f t="shared" si="39"/>
        <v>0.30000000000000004</v>
      </c>
      <c r="AL403" s="61" t="s">
        <v>94</v>
      </c>
      <c r="AM403" s="61" t="s">
        <v>94</v>
      </c>
      <c r="AN403" s="61" t="s">
        <v>94</v>
      </c>
      <c r="AO403" s="61" t="s">
        <v>94</v>
      </c>
      <c r="AP403" s="61" t="s">
        <v>94</v>
      </c>
      <c r="AQ403" s="61" t="s">
        <v>94</v>
      </c>
      <c r="AR403" s="61" t="s">
        <v>94</v>
      </c>
      <c r="AS403" s="61" t="s">
        <v>94</v>
      </c>
      <c r="AT403" s="61">
        <v>4.8</v>
      </c>
      <c r="AU403" s="61">
        <v>4.5</v>
      </c>
      <c r="AV403" s="61">
        <v>78</v>
      </c>
      <c r="AW403" s="61">
        <v>83</v>
      </c>
      <c r="AX403" s="61">
        <v>138</v>
      </c>
      <c r="AY403" s="61">
        <v>140</v>
      </c>
      <c r="AZ403" s="61" t="s">
        <v>94</v>
      </c>
      <c r="BA403" s="61" t="s">
        <v>94</v>
      </c>
      <c r="BB403" s="61">
        <v>101</v>
      </c>
      <c r="BC403" s="61">
        <v>103</v>
      </c>
      <c r="BD403" s="96">
        <f t="shared" si="40"/>
        <v>290.42466666666672</v>
      </c>
      <c r="BE403" s="96">
        <f t="shared" si="41"/>
        <v>293.4061111111111</v>
      </c>
      <c r="BF403" s="96">
        <v>5.0999999999999996</v>
      </c>
      <c r="BG403" s="96">
        <v>5.4</v>
      </c>
      <c r="BH403" s="61">
        <v>14.8</v>
      </c>
      <c r="BI403" s="61">
        <v>15.5</v>
      </c>
      <c r="BJ403" s="61">
        <v>44</v>
      </c>
      <c r="BK403" s="61">
        <v>45.8</v>
      </c>
      <c r="BL403" s="61">
        <v>86.3</v>
      </c>
      <c r="BM403" s="61">
        <v>84.8</v>
      </c>
      <c r="BN403" s="61">
        <v>29</v>
      </c>
      <c r="BO403" s="61">
        <v>28.7</v>
      </c>
      <c r="BP403" s="61">
        <v>33.6</v>
      </c>
      <c r="BQ403" s="61">
        <v>33.799999999999997</v>
      </c>
      <c r="BR403" s="61">
        <v>199</v>
      </c>
      <c r="BS403" s="61">
        <v>241</v>
      </c>
      <c r="BT403" s="61">
        <v>11.6</v>
      </c>
      <c r="BU403" s="61">
        <v>11.7</v>
      </c>
      <c r="BV403" s="61" t="s">
        <v>94</v>
      </c>
      <c r="BW403" s="61" t="s">
        <v>94</v>
      </c>
      <c r="BX403" s="96">
        <v>11.5</v>
      </c>
      <c r="BY403" s="96">
        <v>12.3</v>
      </c>
      <c r="BZ403" s="61">
        <v>62.5</v>
      </c>
      <c r="CA403" s="61">
        <v>54.8</v>
      </c>
      <c r="CB403" s="61">
        <v>27.7</v>
      </c>
      <c r="CC403" s="61">
        <v>35.6</v>
      </c>
      <c r="CD403" s="61">
        <v>7.7</v>
      </c>
      <c r="CE403" s="61">
        <v>7.6</v>
      </c>
      <c r="CF403" s="61">
        <v>1.3</v>
      </c>
      <c r="CG403" s="61">
        <v>1.1000000000000001</v>
      </c>
      <c r="CH403" s="61">
        <v>0.8</v>
      </c>
      <c r="CI403" s="61">
        <v>0.9</v>
      </c>
      <c r="CJ403" s="86" t="b">
        <f t="shared" si="42"/>
        <v>1</v>
      </c>
      <c r="CK403" s="2" t="b">
        <f t="shared" si="43"/>
        <v>0</v>
      </c>
      <c r="CL403" s="98">
        <f t="shared" si="44"/>
        <v>63.732880000000009</v>
      </c>
      <c r="CM403" s="96">
        <v>76.400000000000006</v>
      </c>
      <c r="CN403" s="98">
        <v>175.5</v>
      </c>
      <c r="CO403" s="96" t="s">
        <v>151</v>
      </c>
      <c r="CP403" s="98">
        <v>53</v>
      </c>
      <c r="CQ403" s="98">
        <v>50</v>
      </c>
      <c r="CR403" s="61" t="s">
        <v>152</v>
      </c>
    </row>
    <row r="404" spans="1:96" ht="15.75" customHeight="1">
      <c r="A404" s="83">
        <v>2023</v>
      </c>
      <c r="B404" s="83" t="s">
        <v>187</v>
      </c>
      <c r="C404" s="61">
        <v>3328</v>
      </c>
      <c r="D404" s="52" t="s">
        <v>94</v>
      </c>
      <c r="E404" s="178">
        <v>88.9</v>
      </c>
      <c r="F404" s="301" t="s">
        <v>94</v>
      </c>
      <c r="G404" s="370" t="s">
        <v>94</v>
      </c>
      <c r="H404" s="370" t="s">
        <v>94</v>
      </c>
      <c r="I404" s="370" t="s">
        <v>94</v>
      </c>
      <c r="J404" s="370" t="s">
        <v>94</v>
      </c>
      <c r="K404" s="370" t="s">
        <v>94</v>
      </c>
      <c r="L404" s="370" t="s">
        <v>94</v>
      </c>
      <c r="M404" s="368">
        <v>102</v>
      </c>
      <c r="N404" s="61">
        <v>1216</v>
      </c>
      <c r="O404" s="61" t="s">
        <v>94</v>
      </c>
      <c r="P404" s="61" t="s">
        <v>94</v>
      </c>
      <c r="Q404" s="61" t="s">
        <v>94</v>
      </c>
      <c r="R404" s="61" t="s">
        <v>94</v>
      </c>
      <c r="S404" s="61">
        <v>148</v>
      </c>
      <c r="T404" s="61">
        <v>152</v>
      </c>
      <c r="U404" s="61">
        <v>24</v>
      </c>
      <c r="V404" s="61">
        <v>70</v>
      </c>
      <c r="W404" s="61" t="s">
        <v>94</v>
      </c>
      <c r="X404" s="61" t="s">
        <v>94</v>
      </c>
      <c r="Y404" s="61" t="s">
        <v>94</v>
      </c>
      <c r="Z404" s="61" t="s">
        <v>94</v>
      </c>
      <c r="AA404" s="61" t="s">
        <v>94</v>
      </c>
      <c r="AB404" s="61" t="s">
        <v>94</v>
      </c>
      <c r="AC404" s="61" t="s">
        <v>94</v>
      </c>
      <c r="AD404" s="61" t="s">
        <v>94</v>
      </c>
      <c r="AE404" s="61" t="s">
        <v>94</v>
      </c>
      <c r="AF404" s="61" t="s">
        <v>94</v>
      </c>
      <c r="AG404" s="61">
        <v>34</v>
      </c>
      <c r="AH404" s="61">
        <v>42</v>
      </c>
      <c r="AI404" s="61">
        <v>0.8</v>
      </c>
      <c r="AJ404" s="61">
        <v>1.3</v>
      </c>
      <c r="AK404" s="269">
        <f t="shared" si="39"/>
        <v>0.5</v>
      </c>
      <c r="AL404" s="61" t="s">
        <v>94</v>
      </c>
      <c r="AM404" s="61" t="s">
        <v>94</v>
      </c>
      <c r="AN404" s="61" t="s">
        <v>94</v>
      </c>
      <c r="AO404" s="61" t="s">
        <v>94</v>
      </c>
      <c r="AP404" s="61" t="s">
        <v>94</v>
      </c>
      <c r="AQ404" s="61" t="s">
        <v>94</v>
      </c>
      <c r="AR404" s="61" t="s">
        <v>94</v>
      </c>
      <c r="AS404" s="61" t="s">
        <v>94</v>
      </c>
      <c r="AT404" s="61">
        <v>4</v>
      </c>
      <c r="AU404" s="61">
        <v>3.9</v>
      </c>
      <c r="AV404" s="61">
        <v>85</v>
      </c>
      <c r="AW404" s="61">
        <v>90</v>
      </c>
      <c r="AX404" s="61">
        <v>137</v>
      </c>
      <c r="AY404" s="61">
        <v>139</v>
      </c>
      <c r="AZ404" s="61" t="s">
        <v>94</v>
      </c>
      <c r="BA404" s="61" t="s">
        <v>94</v>
      </c>
      <c r="BB404" s="61">
        <v>100</v>
      </c>
      <c r="BC404" s="61">
        <v>101</v>
      </c>
      <c r="BD404" s="96">
        <f t="shared" si="40"/>
        <v>287.35722222222222</v>
      </c>
      <c r="BE404" s="96">
        <f t="shared" si="41"/>
        <v>292.54400000000004</v>
      </c>
      <c r="BF404" s="61">
        <v>5.46</v>
      </c>
      <c r="BG404" s="61">
        <v>5.97</v>
      </c>
      <c r="BH404" s="61">
        <v>14.7</v>
      </c>
      <c r="BI404" s="61">
        <v>15.8</v>
      </c>
      <c r="BJ404" s="61">
        <v>44.3</v>
      </c>
      <c r="BK404" s="61">
        <v>47.1</v>
      </c>
      <c r="BL404" s="61">
        <v>81.099999999999994</v>
      </c>
      <c r="BM404" s="61">
        <v>78.900000000000006</v>
      </c>
      <c r="BN404" s="61">
        <v>26.9</v>
      </c>
      <c r="BO404" s="61">
        <v>26.5</v>
      </c>
      <c r="BP404" s="61">
        <v>33.200000000000003</v>
      </c>
      <c r="BQ404" s="61">
        <v>33.5</v>
      </c>
      <c r="BR404" s="61">
        <v>227</v>
      </c>
      <c r="BS404" s="61">
        <v>267</v>
      </c>
      <c r="BT404" s="61">
        <v>12.4</v>
      </c>
      <c r="BU404" s="61">
        <v>13</v>
      </c>
      <c r="BV404" s="61" t="s">
        <v>94</v>
      </c>
      <c r="BW404" s="61" t="s">
        <v>94</v>
      </c>
      <c r="BX404" s="61">
        <v>4.53</v>
      </c>
      <c r="BY404" s="61">
        <v>10.01</v>
      </c>
      <c r="BZ404" s="61">
        <v>61.2</v>
      </c>
      <c r="CA404" s="61">
        <v>63.4</v>
      </c>
      <c r="CB404" s="61">
        <v>28.9</v>
      </c>
      <c r="CC404" s="61">
        <v>27.1</v>
      </c>
      <c r="CD404" s="61">
        <v>7.7</v>
      </c>
      <c r="CE404" s="61">
        <v>8.5</v>
      </c>
      <c r="CF404" s="61">
        <v>1.5</v>
      </c>
      <c r="CG404" s="61">
        <v>0.5</v>
      </c>
      <c r="CH404" s="61">
        <v>0.7</v>
      </c>
      <c r="CI404" s="61">
        <v>0.5</v>
      </c>
      <c r="CJ404" s="86" t="b">
        <f t="shared" si="42"/>
        <v>1</v>
      </c>
      <c r="CK404" s="2" t="b">
        <f t="shared" si="43"/>
        <v>1</v>
      </c>
      <c r="CL404" s="98" t="e">
        <f t="shared" si="44"/>
        <v>#VALUE!</v>
      </c>
      <c r="CM404" s="61" t="s">
        <v>94</v>
      </c>
      <c r="CN404" s="61" t="s">
        <v>94</v>
      </c>
      <c r="CO404" s="61" t="s">
        <v>94</v>
      </c>
      <c r="CP404" s="61" t="s">
        <v>94</v>
      </c>
      <c r="CQ404" s="61" t="s">
        <v>94</v>
      </c>
      <c r="CR404" s="61" t="s">
        <v>94</v>
      </c>
    </row>
    <row r="405" spans="1:96" ht="15.75" customHeight="1">
      <c r="A405" s="83">
        <v>2023</v>
      </c>
      <c r="B405" s="83" t="s">
        <v>187</v>
      </c>
      <c r="C405" s="61">
        <v>3330</v>
      </c>
      <c r="D405" s="52">
        <v>28</v>
      </c>
      <c r="E405" s="178">
        <v>80.5</v>
      </c>
      <c r="F405" s="301">
        <v>1</v>
      </c>
      <c r="G405" s="369" t="s">
        <v>89</v>
      </c>
      <c r="H405" s="369" t="s">
        <v>90</v>
      </c>
      <c r="I405" s="369" t="s">
        <v>93</v>
      </c>
      <c r="J405" s="369">
        <v>0</v>
      </c>
      <c r="K405" s="369">
        <v>50</v>
      </c>
      <c r="L405" s="369">
        <v>50</v>
      </c>
      <c r="M405" s="368">
        <v>355</v>
      </c>
      <c r="N405" s="61">
        <v>726</v>
      </c>
      <c r="O405" s="61" t="s">
        <v>94</v>
      </c>
      <c r="P405" s="61" t="s">
        <v>94</v>
      </c>
      <c r="Q405" s="61" t="s">
        <v>94</v>
      </c>
      <c r="R405" s="61" t="s">
        <v>94</v>
      </c>
      <c r="S405" s="61">
        <v>202</v>
      </c>
      <c r="T405" s="61">
        <v>171</v>
      </c>
      <c r="U405" s="61">
        <v>40</v>
      </c>
      <c r="V405" s="61">
        <v>37</v>
      </c>
      <c r="W405" s="61" t="s">
        <v>94</v>
      </c>
      <c r="X405" s="61" t="s">
        <v>94</v>
      </c>
      <c r="Y405" s="61" t="s">
        <v>94</v>
      </c>
      <c r="Z405" s="61" t="s">
        <v>94</v>
      </c>
      <c r="AA405" s="61" t="s">
        <v>94</v>
      </c>
      <c r="AB405" s="61" t="s">
        <v>94</v>
      </c>
      <c r="AC405" s="61" t="s">
        <v>94</v>
      </c>
      <c r="AD405" s="61" t="s">
        <v>94</v>
      </c>
      <c r="AE405" s="61" t="s">
        <v>94</v>
      </c>
      <c r="AF405" s="61" t="s">
        <v>94</v>
      </c>
      <c r="AG405" s="61">
        <v>28</v>
      </c>
      <c r="AH405" s="61">
        <v>29</v>
      </c>
      <c r="AI405" s="61">
        <v>0.8</v>
      </c>
      <c r="AJ405" s="61">
        <v>1</v>
      </c>
      <c r="AK405" s="269">
        <f t="shared" si="39"/>
        <v>0.19999999999999996</v>
      </c>
      <c r="AL405" s="61" t="s">
        <v>94</v>
      </c>
      <c r="AM405" s="61" t="s">
        <v>94</v>
      </c>
      <c r="AN405" s="61" t="s">
        <v>94</v>
      </c>
      <c r="AO405" s="61" t="s">
        <v>94</v>
      </c>
      <c r="AP405" s="61" t="s">
        <v>94</v>
      </c>
      <c r="AQ405" s="61" t="s">
        <v>94</v>
      </c>
      <c r="AR405" s="61" t="s">
        <v>94</v>
      </c>
      <c r="AS405" s="61" t="s">
        <v>94</v>
      </c>
      <c r="AT405" s="61">
        <v>4.3</v>
      </c>
      <c r="AU405" s="61">
        <v>4</v>
      </c>
      <c r="AV405" s="61">
        <v>83</v>
      </c>
      <c r="AW405" s="61">
        <v>92</v>
      </c>
      <c r="AX405" s="61">
        <v>138</v>
      </c>
      <c r="AY405" s="61">
        <v>136</v>
      </c>
      <c r="AZ405" s="61" t="s">
        <v>94</v>
      </c>
      <c r="BA405" s="61" t="s">
        <v>94</v>
      </c>
      <c r="BB405" s="61">
        <v>99</v>
      </c>
      <c r="BC405" s="61">
        <v>100</v>
      </c>
      <c r="BD405" s="96">
        <f t="shared" si="40"/>
        <v>288.64744444444449</v>
      </c>
      <c r="BE405" s="96">
        <f t="shared" si="41"/>
        <v>285.11111111111114</v>
      </c>
      <c r="BF405" s="61">
        <v>5.0199999999999996</v>
      </c>
      <c r="BG405" s="61">
        <v>4.62</v>
      </c>
      <c r="BH405" s="61">
        <v>14.7</v>
      </c>
      <c r="BI405" s="61">
        <v>13.6</v>
      </c>
      <c r="BJ405" s="61">
        <v>43.9</v>
      </c>
      <c r="BK405" s="61">
        <v>40.4</v>
      </c>
      <c r="BL405" s="61">
        <v>87.5</v>
      </c>
      <c r="BM405" s="61">
        <v>87.4</v>
      </c>
      <c r="BN405" s="61">
        <v>29.3</v>
      </c>
      <c r="BO405" s="61">
        <v>29.4</v>
      </c>
      <c r="BP405" s="61">
        <v>33.5</v>
      </c>
      <c r="BQ405" s="61">
        <v>33.700000000000003</v>
      </c>
      <c r="BR405" s="61">
        <v>171</v>
      </c>
      <c r="BS405" s="61">
        <v>216</v>
      </c>
      <c r="BT405" s="61">
        <v>12.1</v>
      </c>
      <c r="BU405" s="61">
        <v>12.4</v>
      </c>
      <c r="BV405" s="61" t="s">
        <v>94</v>
      </c>
      <c r="BW405" s="61" t="s">
        <v>94</v>
      </c>
      <c r="BX405" s="61">
        <v>5.48</v>
      </c>
      <c r="BY405" s="61">
        <v>8.18</v>
      </c>
      <c r="BZ405" s="61">
        <v>59.7</v>
      </c>
      <c r="CA405" s="61">
        <v>70.8</v>
      </c>
      <c r="CB405" s="61">
        <v>30.8</v>
      </c>
      <c r="CC405" s="61">
        <v>20.2</v>
      </c>
      <c r="CD405" s="61">
        <v>7.8</v>
      </c>
      <c r="CE405" s="61">
        <v>8.6999999999999993</v>
      </c>
      <c r="CF405" s="61">
        <v>1.3</v>
      </c>
      <c r="CG405" s="61">
        <v>0.2</v>
      </c>
      <c r="CH405" s="61">
        <v>0.4</v>
      </c>
      <c r="CI405" s="61">
        <v>0.1</v>
      </c>
      <c r="CJ405" s="86" t="b">
        <f t="shared" si="42"/>
        <v>0</v>
      </c>
      <c r="CK405" s="2" t="b">
        <f t="shared" si="43"/>
        <v>0</v>
      </c>
      <c r="CL405" s="98">
        <f t="shared" si="44"/>
        <v>67.44474000000001</v>
      </c>
      <c r="CM405" s="61">
        <v>75.900000000000006</v>
      </c>
      <c r="CN405" s="61">
        <v>182</v>
      </c>
      <c r="CO405" s="96" t="s">
        <v>159</v>
      </c>
      <c r="CP405" s="61">
        <v>52</v>
      </c>
      <c r="CQ405" s="61">
        <v>42</v>
      </c>
      <c r="CR405" s="61" t="s">
        <v>160</v>
      </c>
    </row>
    <row r="406" spans="1:96" ht="15.75" customHeight="1">
      <c r="A406" s="83">
        <v>2023</v>
      </c>
      <c r="B406" s="83" t="s">
        <v>187</v>
      </c>
      <c r="C406" s="61">
        <v>3331</v>
      </c>
      <c r="D406" s="52">
        <v>28</v>
      </c>
      <c r="E406" s="178">
        <v>84.1</v>
      </c>
      <c r="F406" s="301">
        <v>1</v>
      </c>
      <c r="G406" s="369" t="s">
        <v>89</v>
      </c>
      <c r="H406" s="369" t="s">
        <v>83</v>
      </c>
      <c r="I406" s="369" t="s">
        <v>93</v>
      </c>
      <c r="J406" s="369" t="s">
        <v>206</v>
      </c>
      <c r="K406" s="369">
        <v>75</v>
      </c>
      <c r="L406" s="369">
        <v>25</v>
      </c>
      <c r="M406" s="368">
        <v>88</v>
      </c>
      <c r="N406" s="61">
        <v>849</v>
      </c>
      <c r="O406" s="61" t="s">
        <v>94</v>
      </c>
      <c r="P406" s="61" t="s">
        <v>94</v>
      </c>
      <c r="Q406" s="61" t="s">
        <v>94</v>
      </c>
      <c r="R406" s="61" t="s">
        <v>94</v>
      </c>
      <c r="S406" s="61">
        <v>161</v>
      </c>
      <c r="T406" s="61">
        <v>143</v>
      </c>
      <c r="U406" s="61">
        <v>21</v>
      </c>
      <c r="V406" s="61">
        <v>45</v>
      </c>
      <c r="W406" s="61" t="s">
        <v>94</v>
      </c>
      <c r="X406" s="61" t="s">
        <v>94</v>
      </c>
      <c r="Y406" s="61" t="s">
        <v>94</v>
      </c>
      <c r="Z406" s="61" t="s">
        <v>94</v>
      </c>
      <c r="AA406" s="61" t="s">
        <v>94</v>
      </c>
      <c r="AB406" s="61" t="s">
        <v>94</v>
      </c>
      <c r="AC406" s="61" t="s">
        <v>94</v>
      </c>
      <c r="AD406" s="61" t="s">
        <v>94</v>
      </c>
      <c r="AE406" s="61" t="s">
        <v>94</v>
      </c>
      <c r="AF406" s="61" t="s">
        <v>94</v>
      </c>
      <c r="AG406" s="61">
        <v>33</v>
      </c>
      <c r="AH406" s="61">
        <v>36</v>
      </c>
      <c r="AI406" s="61">
        <v>0.8</v>
      </c>
      <c r="AJ406" s="61">
        <v>1</v>
      </c>
      <c r="AK406" s="269">
        <f t="shared" si="39"/>
        <v>0.19999999999999996</v>
      </c>
      <c r="AL406" s="61" t="s">
        <v>94</v>
      </c>
      <c r="AM406" s="61" t="s">
        <v>94</v>
      </c>
      <c r="AN406" s="61" t="s">
        <v>94</v>
      </c>
      <c r="AO406" s="61" t="s">
        <v>94</v>
      </c>
      <c r="AP406" s="61" t="s">
        <v>94</v>
      </c>
      <c r="AQ406" s="61" t="s">
        <v>94</v>
      </c>
      <c r="AR406" s="61" t="s">
        <v>94</v>
      </c>
      <c r="AS406" s="61" t="s">
        <v>94</v>
      </c>
      <c r="AT406" s="61">
        <v>4.4000000000000004</v>
      </c>
      <c r="AU406" s="61">
        <v>4.0999999999999996</v>
      </c>
      <c r="AV406" s="61">
        <v>69</v>
      </c>
      <c r="AW406" s="61">
        <v>83</v>
      </c>
      <c r="AX406" s="61">
        <v>140</v>
      </c>
      <c r="AY406" s="61">
        <v>138</v>
      </c>
      <c r="AZ406" s="61" t="s">
        <v>94</v>
      </c>
      <c r="BA406" s="61" t="s">
        <v>94</v>
      </c>
      <c r="BB406" s="61">
        <v>101</v>
      </c>
      <c r="BC406" s="61">
        <v>100</v>
      </c>
      <c r="BD406" s="96">
        <f t="shared" si="40"/>
        <v>292.49233333333336</v>
      </c>
      <c r="BE406" s="96">
        <f t="shared" si="41"/>
        <v>289.60877777777773</v>
      </c>
      <c r="BF406" s="61">
        <v>5.48</v>
      </c>
      <c r="BG406" s="61">
        <v>5.69</v>
      </c>
      <c r="BH406" s="61">
        <v>15.5</v>
      </c>
      <c r="BI406" s="61">
        <v>16.2</v>
      </c>
      <c r="BJ406" s="61">
        <v>46.5</v>
      </c>
      <c r="BK406" s="61">
        <v>46.3</v>
      </c>
      <c r="BL406" s="61">
        <v>84.9</v>
      </c>
      <c r="BM406" s="61">
        <v>81.400000000000006</v>
      </c>
      <c r="BN406" s="61">
        <v>28.3</v>
      </c>
      <c r="BO406" s="61">
        <v>28.5</v>
      </c>
      <c r="BP406" s="61">
        <v>33.299999999999997</v>
      </c>
      <c r="BQ406" s="61">
        <v>35</v>
      </c>
      <c r="BR406" s="61">
        <v>277</v>
      </c>
      <c r="BS406" s="61">
        <v>407</v>
      </c>
      <c r="BT406" s="61">
        <v>12.6</v>
      </c>
      <c r="BU406" s="61">
        <v>12.8</v>
      </c>
      <c r="BV406" s="61" t="s">
        <v>94</v>
      </c>
      <c r="BW406" s="61" t="s">
        <v>94</v>
      </c>
      <c r="BX406" s="61">
        <v>9.16</v>
      </c>
      <c r="BY406" s="61">
        <v>16.46</v>
      </c>
      <c r="BZ406" s="61">
        <v>68.2</v>
      </c>
      <c r="CA406" s="61">
        <v>73.099999999999994</v>
      </c>
      <c r="CB406" s="61">
        <v>20.100000000000001</v>
      </c>
      <c r="CC406" s="61">
        <v>18.5</v>
      </c>
      <c r="CD406" s="61">
        <v>7.8</v>
      </c>
      <c r="CE406" s="61">
        <v>7.9</v>
      </c>
      <c r="CF406" s="61">
        <v>3.1</v>
      </c>
      <c r="CG406" s="61">
        <v>0</v>
      </c>
      <c r="CH406" s="61">
        <v>0.8</v>
      </c>
      <c r="CI406" s="61">
        <v>0.5</v>
      </c>
      <c r="CJ406" s="86" t="b">
        <f t="shared" si="42"/>
        <v>0</v>
      </c>
      <c r="CK406" s="2" t="b">
        <f t="shared" si="43"/>
        <v>0</v>
      </c>
      <c r="CL406" s="98">
        <f t="shared" si="44"/>
        <v>74.301159999999996</v>
      </c>
      <c r="CM406" s="61">
        <v>91.1</v>
      </c>
      <c r="CN406" s="61">
        <v>181.5</v>
      </c>
      <c r="CO406" s="96" t="s">
        <v>161</v>
      </c>
      <c r="CP406" s="61">
        <v>70</v>
      </c>
      <c r="CQ406" s="61">
        <v>66</v>
      </c>
      <c r="CR406" s="61" t="s">
        <v>162</v>
      </c>
    </row>
    <row r="407" spans="1:96" ht="15.75" customHeight="1">
      <c r="A407" s="83">
        <v>2023</v>
      </c>
      <c r="B407" s="83" t="s">
        <v>187</v>
      </c>
      <c r="C407" s="61">
        <v>3340</v>
      </c>
      <c r="D407" s="52">
        <v>29</v>
      </c>
      <c r="E407" s="178">
        <v>83.5</v>
      </c>
      <c r="F407" s="301">
        <v>2</v>
      </c>
      <c r="G407" s="369" t="s">
        <v>86</v>
      </c>
      <c r="H407" s="369" t="s">
        <v>92</v>
      </c>
      <c r="I407" s="369" t="s">
        <v>84</v>
      </c>
      <c r="J407" s="369" t="s">
        <v>206</v>
      </c>
      <c r="K407" s="369">
        <v>87.5</v>
      </c>
      <c r="L407" s="369">
        <v>12.5</v>
      </c>
      <c r="M407" s="368">
        <v>135</v>
      </c>
      <c r="N407" s="61">
        <v>476</v>
      </c>
      <c r="O407" s="61" t="s">
        <v>94</v>
      </c>
      <c r="P407" s="61" t="s">
        <v>94</v>
      </c>
      <c r="Q407" s="61" t="s">
        <v>94</v>
      </c>
      <c r="R407" s="61" t="s">
        <v>94</v>
      </c>
      <c r="S407" s="61">
        <v>140</v>
      </c>
      <c r="T407" s="61">
        <v>125</v>
      </c>
      <c r="U407" s="61">
        <v>23</v>
      </c>
      <c r="V407" s="61">
        <v>32</v>
      </c>
      <c r="W407" s="61" t="s">
        <v>94</v>
      </c>
      <c r="X407" s="61" t="s">
        <v>94</v>
      </c>
      <c r="Y407" s="61" t="s">
        <v>94</v>
      </c>
      <c r="Z407" s="61" t="s">
        <v>94</v>
      </c>
      <c r="AA407" s="61" t="s">
        <v>94</v>
      </c>
      <c r="AB407" s="61" t="s">
        <v>94</v>
      </c>
      <c r="AC407" s="61" t="s">
        <v>94</v>
      </c>
      <c r="AD407" s="61" t="s">
        <v>94</v>
      </c>
      <c r="AE407" s="61" t="s">
        <v>94</v>
      </c>
      <c r="AF407" s="61" t="s">
        <v>94</v>
      </c>
      <c r="AG407" s="61">
        <v>26</v>
      </c>
      <c r="AH407" s="61">
        <v>34</v>
      </c>
      <c r="AI407" s="61">
        <v>0.9</v>
      </c>
      <c r="AJ407" s="61">
        <v>1.1000000000000001</v>
      </c>
      <c r="AK407" s="269">
        <f t="shared" si="39"/>
        <v>0.20000000000000007</v>
      </c>
      <c r="AL407" s="61" t="s">
        <v>94</v>
      </c>
      <c r="AM407" s="61" t="s">
        <v>94</v>
      </c>
      <c r="AN407" s="61" t="s">
        <v>94</v>
      </c>
      <c r="AO407" s="61" t="s">
        <v>94</v>
      </c>
      <c r="AP407" s="61" t="s">
        <v>94</v>
      </c>
      <c r="AQ407" s="61" t="s">
        <v>94</v>
      </c>
      <c r="AR407" s="61" t="s">
        <v>94</v>
      </c>
      <c r="AS407" s="61" t="s">
        <v>94</v>
      </c>
      <c r="AT407" s="61">
        <v>4.4000000000000004</v>
      </c>
      <c r="AU407" s="61">
        <v>3.8</v>
      </c>
      <c r="AV407" s="61">
        <v>88</v>
      </c>
      <c r="AW407" s="61">
        <v>91</v>
      </c>
      <c r="AX407" s="61">
        <v>137</v>
      </c>
      <c r="AY407" s="61">
        <v>140</v>
      </c>
      <c r="AZ407" s="61" t="s">
        <v>94</v>
      </c>
      <c r="BA407" s="61" t="s">
        <v>94</v>
      </c>
      <c r="BB407" s="61">
        <v>99</v>
      </c>
      <c r="BC407" s="61">
        <v>102</v>
      </c>
      <c r="BD407" s="96">
        <f t="shared" si="40"/>
        <v>286.95955555555554</v>
      </c>
      <c r="BE407" s="96">
        <f t="shared" si="41"/>
        <v>292.94855555555557</v>
      </c>
      <c r="BF407" s="96">
        <v>5.4</v>
      </c>
      <c r="BG407" s="61">
        <v>5.52</v>
      </c>
      <c r="BH407" s="61">
        <v>15.3</v>
      </c>
      <c r="BI407" s="61">
        <v>15.6</v>
      </c>
      <c r="BJ407" s="61">
        <v>44.3</v>
      </c>
      <c r="BK407" s="61">
        <v>44.8</v>
      </c>
      <c r="BL407" s="61">
        <v>82</v>
      </c>
      <c r="BM407" s="61">
        <v>81.2</v>
      </c>
      <c r="BN407" s="61">
        <v>28.3</v>
      </c>
      <c r="BO407" s="61">
        <v>28.3</v>
      </c>
      <c r="BP407" s="61">
        <v>34.5</v>
      </c>
      <c r="BQ407" s="61">
        <v>34.799999999999997</v>
      </c>
      <c r="BR407" s="61">
        <v>294</v>
      </c>
      <c r="BS407" s="61">
        <v>362</v>
      </c>
      <c r="BT407" s="61">
        <v>11.6</v>
      </c>
      <c r="BU407" s="61">
        <v>11.7</v>
      </c>
      <c r="BV407" s="61" t="s">
        <v>94</v>
      </c>
      <c r="BW407" s="61" t="s">
        <v>94</v>
      </c>
      <c r="BX407" s="61">
        <v>6.63</v>
      </c>
      <c r="BY407" s="61">
        <v>8.2799999999999994</v>
      </c>
      <c r="BZ407" s="61">
        <v>59.1</v>
      </c>
      <c r="CA407" s="61">
        <v>55.6</v>
      </c>
      <c r="CB407" s="61">
        <v>30.3</v>
      </c>
      <c r="CC407" s="61">
        <v>34.1</v>
      </c>
      <c r="CD407" s="61">
        <v>8</v>
      </c>
      <c r="CE407" s="61">
        <v>8.5</v>
      </c>
      <c r="CF407" s="61">
        <v>1.4</v>
      </c>
      <c r="CG407" s="61">
        <v>1</v>
      </c>
      <c r="CH407" s="61">
        <v>1.2</v>
      </c>
      <c r="CI407" s="61">
        <v>0.8</v>
      </c>
      <c r="CJ407" s="86" t="b">
        <f t="shared" si="42"/>
        <v>0</v>
      </c>
      <c r="CK407" s="2" t="b">
        <f t="shared" si="43"/>
        <v>0</v>
      </c>
      <c r="CL407" s="98">
        <f t="shared" si="44"/>
        <v>76.399559999999994</v>
      </c>
      <c r="CM407" s="98">
        <v>82.8</v>
      </c>
      <c r="CN407" s="98">
        <v>182</v>
      </c>
      <c r="CO407" s="96" t="s">
        <v>163</v>
      </c>
      <c r="CP407" s="98">
        <v>56</v>
      </c>
      <c r="CQ407" s="98">
        <v>59</v>
      </c>
      <c r="CR407" s="61" t="s">
        <v>164</v>
      </c>
    </row>
    <row r="408" spans="1:96" ht="15.75" customHeight="1">
      <c r="A408" s="83">
        <v>2023</v>
      </c>
      <c r="B408" s="83" t="s">
        <v>187</v>
      </c>
      <c r="C408" s="61">
        <v>3343</v>
      </c>
      <c r="D408" s="52">
        <v>27</v>
      </c>
      <c r="E408" s="178">
        <v>76.2</v>
      </c>
      <c r="F408" s="301">
        <v>2</v>
      </c>
      <c r="G408" s="369" t="s">
        <v>86</v>
      </c>
      <c r="H408" s="369" t="s">
        <v>83</v>
      </c>
      <c r="I408" s="369" t="s">
        <v>87</v>
      </c>
      <c r="J408" s="369">
        <v>0</v>
      </c>
      <c r="K408" s="369">
        <v>50</v>
      </c>
      <c r="L408" s="369">
        <v>50</v>
      </c>
      <c r="M408" s="368">
        <v>260</v>
      </c>
      <c r="N408" s="61">
        <v>5401</v>
      </c>
      <c r="O408" s="61" t="s">
        <v>94</v>
      </c>
      <c r="P408" s="61" t="s">
        <v>94</v>
      </c>
      <c r="Q408" s="61" t="s">
        <v>94</v>
      </c>
      <c r="R408" s="61" t="s">
        <v>94</v>
      </c>
      <c r="S408" s="61">
        <v>186</v>
      </c>
      <c r="T408" s="61">
        <v>159</v>
      </c>
      <c r="U408" s="61">
        <v>26</v>
      </c>
      <c r="V408" s="61">
        <v>106</v>
      </c>
      <c r="W408" s="61" t="s">
        <v>94</v>
      </c>
      <c r="X408" s="61" t="s">
        <v>94</v>
      </c>
      <c r="Y408" s="61" t="s">
        <v>94</v>
      </c>
      <c r="Z408" s="61" t="s">
        <v>94</v>
      </c>
      <c r="AA408" s="61" t="s">
        <v>94</v>
      </c>
      <c r="AB408" s="61" t="s">
        <v>94</v>
      </c>
      <c r="AC408" s="61" t="s">
        <v>94</v>
      </c>
      <c r="AD408" s="61" t="s">
        <v>94</v>
      </c>
      <c r="AE408" s="61" t="s">
        <v>94</v>
      </c>
      <c r="AF408" s="61" t="s">
        <v>94</v>
      </c>
      <c r="AG408" s="61">
        <v>43</v>
      </c>
      <c r="AH408" s="61">
        <v>45</v>
      </c>
      <c r="AI408" s="61">
        <v>1</v>
      </c>
      <c r="AJ408" s="61">
        <v>1.3</v>
      </c>
      <c r="AK408" s="269">
        <f t="shared" si="39"/>
        <v>0.30000000000000004</v>
      </c>
      <c r="AL408" s="61" t="s">
        <v>94</v>
      </c>
      <c r="AM408" s="61" t="s">
        <v>94</v>
      </c>
      <c r="AN408" s="61" t="s">
        <v>94</v>
      </c>
      <c r="AO408" s="61" t="s">
        <v>94</v>
      </c>
      <c r="AP408" s="61" t="s">
        <v>94</v>
      </c>
      <c r="AQ408" s="61" t="s">
        <v>94</v>
      </c>
      <c r="AR408" s="61" t="s">
        <v>94</v>
      </c>
      <c r="AS408" s="61" t="s">
        <v>94</v>
      </c>
      <c r="AT408" s="61">
        <v>4.2</v>
      </c>
      <c r="AU408" s="61">
        <v>4.2</v>
      </c>
      <c r="AV408" s="61">
        <v>110</v>
      </c>
      <c r="AW408" s="61">
        <v>113</v>
      </c>
      <c r="AX408" s="61">
        <v>142</v>
      </c>
      <c r="AY408" s="61">
        <v>137</v>
      </c>
      <c r="AZ408" s="61" t="s">
        <v>94</v>
      </c>
      <c r="BA408" s="61" t="s">
        <v>94</v>
      </c>
      <c r="BB408" s="61">
        <v>102</v>
      </c>
      <c r="BC408" s="61">
        <v>97</v>
      </c>
      <c r="BD408" s="96">
        <f t="shared" si="40"/>
        <v>300.12644444444447</v>
      </c>
      <c r="BE408" s="96">
        <f t="shared" si="41"/>
        <v>291.35144444444444</v>
      </c>
      <c r="BF408" s="61">
        <v>5.77</v>
      </c>
      <c r="BG408" s="61">
        <v>5.95</v>
      </c>
      <c r="BH408" s="61">
        <v>15</v>
      </c>
      <c r="BI408" s="61">
        <v>15.5</v>
      </c>
      <c r="BJ408" s="61">
        <v>47.9</v>
      </c>
      <c r="BK408" s="61">
        <v>48</v>
      </c>
      <c r="BL408" s="61">
        <v>83</v>
      </c>
      <c r="BM408" s="61">
        <v>80.7</v>
      </c>
      <c r="BN408" s="61">
        <v>26</v>
      </c>
      <c r="BO408" s="61">
        <v>26.1</v>
      </c>
      <c r="BP408" s="61">
        <v>31.3</v>
      </c>
      <c r="BQ408" s="61">
        <v>32.299999999999997</v>
      </c>
      <c r="BR408" s="61">
        <v>223</v>
      </c>
      <c r="BS408" s="61">
        <v>298</v>
      </c>
      <c r="BT408" s="61">
        <v>12.7</v>
      </c>
      <c r="BU408" s="61">
        <v>13</v>
      </c>
      <c r="BV408" s="61" t="s">
        <v>94</v>
      </c>
      <c r="BW408" s="61" t="s">
        <v>94</v>
      </c>
      <c r="BX408" s="61">
        <v>8.61</v>
      </c>
      <c r="BY408" s="61">
        <v>8.2799999999999994</v>
      </c>
      <c r="BZ408" s="61">
        <v>59.5</v>
      </c>
      <c r="CA408" s="61">
        <v>70.7</v>
      </c>
      <c r="CB408" s="61">
        <v>31.5</v>
      </c>
      <c r="CC408" s="61">
        <v>20.6</v>
      </c>
      <c r="CD408" s="61">
        <v>6.7</v>
      </c>
      <c r="CE408" s="61">
        <v>8.3000000000000007</v>
      </c>
      <c r="CF408" s="61">
        <v>2</v>
      </c>
      <c r="CG408" s="61">
        <v>0.1</v>
      </c>
      <c r="CH408" s="61">
        <v>0.3</v>
      </c>
      <c r="CI408" s="61">
        <v>0.3</v>
      </c>
      <c r="CJ408" s="86" t="b">
        <f t="shared" si="42"/>
        <v>1</v>
      </c>
      <c r="CK408" s="2" t="b">
        <f t="shared" si="43"/>
        <v>1</v>
      </c>
      <c r="CL408" s="98">
        <f t="shared" si="44"/>
        <v>65.795109999999994</v>
      </c>
      <c r="CM408" s="98">
        <v>75.099999999999994</v>
      </c>
      <c r="CN408" s="98">
        <v>170</v>
      </c>
      <c r="CO408" s="96" t="s">
        <v>94</v>
      </c>
      <c r="CP408" s="98">
        <v>48</v>
      </c>
      <c r="CQ408" s="98">
        <v>60</v>
      </c>
      <c r="CR408" s="61" t="s">
        <v>165</v>
      </c>
    </row>
    <row r="409" spans="1:96" ht="15.75" customHeight="1">
      <c r="A409" s="83">
        <v>2023</v>
      </c>
      <c r="B409" s="83" t="s">
        <v>187</v>
      </c>
      <c r="C409" s="61">
        <v>3347</v>
      </c>
      <c r="D409" s="52">
        <v>28</v>
      </c>
      <c r="E409" s="178">
        <v>84.7</v>
      </c>
      <c r="F409" s="301">
        <v>2</v>
      </c>
      <c r="G409" s="369" t="s">
        <v>86</v>
      </c>
      <c r="H409" s="369" t="s">
        <v>92</v>
      </c>
      <c r="I409" s="369" t="s">
        <v>84</v>
      </c>
      <c r="J409" s="369">
        <v>0</v>
      </c>
      <c r="K409" s="369">
        <v>75</v>
      </c>
      <c r="L409" s="369">
        <v>25</v>
      </c>
      <c r="M409" s="368">
        <v>210</v>
      </c>
      <c r="N409" s="61">
        <v>997</v>
      </c>
      <c r="O409" s="61" t="s">
        <v>94</v>
      </c>
      <c r="P409" s="61" t="s">
        <v>94</v>
      </c>
      <c r="Q409" s="61" t="s">
        <v>94</v>
      </c>
      <c r="R409" s="61" t="s">
        <v>94</v>
      </c>
      <c r="S409" s="61">
        <v>158</v>
      </c>
      <c r="T409" s="61">
        <v>148</v>
      </c>
      <c r="U409" s="61">
        <v>28</v>
      </c>
      <c r="V409" s="61">
        <v>53</v>
      </c>
      <c r="W409" s="61" t="s">
        <v>94</v>
      </c>
      <c r="X409" s="61" t="s">
        <v>94</v>
      </c>
      <c r="Y409" s="61" t="s">
        <v>94</v>
      </c>
      <c r="Z409" s="61" t="s">
        <v>94</v>
      </c>
      <c r="AA409" s="61" t="s">
        <v>94</v>
      </c>
      <c r="AB409" s="61" t="s">
        <v>94</v>
      </c>
      <c r="AC409" s="61" t="s">
        <v>94</v>
      </c>
      <c r="AD409" s="61" t="s">
        <v>94</v>
      </c>
      <c r="AE409" s="61" t="s">
        <v>94</v>
      </c>
      <c r="AF409" s="61" t="s">
        <v>94</v>
      </c>
      <c r="AG409" s="61">
        <v>33</v>
      </c>
      <c r="AH409" s="61">
        <v>35</v>
      </c>
      <c r="AI409" s="61">
        <v>1</v>
      </c>
      <c r="AJ409" s="61">
        <v>1.4</v>
      </c>
      <c r="AK409" s="269">
        <f t="shared" si="39"/>
        <v>0.39999999999999991</v>
      </c>
      <c r="AL409" s="61" t="s">
        <v>94</v>
      </c>
      <c r="AM409" s="61" t="s">
        <v>94</v>
      </c>
      <c r="AN409" s="61" t="s">
        <v>94</v>
      </c>
      <c r="AO409" s="61" t="s">
        <v>94</v>
      </c>
      <c r="AP409" s="61" t="s">
        <v>94</v>
      </c>
      <c r="AQ409" s="61" t="s">
        <v>94</v>
      </c>
      <c r="AR409" s="61" t="s">
        <v>94</v>
      </c>
      <c r="AS409" s="61" t="s">
        <v>94</v>
      </c>
      <c r="AT409" s="61">
        <v>4.2</v>
      </c>
      <c r="AU409" s="61">
        <v>3.8</v>
      </c>
      <c r="AV409" s="61">
        <v>81</v>
      </c>
      <c r="AW409" s="61">
        <v>115</v>
      </c>
      <c r="AX409" s="61">
        <v>138</v>
      </c>
      <c r="AY409" s="61">
        <v>141</v>
      </c>
      <c r="AZ409" s="61" t="s">
        <v>94</v>
      </c>
      <c r="BA409" s="61" t="s">
        <v>94</v>
      </c>
      <c r="BB409" s="61">
        <v>99</v>
      </c>
      <c r="BC409" s="61">
        <v>103</v>
      </c>
      <c r="BD409" s="96">
        <f t="shared" si="40"/>
        <v>289.16700000000003</v>
      </c>
      <c r="BE409" s="96">
        <f t="shared" si="41"/>
        <v>296.50855555555557</v>
      </c>
      <c r="BF409" s="61">
        <v>5.22</v>
      </c>
      <c r="BG409" s="61">
        <v>5.19</v>
      </c>
      <c r="BH409" s="61">
        <v>15</v>
      </c>
      <c r="BI409" s="61">
        <v>14.8</v>
      </c>
      <c r="BJ409" s="61">
        <v>44.7</v>
      </c>
      <c r="BK409" s="61">
        <v>43</v>
      </c>
      <c r="BL409" s="61">
        <v>85.6</v>
      </c>
      <c r="BM409" s="61">
        <v>82.9</v>
      </c>
      <c r="BN409" s="61">
        <v>28.7</v>
      </c>
      <c r="BO409" s="61">
        <v>28.5</v>
      </c>
      <c r="BP409" s="61">
        <v>33.6</v>
      </c>
      <c r="BQ409" s="61">
        <v>34.4</v>
      </c>
      <c r="BR409" s="61">
        <v>326</v>
      </c>
      <c r="BS409" s="61">
        <v>353</v>
      </c>
      <c r="BT409" s="61">
        <v>12.4</v>
      </c>
      <c r="BU409" s="61">
        <v>12.6</v>
      </c>
      <c r="BV409" s="61" t="s">
        <v>94</v>
      </c>
      <c r="BW409" s="61" t="s">
        <v>94</v>
      </c>
      <c r="BX409" s="61">
        <v>5.45</v>
      </c>
      <c r="BY409" s="61">
        <v>15.77</v>
      </c>
      <c r="BZ409" s="61">
        <v>44.6</v>
      </c>
      <c r="CA409" s="61">
        <v>52.3</v>
      </c>
      <c r="CB409" s="61">
        <v>41.8</v>
      </c>
      <c r="CC409" s="61">
        <v>36.299999999999997</v>
      </c>
      <c r="CD409" s="61">
        <v>9</v>
      </c>
      <c r="CE409" s="61">
        <v>10.4</v>
      </c>
      <c r="CF409" s="61">
        <v>3.9</v>
      </c>
      <c r="CG409" s="61">
        <v>0.6</v>
      </c>
      <c r="CH409" s="61">
        <v>0.7</v>
      </c>
      <c r="CI409" s="61">
        <v>0.4</v>
      </c>
      <c r="CJ409" s="86" t="b">
        <f t="shared" si="42"/>
        <v>1</v>
      </c>
      <c r="CK409" s="2" t="b">
        <f t="shared" si="43"/>
        <v>0</v>
      </c>
      <c r="CL409" s="98">
        <f t="shared" si="44"/>
        <v>74.264600000000002</v>
      </c>
      <c r="CM409" s="159">
        <v>82.7</v>
      </c>
      <c r="CN409" s="159">
        <v>179.5</v>
      </c>
      <c r="CO409" s="96" t="s">
        <v>166</v>
      </c>
      <c r="CP409" s="159">
        <v>58</v>
      </c>
      <c r="CQ409" s="159">
        <v>52</v>
      </c>
      <c r="CR409" s="61" t="s">
        <v>167</v>
      </c>
    </row>
    <row r="410" spans="1:96" ht="15.75" customHeight="1">
      <c r="A410" s="83">
        <v>2023</v>
      </c>
      <c r="B410" s="83" t="s">
        <v>187</v>
      </c>
      <c r="C410" s="61">
        <v>3348</v>
      </c>
      <c r="D410" s="52">
        <v>29</v>
      </c>
      <c r="E410" s="178">
        <v>81.400000000000006</v>
      </c>
      <c r="F410" s="301">
        <v>2</v>
      </c>
      <c r="G410" s="369" t="s">
        <v>86</v>
      </c>
      <c r="H410" s="369" t="s">
        <v>90</v>
      </c>
      <c r="I410" s="369" t="s">
        <v>84</v>
      </c>
      <c r="J410" s="369" t="s">
        <v>206</v>
      </c>
      <c r="K410" s="369">
        <v>62.5</v>
      </c>
      <c r="L410" s="369">
        <v>37.5</v>
      </c>
      <c r="M410" s="368">
        <v>71</v>
      </c>
      <c r="N410" s="61">
        <v>180</v>
      </c>
      <c r="O410" s="61" t="s">
        <v>94</v>
      </c>
      <c r="P410" s="61" t="s">
        <v>94</v>
      </c>
      <c r="Q410" s="61" t="s">
        <v>94</v>
      </c>
      <c r="R410" s="61" t="s">
        <v>94</v>
      </c>
      <c r="S410" s="61">
        <v>213</v>
      </c>
      <c r="T410" s="61">
        <v>173</v>
      </c>
      <c r="U410" s="61">
        <v>21</v>
      </c>
      <c r="V410" s="61">
        <v>24</v>
      </c>
      <c r="W410" s="61" t="s">
        <v>94</v>
      </c>
      <c r="X410" s="61" t="s">
        <v>94</v>
      </c>
      <c r="Y410" s="61" t="s">
        <v>94</v>
      </c>
      <c r="Z410" s="61" t="s">
        <v>94</v>
      </c>
      <c r="AA410" s="61" t="s">
        <v>94</v>
      </c>
      <c r="AB410" s="61" t="s">
        <v>94</v>
      </c>
      <c r="AC410" s="61" t="s">
        <v>94</v>
      </c>
      <c r="AD410" s="61" t="s">
        <v>94</v>
      </c>
      <c r="AE410" s="61" t="s">
        <v>94</v>
      </c>
      <c r="AF410" s="61" t="s">
        <v>94</v>
      </c>
      <c r="AG410" s="61">
        <v>25</v>
      </c>
      <c r="AH410" s="61">
        <v>39</v>
      </c>
      <c r="AI410" s="61">
        <v>0.7</v>
      </c>
      <c r="AJ410" s="61">
        <v>0.9</v>
      </c>
      <c r="AK410" s="269">
        <f t="shared" si="39"/>
        <v>0.20000000000000007</v>
      </c>
      <c r="AL410" s="61" t="s">
        <v>94</v>
      </c>
      <c r="AM410" s="61" t="s">
        <v>94</v>
      </c>
      <c r="AN410" s="61" t="s">
        <v>94</v>
      </c>
      <c r="AO410" s="61" t="s">
        <v>94</v>
      </c>
      <c r="AP410" s="61" t="s">
        <v>94</v>
      </c>
      <c r="AQ410" s="61" t="s">
        <v>94</v>
      </c>
      <c r="AR410" s="61" t="s">
        <v>94</v>
      </c>
      <c r="AS410" s="61" t="s">
        <v>94</v>
      </c>
      <c r="AT410" s="61">
        <v>4.3</v>
      </c>
      <c r="AU410" s="61">
        <v>3.8</v>
      </c>
      <c r="AV410" s="61">
        <v>83</v>
      </c>
      <c r="AW410" s="61">
        <v>86</v>
      </c>
      <c r="AX410" s="61">
        <v>142</v>
      </c>
      <c r="AY410" s="61">
        <v>141</v>
      </c>
      <c r="AZ410" s="61" t="s">
        <v>94</v>
      </c>
      <c r="BA410" s="61" t="s">
        <v>94</v>
      </c>
      <c r="BB410" s="61">
        <v>104</v>
      </c>
      <c r="BC410" s="61">
        <v>102</v>
      </c>
      <c r="BD410" s="96">
        <f t="shared" si="40"/>
        <v>295.58744444444454</v>
      </c>
      <c r="BE410" s="96">
        <f t="shared" si="41"/>
        <v>295.3224444444445</v>
      </c>
      <c r="BF410" s="61">
        <v>4.51</v>
      </c>
      <c r="BG410" s="96">
        <v>5.7</v>
      </c>
      <c r="BH410" s="61">
        <v>13.1</v>
      </c>
      <c r="BI410" s="61">
        <v>16.600000000000001</v>
      </c>
      <c r="BJ410" s="61">
        <v>37.4</v>
      </c>
      <c r="BK410" s="61">
        <v>46.9</v>
      </c>
      <c r="BL410" s="61">
        <v>82.9</v>
      </c>
      <c r="BM410" s="61">
        <v>82.3</v>
      </c>
      <c r="BN410" s="61">
        <v>29</v>
      </c>
      <c r="BO410" s="61">
        <v>29.1</v>
      </c>
      <c r="BP410" s="61">
        <v>35</v>
      </c>
      <c r="BQ410" s="61">
        <v>35.4</v>
      </c>
      <c r="BR410" s="61">
        <v>130</v>
      </c>
      <c r="BS410" s="61">
        <v>261</v>
      </c>
      <c r="BT410" s="61">
        <v>11.9</v>
      </c>
      <c r="BU410" s="61">
        <v>12.6</v>
      </c>
      <c r="BV410" s="61" t="s">
        <v>94</v>
      </c>
      <c r="BW410" s="61" t="s">
        <v>94</v>
      </c>
      <c r="BX410" s="96">
        <v>4.9000000000000004</v>
      </c>
      <c r="BY410" s="61">
        <v>11.69</v>
      </c>
      <c r="BZ410" s="61">
        <v>57.4</v>
      </c>
      <c r="CA410" s="61">
        <v>57.5</v>
      </c>
      <c r="CB410" s="61">
        <v>31</v>
      </c>
      <c r="CC410" s="61">
        <v>31.4</v>
      </c>
      <c r="CD410" s="61">
        <v>8.8000000000000007</v>
      </c>
      <c r="CE410" s="61">
        <v>9.9</v>
      </c>
      <c r="CF410" s="61">
        <v>2</v>
      </c>
      <c r="CG410" s="61">
        <v>0.7</v>
      </c>
      <c r="CH410" s="61">
        <v>0.8</v>
      </c>
      <c r="CI410" s="61">
        <v>0.5</v>
      </c>
      <c r="CJ410" s="86" t="b">
        <f t="shared" si="42"/>
        <v>0</v>
      </c>
      <c r="CK410" s="2" t="b">
        <f t="shared" si="43"/>
        <v>0</v>
      </c>
      <c r="CL410" s="98">
        <f t="shared" si="44"/>
        <v>70.179900000000004</v>
      </c>
      <c r="CM410" s="61">
        <v>80.5</v>
      </c>
      <c r="CN410" s="61">
        <v>181</v>
      </c>
      <c r="CO410" s="96" t="s">
        <v>168</v>
      </c>
      <c r="CP410" s="61">
        <v>60</v>
      </c>
      <c r="CQ410" s="61">
        <v>50</v>
      </c>
      <c r="CR410" s="61" t="s">
        <v>169</v>
      </c>
    </row>
    <row r="411" spans="1:96" ht="13.5" customHeight="1">
      <c r="A411" s="83">
        <v>2023</v>
      </c>
      <c r="B411" s="83" t="s">
        <v>187</v>
      </c>
      <c r="C411" s="61">
        <v>3350</v>
      </c>
      <c r="D411" s="52">
        <v>29</v>
      </c>
      <c r="E411" s="178">
        <v>82.7</v>
      </c>
      <c r="F411" s="301">
        <v>2</v>
      </c>
      <c r="G411" s="369" t="s">
        <v>86</v>
      </c>
      <c r="H411" s="369" t="s">
        <v>92</v>
      </c>
      <c r="I411" s="369" t="s">
        <v>87</v>
      </c>
      <c r="J411" s="369">
        <v>0</v>
      </c>
      <c r="K411" s="369">
        <v>62.5</v>
      </c>
      <c r="L411" s="369">
        <v>37.5</v>
      </c>
      <c r="M411" s="368">
        <v>139</v>
      </c>
      <c r="N411" s="61">
        <v>2190</v>
      </c>
      <c r="O411" s="61" t="s">
        <v>94</v>
      </c>
      <c r="P411" s="61" t="s">
        <v>94</v>
      </c>
      <c r="Q411" s="61" t="s">
        <v>94</v>
      </c>
      <c r="R411" s="61" t="s">
        <v>94</v>
      </c>
      <c r="S411" s="61">
        <v>260</v>
      </c>
      <c r="T411" s="61">
        <v>305</v>
      </c>
      <c r="U411" s="61">
        <v>33</v>
      </c>
      <c r="V411" s="61">
        <v>106</v>
      </c>
      <c r="W411" s="61" t="s">
        <v>94</v>
      </c>
      <c r="X411" s="61" t="s">
        <v>94</v>
      </c>
      <c r="Y411" s="61" t="s">
        <v>94</v>
      </c>
      <c r="Z411" s="61" t="s">
        <v>94</v>
      </c>
      <c r="AA411" s="61" t="s">
        <v>94</v>
      </c>
      <c r="AB411" s="61" t="s">
        <v>94</v>
      </c>
      <c r="AC411" s="61" t="s">
        <v>94</v>
      </c>
      <c r="AD411" s="61" t="s">
        <v>94</v>
      </c>
      <c r="AE411" s="61" t="s">
        <v>94</v>
      </c>
      <c r="AF411" s="61" t="s">
        <v>94</v>
      </c>
      <c r="AG411" s="61">
        <v>27</v>
      </c>
      <c r="AH411" s="61">
        <v>51</v>
      </c>
      <c r="AI411" s="61">
        <v>0.6</v>
      </c>
      <c r="AJ411" s="61">
        <v>1.2</v>
      </c>
      <c r="AK411" s="269">
        <f t="shared" si="39"/>
        <v>0.6</v>
      </c>
      <c r="AL411" s="61" t="s">
        <v>94</v>
      </c>
      <c r="AM411" s="61" t="s">
        <v>94</v>
      </c>
      <c r="AN411" s="61" t="s">
        <v>94</v>
      </c>
      <c r="AO411" s="61" t="s">
        <v>94</v>
      </c>
      <c r="AP411" s="61" t="s">
        <v>94</v>
      </c>
      <c r="AQ411" s="61" t="s">
        <v>94</v>
      </c>
      <c r="AR411" s="61" t="s">
        <v>94</v>
      </c>
      <c r="AS411" s="61" t="s">
        <v>94</v>
      </c>
      <c r="AT411" s="61">
        <v>3.7</v>
      </c>
      <c r="AU411" s="61">
        <v>4.7</v>
      </c>
      <c r="AV411" s="61">
        <v>83</v>
      </c>
      <c r="AW411" s="61">
        <v>104</v>
      </c>
      <c r="AX411" s="61">
        <v>138</v>
      </c>
      <c r="AY411" s="61">
        <v>137</v>
      </c>
      <c r="AZ411" s="61" t="s">
        <v>94</v>
      </c>
      <c r="BA411" s="61" t="s">
        <v>94</v>
      </c>
      <c r="BB411" s="61">
        <v>100</v>
      </c>
      <c r="BC411" s="61">
        <v>95</v>
      </c>
      <c r="BD411" s="96">
        <f t="shared" si="40"/>
        <v>287.36477777777782</v>
      </c>
      <c r="BE411" s="96">
        <f t="shared" si="41"/>
        <v>292.70644444444446</v>
      </c>
      <c r="BF411" s="61">
        <v>4.71</v>
      </c>
      <c r="BG411" s="61">
        <v>5.44</v>
      </c>
      <c r="BH411" s="61">
        <v>13.2</v>
      </c>
      <c r="BI411" s="61">
        <v>15.1</v>
      </c>
      <c r="BJ411" s="61">
        <v>39.299999999999997</v>
      </c>
      <c r="BK411" s="61">
        <v>44.8</v>
      </c>
      <c r="BL411" s="61">
        <v>83.4</v>
      </c>
      <c r="BM411" s="61">
        <v>82.4</v>
      </c>
      <c r="BN411" s="61">
        <v>28</v>
      </c>
      <c r="BO411" s="61">
        <v>27.8</v>
      </c>
      <c r="BP411" s="61">
        <v>33.6</v>
      </c>
      <c r="BQ411" s="61">
        <v>33.700000000000003</v>
      </c>
      <c r="BR411" s="61">
        <v>187</v>
      </c>
      <c r="BS411" s="61">
        <v>397</v>
      </c>
      <c r="BT411" s="61">
        <v>12.3</v>
      </c>
      <c r="BU411" s="61">
        <v>11.9</v>
      </c>
      <c r="BV411" s="61" t="s">
        <v>94</v>
      </c>
      <c r="BW411" s="61" t="s">
        <v>94</v>
      </c>
      <c r="BX411" s="61">
        <v>7.57</v>
      </c>
      <c r="BY411" s="61">
        <v>9.16</v>
      </c>
      <c r="BZ411" s="61">
        <v>19.100000000000001</v>
      </c>
      <c r="CA411" s="61">
        <v>42.4</v>
      </c>
      <c r="CB411" s="61">
        <v>69.599999999999994</v>
      </c>
      <c r="CC411" s="61">
        <v>48.8</v>
      </c>
      <c r="CD411" s="61">
        <v>8.6999999999999993</v>
      </c>
      <c r="CE411" s="61">
        <v>7.8</v>
      </c>
      <c r="CF411" s="61">
        <v>1.7</v>
      </c>
      <c r="CG411" s="61">
        <v>0.5</v>
      </c>
      <c r="CH411" s="61">
        <v>0.9</v>
      </c>
      <c r="CI411" s="61">
        <v>0.5</v>
      </c>
      <c r="CJ411" s="86" t="b">
        <f t="shared" si="42"/>
        <v>1</v>
      </c>
      <c r="CK411" s="2" t="b">
        <f t="shared" si="43"/>
        <v>1</v>
      </c>
      <c r="CL411" s="98">
        <f t="shared" si="44"/>
        <v>75.160799999999995</v>
      </c>
      <c r="CM411" s="61">
        <v>85.8</v>
      </c>
      <c r="CN411" s="61">
        <v>178</v>
      </c>
      <c r="CO411" s="96" t="s">
        <v>170</v>
      </c>
      <c r="CP411" s="61">
        <v>55</v>
      </c>
      <c r="CQ411" s="61">
        <v>56</v>
      </c>
      <c r="CR411" s="61" t="s">
        <v>171</v>
      </c>
    </row>
    <row r="412" spans="1:96" ht="15.75" customHeight="1">
      <c r="D412" s="1"/>
      <c r="F412" s="1"/>
      <c r="CL412" s="11"/>
      <c r="CM412" s="11"/>
      <c r="CN412" s="11"/>
      <c r="CO412" s="11"/>
      <c r="CP412" s="11"/>
      <c r="CQ412" s="11"/>
      <c r="CR412" s="11"/>
    </row>
    <row r="413" spans="1:96" ht="15.75" customHeight="1">
      <c r="D413" s="1"/>
      <c r="F413" s="1"/>
      <c r="CL413" s="11"/>
      <c r="CM413" s="11"/>
      <c r="CN413" s="11"/>
      <c r="CO413" s="11"/>
      <c r="CP413" s="11"/>
      <c r="CQ413" s="11"/>
      <c r="CR413" s="11"/>
    </row>
    <row r="414" spans="1:96" ht="15.75" customHeight="1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CL414" s="11"/>
      <c r="CM414" s="11"/>
      <c r="CN414" s="11"/>
      <c r="CO414" s="11"/>
      <c r="CP414" s="11"/>
      <c r="CQ414" s="11"/>
      <c r="CR414" s="11"/>
    </row>
    <row r="415" spans="1:96" ht="15.75" customHeight="1">
      <c r="D415" s="1"/>
      <c r="E415" s="13"/>
      <c r="F415" s="13"/>
      <c r="G415" s="1"/>
      <c r="H415" s="1"/>
      <c r="I415" s="1"/>
      <c r="J415" s="1"/>
      <c r="K415" s="1"/>
      <c r="L415" s="1"/>
      <c r="M415" s="1"/>
      <c r="N415" s="1"/>
      <c r="O415" s="365"/>
      <c r="CL415" s="11"/>
      <c r="CM415" s="11"/>
      <c r="CN415" s="11"/>
      <c r="CO415" s="11"/>
      <c r="CP415" s="11"/>
      <c r="CQ415" s="11"/>
      <c r="CR415" s="11"/>
    </row>
    <row r="416" spans="1:96" ht="15.75" customHeight="1">
      <c r="D416" s="1"/>
      <c r="E416" s="13"/>
      <c r="F416" s="13"/>
      <c r="G416" s="1"/>
      <c r="H416" s="1"/>
      <c r="I416" s="1"/>
      <c r="J416" s="1"/>
      <c r="K416" s="1"/>
      <c r="L416" s="1"/>
      <c r="M416" s="1"/>
      <c r="N416" s="1"/>
      <c r="O416" s="366"/>
      <c r="CL416" s="11"/>
      <c r="CM416" s="11"/>
      <c r="CN416" s="11"/>
      <c r="CO416" s="11"/>
      <c r="CP416" s="11"/>
      <c r="CQ416" s="11"/>
      <c r="CR416" s="11"/>
    </row>
    <row r="417" spans="4:96" ht="15.75" customHeight="1">
      <c r="D417" s="1"/>
      <c r="E417" s="13"/>
      <c r="F417" s="13"/>
      <c r="G417" s="1"/>
      <c r="H417" s="1"/>
      <c r="I417" s="365"/>
      <c r="J417" s="365"/>
      <c r="K417" s="365"/>
      <c r="L417" s="365"/>
      <c r="M417" s="365"/>
      <c r="N417" s="365"/>
      <c r="O417" s="365"/>
      <c r="CL417" s="11"/>
      <c r="CM417" s="11"/>
      <c r="CN417" s="11"/>
      <c r="CO417" s="11"/>
      <c r="CP417" s="11"/>
      <c r="CQ417" s="11"/>
      <c r="CR417" s="11"/>
    </row>
    <row r="418" spans="4:96" ht="15.75" customHeight="1">
      <c r="D418" s="1"/>
      <c r="E418" s="13"/>
      <c r="F418" s="13"/>
      <c r="G418" s="1"/>
      <c r="H418" s="1"/>
      <c r="I418" s="366"/>
      <c r="J418" s="366"/>
      <c r="K418" s="366"/>
      <c r="L418" s="366"/>
      <c r="M418" s="366"/>
      <c r="N418" s="366"/>
      <c r="O418" s="366"/>
      <c r="CL418" s="11"/>
      <c r="CM418" s="11"/>
      <c r="CN418" s="11"/>
      <c r="CO418" s="11"/>
      <c r="CP418" s="11"/>
      <c r="CQ418" s="11"/>
      <c r="CR418" s="11"/>
    </row>
    <row r="419" spans="4:96" ht="15.75" customHeight="1">
      <c r="D419" s="1"/>
      <c r="E419" s="13"/>
      <c r="F419" s="14"/>
      <c r="G419" s="1"/>
      <c r="H419" s="1"/>
      <c r="I419" s="12"/>
      <c r="J419" s="1"/>
      <c r="K419" s="1"/>
      <c r="L419" s="1"/>
      <c r="M419" s="1"/>
      <c r="N419" s="1"/>
      <c r="O419" s="1"/>
      <c r="CL419" s="11"/>
      <c r="CM419" s="11"/>
      <c r="CN419" s="11"/>
      <c r="CO419" s="11"/>
      <c r="CP419" s="11"/>
      <c r="CQ419" s="11"/>
      <c r="CR419" s="11"/>
    </row>
    <row r="420" spans="4:96" ht="15.75" customHeight="1">
      <c r="E420" s="13"/>
      <c r="F420" s="13"/>
      <c r="G420" s="1"/>
      <c r="H420" s="1"/>
      <c r="I420" s="12"/>
      <c r="J420" s="1"/>
      <c r="K420" s="1"/>
      <c r="L420" s="1"/>
      <c r="M420" s="1"/>
      <c r="N420" s="1"/>
      <c r="O420" s="1"/>
      <c r="CL420" s="11"/>
      <c r="CM420" s="11"/>
      <c r="CN420" s="11"/>
      <c r="CO420" s="11"/>
      <c r="CP420" s="11"/>
      <c r="CQ420" s="11"/>
      <c r="CR420" s="11"/>
    </row>
    <row r="421" spans="4:96" ht="15.75" customHeight="1">
      <c r="E421" s="13"/>
      <c r="F421" s="14"/>
      <c r="G421" s="1"/>
      <c r="H421" s="1"/>
      <c r="I421" s="15"/>
      <c r="J421" s="1"/>
      <c r="K421" s="1"/>
      <c r="L421" s="1"/>
      <c r="M421" s="1"/>
      <c r="N421" s="1"/>
      <c r="O421" s="1"/>
      <c r="CL421" s="11"/>
      <c r="CM421" s="11"/>
      <c r="CN421" s="11"/>
      <c r="CO421" s="11"/>
      <c r="CP421" s="11"/>
      <c r="CQ421" s="11"/>
      <c r="CR421" s="11"/>
    </row>
    <row r="422" spans="4:96" ht="15.75" customHeight="1">
      <c r="E422" s="13"/>
      <c r="F422" s="14"/>
      <c r="G422" s="1"/>
      <c r="H422" s="1"/>
      <c r="I422" s="12"/>
      <c r="J422" s="1"/>
      <c r="K422" s="1"/>
      <c r="L422" s="1"/>
      <c r="M422" s="1"/>
      <c r="N422" s="1"/>
      <c r="O422" s="1"/>
      <c r="CL422" s="11"/>
      <c r="CM422" s="11"/>
      <c r="CN422" s="11"/>
      <c r="CO422" s="11"/>
      <c r="CP422" s="11"/>
      <c r="CQ422" s="11"/>
      <c r="CR422" s="11"/>
    </row>
    <row r="423" spans="4:96" ht="15.75" customHeight="1">
      <c r="E423" s="13"/>
      <c r="F423" s="14"/>
      <c r="G423" s="1"/>
      <c r="H423" s="1"/>
      <c r="I423" s="15"/>
      <c r="J423" s="1"/>
      <c r="K423" s="1"/>
      <c r="L423" s="1"/>
      <c r="M423" s="1"/>
      <c r="N423" s="1"/>
      <c r="O423" s="1"/>
      <c r="CL423" s="11"/>
      <c r="CM423" s="11"/>
      <c r="CN423" s="11"/>
      <c r="CO423" s="11"/>
      <c r="CP423" s="11"/>
      <c r="CQ423" s="11"/>
      <c r="CR423" s="11"/>
    </row>
    <row r="424" spans="4:96" ht="15.75" customHeight="1">
      <c r="E424" s="13"/>
      <c r="F424" s="14"/>
      <c r="G424" s="1"/>
      <c r="H424" s="1"/>
      <c r="I424" s="16"/>
      <c r="J424" s="1"/>
      <c r="K424" s="1"/>
      <c r="L424" s="1"/>
      <c r="M424" s="1"/>
      <c r="N424" s="1"/>
      <c r="O424" s="1"/>
      <c r="CL424" s="11"/>
      <c r="CM424" s="11"/>
      <c r="CN424" s="11"/>
      <c r="CO424" s="11"/>
      <c r="CP424" s="11"/>
      <c r="CQ424" s="11"/>
      <c r="CR424" s="11"/>
    </row>
    <row r="425" spans="4:96" ht="15.75" customHeight="1">
      <c r="E425" s="13"/>
      <c r="F425" s="14"/>
      <c r="G425" s="1"/>
      <c r="H425" s="1"/>
      <c r="I425" s="16"/>
      <c r="J425" s="1"/>
      <c r="K425" s="1"/>
      <c r="L425" s="1"/>
      <c r="M425" s="1"/>
      <c r="N425" s="1"/>
      <c r="O425" s="1"/>
      <c r="CL425" s="11"/>
      <c r="CM425" s="11"/>
      <c r="CN425" s="11"/>
      <c r="CO425" s="11"/>
      <c r="CP425" s="11"/>
      <c r="CQ425" s="11"/>
      <c r="CR425" s="11"/>
    </row>
    <row r="426" spans="4:96" ht="15.75" customHeight="1">
      <c r="E426" s="13"/>
      <c r="F426" s="14"/>
      <c r="G426" s="1"/>
      <c r="H426" s="1"/>
      <c r="I426" s="16"/>
      <c r="J426" s="1"/>
      <c r="K426" s="1"/>
      <c r="L426" s="1"/>
      <c r="M426" s="1"/>
      <c r="N426" s="1"/>
      <c r="O426" s="1"/>
      <c r="CL426" s="11"/>
      <c r="CM426" s="11"/>
      <c r="CN426" s="11"/>
      <c r="CO426" s="11"/>
      <c r="CP426" s="11"/>
      <c r="CQ426" s="11"/>
      <c r="CR426" s="11"/>
    </row>
    <row r="427" spans="4:96" ht="15.75" customHeight="1">
      <c r="E427" s="13"/>
      <c r="F427" s="1"/>
      <c r="G427" s="1"/>
      <c r="H427" s="1"/>
      <c r="I427" s="17"/>
      <c r="J427" s="1"/>
      <c r="K427" s="1"/>
      <c r="L427" s="1"/>
      <c r="M427" s="1"/>
      <c r="N427" s="1"/>
      <c r="O427" s="1"/>
      <c r="CL427" s="11"/>
      <c r="CM427" s="11"/>
      <c r="CN427" s="11"/>
      <c r="CO427" s="11"/>
      <c r="CP427" s="11"/>
      <c r="CQ427" s="11"/>
      <c r="CR427" s="11"/>
    </row>
    <row r="428" spans="4:96" ht="15.75" customHeight="1">
      <c r="E428" s="13"/>
      <c r="F428" s="14"/>
      <c r="G428" s="1"/>
      <c r="H428" s="1"/>
      <c r="I428" s="17"/>
      <c r="J428" s="1"/>
      <c r="K428" s="1"/>
      <c r="L428" s="1"/>
      <c r="M428" s="1"/>
      <c r="N428" s="1"/>
      <c r="O428" s="1"/>
      <c r="CL428" s="11"/>
      <c r="CM428" s="11"/>
      <c r="CN428" s="11"/>
      <c r="CO428" s="11"/>
      <c r="CP428" s="11"/>
      <c r="CQ428" s="11"/>
      <c r="CR428" s="11"/>
    </row>
    <row r="429" spans="4:96" ht="15.75" customHeight="1">
      <c r="E429" s="13"/>
      <c r="F429" s="14"/>
      <c r="G429" s="1"/>
      <c r="H429" s="1"/>
      <c r="I429" s="17"/>
      <c r="J429" s="1"/>
      <c r="K429" s="1"/>
      <c r="L429" s="1"/>
      <c r="M429" s="1"/>
      <c r="N429" s="1"/>
      <c r="O429" s="1"/>
      <c r="CL429" s="11"/>
      <c r="CM429" s="11"/>
      <c r="CN429" s="11"/>
      <c r="CO429" s="11"/>
      <c r="CP429" s="11"/>
      <c r="CQ429" s="11"/>
      <c r="CR429" s="11"/>
    </row>
    <row r="430" spans="4:96" ht="15.75" customHeight="1">
      <c r="E430" s="13"/>
      <c r="F430" s="13"/>
      <c r="G430" s="1"/>
      <c r="H430" s="1"/>
      <c r="I430" s="17"/>
      <c r="J430" s="1"/>
      <c r="K430" s="1"/>
      <c r="L430" s="1"/>
      <c r="M430" s="1"/>
      <c r="N430" s="1"/>
      <c r="O430" s="1"/>
      <c r="CL430" s="11"/>
      <c r="CM430" s="11"/>
      <c r="CN430" s="11"/>
      <c r="CO430" s="11"/>
      <c r="CP430" s="11"/>
      <c r="CQ430" s="11"/>
      <c r="CR430" s="11"/>
    </row>
    <row r="431" spans="4:96" ht="15.75" customHeight="1">
      <c r="E431" s="13"/>
      <c r="F431" s="14"/>
      <c r="G431" s="1"/>
      <c r="H431" s="1"/>
      <c r="I431" s="16"/>
      <c r="J431" s="1"/>
      <c r="K431" s="1"/>
      <c r="L431" s="1"/>
      <c r="M431" s="1"/>
      <c r="N431" s="1"/>
      <c r="O431" s="1"/>
      <c r="CL431" s="11"/>
      <c r="CM431" s="11"/>
      <c r="CN431" s="11"/>
      <c r="CO431" s="11"/>
      <c r="CP431" s="11"/>
      <c r="CQ431" s="11"/>
      <c r="CR431" s="11"/>
    </row>
    <row r="432" spans="4:96" ht="15.75" customHeight="1">
      <c r="E432" s="13"/>
      <c r="F432" s="14"/>
      <c r="G432" s="1"/>
      <c r="H432" s="1"/>
      <c r="I432" s="12"/>
      <c r="J432" s="1"/>
      <c r="K432" s="1"/>
      <c r="L432" s="1"/>
      <c r="M432" s="1"/>
      <c r="N432" s="1"/>
      <c r="O432" s="1"/>
      <c r="CL432" s="11"/>
      <c r="CM432" s="11"/>
      <c r="CN432" s="11"/>
      <c r="CO432" s="11"/>
      <c r="CP432" s="11"/>
      <c r="CQ432" s="11"/>
      <c r="CR432" s="11"/>
    </row>
    <row r="433" spans="5:96" ht="15.75" customHeight="1">
      <c r="E433" s="13"/>
      <c r="F433" s="14"/>
      <c r="G433" s="1"/>
      <c r="H433" s="1"/>
      <c r="I433" s="12"/>
      <c r="J433" s="1"/>
      <c r="K433" s="1"/>
      <c r="L433" s="1"/>
      <c r="M433" s="1"/>
      <c r="N433" s="1"/>
      <c r="O433" s="1"/>
      <c r="CL433" s="11"/>
      <c r="CM433" s="11"/>
      <c r="CN433" s="11"/>
      <c r="CO433" s="11"/>
      <c r="CP433" s="11"/>
      <c r="CQ433" s="11"/>
      <c r="CR433" s="11"/>
    </row>
    <row r="434" spans="5:96" ht="15.75" customHeight="1">
      <c r="E434" s="13"/>
      <c r="F434" s="13"/>
      <c r="G434" s="1"/>
      <c r="H434" s="1"/>
      <c r="I434" s="15"/>
      <c r="J434" s="1"/>
      <c r="K434" s="1"/>
      <c r="L434" s="1"/>
      <c r="M434" s="1"/>
      <c r="N434" s="1"/>
      <c r="O434" s="1"/>
      <c r="CL434" s="11"/>
      <c r="CM434" s="11"/>
      <c r="CN434" s="11"/>
      <c r="CO434" s="11"/>
      <c r="CP434" s="11"/>
      <c r="CQ434" s="11"/>
      <c r="CR434" s="11"/>
    </row>
    <row r="435" spans="5:96" ht="15.75" customHeight="1">
      <c r="E435" s="18"/>
      <c r="F435" s="19"/>
      <c r="G435" s="12"/>
      <c r="H435" s="12"/>
      <c r="I435" s="12"/>
      <c r="J435" s="1"/>
      <c r="K435" s="1"/>
      <c r="L435" s="1"/>
      <c r="M435" s="1"/>
      <c r="N435" s="1"/>
      <c r="O435" s="1"/>
      <c r="CL435" s="11"/>
      <c r="CM435" s="11"/>
      <c r="CN435" s="11"/>
      <c r="CO435" s="11"/>
      <c r="CP435" s="11"/>
      <c r="CQ435" s="11"/>
      <c r="CR435" s="11"/>
    </row>
    <row r="436" spans="5:96" ht="15.75" customHeight="1">
      <c r="E436" s="18"/>
      <c r="F436" s="19"/>
      <c r="G436" s="19"/>
      <c r="H436" s="19"/>
      <c r="I436" s="15"/>
      <c r="J436" s="1"/>
      <c r="K436" s="1"/>
      <c r="L436" s="1"/>
      <c r="M436" s="1"/>
      <c r="N436" s="1"/>
      <c r="O436" s="1"/>
    </row>
    <row r="437" spans="5:96" ht="15.75" customHeight="1">
      <c r="E437" s="18"/>
      <c r="F437" s="19"/>
      <c r="G437" s="20"/>
      <c r="H437" s="20"/>
      <c r="I437" s="16"/>
      <c r="J437" s="1"/>
      <c r="K437" s="1"/>
      <c r="L437" s="1"/>
      <c r="M437" s="1"/>
      <c r="N437" s="1"/>
      <c r="O437" s="1"/>
    </row>
    <row r="438" spans="5:96" ht="15.75" customHeight="1">
      <c r="E438" s="18"/>
      <c r="F438" s="19"/>
      <c r="G438" s="20"/>
      <c r="H438" s="20"/>
      <c r="I438" s="16"/>
      <c r="J438" s="1"/>
      <c r="K438" s="1"/>
      <c r="L438" s="1"/>
      <c r="M438" s="1"/>
      <c r="N438" s="1"/>
      <c r="O438" s="1"/>
    </row>
    <row r="439" spans="5:96" ht="15.75" customHeight="1">
      <c r="E439" s="18"/>
      <c r="F439" s="19"/>
      <c r="G439" s="20"/>
      <c r="H439" s="20"/>
      <c r="I439" s="16"/>
      <c r="J439" s="1"/>
      <c r="K439" s="1"/>
      <c r="L439" s="1"/>
      <c r="M439" s="1"/>
      <c r="N439" s="1"/>
      <c r="O439" s="1"/>
    </row>
    <row r="440" spans="5:96" ht="15.75" customHeight="1">
      <c r="E440" s="18"/>
      <c r="F440" s="12"/>
      <c r="G440" s="20"/>
      <c r="H440" s="20"/>
      <c r="I440" s="17"/>
      <c r="J440" s="1"/>
      <c r="K440" s="1"/>
      <c r="L440" s="1"/>
      <c r="M440" s="1"/>
      <c r="N440" s="1"/>
      <c r="O440" s="1"/>
    </row>
    <row r="441" spans="5:96" ht="15.75" customHeight="1">
      <c r="E441" s="21"/>
      <c r="F441" s="19"/>
      <c r="G441" s="20"/>
      <c r="H441" s="20"/>
      <c r="I441" s="16"/>
      <c r="J441" s="1"/>
      <c r="K441" s="1"/>
      <c r="L441" s="1"/>
      <c r="M441" s="1"/>
      <c r="N441" s="1"/>
      <c r="O441" s="1"/>
    </row>
    <row r="442" spans="5:96" ht="15.75" customHeight="1">
      <c r="E442" s="18"/>
      <c r="F442" s="19"/>
      <c r="G442" s="12"/>
      <c r="H442" s="12"/>
      <c r="I442" s="12"/>
      <c r="J442" s="1"/>
      <c r="K442" s="1"/>
      <c r="L442" s="1"/>
      <c r="M442" s="1"/>
      <c r="N442" s="1"/>
      <c r="O442" s="1"/>
    </row>
    <row r="443" spans="5:96" ht="15.75" customHeight="1">
      <c r="E443" s="18"/>
      <c r="F443" s="12"/>
      <c r="G443" s="19"/>
      <c r="H443" s="19"/>
      <c r="I443" s="12"/>
      <c r="J443" s="1"/>
      <c r="K443" s="1"/>
      <c r="L443" s="1"/>
      <c r="M443" s="1"/>
      <c r="N443" s="1"/>
      <c r="O443" s="1"/>
    </row>
    <row r="444" spans="5:96" ht="15.75" customHeight="1">
      <c r="E444" s="18"/>
      <c r="F444" s="19"/>
      <c r="G444" s="19"/>
      <c r="H444" s="19"/>
      <c r="I444" s="15"/>
      <c r="J444" s="1"/>
      <c r="K444" s="1"/>
      <c r="L444" s="1"/>
      <c r="M444" s="1"/>
      <c r="N444" s="1"/>
      <c r="O444" s="1"/>
    </row>
    <row r="445" spans="5:96" ht="15.75" customHeight="1">
      <c r="E445" s="18"/>
      <c r="F445" s="19"/>
      <c r="G445" s="12"/>
      <c r="H445" s="12"/>
      <c r="I445" s="12"/>
      <c r="J445" s="1"/>
      <c r="K445" s="1"/>
      <c r="L445" s="1"/>
      <c r="M445" s="1"/>
      <c r="N445" s="1"/>
      <c r="O445" s="1"/>
    </row>
    <row r="446" spans="5:96" ht="15.75" customHeight="1">
      <c r="E446" s="18"/>
      <c r="F446" s="19"/>
      <c r="G446" s="20"/>
      <c r="H446" s="20"/>
      <c r="I446" s="16"/>
      <c r="J446" s="1"/>
      <c r="K446" s="1"/>
      <c r="L446" s="1"/>
      <c r="M446" s="1"/>
      <c r="N446" s="1"/>
      <c r="O446" s="1"/>
    </row>
    <row r="447" spans="5:96" ht="15.75" customHeight="1">
      <c r="E447" s="18"/>
      <c r="F447" s="19"/>
      <c r="G447" s="20"/>
      <c r="H447" s="20"/>
      <c r="I447" s="16"/>
      <c r="J447" s="1"/>
      <c r="K447" s="1"/>
      <c r="L447" s="1"/>
      <c r="M447" s="1"/>
      <c r="N447" s="1"/>
      <c r="O447" s="1"/>
    </row>
    <row r="448" spans="5:96" ht="15.75" customHeight="1">
      <c r="E448" s="18"/>
      <c r="F448" s="19"/>
      <c r="G448" s="20"/>
      <c r="H448" s="20"/>
      <c r="I448" s="16"/>
      <c r="J448" s="1"/>
      <c r="K448" s="1"/>
      <c r="L448" s="1"/>
      <c r="M448" s="1"/>
      <c r="N448" s="1"/>
      <c r="O448" s="1"/>
    </row>
    <row r="449" spans="5:15" ht="15.75" customHeight="1">
      <c r="E449" s="18"/>
      <c r="F449" s="12"/>
      <c r="G449" s="20"/>
      <c r="H449" s="20"/>
      <c r="I449" s="17"/>
      <c r="J449" s="1"/>
      <c r="K449" s="1"/>
      <c r="L449" s="1"/>
      <c r="M449" s="1"/>
      <c r="N449" s="1"/>
      <c r="O449" s="1"/>
    </row>
    <row r="450" spans="5:15" ht="15.75" customHeight="1">
      <c r="E450" s="21"/>
      <c r="F450" s="19"/>
      <c r="G450" s="20"/>
      <c r="H450" s="20"/>
      <c r="I450" s="16"/>
      <c r="J450" s="1"/>
      <c r="K450" s="1"/>
      <c r="L450" s="1"/>
      <c r="M450" s="1"/>
      <c r="N450" s="1"/>
      <c r="O450" s="1"/>
    </row>
    <row r="451" spans="5:15" ht="15.75" customHeight="1">
      <c r="E451" s="18"/>
      <c r="F451" s="19"/>
      <c r="G451" s="12"/>
      <c r="H451" s="12"/>
      <c r="I451" s="12"/>
      <c r="J451" s="1"/>
      <c r="K451" s="1"/>
      <c r="L451" s="1"/>
      <c r="M451" s="1"/>
      <c r="N451" s="1"/>
      <c r="O451" s="1"/>
    </row>
    <row r="452" spans="5:15" ht="15.75" customHeight="1">
      <c r="E452" s="18"/>
      <c r="F452" s="12"/>
      <c r="G452" s="19"/>
      <c r="H452" s="19"/>
      <c r="I452" s="12"/>
      <c r="J452" s="1"/>
      <c r="K452" s="1"/>
      <c r="L452" s="1"/>
      <c r="M452" s="1"/>
      <c r="N452" s="1"/>
      <c r="O452" s="1"/>
    </row>
    <row r="453" spans="5:15" ht="15.75" customHeight="1">
      <c r="E453" s="18"/>
      <c r="F453" s="19"/>
      <c r="G453" s="19"/>
      <c r="H453" s="19"/>
      <c r="I453" s="15"/>
      <c r="J453" s="1"/>
      <c r="K453" s="1"/>
      <c r="L453" s="1"/>
      <c r="M453" s="1"/>
      <c r="N453" s="1"/>
      <c r="O453" s="1"/>
    </row>
    <row r="454" spans="5:15" ht="15.75" customHeight="1">
      <c r="E454" s="18"/>
      <c r="F454" s="19"/>
      <c r="G454" s="12"/>
      <c r="H454" s="12"/>
      <c r="I454" s="12"/>
      <c r="J454" s="1"/>
      <c r="K454" s="1"/>
      <c r="L454" s="1"/>
      <c r="M454" s="1"/>
      <c r="N454" s="1"/>
      <c r="O454" s="1"/>
    </row>
    <row r="455" spans="5:15" ht="15.75" customHeight="1">
      <c r="E455" s="18"/>
      <c r="F455" s="19"/>
      <c r="G455" s="20"/>
      <c r="H455" s="20"/>
      <c r="I455" s="16"/>
      <c r="J455" s="1"/>
      <c r="K455" s="1"/>
      <c r="L455" s="1"/>
      <c r="M455" s="1"/>
      <c r="N455" s="1"/>
      <c r="O455" s="1"/>
    </row>
    <row r="456" spans="5:15" ht="15.75" customHeight="1">
      <c r="E456" s="18"/>
      <c r="F456" s="19"/>
      <c r="G456" s="20"/>
      <c r="H456" s="20"/>
      <c r="I456" s="16"/>
      <c r="J456" s="1"/>
      <c r="K456" s="1"/>
      <c r="L456" s="1"/>
      <c r="M456" s="1"/>
      <c r="N456" s="1"/>
      <c r="O456" s="1"/>
    </row>
    <row r="457" spans="5:15" ht="15.75" customHeight="1">
      <c r="E457" s="18"/>
      <c r="F457" s="19"/>
      <c r="G457" s="20"/>
      <c r="H457" s="20"/>
      <c r="I457" s="16"/>
      <c r="J457" s="1"/>
      <c r="K457" s="1"/>
      <c r="L457" s="1"/>
      <c r="M457" s="1"/>
      <c r="N457" s="1"/>
      <c r="O457" s="1"/>
    </row>
    <row r="458" spans="5:15" ht="15.75" customHeight="1">
      <c r="E458" s="18"/>
      <c r="F458" s="12"/>
      <c r="G458" s="20"/>
      <c r="H458" s="20"/>
      <c r="I458" s="17"/>
      <c r="J458" s="1"/>
      <c r="K458" s="1"/>
      <c r="L458" s="1"/>
      <c r="M458" s="1"/>
      <c r="N458" s="1"/>
      <c r="O458" s="1"/>
    </row>
    <row r="459" spans="5:15" ht="15.75" customHeight="1">
      <c r="E459" s="21"/>
      <c r="F459" s="19"/>
      <c r="G459" s="20"/>
      <c r="H459" s="20"/>
      <c r="I459" s="16"/>
      <c r="J459" s="1"/>
      <c r="K459" s="1"/>
      <c r="L459" s="1"/>
      <c r="M459" s="1"/>
      <c r="N459" s="1"/>
      <c r="O459" s="1"/>
    </row>
    <row r="460" spans="5:15" ht="15.75" customHeight="1">
      <c r="E460" s="18"/>
      <c r="F460" s="19"/>
      <c r="G460" s="12"/>
      <c r="H460" s="12"/>
      <c r="I460" s="12"/>
      <c r="J460" s="1"/>
      <c r="K460" s="1"/>
      <c r="L460" s="1"/>
      <c r="M460" s="1"/>
      <c r="N460" s="1"/>
      <c r="O460" s="1"/>
    </row>
    <row r="461" spans="5:15" ht="15.75" customHeight="1">
      <c r="E461" s="18"/>
      <c r="F461" s="12"/>
      <c r="G461" s="19"/>
      <c r="H461" s="19"/>
      <c r="I461" s="12"/>
      <c r="J461" s="1"/>
      <c r="K461" s="1"/>
      <c r="L461" s="1"/>
      <c r="M461" s="1"/>
      <c r="N461" s="1"/>
      <c r="O461" s="1"/>
    </row>
    <row r="462" spans="5:15" ht="15.75" customHeight="1">
      <c r="E462" s="18"/>
      <c r="F462" s="19"/>
      <c r="G462" s="19"/>
      <c r="H462" s="19"/>
      <c r="I462" s="15"/>
      <c r="J462" s="1"/>
      <c r="K462" s="1"/>
      <c r="L462" s="1"/>
      <c r="M462" s="1"/>
      <c r="N462" s="1"/>
      <c r="O462" s="1"/>
    </row>
    <row r="463" spans="5:15" ht="15.75" customHeight="1">
      <c r="E463" s="18"/>
      <c r="F463" s="19"/>
      <c r="G463" s="12"/>
      <c r="H463" s="12"/>
      <c r="I463" s="12"/>
      <c r="J463" s="1"/>
      <c r="K463" s="1"/>
      <c r="L463" s="1"/>
      <c r="M463" s="1"/>
      <c r="N463" s="1"/>
      <c r="O463" s="1"/>
    </row>
    <row r="464" spans="5:15" ht="15.75" customHeight="1">
      <c r="E464" s="18"/>
      <c r="F464" s="12"/>
      <c r="G464" s="20"/>
      <c r="H464" s="20"/>
      <c r="I464" s="17"/>
      <c r="J464" s="1"/>
      <c r="K464" s="1"/>
      <c r="L464" s="1"/>
      <c r="M464" s="1"/>
      <c r="N464" s="1"/>
      <c r="O464" s="1"/>
    </row>
    <row r="465" spans="5:15" ht="15.75" customHeight="1">
      <c r="E465" s="21"/>
      <c r="F465" s="19"/>
      <c r="G465" s="20"/>
      <c r="H465" s="20"/>
      <c r="I465" s="16"/>
      <c r="J465" s="1"/>
      <c r="K465" s="1"/>
      <c r="L465" s="1"/>
      <c r="M465" s="1"/>
      <c r="N465" s="1"/>
      <c r="O465" s="1"/>
    </row>
    <row r="466" spans="5:15" ht="15.75" customHeight="1">
      <c r="E466" s="18"/>
      <c r="F466" s="19"/>
      <c r="G466" s="12"/>
      <c r="H466" s="12"/>
      <c r="I466" s="12"/>
      <c r="J466" s="1"/>
      <c r="K466" s="1"/>
      <c r="L466" s="1"/>
      <c r="M466" s="1"/>
      <c r="N466" s="1"/>
      <c r="O466" s="1"/>
    </row>
    <row r="467" spans="5:15" ht="15.75" customHeight="1">
      <c r="E467" s="18"/>
      <c r="F467" s="12"/>
      <c r="G467" s="19"/>
      <c r="H467" s="19"/>
      <c r="I467" s="12"/>
      <c r="J467" s="1"/>
      <c r="K467" s="1"/>
      <c r="L467" s="1"/>
      <c r="M467" s="1"/>
      <c r="N467" s="1"/>
      <c r="O467" s="1"/>
    </row>
    <row r="468" spans="5:15" ht="15.75" customHeight="1">
      <c r="E468" s="18"/>
      <c r="F468" s="19"/>
      <c r="G468" s="12"/>
      <c r="H468" s="12"/>
      <c r="I468" s="12"/>
      <c r="J468" s="1"/>
      <c r="K468" s="1"/>
      <c r="L468" s="1"/>
      <c r="M468" s="1"/>
      <c r="N468" s="1"/>
      <c r="O468" s="1"/>
    </row>
    <row r="469" spans="5:15" ht="15.75" customHeight="1">
      <c r="E469" s="18"/>
      <c r="F469" s="12"/>
      <c r="G469" s="20"/>
      <c r="H469" s="20"/>
      <c r="I469" s="17"/>
      <c r="J469" s="1"/>
      <c r="K469" s="1"/>
      <c r="L469" s="1"/>
      <c r="M469" s="1"/>
      <c r="N469" s="1"/>
      <c r="O469" s="1"/>
    </row>
    <row r="470" spans="5:15" ht="15.75" customHeight="1">
      <c r="E470" s="21"/>
      <c r="F470" s="19"/>
      <c r="G470" s="20"/>
      <c r="H470" s="20"/>
      <c r="I470" s="16"/>
      <c r="J470" s="1"/>
      <c r="K470" s="1"/>
      <c r="L470" s="1"/>
      <c r="M470" s="1"/>
      <c r="N470" s="1"/>
      <c r="O470" s="1"/>
    </row>
    <row r="471" spans="5:15" ht="15.75" customHeight="1">
      <c r="E471" s="22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5:15" ht="15.75" customHeight="1">
      <c r="E472" s="22"/>
      <c r="F472" s="10"/>
      <c r="G472" s="10"/>
      <c r="H472" s="23"/>
      <c r="I472" s="24"/>
      <c r="J472" s="25"/>
      <c r="K472" s="1"/>
      <c r="L472" s="1"/>
      <c r="M472" s="1"/>
      <c r="N472" s="1"/>
      <c r="O472" s="1"/>
    </row>
    <row r="473" spans="5:15" ht="15.75" customHeight="1">
      <c r="E473" s="22"/>
      <c r="F473" s="10"/>
      <c r="G473" s="10"/>
      <c r="H473" s="23"/>
      <c r="I473" s="24"/>
      <c r="J473" s="25"/>
      <c r="K473" s="1"/>
      <c r="L473" s="1"/>
      <c r="M473" s="1"/>
      <c r="N473" s="1"/>
      <c r="O473" s="1"/>
    </row>
    <row r="474" spans="5:15" ht="15.75" customHeight="1">
      <c r="E474" s="22"/>
      <c r="F474" s="10"/>
      <c r="G474" s="10"/>
      <c r="H474" s="23"/>
      <c r="I474" s="24"/>
      <c r="J474" s="25"/>
      <c r="K474" s="1"/>
      <c r="L474" s="1"/>
      <c r="M474" s="1"/>
      <c r="N474" s="1"/>
      <c r="O474" s="1"/>
    </row>
    <row r="475" spans="5:15" ht="15.75" customHeight="1">
      <c r="E475" s="22"/>
      <c r="F475" s="10"/>
      <c r="G475" s="10"/>
      <c r="H475" s="23"/>
      <c r="I475" s="24"/>
      <c r="J475" s="25"/>
      <c r="K475" s="1"/>
      <c r="L475" s="1"/>
      <c r="M475" s="1"/>
      <c r="N475" s="1"/>
      <c r="O475" s="1"/>
    </row>
    <row r="476" spans="5:15" ht="15.75" customHeight="1">
      <c r="E476" s="22"/>
      <c r="F476" s="10"/>
      <c r="G476" s="10"/>
      <c r="H476" s="26"/>
      <c r="I476" s="27"/>
      <c r="J476" s="26"/>
      <c r="K476" s="1"/>
      <c r="L476" s="1"/>
      <c r="M476" s="1"/>
      <c r="N476" s="1"/>
      <c r="O476" s="1"/>
    </row>
    <row r="477" spans="5:15" ht="15.75" customHeight="1">
      <c r="E477" s="22"/>
      <c r="F477" s="10"/>
      <c r="G477" s="10"/>
      <c r="H477" s="23"/>
      <c r="I477" s="27"/>
      <c r="J477" s="26"/>
      <c r="K477" s="1"/>
      <c r="L477" s="1"/>
      <c r="M477" s="1"/>
      <c r="N477" s="1"/>
      <c r="O477" s="1"/>
    </row>
    <row r="478" spans="5:15" ht="15.75" customHeight="1">
      <c r="E478" s="22"/>
      <c r="F478" s="10"/>
      <c r="G478" s="1"/>
      <c r="H478" s="1"/>
      <c r="I478" s="1"/>
      <c r="J478" s="1"/>
      <c r="K478" s="1"/>
      <c r="L478" s="1"/>
      <c r="M478" s="1"/>
      <c r="N478" s="1"/>
      <c r="O478" s="1"/>
    </row>
    <row r="479" spans="5:15" ht="15.75" customHeight="1">
      <c r="E479" s="22"/>
      <c r="F479" s="10"/>
      <c r="G479" s="10"/>
      <c r="H479" s="23"/>
      <c r="I479" s="27"/>
      <c r="J479" s="26"/>
      <c r="K479" s="1"/>
      <c r="L479" s="1"/>
      <c r="M479" s="1"/>
      <c r="N479" s="1"/>
      <c r="O479" s="1"/>
    </row>
    <row r="480" spans="5:15" ht="15.75" customHeight="1">
      <c r="E480" s="22"/>
      <c r="F480" s="28"/>
      <c r="G480" s="10"/>
      <c r="H480" s="23"/>
      <c r="I480" s="27"/>
      <c r="J480" s="26"/>
      <c r="K480" s="1"/>
      <c r="L480" s="1"/>
      <c r="M480" s="1"/>
      <c r="N480" s="1"/>
      <c r="O480" s="1"/>
    </row>
    <row r="481" spans="5:15" ht="15.75" customHeight="1">
      <c r="E481" s="29"/>
      <c r="F481" s="10"/>
      <c r="G481" s="10"/>
      <c r="H481" s="23"/>
      <c r="I481" s="27"/>
      <c r="J481" s="26"/>
      <c r="K481" s="1"/>
      <c r="L481" s="1"/>
      <c r="M481" s="1"/>
      <c r="N481" s="1"/>
      <c r="O481" s="1"/>
    </row>
    <row r="482" spans="5:15" ht="15.75" customHeight="1">
      <c r="E482" s="30"/>
      <c r="F482" s="10"/>
      <c r="G482" s="10"/>
      <c r="H482" s="23"/>
      <c r="I482" s="24"/>
      <c r="J482" s="25"/>
      <c r="K482" s="1"/>
      <c r="L482" s="1"/>
      <c r="M482" s="1"/>
      <c r="N482" s="1"/>
      <c r="O482" s="1"/>
    </row>
    <row r="483" spans="5:15" ht="15.75" customHeight="1">
      <c r="E483" s="22"/>
      <c r="F483" s="31"/>
      <c r="G483" s="10"/>
      <c r="H483" s="26"/>
      <c r="I483" s="27"/>
      <c r="J483" s="26"/>
      <c r="K483" s="1"/>
      <c r="L483" s="1"/>
      <c r="M483" s="1"/>
      <c r="N483" s="1"/>
      <c r="O483" s="1"/>
    </row>
    <row r="484" spans="5:15" ht="15.75" customHeight="1">
      <c r="E484" s="22"/>
      <c r="F484" s="10"/>
      <c r="G484" s="10"/>
      <c r="H484" s="23"/>
      <c r="I484" s="27"/>
      <c r="J484" s="26"/>
      <c r="K484" s="1"/>
      <c r="L484" s="1"/>
      <c r="M484" s="1"/>
      <c r="N484" s="1"/>
      <c r="O484" s="1"/>
    </row>
    <row r="485" spans="5:15" ht="15.75" customHeight="1">
      <c r="E485" s="22"/>
      <c r="F485" s="10"/>
      <c r="G485" s="10"/>
      <c r="H485" s="23"/>
      <c r="I485" s="27"/>
      <c r="J485" s="27"/>
      <c r="K485" s="1"/>
      <c r="L485" s="1"/>
      <c r="M485" s="1"/>
      <c r="N485" s="1"/>
      <c r="O485" s="1"/>
    </row>
    <row r="486" spans="5:15" ht="15.75" customHeight="1">
      <c r="E486" s="22"/>
      <c r="F486" s="10"/>
      <c r="G486" s="10"/>
      <c r="H486" s="23"/>
      <c r="I486" s="27"/>
      <c r="J486" s="26"/>
      <c r="K486" s="1"/>
      <c r="L486" s="1"/>
      <c r="M486" s="1"/>
      <c r="N486" s="1"/>
      <c r="O486" s="1"/>
    </row>
    <row r="487" spans="5:15" ht="15.75" customHeight="1">
      <c r="E487" s="22"/>
      <c r="F487" s="10"/>
      <c r="G487" s="10"/>
      <c r="H487" s="23"/>
      <c r="I487" s="27"/>
      <c r="J487" s="26"/>
      <c r="K487" s="1"/>
      <c r="L487" s="1"/>
      <c r="M487" s="1"/>
      <c r="N487" s="1"/>
      <c r="O487" s="1"/>
    </row>
    <row r="488" spans="5:15" ht="15.75" customHeight="1">
      <c r="E488" s="22"/>
      <c r="F488" s="10"/>
      <c r="G488" s="10"/>
      <c r="H488" s="23"/>
      <c r="I488" s="24"/>
      <c r="J488" s="25"/>
      <c r="K488" s="1"/>
      <c r="L488" s="1"/>
      <c r="M488" s="1"/>
      <c r="N488" s="1"/>
      <c r="O488" s="1"/>
    </row>
    <row r="489" spans="5:15" ht="15.75" customHeight="1">
      <c r="E489" s="22"/>
      <c r="F489" s="10"/>
      <c r="G489" s="10"/>
      <c r="H489" s="23"/>
      <c r="I489" s="24"/>
      <c r="J489" s="25"/>
      <c r="K489" s="1"/>
      <c r="L489" s="1"/>
      <c r="M489" s="1"/>
      <c r="N489" s="1"/>
      <c r="O489" s="1"/>
    </row>
    <row r="490" spans="5:15" ht="15.75" customHeight="1">
      <c r="E490" s="22"/>
      <c r="F490" s="10"/>
      <c r="G490" s="10"/>
      <c r="H490" s="23"/>
      <c r="I490" s="24"/>
      <c r="J490" s="25"/>
      <c r="K490" s="1"/>
      <c r="L490" s="1"/>
      <c r="M490" s="1"/>
      <c r="N490" s="1"/>
      <c r="O490" s="1"/>
    </row>
    <row r="491" spans="5:15" ht="15.75" customHeight="1">
      <c r="E491" s="22"/>
      <c r="F491" s="10"/>
      <c r="G491" s="10"/>
      <c r="H491" s="23"/>
      <c r="I491" s="24"/>
      <c r="J491" s="25"/>
      <c r="K491" s="1"/>
      <c r="L491" s="1"/>
      <c r="M491" s="1"/>
      <c r="N491" s="1"/>
      <c r="O491" s="1"/>
    </row>
    <row r="492" spans="5:15" ht="15.75" customHeight="1">
      <c r="E492" s="22"/>
      <c r="F492" s="10"/>
      <c r="G492" s="10"/>
      <c r="H492" s="23"/>
      <c r="I492" s="24"/>
      <c r="J492" s="25"/>
      <c r="K492" s="1"/>
      <c r="L492" s="1"/>
      <c r="M492" s="1"/>
      <c r="N492" s="1"/>
      <c r="O492" s="1"/>
    </row>
    <row r="493" spans="5:15" ht="15.75" customHeight="1">
      <c r="E493" s="22"/>
      <c r="F493" s="10"/>
      <c r="G493" s="10"/>
      <c r="H493" s="26"/>
      <c r="I493" s="27"/>
      <c r="J493" s="26"/>
      <c r="K493" s="1"/>
      <c r="L493" s="1"/>
      <c r="M493" s="1"/>
      <c r="N493" s="1"/>
      <c r="O493" s="1"/>
    </row>
    <row r="494" spans="5:15" ht="15.75" customHeight="1">
      <c r="E494" s="22"/>
      <c r="F494" s="10"/>
      <c r="G494" s="10"/>
      <c r="H494" s="23"/>
      <c r="I494" s="27"/>
      <c r="J494" s="26"/>
      <c r="K494" s="1"/>
      <c r="L494" s="1"/>
      <c r="M494" s="1"/>
      <c r="N494" s="1"/>
      <c r="O494" s="1"/>
    </row>
    <row r="495" spans="5:15" ht="15.75" customHeight="1">
      <c r="E495" s="22"/>
      <c r="F495" s="10"/>
      <c r="G495" s="1"/>
      <c r="H495" s="1"/>
      <c r="I495" s="1"/>
      <c r="J495" s="1"/>
      <c r="K495" s="1"/>
      <c r="L495" s="1"/>
      <c r="M495" s="1"/>
      <c r="N495" s="1"/>
      <c r="O495" s="1"/>
    </row>
    <row r="496" spans="5:15" ht="15.75" customHeight="1">
      <c r="E496" s="22"/>
      <c r="F496" s="10"/>
      <c r="G496" s="10"/>
      <c r="H496" s="23"/>
      <c r="I496" s="27"/>
      <c r="J496" s="26"/>
      <c r="K496" s="1"/>
      <c r="L496" s="1"/>
      <c r="M496" s="1"/>
      <c r="N496" s="1"/>
      <c r="O496" s="1"/>
    </row>
    <row r="497" spans="4:15" ht="15.75" customHeight="1">
      <c r="E497" s="22"/>
      <c r="F497" s="28"/>
      <c r="G497" s="10"/>
      <c r="H497" s="23"/>
      <c r="I497" s="27"/>
      <c r="J497" s="26"/>
      <c r="K497" s="1"/>
      <c r="L497" s="1"/>
      <c r="M497" s="1"/>
      <c r="N497" s="1"/>
      <c r="O497" s="1"/>
    </row>
    <row r="498" spans="4:15" ht="15.75" customHeight="1">
      <c r="D498" s="32"/>
      <c r="E498" s="22"/>
      <c r="F498" s="10"/>
      <c r="G498" s="10"/>
      <c r="H498" s="23"/>
      <c r="I498" s="27"/>
      <c r="J498" s="26"/>
      <c r="K498" s="1"/>
      <c r="L498" s="1"/>
      <c r="M498" s="1"/>
      <c r="N498" s="1"/>
      <c r="O498" s="1"/>
    </row>
    <row r="499" spans="4:15" ht="15.75" customHeight="1">
      <c r="D499" s="32"/>
      <c r="E499" s="22"/>
      <c r="F499" s="31"/>
      <c r="G499" s="10"/>
      <c r="H499" s="26"/>
      <c r="I499" s="27"/>
      <c r="J499" s="26"/>
      <c r="K499" s="1"/>
      <c r="L499" s="1"/>
      <c r="M499" s="1"/>
      <c r="N499" s="1"/>
      <c r="O499" s="1"/>
    </row>
    <row r="500" spans="4:15" ht="15.75" customHeight="1">
      <c r="D500" s="1"/>
      <c r="E500" s="33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4:15" ht="15.75" customHeight="1">
      <c r="D501" s="1"/>
      <c r="E501" s="33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4:15" ht="15.75" customHeight="1">
      <c r="D502" s="1"/>
      <c r="E502" s="33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4:15" ht="15.75" customHeight="1">
      <c r="D503" s="1"/>
      <c r="E503" s="34"/>
      <c r="F503" s="35"/>
      <c r="G503" s="26"/>
      <c r="H503" s="26"/>
      <c r="I503" s="26"/>
      <c r="J503" s="1"/>
      <c r="K503" s="1"/>
      <c r="L503" s="1"/>
      <c r="M503" s="1"/>
      <c r="N503" s="1"/>
      <c r="O503" s="1"/>
    </row>
    <row r="504" spans="4:15" ht="15.75" customHeight="1">
      <c r="D504" s="1"/>
      <c r="E504" s="33"/>
      <c r="F504" s="35"/>
      <c r="G504" s="36"/>
      <c r="H504" s="36"/>
      <c r="I504" s="36"/>
      <c r="J504" s="1"/>
      <c r="K504" s="1"/>
      <c r="L504" s="1"/>
      <c r="M504" s="1"/>
      <c r="N504" s="1"/>
      <c r="O504" s="1"/>
    </row>
    <row r="505" spans="4:15" ht="15.75" customHeight="1">
      <c r="D505" s="1"/>
      <c r="E505" s="33"/>
      <c r="F505" s="35"/>
      <c r="G505" s="26"/>
      <c r="H505" s="26"/>
      <c r="I505" s="26"/>
      <c r="J505" s="1"/>
      <c r="K505" s="1"/>
      <c r="L505" s="1"/>
      <c r="M505" s="1"/>
      <c r="N505" s="1"/>
      <c r="O505" s="1"/>
    </row>
    <row r="506" spans="4:15" ht="15.75" customHeight="1">
      <c r="D506" s="1"/>
      <c r="E506" s="33"/>
      <c r="F506" s="35"/>
      <c r="G506" s="37"/>
      <c r="H506" s="37"/>
      <c r="I506" s="37"/>
      <c r="J506" s="1"/>
      <c r="K506" s="1"/>
      <c r="L506" s="1"/>
      <c r="M506" s="1"/>
      <c r="N506" s="1"/>
      <c r="O506" s="1"/>
    </row>
    <row r="507" spans="4:15" ht="15.75" customHeight="1">
      <c r="D507" s="1"/>
      <c r="E507" s="33"/>
      <c r="F507" s="35"/>
      <c r="G507" s="37"/>
      <c r="H507" s="37"/>
      <c r="I507" s="37"/>
      <c r="J507" s="1"/>
      <c r="K507" s="1"/>
      <c r="L507" s="1"/>
      <c r="M507" s="1"/>
      <c r="N507" s="1"/>
      <c r="O507" s="1"/>
    </row>
    <row r="508" spans="4:15" ht="15.75" customHeight="1">
      <c r="D508" s="1"/>
      <c r="E508" s="33"/>
      <c r="F508" s="35"/>
      <c r="G508" s="37"/>
      <c r="H508" s="37"/>
      <c r="I508" s="37"/>
      <c r="J508" s="1"/>
      <c r="K508" s="1"/>
      <c r="L508" s="1"/>
      <c r="M508" s="1"/>
      <c r="N508" s="1"/>
      <c r="O508" s="1"/>
    </row>
    <row r="509" spans="4:15" ht="15.75" customHeight="1">
      <c r="D509" s="1"/>
      <c r="E509" s="33"/>
      <c r="F509" s="35"/>
      <c r="G509" s="37"/>
      <c r="H509" s="37"/>
      <c r="I509" s="37"/>
      <c r="J509" s="1"/>
      <c r="K509" s="1"/>
      <c r="L509" s="1"/>
      <c r="M509" s="1"/>
      <c r="N509" s="1"/>
      <c r="O509" s="1"/>
    </row>
    <row r="510" spans="4:15" ht="15.75" customHeight="1">
      <c r="D510" s="1"/>
      <c r="E510" s="33"/>
      <c r="F510" s="35"/>
      <c r="G510" s="37"/>
      <c r="H510" s="37"/>
      <c r="I510" s="37"/>
      <c r="J510" s="1"/>
      <c r="K510" s="1"/>
      <c r="L510" s="1"/>
      <c r="M510" s="1"/>
      <c r="N510" s="1"/>
      <c r="O510" s="1"/>
    </row>
    <row r="511" spans="4:15" ht="15.75" customHeight="1">
      <c r="D511" s="1"/>
      <c r="E511" s="33"/>
      <c r="F511" s="35"/>
      <c r="G511" s="37"/>
      <c r="H511" s="37"/>
      <c r="I511" s="37"/>
      <c r="J511" s="1"/>
      <c r="K511" s="1"/>
      <c r="L511" s="1"/>
      <c r="M511" s="1"/>
      <c r="N511" s="1"/>
      <c r="O511" s="1"/>
    </row>
    <row r="512" spans="4:15" ht="15.75" customHeight="1">
      <c r="D512" s="1"/>
      <c r="E512" s="33"/>
      <c r="F512" s="38"/>
      <c r="G512" s="25"/>
      <c r="H512" s="25"/>
      <c r="I512" s="25"/>
      <c r="J512" s="1"/>
      <c r="K512" s="1"/>
      <c r="L512" s="1"/>
      <c r="M512" s="1"/>
      <c r="N512" s="1"/>
      <c r="O512" s="1"/>
    </row>
    <row r="513" spans="5:15" ht="15.75" customHeight="1">
      <c r="E513" s="33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5:15" ht="15.75" customHeight="1">
      <c r="E514" s="33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5:15" ht="15.75" customHeight="1">
      <c r="E515" s="33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5:15" ht="15.75" customHeight="1">
      <c r="E516" s="33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5:15" ht="15.75" customHeight="1">
      <c r="E517" s="34"/>
      <c r="F517" s="35"/>
      <c r="G517" s="26"/>
      <c r="H517" s="26"/>
      <c r="I517" s="26"/>
      <c r="J517" s="1"/>
      <c r="K517" s="1"/>
      <c r="L517" s="1"/>
      <c r="M517" s="1"/>
      <c r="N517" s="1"/>
      <c r="O517" s="1"/>
    </row>
    <row r="518" spans="5:15" ht="15.75" customHeight="1">
      <c r="E518" s="33"/>
      <c r="F518" s="35"/>
      <c r="G518" s="36"/>
      <c r="H518" s="36"/>
      <c r="I518" s="36"/>
      <c r="J518" s="1"/>
      <c r="K518" s="1"/>
      <c r="L518" s="1"/>
      <c r="M518" s="1"/>
      <c r="N518" s="1"/>
      <c r="O518" s="1"/>
    </row>
    <row r="519" spans="5:15" ht="15.75" customHeight="1">
      <c r="E519" s="33"/>
      <c r="F519" s="35"/>
      <c r="G519" s="26"/>
      <c r="H519" s="26"/>
      <c r="I519" s="26"/>
      <c r="J519" s="1"/>
      <c r="K519" s="1"/>
      <c r="L519" s="1"/>
      <c r="M519" s="1"/>
      <c r="N519" s="1"/>
      <c r="O519" s="1"/>
    </row>
    <row r="520" spans="5:15" ht="15.75" customHeight="1">
      <c r="E520" s="33"/>
      <c r="F520" s="35"/>
      <c r="G520" s="36"/>
      <c r="H520" s="36"/>
      <c r="I520" s="36"/>
      <c r="J520" s="1"/>
      <c r="K520" s="1"/>
      <c r="L520" s="1"/>
      <c r="M520" s="1"/>
      <c r="N520" s="1"/>
      <c r="O520" s="1"/>
    </row>
    <row r="521" spans="5:15" ht="15.75" customHeight="1">
      <c r="E521" s="33"/>
      <c r="F521" s="35"/>
      <c r="G521" s="36"/>
      <c r="H521" s="36"/>
      <c r="I521" s="36"/>
      <c r="J521" s="1"/>
      <c r="K521" s="1"/>
      <c r="L521" s="1"/>
      <c r="M521" s="1"/>
      <c r="N521" s="1"/>
      <c r="O521" s="1"/>
    </row>
    <row r="522" spans="5:15" ht="15.75" customHeight="1">
      <c r="E522" s="33"/>
      <c r="F522" s="35"/>
      <c r="G522" s="36"/>
      <c r="H522" s="36"/>
      <c r="I522" s="36"/>
      <c r="J522" s="1"/>
      <c r="K522" s="1"/>
      <c r="L522" s="1"/>
      <c r="M522" s="1"/>
      <c r="N522" s="1"/>
      <c r="O522" s="1"/>
    </row>
    <row r="523" spans="5:15" ht="15.75" customHeight="1">
      <c r="E523" s="33"/>
      <c r="F523" s="35"/>
      <c r="G523" s="36"/>
      <c r="H523" s="36"/>
      <c r="I523" s="36"/>
      <c r="J523" s="1"/>
      <c r="K523" s="1"/>
      <c r="L523" s="1"/>
      <c r="M523" s="1"/>
      <c r="N523" s="1"/>
      <c r="O523" s="1"/>
    </row>
    <row r="524" spans="5:15" ht="15.75" customHeight="1">
      <c r="E524" s="33"/>
      <c r="F524" s="35"/>
      <c r="G524" s="36"/>
      <c r="H524" s="36"/>
      <c r="I524" s="36"/>
      <c r="J524" s="1"/>
      <c r="K524" s="1"/>
      <c r="L524" s="1"/>
      <c r="M524" s="1"/>
      <c r="N524" s="1"/>
      <c r="O524" s="1"/>
    </row>
    <row r="525" spans="5:15" ht="15.75" customHeight="1">
      <c r="E525" s="33"/>
      <c r="F525" s="35"/>
      <c r="G525" s="36"/>
      <c r="H525" s="36"/>
      <c r="I525" s="36"/>
      <c r="J525" s="1"/>
      <c r="K525" s="1"/>
      <c r="L525" s="1"/>
      <c r="M525" s="1"/>
      <c r="N525" s="1"/>
      <c r="O525" s="1"/>
    </row>
    <row r="526" spans="5:15" ht="15.75" customHeight="1">
      <c r="E526" s="33"/>
      <c r="F526" s="38"/>
      <c r="G526" s="26"/>
      <c r="H526" s="26"/>
      <c r="I526" s="26"/>
      <c r="J526" s="1"/>
      <c r="K526" s="1"/>
      <c r="L526" s="1"/>
      <c r="M526" s="1"/>
      <c r="N526" s="1"/>
      <c r="O526" s="1"/>
    </row>
    <row r="527" spans="5:15" ht="15.75" customHeight="1">
      <c r="E527" s="33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5:15" ht="15.75" customHeight="1">
      <c r="E528" s="33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5:15" ht="15.75" customHeight="1">
      <c r="E529" s="33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5:15" ht="15.75" customHeight="1">
      <c r="E530" s="33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5:15" ht="15.75" customHeight="1">
      <c r="E531" s="34"/>
      <c r="F531" s="35"/>
      <c r="G531" s="26"/>
      <c r="H531" s="26"/>
      <c r="I531" s="26"/>
      <c r="J531" s="1"/>
      <c r="K531" s="1"/>
      <c r="L531" s="1"/>
      <c r="M531" s="1"/>
      <c r="N531" s="1"/>
      <c r="O531" s="1"/>
    </row>
    <row r="532" spans="5:15" ht="15.75" customHeight="1">
      <c r="E532" s="33"/>
      <c r="F532" s="35"/>
      <c r="G532" s="36"/>
      <c r="H532" s="36"/>
      <c r="I532" s="36"/>
      <c r="J532" s="1"/>
      <c r="K532" s="1"/>
      <c r="L532" s="1"/>
      <c r="M532" s="1"/>
      <c r="N532" s="1"/>
      <c r="O532" s="1"/>
    </row>
    <row r="533" spans="5:15" ht="15.75" customHeight="1">
      <c r="E533" s="33"/>
      <c r="F533" s="35"/>
      <c r="G533" s="26"/>
      <c r="H533" s="26"/>
      <c r="I533" s="26"/>
      <c r="J533" s="1"/>
      <c r="K533" s="1"/>
      <c r="L533" s="1"/>
      <c r="M533" s="1"/>
      <c r="N533" s="1"/>
      <c r="O533" s="1"/>
    </row>
    <row r="534" spans="5:15" ht="15.75" customHeight="1">
      <c r="E534" s="39"/>
      <c r="F534" s="40"/>
      <c r="G534" s="41"/>
      <c r="H534" s="41"/>
      <c r="I534" s="41"/>
      <c r="J534" s="1"/>
      <c r="K534" s="1"/>
      <c r="L534" s="1"/>
      <c r="M534" s="1"/>
      <c r="N534" s="1"/>
      <c r="O534" s="1"/>
    </row>
    <row r="535" spans="5:15" ht="15.75" customHeight="1">
      <c r="E535" s="3"/>
      <c r="F535" s="40"/>
      <c r="G535" s="41"/>
      <c r="H535" s="41"/>
      <c r="I535" s="41"/>
      <c r="J535" s="1"/>
      <c r="K535" s="1"/>
      <c r="L535" s="1"/>
      <c r="M535" s="1"/>
      <c r="N535" s="1"/>
      <c r="O535" s="1"/>
    </row>
    <row r="536" spans="5:15" ht="15.75" customHeight="1">
      <c r="E536" s="3"/>
      <c r="F536" s="40"/>
      <c r="G536" s="41"/>
      <c r="H536" s="41"/>
      <c r="I536" s="41"/>
      <c r="J536" s="1"/>
      <c r="K536" s="1"/>
      <c r="L536" s="1"/>
      <c r="M536" s="1"/>
      <c r="N536" s="1"/>
      <c r="O536" s="1"/>
    </row>
    <row r="537" spans="5:15" ht="15.75" customHeight="1">
      <c r="E537" s="3"/>
      <c r="F537" s="40"/>
      <c r="G537" s="41"/>
      <c r="H537" s="41"/>
      <c r="I537" s="41"/>
      <c r="J537" s="1"/>
      <c r="K537" s="1"/>
      <c r="L537" s="1"/>
      <c r="M537" s="1"/>
      <c r="N537" s="1"/>
      <c r="O537" s="1"/>
    </row>
    <row r="538" spans="5:15" ht="15.75" customHeight="1">
      <c r="E538" s="3"/>
      <c r="F538" s="40"/>
      <c r="G538" s="41"/>
      <c r="H538" s="41"/>
      <c r="I538" s="41"/>
      <c r="J538" s="1"/>
      <c r="K538" s="1"/>
      <c r="L538" s="1"/>
      <c r="M538" s="1"/>
      <c r="N538" s="1"/>
      <c r="O538" s="1"/>
    </row>
    <row r="539" spans="5:15" ht="15.75" customHeight="1">
      <c r="E539" s="3"/>
      <c r="F539" s="42"/>
      <c r="G539" s="43"/>
      <c r="H539" s="43"/>
      <c r="I539" s="43"/>
      <c r="J539" s="1"/>
      <c r="K539" s="1"/>
      <c r="L539" s="1"/>
      <c r="M539" s="1"/>
      <c r="N539" s="1"/>
      <c r="O539" s="1"/>
    </row>
    <row r="540" spans="5:15" ht="15.75" customHeight="1">
      <c r="E540" s="3"/>
      <c r="F540" s="44"/>
      <c r="G540" s="45"/>
      <c r="H540" s="45"/>
      <c r="I540" s="45"/>
      <c r="J540" s="1"/>
      <c r="K540" s="1"/>
      <c r="L540" s="1"/>
      <c r="M540" s="1"/>
      <c r="N540" s="1"/>
      <c r="O540" s="1"/>
    </row>
    <row r="541" spans="5:15" ht="15.75" customHeight="1"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5:15" ht="15.75" customHeight="1"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5:15" ht="15.75" customHeight="1"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5:15" ht="15.75" customHeight="1"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5:15" ht="15.75" customHeight="1"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5:15" ht="15.75" customHeight="1"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5:15" ht="15.75" customHeight="1"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5:15" ht="15.75" customHeight="1"/>
    <row r="549" spans="5:15" ht="15.75" customHeight="1"/>
    <row r="550" spans="5:15" ht="15.75" customHeight="1"/>
    <row r="551" spans="5:15" ht="15.75" customHeight="1"/>
    <row r="552" spans="5:15" ht="15.75" customHeight="1"/>
    <row r="553" spans="5:15" ht="15.75" customHeight="1"/>
    <row r="554" spans="5:15" ht="15.75" customHeight="1"/>
    <row r="555" spans="5:15" ht="15.75" customHeight="1"/>
    <row r="556" spans="5:15" ht="15.75" customHeight="1"/>
    <row r="557" spans="5:15" ht="15.75" customHeight="1"/>
    <row r="558" spans="5:15" ht="15.75" customHeight="1"/>
    <row r="559" spans="5:15" ht="15.75" customHeight="1"/>
    <row r="560" spans="5:15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mergeCells count="8">
    <mergeCell ref="O415:O416"/>
    <mergeCell ref="I417:I418"/>
    <mergeCell ref="J417:J418"/>
    <mergeCell ref="K417:K418"/>
    <mergeCell ref="L417:L418"/>
    <mergeCell ref="M417:M418"/>
    <mergeCell ref="N417:N418"/>
    <mergeCell ref="O417:O418"/>
  </mergeCells>
  <pageMargins left="0.51180555555555596" right="0.51180555555555596" top="0.78749999999999998" bottom="0.78749999999999998" header="0" footer="0"/>
  <pageSetup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35DC-CEA0-42F5-9ACF-4F2AAC46E999}">
  <dimension ref="A1:CS940"/>
  <sheetViews>
    <sheetView showGridLines="0" showRowColHeaders="0" tabSelected="1" zoomScaleNormal="100" workbookViewId="0">
      <pane xSplit="4" ySplit="1" topLeftCell="E346" activePane="bottomRight" state="frozen"/>
      <selection pane="topRight" activeCell="E1" sqref="E1"/>
      <selection pane="bottomLeft" activeCell="A2" sqref="A2"/>
      <selection pane="bottomRight" activeCell="B8" sqref="B8"/>
    </sheetView>
  </sheetViews>
  <sheetFormatPr defaultColWidth="14.42578125" defaultRowHeight="15" customHeight="1"/>
  <cols>
    <col min="1" max="1" width="18.28515625" style="187" customWidth="1"/>
    <col min="2" max="2" width="11.7109375" style="187" customWidth="1"/>
    <col min="3" max="3" width="9" style="186" customWidth="1"/>
    <col min="4" max="4" width="8.7109375" style="186" customWidth="1"/>
    <col min="5" max="5" width="10.28515625" style="186" customWidth="1"/>
    <col min="6" max="6" width="13.140625" style="186" customWidth="1"/>
    <col min="7" max="11" width="12.42578125" style="186" customWidth="1"/>
    <col min="12" max="12" width="13.5703125" style="186" customWidth="1"/>
    <col min="13" max="18" width="9.7109375" style="186" customWidth="1"/>
    <col min="19" max="20" width="12" style="186" customWidth="1"/>
    <col min="21" max="26" width="11.28515625" style="186" customWidth="1"/>
    <col min="27" max="27" width="14" style="186" customWidth="1"/>
    <col min="28" max="28" width="14.140625" style="186" customWidth="1"/>
    <col min="29" max="29" width="13.85546875" style="186" customWidth="1"/>
    <col min="30" max="30" width="14.5703125" style="186" customWidth="1"/>
    <col min="31" max="32" width="19.140625" style="186" customWidth="1"/>
    <col min="33" max="36" width="10.85546875" style="186" customWidth="1"/>
    <col min="37" max="37" width="19.5703125" style="186" bestFit="1" customWidth="1"/>
    <col min="38" max="39" width="10.85546875" style="186" customWidth="1"/>
    <col min="40" max="47" width="12" style="186" customWidth="1"/>
    <col min="48" max="49" width="11.28515625" style="189" customWidth="1"/>
    <col min="50" max="55" width="12" style="186" customWidth="1"/>
    <col min="56" max="56" width="21.140625" style="186" customWidth="1"/>
    <col min="57" max="57" width="20.85546875" style="186" customWidth="1"/>
    <col min="58" max="58" width="12.85546875" style="186" customWidth="1"/>
    <col min="59" max="59" width="12.140625" style="186" customWidth="1"/>
    <col min="60" max="61" width="11.140625" style="186" customWidth="1"/>
    <col min="62" max="62" width="12" style="186" customWidth="1"/>
    <col min="63" max="63" width="12.140625" style="186" customWidth="1"/>
    <col min="64" max="64" width="12.85546875" style="186" customWidth="1"/>
    <col min="65" max="65" width="13" style="186" customWidth="1"/>
    <col min="66" max="70" width="12.140625" style="186" customWidth="1"/>
    <col min="71" max="71" width="11.42578125" style="186" customWidth="1"/>
    <col min="72" max="72" width="13" style="186" customWidth="1"/>
    <col min="73" max="73" width="13.140625" style="186" customWidth="1"/>
    <col min="74" max="74" width="11.7109375" style="186" customWidth="1"/>
    <col min="75" max="75" width="11.85546875" style="186" customWidth="1"/>
    <col min="76" max="77" width="13.85546875" style="186" customWidth="1"/>
    <col min="78" max="78" width="13.42578125" style="186" customWidth="1"/>
    <col min="79" max="79" width="13.5703125" style="186" customWidth="1"/>
    <col min="80" max="80" width="12.42578125" style="186" customWidth="1"/>
    <col min="81" max="81" width="12.5703125" style="186" customWidth="1"/>
    <col min="82" max="83" width="11.28515625" style="186" customWidth="1"/>
    <col min="84" max="84" width="12" style="186" customWidth="1"/>
    <col min="85" max="85" width="12.140625" style="186" customWidth="1"/>
    <col min="86" max="86" width="13.42578125" style="186" customWidth="1"/>
    <col min="87" max="87" width="13.5703125" style="186" customWidth="1"/>
    <col min="88" max="88" width="21.42578125" style="186" customWidth="1"/>
    <col min="89" max="89" width="18.5703125" style="186" customWidth="1"/>
    <col min="90" max="90" width="16.42578125" style="186" customWidth="1"/>
    <col min="91" max="91" width="14.42578125" style="186"/>
    <col min="92" max="92" width="13.42578125" style="186" customWidth="1"/>
    <col min="93" max="93" width="18.85546875" style="186" customWidth="1"/>
    <col min="94" max="94" width="12.140625" style="186" customWidth="1"/>
    <col min="95" max="95" width="12.5703125" style="186" customWidth="1"/>
    <col min="96" max="96" width="12" style="186" customWidth="1"/>
    <col min="97" max="97" width="13" style="186" customWidth="1"/>
    <col min="98" max="16384" width="14.42578125" style="186"/>
  </cols>
  <sheetData>
    <row r="1" spans="1:97" s="184" customFormat="1" ht="95.25" thickBot="1">
      <c r="A1" s="273" t="s">
        <v>173</v>
      </c>
      <c r="B1" s="273" t="s">
        <v>174</v>
      </c>
      <c r="C1" s="273" t="s">
        <v>1</v>
      </c>
      <c r="D1" s="273" t="s">
        <v>8</v>
      </c>
      <c r="E1" s="273" t="s">
        <v>9</v>
      </c>
      <c r="F1" s="274" t="s">
        <v>10</v>
      </c>
      <c r="G1" s="275" t="s">
        <v>2</v>
      </c>
      <c r="H1" s="276" t="s">
        <v>3</v>
      </c>
      <c r="I1" s="276" t="s">
        <v>4</v>
      </c>
      <c r="J1" s="276" t="s">
        <v>5</v>
      </c>
      <c r="K1" s="276" t="s">
        <v>6</v>
      </c>
      <c r="L1" s="274" t="s">
        <v>7</v>
      </c>
      <c r="M1" s="275" t="s">
        <v>11</v>
      </c>
      <c r="N1" s="276" t="s">
        <v>12</v>
      </c>
      <c r="O1" s="276" t="s">
        <v>175</v>
      </c>
      <c r="P1" s="276" t="s">
        <v>176</v>
      </c>
      <c r="Q1" s="276" t="s">
        <v>13</v>
      </c>
      <c r="R1" s="276" t="s">
        <v>14</v>
      </c>
      <c r="S1" s="276" t="s">
        <v>15</v>
      </c>
      <c r="T1" s="276" t="s">
        <v>16</v>
      </c>
      <c r="U1" s="276" t="s">
        <v>17</v>
      </c>
      <c r="V1" s="274" t="s">
        <v>18</v>
      </c>
      <c r="W1" s="275" t="s">
        <v>19</v>
      </c>
      <c r="X1" s="276" t="s">
        <v>20</v>
      </c>
      <c r="Y1" s="276" t="s">
        <v>21</v>
      </c>
      <c r="Z1" s="276" t="s">
        <v>22</v>
      </c>
      <c r="AA1" s="276" t="s">
        <v>23</v>
      </c>
      <c r="AB1" s="274" t="s">
        <v>24</v>
      </c>
      <c r="AC1" s="275" t="s">
        <v>25</v>
      </c>
      <c r="AD1" s="276" t="s">
        <v>195</v>
      </c>
      <c r="AE1" s="276" t="s">
        <v>26</v>
      </c>
      <c r="AF1" s="276" t="s">
        <v>27</v>
      </c>
      <c r="AG1" s="276" t="s">
        <v>28</v>
      </c>
      <c r="AH1" s="276" t="s">
        <v>29</v>
      </c>
      <c r="AI1" s="276" t="s">
        <v>30</v>
      </c>
      <c r="AJ1" s="276" t="s">
        <v>31</v>
      </c>
      <c r="AK1" s="276" t="s">
        <v>32</v>
      </c>
      <c r="AL1" s="276" t="s">
        <v>33</v>
      </c>
      <c r="AM1" s="276" t="s">
        <v>34</v>
      </c>
      <c r="AN1" s="276" t="s">
        <v>35</v>
      </c>
      <c r="AO1" s="276" t="s">
        <v>36</v>
      </c>
      <c r="AP1" s="276" t="s">
        <v>37</v>
      </c>
      <c r="AQ1" s="274" t="s">
        <v>38</v>
      </c>
      <c r="AR1" s="275" t="s">
        <v>39</v>
      </c>
      <c r="AS1" s="276" t="s">
        <v>40</v>
      </c>
      <c r="AT1" s="276" t="s">
        <v>41</v>
      </c>
      <c r="AU1" s="276" t="s">
        <v>42</v>
      </c>
      <c r="AV1" s="276" t="s">
        <v>177</v>
      </c>
      <c r="AW1" s="276" t="s">
        <v>178</v>
      </c>
      <c r="AX1" s="276" t="s">
        <v>43</v>
      </c>
      <c r="AY1" s="276" t="s">
        <v>44</v>
      </c>
      <c r="AZ1" s="276" t="s">
        <v>45</v>
      </c>
      <c r="BA1" s="276" t="s">
        <v>46</v>
      </c>
      <c r="BB1" s="276" t="s">
        <v>47</v>
      </c>
      <c r="BC1" s="276" t="s">
        <v>48</v>
      </c>
      <c r="BD1" s="276" t="s">
        <v>179</v>
      </c>
      <c r="BE1" s="274" t="s">
        <v>180</v>
      </c>
      <c r="BF1" s="275" t="s">
        <v>191</v>
      </c>
      <c r="BG1" s="276" t="s">
        <v>192</v>
      </c>
      <c r="BH1" s="276" t="s">
        <v>49</v>
      </c>
      <c r="BI1" s="276" t="s">
        <v>50</v>
      </c>
      <c r="BJ1" s="276" t="s">
        <v>51</v>
      </c>
      <c r="BK1" s="276" t="s">
        <v>52</v>
      </c>
      <c r="BL1" s="276" t="s">
        <v>53</v>
      </c>
      <c r="BM1" s="276" t="s">
        <v>54</v>
      </c>
      <c r="BN1" s="276" t="s">
        <v>55</v>
      </c>
      <c r="BO1" s="276" t="s">
        <v>56</v>
      </c>
      <c r="BP1" s="276" t="s">
        <v>57</v>
      </c>
      <c r="BQ1" s="276" t="s">
        <v>58</v>
      </c>
      <c r="BR1" s="276" t="s">
        <v>59</v>
      </c>
      <c r="BS1" s="276" t="s">
        <v>60</v>
      </c>
      <c r="BT1" s="276" t="s">
        <v>61</v>
      </c>
      <c r="BU1" s="276" t="s">
        <v>62</v>
      </c>
      <c r="BV1" s="276" t="s">
        <v>63</v>
      </c>
      <c r="BW1" s="274" t="s">
        <v>64</v>
      </c>
      <c r="BX1" s="275" t="s">
        <v>65</v>
      </c>
      <c r="BY1" s="276" t="s">
        <v>66</v>
      </c>
      <c r="BZ1" s="276" t="s">
        <v>67</v>
      </c>
      <c r="CA1" s="276" t="s">
        <v>68</v>
      </c>
      <c r="CB1" s="276" t="s">
        <v>69</v>
      </c>
      <c r="CC1" s="276" t="s">
        <v>70</v>
      </c>
      <c r="CD1" s="276" t="s">
        <v>71</v>
      </c>
      <c r="CE1" s="276" t="s">
        <v>72</v>
      </c>
      <c r="CF1" s="276" t="s">
        <v>73</v>
      </c>
      <c r="CG1" s="276" t="s">
        <v>74</v>
      </c>
      <c r="CH1" s="276" t="s">
        <v>75</v>
      </c>
      <c r="CI1" s="274" t="s">
        <v>76</v>
      </c>
      <c r="CJ1" s="277" t="s">
        <v>188</v>
      </c>
      <c r="CK1" s="278" t="s">
        <v>0</v>
      </c>
      <c r="CL1" s="275" t="s">
        <v>196</v>
      </c>
      <c r="CM1" s="276" t="s">
        <v>78</v>
      </c>
      <c r="CN1" s="276" t="s">
        <v>193</v>
      </c>
      <c r="CO1" s="276" t="s">
        <v>194</v>
      </c>
      <c r="CP1" s="276" t="s">
        <v>189</v>
      </c>
      <c r="CQ1" s="276" t="s">
        <v>190</v>
      </c>
      <c r="CR1" s="276" t="s">
        <v>81</v>
      </c>
    </row>
    <row r="2" spans="1:97" ht="15.75">
      <c r="A2" s="279">
        <f>Tabela1[[#This Row],[Ano]]</f>
        <v>2017</v>
      </c>
      <c r="B2" s="181" t="str">
        <f>Tabela1[[#This Row],[Missão]]</f>
        <v>CIASC</v>
      </c>
      <c r="C2" s="181">
        <f>Tabela1[[#This Row],[Aluno]]</f>
        <v>3114</v>
      </c>
      <c r="D2" s="181">
        <f>Tabela1[[#This Row],[Idade]]</f>
        <v>30</v>
      </c>
      <c r="E2" s="182">
        <f>Tabela1[[#This Row],[Peso Kg]]</f>
        <v>73</v>
      </c>
      <c r="F2" s="201">
        <f>Tabela1[[#This Row],[Cor da pele]]</f>
        <v>1</v>
      </c>
      <c r="G2" s="202" t="str">
        <f>Tabela1[[#This Row],[ACTN3]]</f>
        <v>RX</v>
      </c>
      <c r="H2" s="203" t="str">
        <f>Tabela1[[#This Row],[AGT]]</f>
        <v>MM</v>
      </c>
      <c r="I2" s="203" t="str">
        <f>Tabela1[[#This Row],[ECA]]</f>
        <v>DD</v>
      </c>
      <c r="J2" s="203" t="str">
        <f>Tabela1[[#This Row],[BDKRB2]]</f>
        <v>(+9, -9)</v>
      </c>
      <c r="K2" s="203">
        <f>Tabela1[[#This Row],[Score Força%]]</f>
        <v>50</v>
      </c>
      <c r="L2" s="204">
        <f>Tabela1[[#This Row],[Score Resistência %]]</f>
        <v>50</v>
      </c>
      <c r="M2" s="202">
        <f>Tabela1[[#This Row],[Pré CK (U/L)]]</f>
        <v>995</v>
      </c>
      <c r="N2" s="203">
        <f>Tabela1[[#This Row],[Pós CK (U/L)]]</f>
        <v>6454</v>
      </c>
      <c r="O2" s="203">
        <f>Tabela1[[#This Row],[Pré CK MB U/L]]</f>
        <v>26</v>
      </c>
      <c r="P2" s="203">
        <f>Tabela1[[#This Row],[Pós CK MB U/L]]</f>
        <v>55</v>
      </c>
      <c r="Q2" s="203" t="str">
        <f>Tabela1[[#This Row],[Pré Lactato (mmol/L)]]</f>
        <v>-</v>
      </c>
      <c r="R2" s="203" t="str">
        <f>Tabela1[[#This Row],[Pós Lactato (mmol/L)]]</f>
        <v>-</v>
      </c>
      <c r="S2" s="203">
        <f>Tabela1[[#This Row],[Pré LDH (U/L)]]</f>
        <v>619</v>
      </c>
      <c r="T2" s="203">
        <f>Tabela1[[#This Row],[Pós LDH (U/L)]]</f>
        <v>1023</v>
      </c>
      <c r="U2" s="203">
        <f>Tabela1[[#This Row],[Pré AST (U/L)]]</f>
        <v>64</v>
      </c>
      <c r="V2" s="204">
        <f>Tabela1[[#This Row],[Pós AST (U/L)]]</f>
        <v>116</v>
      </c>
      <c r="W2" s="205">
        <f>Tabela1[[#This Row],[Pré Albumina (g/dL)]]</f>
        <v>4.7</v>
      </c>
      <c r="X2" s="206">
        <f>Tabela1[[#This Row],[Pós Albumina (g/dL)]]</f>
        <v>4.5999999999999996</v>
      </c>
      <c r="Y2" s="203">
        <f>Tabela1[[#This Row],[Pré TGP (g/dL)]]</f>
        <v>80</v>
      </c>
      <c r="Z2" s="203">
        <f>Tabela1[[#This Row],[Pós TGP (g/dL)]]</f>
        <v>84</v>
      </c>
      <c r="AA2" s="203">
        <f>Tabela1[[#This Row],[Pré GGT U/L]]</f>
        <v>11</v>
      </c>
      <c r="AB2" s="204">
        <f>Tabela1[[#This Row],[Pós GGT U/L]]</f>
        <v>12</v>
      </c>
      <c r="AC2" s="205" t="str">
        <f>Tabela1[[#This Row],[Pré Ac. Úrico (mg/dL)]]</f>
        <v>-</v>
      </c>
      <c r="AD2" s="206" t="str">
        <f>Tabela1[[#This Row],[Pós Ac. Úrico (mg/dL)2]]</f>
        <v>-</v>
      </c>
      <c r="AE2" s="207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" s="207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" s="203">
        <f>Tabela1[[#This Row],[Pré Ureia mg/dL]]</f>
        <v>36</v>
      </c>
      <c r="AH2" s="203">
        <f>Tabela1[[#This Row],[Pós Ureia mg/dL]]</f>
        <v>67</v>
      </c>
      <c r="AI2" s="206">
        <f>Tabela1[[#This Row],[Pré creatinina mg/dL]]</f>
        <v>0.8</v>
      </c>
      <c r="AJ2" s="206">
        <f>Tabela1[[#This Row],[Pós creatinina mg/dL]]</f>
        <v>0.9</v>
      </c>
      <c r="AK2" s="207">
        <f t="shared" ref="AK2:AK65" si="0">IFERROR(IF((AJ2-AI2)&lt;0,0,(AJ2-AI2)),"Dados Insuficientes")</f>
        <v>9.9999999999999978E-2</v>
      </c>
      <c r="AL2" s="206">
        <f>Tabela1[[#This Row],[Pré Fósforo mg/dL]]</f>
        <v>3.4</v>
      </c>
      <c r="AM2" s="206">
        <f>Tabela1[[#This Row],[Pós Fósforo mg/dL]]</f>
        <v>3.6</v>
      </c>
      <c r="AN2" s="206">
        <f>Tabela1[[#This Row],[Pré Proteína Total (g/dL)]]</f>
        <v>7.4</v>
      </c>
      <c r="AO2" s="206">
        <f>Tabela1[[#This Row],[Pós Proteína Total (g/dL)]]</f>
        <v>7.6</v>
      </c>
      <c r="AP2" s="203" t="str">
        <f>Tabela1[[#This Row],[Pré FE (ug/dL)]]</f>
        <v>-</v>
      </c>
      <c r="AQ2" s="204" t="str">
        <f>Tabela1[[#This Row],[Pós FE (ug/dL)]]</f>
        <v>-</v>
      </c>
      <c r="AR2" s="205">
        <f>Tabela1[[#This Row],[Pré calcio mg/dL]]</f>
        <v>10.1</v>
      </c>
      <c r="AS2" s="206">
        <f>Tabela1[[#This Row],[Pós calcio mg/dL]]</f>
        <v>9.6999999999999993</v>
      </c>
      <c r="AT2" s="206">
        <f>Tabela1[[#This Row],[Pré Potássio mmol/L]]</f>
        <v>5.4</v>
      </c>
      <c r="AU2" s="206" t="str">
        <f>Tabela1[[#This Row],[Pós Potássio mmol/L]]</f>
        <v>-</v>
      </c>
      <c r="AV2" s="203">
        <f>Tabela1[[#This Row],[Glicose pré]]</f>
        <v>91</v>
      </c>
      <c r="AW2" s="203">
        <f>Tabela1[[#This Row],[Glicose pós]]</f>
        <v>79</v>
      </c>
      <c r="AX2" s="203">
        <f>Tabela1[[#This Row],[Pré Sódio mmol/L]]</f>
        <v>141</v>
      </c>
      <c r="AY2" s="203">
        <f>Tabela1[[#This Row],[Pós Sódio mmol/L]]</f>
        <v>137</v>
      </c>
      <c r="AZ2" s="206" t="str">
        <f>Tabela1[[#This Row],[Pré Magnésio mg/dL]]</f>
        <v>-</v>
      </c>
      <c r="BA2" s="206" t="str">
        <f>Tabela1[[#This Row],[Pós Magnésio mg/dL]]</f>
        <v>-</v>
      </c>
      <c r="BB2" s="203" t="str">
        <f>Tabela1[[#This Row],[Pré Cloro mmol/L]]</f>
        <v>-</v>
      </c>
      <c r="BC2" s="203" t="str">
        <f>Tabela1[[#This Row],[Pós Cloro mmol/L]]</f>
        <v>-</v>
      </c>
      <c r="BD2" s="208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298.1178888888889</v>
      </c>
      <c r="BE2" s="209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2" s="205">
        <f>Tabela1[[#This Row],[Pré RBC 10^6/mm³]]</f>
        <v>5.23</v>
      </c>
      <c r="BG2" s="206">
        <f>Tabela1[[#This Row],[Pós RBC 10^6/mm³]]</f>
        <v>4.87</v>
      </c>
      <c r="BH2" s="206">
        <f>Tabela1[[#This Row],[Pré HGB g/dL]]</f>
        <v>14.8</v>
      </c>
      <c r="BI2" s="206">
        <f>Tabela1[[#This Row],[Pós HGB g/dL]]</f>
        <v>14.1</v>
      </c>
      <c r="BJ2" s="206">
        <f>Tabela1[[#This Row],[Pré HCT %]]</f>
        <v>48.7</v>
      </c>
      <c r="BK2" s="206">
        <f>Tabela1[[#This Row],[Pós HCT %]]</f>
        <v>45.4</v>
      </c>
      <c r="BL2" s="206">
        <f>Tabela1[[#This Row],[Pré MCV fL]]</f>
        <v>93.1</v>
      </c>
      <c r="BM2" s="206">
        <f>Tabela1[[#This Row],[Pós MCV fL]]</f>
        <v>93.2</v>
      </c>
      <c r="BN2" s="206">
        <f>Tabela1[[#This Row],[Pré MCH pg]]</f>
        <v>28.3</v>
      </c>
      <c r="BO2" s="206">
        <f>Tabela1[[#This Row],[Pós MCH pg]]</f>
        <v>29</v>
      </c>
      <c r="BP2" s="206">
        <f>Tabela1[[#This Row],[Pré MCHC g/dL]]</f>
        <v>30.4</v>
      </c>
      <c r="BQ2" s="206">
        <f>Tabela1[[#This Row],[Pós MCHC g/dL]]</f>
        <v>31.1</v>
      </c>
      <c r="BR2" s="203">
        <f>Tabela1[[#This Row],[Pré PLT 10³/mm³]]</f>
        <v>272</v>
      </c>
      <c r="BS2" s="203">
        <f>Tabela1[[#This Row],[Pós PLT 10³/mm³]]</f>
        <v>329</v>
      </c>
      <c r="BT2" s="206">
        <f>Tabela1[[#This Row],[Pré RDW %]]</f>
        <v>12.4</v>
      </c>
      <c r="BU2" s="206">
        <f>Tabela1[[#This Row],[Pós RDW %]]</f>
        <v>12.6</v>
      </c>
      <c r="BV2" s="210">
        <f>Tabela1[[#This Row],[Pré RET %]]</f>
        <v>0.78</v>
      </c>
      <c r="BW2" s="211">
        <f>Tabela1[[#This Row],[Pós RET %]]</f>
        <v>0.99</v>
      </c>
      <c r="BX2" s="212">
        <f>Tabela1[[#This Row],[Pré WBC 10³/mm³]]</f>
        <v>4.8099999999999996</v>
      </c>
      <c r="BY2" s="210">
        <f>Tabela1[[#This Row],[Pós WBC 10³/mm³]]</f>
        <v>9.8800000000000008</v>
      </c>
      <c r="BZ2" s="206">
        <f>Tabela1[[#This Row],[Pré NEUT %]]</f>
        <v>58</v>
      </c>
      <c r="CA2" s="206">
        <f>Tabela1[[#This Row],[Pós NEUT %]]</f>
        <v>64.2</v>
      </c>
      <c r="CB2" s="206">
        <f>Tabela1[[#This Row],[Pré LINF %]]</f>
        <v>29.1</v>
      </c>
      <c r="CC2" s="206">
        <f>Tabela1[[#This Row],[Pós LINF %]]</f>
        <v>25.4</v>
      </c>
      <c r="CD2" s="206">
        <f>Tabela1[[#This Row],[Pré MONO %]]</f>
        <v>9.6</v>
      </c>
      <c r="CE2" s="206">
        <f>Tabela1[[#This Row],[Pós MONO %]]</f>
        <v>8.6</v>
      </c>
      <c r="CF2" s="206">
        <f>Tabela1[[#This Row],[Pré EOS %]]</f>
        <v>2.5</v>
      </c>
      <c r="CG2" s="206">
        <f>Tabela1[[#This Row],[Pós EOS %]]</f>
        <v>1.4</v>
      </c>
      <c r="CH2" s="206">
        <f>Tabela1[[#This Row],[Pré BASO %]]</f>
        <v>0.8</v>
      </c>
      <c r="CI2" s="213">
        <f>Tabela1[[#This Row],[Pós BASO %]]</f>
        <v>0.4</v>
      </c>
      <c r="CJ2" s="214" t="str">
        <f t="shared" ref="CJ2:CJ65" si="1">IFERROR(IF((AJ2-AI2)&gt;=0.3,"SIM","NÃO"),"Dados insuficientes")</f>
        <v>NÃO</v>
      </c>
      <c r="CK2" s="215" t="str">
        <f t="shared" ref="CK2:CK65" si="2">IFERROR(IF(OR(N2&gt;=1000,M2&gt;=1000),"SIM","NÃO"),"Dados Insuficientes")</f>
        <v>SIM</v>
      </c>
      <c r="CL2" s="205">
        <f t="shared" ref="CL2:CL65" si="3">$CM2-($CM2*(0.01*$CR2))</f>
        <v>66.363659999999996</v>
      </c>
      <c r="CM2" s="206">
        <f>Tabela1[[#This Row],[MCT KG]]</f>
        <v>72.599999999999994</v>
      </c>
      <c r="CN2" s="203">
        <f>Tabela1[[#This Row],[ESTATURA]]</f>
        <v>180</v>
      </c>
      <c r="CO2" s="203">
        <f>Tabela1[[#This Row],[vo2max estimado]]</f>
        <v>52.5</v>
      </c>
      <c r="CP2" s="203">
        <f>Tabela1[[#This Row],[Handgrip     Dominante]]</f>
        <v>45</v>
      </c>
      <c r="CQ2" s="203">
        <f>Tabela1[[#This Row],[Handgrip Contrário]]</f>
        <v>42</v>
      </c>
      <c r="CR2" s="280">
        <f>Tabela1[[#This Row],[% gordura]]</f>
        <v>8.59</v>
      </c>
      <c r="CS2" s="185"/>
    </row>
    <row r="3" spans="1:97" ht="15.75">
      <c r="A3" s="279">
        <f>Tabela1[[#This Row],[Ano]]</f>
        <v>2017</v>
      </c>
      <c r="B3" s="181" t="str">
        <f>Tabela1[[#This Row],[Missão]]</f>
        <v>CIASC</v>
      </c>
      <c r="C3" s="181">
        <f>Tabela1[[#This Row],[Aluno]]</f>
        <v>3116</v>
      </c>
      <c r="D3" s="181">
        <f>Tabela1[[#This Row],[Idade]]</f>
        <v>29</v>
      </c>
      <c r="E3" s="182">
        <f>Tabela1[[#This Row],[Peso Kg]]</f>
        <v>70</v>
      </c>
      <c r="F3" s="191">
        <f>Tabela1[[#This Row],[Cor da pele]]</f>
        <v>2</v>
      </c>
      <c r="G3" s="192" t="str">
        <f>Tabela1[[#This Row],[ACTN3]]</f>
        <v>RX</v>
      </c>
      <c r="H3" s="85" t="str">
        <f>Tabela1[[#This Row],[AGT]]</f>
        <v>MT</v>
      </c>
      <c r="I3" s="85" t="str">
        <f>Tabela1[[#This Row],[ECA]]</f>
        <v>DD</v>
      </c>
      <c r="J3" s="85" t="str">
        <f>Tabela1[[#This Row],[BDKRB2]]</f>
        <v>(+9, -9)</v>
      </c>
      <c r="K3" s="85">
        <f>Tabela1[[#This Row],[Score Força%]]</f>
        <v>62.5</v>
      </c>
      <c r="L3" s="193">
        <f>Tabela1[[#This Row],[Score Resistência %]]</f>
        <v>37.5</v>
      </c>
      <c r="M3" s="192">
        <f>Tabela1[[#This Row],[Pré CK (U/L)]]</f>
        <v>281</v>
      </c>
      <c r="N3" s="85">
        <f>Tabela1[[#This Row],[Pós CK (U/L)]]</f>
        <v>766</v>
      </c>
      <c r="O3" s="85">
        <f>Tabela1[[#This Row],[Pré CK MB U/L]]</f>
        <v>16</v>
      </c>
      <c r="P3" s="85">
        <f>Tabela1[[#This Row],[Pós CK MB U/L]]</f>
        <v>35</v>
      </c>
      <c r="Q3" s="85" t="str">
        <f>Tabela1[[#This Row],[Pré Lactato (mmol/L)]]</f>
        <v>-</v>
      </c>
      <c r="R3" s="85" t="str">
        <f>Tabela1[[#This Row],[Pós Lactato (mmol/L)]]</f>
        <v>-</v>
      </c>
      <c r="S3" s="85">
        <f>Tabela1[[#This Row],[Pré LDH (U/L)]]</f>
        <v>626</v>
      </c>
      <c r="T3" s="85">
        <f>Tabela1[[#This Row],[Pós LDH (U/L)]]</f>
        <v>774</v>
      </c>
      <c r="U3" s="85">
        <f>Tabela1[[#This Row],[Pré AST (U/L)]]</f>
        <v>56</v>
      </c>
      <c r="V3" s="193">
        <f>Tabela1[[#This Row],[Pós AST (U/L)]]</f>
        <v>65</v>
      </c>
      <c r="W3" s="194">
        <f>Tabela1[[#This Row],[Pré Albumina (g/dL)]]</f>
        <v>4.5</v>
      </c>
      <c r="X3" s="125">
        <f>Tabela1[[#This Row],[Pós Albumina (g/dL)]]</f>
        <v>4.7</v>
      </c>
      <c r="Y3" s="85">
        <f>Tabela1[[#This Row],[Pré TGP (g/dL)]]</f>
        <v>60</v>
      </c>
      <c r="Z3" s="85">
        <f>Tabela1[[#This Row],[Pós TGP (g/dL)]]</f>
        <v>65</v>
      </c>
      <c r="AA3" s="85">
        <f>Tabela1[[#This Row],[Pré GGT U/L]]</f>
        <v>17</v>
      </c>
      <c r="AB3" s="193">
        <f>Tabela1[[#This Row],[Pós GGT U/L]]</f>
        <v>12</v>
      </c>
      <c r="AC3" s="194" t="str">
        <f>Tabela1[[#This Row],[Pré Ac. Úrico (mg/dL)]]</f>
        <v>-</v>
      </c>
      <c r="AD3" s="125" t="str">
        <f>Tabela1[[#This Row],[Pós Ac. Úrico (mg/dL)2]]</f>
        <v>-</v>
      </c>
      <c r="AE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3" s="85">
        <f>Tabela1[[#This Row],[Pré Ureia mg/dL]]</f>
        <v>40</v>
      </c>
      <c r="AH3" s="85">
        <f>Tabela1[[#This Row],[Pós Ureia mg/dL]]</f>
        <v>54</v>
      </c>
      <c r="AI3" s="125">
        <f>Tabela1[[#This Row],[Pré creatinina mg/dL]]</f>
        <v>0.9</v>
      </c>
      <c r="AJ3" s="125">
        <f>Tabela1[[#This Row],[Pós creatinina mg/dL]]</f>
        <v>0.9</v>
      </c>
      <c r="AK3" s="180">
        <f t="shared" si="0"/>
        <v>0</v>
      </c>
      <c r="AL3" s="125">
        <f>Tabela1[[#This Row],[Pré Fósforo mg/dL]]</f>
        <v>3.8</v>
      </c>
      <c r="AM3" s="125">
        <f>Tabela1[[#This Row],[Pós Fósforo mg/dL]]</f>
        <v>4.2</v>
      </c>
      <c r="AN3" s="125">
        <f>Tabela1[[#This Row],[Pré Proteína Total (g/dL)]]</f>
        <v>6.7</v>
      </c>
      <c r="AO3" s="125">
        <f>Tabela1[[#This Row],[Pós Proteína Total (g/dL)]]</f>
        <v>7.4</v>
      </c>
      <c r="AP3" s="85" t="str">
        <f>Tabela1[[#This Row],[Pré FE (ug/dL)]]</f>
        <v>-</v>
      </c>
      <c r="AQ3" s="193" t="str">
        <f>Tabela1[[#This Row],[Pós FE (ug/dL)]]</f>
        <v>-</v>
      </c>
      <c r="AR3" s="194">
        <f>Tabela1[[#This Row],[Pré calcio mg/dL]]</f>
        <v>9.9</v>
      </c>
      <c r="AS3" s="125">
        <f>Tabela1[[#This Row],[Pós calcio mg/dL]]</f>
        <v>9.9</v>
      </c>
      <c r="AT3" s="125">
        <f>Tabela1[[#This Row],[Pré Potássio mmol/L]]</f>
        <v>5.2</v>
      </c>
      <c r="AU3" s="125">
        <f>Tabela1[[#This Row],[Pós Potássio mmol/L]]</f>
        <v>5.0999999999999996</v>
      </c>
      <c r="AV3" s="85">
        <f>Tabela1[[#This Row],[Glicose pré]]</f>
        <v>91</v>
      </c>
      <c r="AW3" s="85">
        <f>Tabela1[[#This Row],[Glicose pós]]</f>
        <v>79</v>
      </c>
      <c r="AX3" s="85">
        <f>Tabela1[[#This Row],[Pré Sódio mmol/L]]</f>
        <v>141</v>
      </c>
      <c r="AY3" s="85">
        <f>Tabela1[[#This Row],[Pós Sódio mmol/L]]</f>
        <v>137</v>
      </c>
      <c r="AZ3" s="125" t="str">
        <f>Tabela1[[#This Row],[Pré Magnésio mg/dL]]</f>
        <v>-</v>
      </c>
      <c r="BA3" s="125" t="str">
        <f>Tabela1[[#This Row],[Pós Magnésio mg/dL]]</f>
        <v>-</v>
      </c>
      <c r="BB3" s="85" t="str">
        <f>Tabela1[[#This Row],[Pré Cloro mmol/L]]</f>
        <v>-</v>
      </c>
      <c r="BC3" s="85" t="str">
        <f>Tabela1[[#This Row],[Pós Cloro mmol/L]]</f>
        <v>-</v>
      </c>
      <c r="BD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298.41255555555557</v>
      </c>
      <c r="BE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292.3532222222222</v>
      </c>
      <c r="BF3" s="194">
        <f>Tabela1[[#This Row],[Pré RBC 10^6/mm³]]</f>
        <v>5.14</v>
      </c>
      <c r="BG3" s="125">
        <f>Tabela1[[#This Row],[Pós RBC 10^6/mm³]]</f>
        <v>5.09</v>
      </c>
      <c r="BH3" s="125">
        <f>Tabela1[[#This Row],[Pré HGB g/dL]]</f>
        <v>15</v>
      </c>
      <c r="BI3" s="125">
        <f>Tabela1[[#This Row],[Pós HGB g/dL]]</f>
        <v>15</v>
      </c>
      <c r="BJ3" s="125">
        <f>Tabela1[[#This Row],[Pré HCT %]]</f>
        <v>44.7</v>
      </c>
      <c r="BK3" s="125">
        <f>Tabela1[[#This Row],[Pós HCT %]]</f>
        <v>44.3</v>
      </c>
      <c r="BL3" s="125">
        <f>Tabela1[[#This Row],[Pré MCV fL]]</f>
        <v>87</v>
      </c>
      <c r="BM3" s="125">
        <f>Tabela1[[#This Row],[Pós MCV fL]]</f>
        <v>87</v>
      </c>
      <c r="BN3" s="125">
        <f>Tabela1[[#This Row],[Pré MCH pg]]</f>
        <v>29.2</v>
      </c>
      <c r="BO3" s="125">
        <f>Tabela1[[#This Row],[Pós MCH pg]]</f>
        <v>29.5</v>
      </c>
      <c r="BP3" s="125">
        <f>Tabela1[[#This Row],[Pré MCHC g/dL]]</f>
        <v>33.6</v>
      </c>
      <c r="BQ3" s="125">
        <f>Tabela1[[#This Row],[Pós MCHC g/dL]]</f>
        <v>33.9</v>
      </c>
      <c r="BR3" s="85">
        <f>Tabela1[[#This Row],[Pré PLT 10³/mm³]]</f>
        <v>165</v>
      </c>
      <c r="BS3" s="85">
        <f>Tabela1[[#This Row],[Pós PLT 10³/mm³]]</f>
        <v>192</v>
      </c>
      <c r="BT3" s="125">
        <f>Tabela1[[#This Row],[Pré RDW %]]</f>
        <v>12.7</v>
      </c>
      <c r="BU3" s="125">
        <f>Tabela1[[#This Row],[Pós RDW %]]</f>
        <v>12.9</v>
      </c>
      <c r="BV3" s="179">
        <f>Tabela1[[#This Row],[Pré RET %]]</f>
        <v>1.62</v>
      </c>
      <c r="BW3" s="196">
        <f>Tabela1[[#This Row],[Pós RET %]]</f>
        <v>1.26</v>
      </c>
      <c r="BX3" s="197">
        <f>Tabela1[[#This Row],[Pré WBC 10³/mm³]]</f>
        <v>6.51</v>
      </c>
      <c r="BY3" s="179">
        <f>Tabela1[[#This Row],[Pós WBC 10³/mm³]]</f>
        <v>6.41</v>
      </c>
      <c r="BZ3" s="125">
        <f>Tabela1[[#This Row],[Pré NEUT %]]</f>
        <v>46.6</v>
      </c>
      <c r="CA3" s="125">
        <f>Tabela1[[#This Row],[Pós NEUT %]]</f>
        <v>41.8</v>
      </c>
      <c r="CB3" s="125">
        <f>Tabela1[[#This Row],[Pré LINF %]]</f>
        <v>34.700000000000003</v>
      </c>
      <c r="CC3" s="125">
        <f>Tabela1[[#This Row],[Pós LINF %]]</f>
        <v>31.4</v>
      </c>
      <c r="CD3" s="125">
        <f>Tabela1[[#This Row],[Pré MONO %]]</f>
        <v>7.2</v>
      </c>
      <c r="CE3" s="125">
        <f>Tabela1[[#This Row],[Pós MONO %]]</f>
        <v>9.5</v>
      </c>
      <c r="CF3" s="125">
        <f>Tabela1[[#This Row],[Pré EOS %]]</f>
        <v>10.9</v>
      </c>
      <c r="CG3" s="125">
        <f>Tabela1[[#This Row],[Pós EOS %]]</f>
        <v>17</v>
      </c>
      <c r="CH3" s="125">
        <f>Tabela1[[#This Row],[Pré BASO %]]</f>
        <v>0.6</v>
      </c>
      <c r="CI3" s="198">
        <f>Tabela1[[#This Row],[Pós BASO %]]</f>
        <v>0.3</v>
      </c>
      <c r="CJ3" s="199" t="str">
        <f t="shared" si="1"/>
        <v>NÃO</v>
      </c>
      <c r="CK3" s="200" t="str">
        <f t="shared" si="2"/>
        <v>NÃO</v>
      </c>
      <c r="CL3" s="194">
        <f t="shared" si="3"/>
        <v>0</v>
      </c>
      <c r="CM3" s="125">
        <f>Tabela1[[#This Row],[MCT KG]]</f>
        <v>0</v>
      </c>
      <c r="CN3" s="85">
        <f>Tabela1[[#This Row],[ESTATURA]]</f>
        <v>0</v>
      </c>
      <c r="CO3" s="85">
        <f>Tabela1[[#This Row],[vo2max estimado]]</f>
        <v>0</v>
      </c>
      <c r="CP3" s="85">
        <f>Tabela1[[#This Row],[Handgrip     Dominante]]</f>
        <v>0</v>
      </c>
      <c r="CQ3" s="85">
        <f>Tabela1[[#This Row],[Handgrip Contrário]]</f>
        <v>0</v>
      </c>
      <c r="CR3" s="281">
        <f>Tabela1[[#This Row],[% gordura]]</f>
        <v>0</v>
      </c>
      <c r="CS3" s="185"/>
    </row>
    <row r="4" spans="1:97" ht="15.75">
      <c r="A4" s="279">
        <f>Tabela1[[#This Row],[Ano]]</f>
        <v>2017</v>
      </c>
      <c r="B4" s="181" t="str">
        <f>Tabela1[[#This Row],[Missão]]</f>
        <v>CIASC</v>
      </c>
      <c r="C4" s="181">
        <f>Tabela1[[#This Row],[Aluno]]</f>
        <v>3119</v>
      </c>
      <c r="D4" s="181">
        <f>Tabela1[[#This Row],[Idade]]</f>
        <v>28</v>
      </c>
      <c r="E4" s="182">
        <f>Tabela1[[#This Row],[Peso Kg]]</f>
        <v>0</v>
      </c>
      <c r="F4" s="191">
        <f>Tabela1[[#This Row],[Cor da pele]]</f>
        <v>1</v>
      </c>
      <c r="G4" s="192" t="str">
        <f>Tabela1[[#This Row],[ACTN3]]</f>
        <v>RX</v>
      </c>
      <c r="H4" s="85" t="str">
        <f>Tabela1[[#This Row],[AGT]]</f>
        <v>TT</v>
      </c>
      <c r="I4" s="85" t="str">
        <f>Tabela1[[#This Row],[ECA]]</f>
        <v>DD</v>
      </c>
      <c r="J4" s="85" t="str">
        <f>Tabela1[[#This Row],[BDKRB2]]</f>
        <v>(-9, -9)</v>
      </c>
      <c r="K4" s="85">
        <f>Tabela1[[#This Row],[Score Força%]]</f>
        <v>62.5</v>
      </c>
      <c r="L4" s="193">
        <f>Tabela1[[#This Row],[Score Resistência %]]</f>
        <v>37.5</v>
      </c>
      <c r="M4" s="192">
        <f>Tabela1[[#This Row],[Pré CK (U/L)]]</f>
        <v>903</v>
      </c>
      <c r="N4" s="85">
        <f>Tabela1[[#This Row],[Pós CK (U/L)]]</f>
        <v>1287</v>
      </c>
      <c r="O4" s="85">
        <f>Tabela1[[#This Row],[Pré CK MB U/L]]</f>
        <v>31</v>
      </c>
      <c r="P4" s="85">
        <f>Tabela1[[#This Row],[Pós CK MB U/L]]</f>
        <v>28</v>
      </c>
      <c r="Q4" s="85" t="str">
        <f>Tabela1[[#This Row],[Pré Lactato (mmol/L)]]</f>
        <v>-</v>
      </c>
      <c r="R4" s="85" t="str">
        <f>Tabela1[[#This Row],[Pós Lactato (mmol/L)]]</f>
        <v>-</v>
      </c>
      <c r="S4" s="85">
        <f>Tabela1[[#This Row],[Pré LDH (U/L)]]</f>
        <v>780</v>
      </c>
      <c r="T4" s="85">
        <f>Tabela1[[#This Row],[Pós LDH (U/L)]]</f>
        <v>488</v>
      </c>
      <c r="U4" s="85">
        <f>Tabela1[[#This Row],[Pré AST (U/L)]]</f>
        <v>70</v>
      </c>
      <c r="V4" s="193">
        <f>Tabela1[[#This Row],[Pós AST (U/L)]]</f>
        <v>41</v>
      </c>
      <c r="W4" s="194">
        <f>Tabela1[[#This Row],[Pré Albumina (g/dL)]]</f>
        <v>4.4000000000000004</v>
      </c>
      <c r="X4" s="125">
        <f>Tabela1[[#This Row],[Pós Albumina (g/dL)]]</f>
        <v>2.1</v>
      </c>
      <c r="Y4" s="85">
        <f>Tabela1[[#This Row],[Pré TGP (g/dL)]]</f>
        <v>97</v>
      </c>
      <c r="Z4" s="85">
        <f>Tabela1[[#This Row],[Pós TGP (g/dL)]]</f>
        <v>63</v>
      </c>
      <c r="AA4" s="85">
        <f>Tabela1[[#This Row],[Pré GGT U/L]]</f>
        <v>61</v>
      </c>
      <c r="AB4" s="193">
        <f>Tabela1[[#This Row],[Pós GGT U/L]]</f>
        <v>30</v>
      </c>
      <c r="AC4" s="194" t="str">
        <f>Tabela1[[#This Row],[Pré Ac. Úrico (mg/dL)]]</f>
        <v>-</v>
      </c>
      <c r="AD4" s="125" t="str">
        <f>Tabela1[[#This Row],[Pós Ac. Úrico (mg/dL)2]]</f>
        <v>-</v>
      </c>
      <c r="AE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134.84650417699166</v>
      </c>
      <c r="AG4" s="85">
        <f>Tabela1[[#This Row],[Pré Ureia mg/dL]]</f>
        <v>27</v>
      </c>
      <c r="AH4" s="85">
        <f>Tabela1[[#This Row],[Pós Ureia mg/dL]]</f>
        <v>20</v>
      </c>
      <c r="AI4" s="125">
        <f>Tabela1[[#This Row],[Pré creatinina mg/dL]]</f>
        <v>1</v>
      </c>
      <c r="AJ4" s="125">
        <f>Tabela1[[#This Row],[Pós creatinina mg/dL]]</f>
        <v>0.6</v>
      </c>
      <c r="AK4" s="180">
        <f t="shared" si="0"/>
        <v>0</v>
      </c>
      <c r="AL4" s="125">
        <f>Tabela1[[#This Row],[Pré Fósforo mg/dL]]</f>
        <v>3</v>
      </c>
      <c r="AM4" s="125">
        <f>Tabela1[[#This Row],[Pós Fósforo mg/dL]]</f>
        <v>2.6</v>
      </c>
      <c r="AN4" s="125">
        <f>Tabela1[[#This Row],[Pré Proteína Total (g/dL)]]</f>
        <v>7.3</v>
      </c>
      <c r="AO4" s="125">
        <f>Tabela1[[#This Row],[Pós Proteína Total (g/dL)]]</f>
        <v>4.0999999999999996</v>
      </c>
      <c r="AP4" s="85" t="str">
        <f>Tabela1[[#This Row],[Pré FE (ug/dL)]]</f>
        <v>-</v>
      </c>
      <c r="AQ4" s="193" t="str">
        <f>Tabela1[[#This Row],[Pós FE (ug/dL)]]</f>
        <v>-</v>
      </c>
      <c r="AR4" s="194">
        <f>Tabela1[[#This Row],[Pré calcio mg/dL]]</f>
        <v>9.6999999999999993</v>
      </c>
      <c r="AS4" s="125">
        <f>Tabela1[[#This Row],[Pós calcio mg/dL]]</f>
        <v>5.5</v>
      </c>
      <c r="AT4" s="125">
        <f>Tabela1[[#This Row],[Pré Potássio mmol/L]]</f>
        <v>4.9000000000000004</v>
      </c>
      <c r="AU4" s="125">
        <f>Tabela1[[#This Row],[Pós Potássio mmol/L]]</f>
        <v>2.6</v>
      </c>
      <c r="AV4" s="85">
        <f>Tabela1[[#This Row],[Glicose pré]]</f>
        <v>99</v>
      </c>
      <c r="AW4" s="85">
        <f>Tabela1[[#This Row],[Glicose pós]]</f>
        <v>30</v>
      </c>
      <c r="AX4" s="85">
        <f>Tabela1[[#This Row],[Pré Sódio mmol/L]]</f>
        <v>140</v>
      </c>
      <c r="AY4" s="85">
        <f>Tabela1[[#This Row],[Pós Sódio mmol/L]]</f>
        <v>79</v>
      </c>
      <c r="AZ4" s="125" t="str">
        <f>Tabela1[[#This Row],[Pré Magnésio mg/dL]]</f>
        <v>-</v>
      </c>
      <c r="BA4" s="125" t="str">
        <f>Tabela1[[#This Row],[Pós Magnésio mg/dL]]</f>
        <v>-</v>
      </c>
      <c r="BB4" s="85" t="str">
        <f>Tabela1[[#This Row],[Pré Cloro mmol/L]]</f>
        <v>-</v>
      </c>
      <c r="BC4" s="85" t="str">
        <f>Tabela1[[#This Row],[Pós Cloro mmol/L]]</f>
        <v>-</v>
      </c>
      <c r="BD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294.339</v>
      </c>
      <c r="BE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171.02600000000001</v>
      </c>
      <c r="BF4" s="194">
        <f>Tabela1[[#This Row],[Pré RBC 10^6/mm³]]</f>
        <v>5.05</v>
      </c>
      <c r="BG4" s="125">
        <f>Tabela1[[#This Row],[Pós RBC 10^6/mm³]]</f>
        <v>4.68</v>
      </c>
      <c r="BH4" s="125">
        <f>Tabela1[[#This Row],[Pré HGB g/dL]]</f>
        <v>14.9</v>
      </c>
      <c r="BI4" s="125">
        <f>Tabela1[[#This Row],[Pós HGB g/dL]]</f>
        <v>13.7</v>
      </c>
      <c r="BJ4" s="125">
        <f>Tabela1[[#This Row],[Pré HCT %]]</f>
        <v>45.2</v>
      </c>
      <c r="BK4" s="125">
        <f>Tabela1[[#This Row],[Pós HCT %]]</f>
        <v>41.9</v>
      </c>
      <c r="BL4" s="125">
        <f>Tabela1[[#This Row],[Pré MCV fL]]</f>
        <v>89.5</v>
      </c>
      <c r="BM4" s="125">
        <f>Tabela1[[#This Row],[Pós MCV fL]]</f>
        <v>89.5</v>
      </c>
      <c r="BN4" s="125">
        <f>Tabela1[[#This Row],[Pré MCH pg]]</f>
        <v>29.5</v>
      </c>
      <c r="BO4" s="125">
        <f>Tabela1[[#This Row],[Pós MCH pg]]</f>
        <v>29.3</v>
      </c>
      <c r="BP4" s="125">
        <f>Tabela1[[#This Row],[Pré MCHC g/dL]]</f>
        <v>33</v>
      </c>
      <c r="BQ4" s="125">
        <f>Tabela1[[#This Row],[Pós MCHC g/dL]]</f>
        <v>32.700000000000003</v>
      </c>
      <c r="BR4" s="85">
        <f>Tabela1[[#This Row],[Pré PLT 10³/mm³]]</f>
        <v>231</v>
      </c>
      <c r="BS4" s="85">
        <f>Tabela1[[#This Row],[Pós PLT 10³/mm³]]</f>
        <v>275</v>
      </c>
      <c r="BT4" s="125">
        <f>Tabela1[[#This Row],[Pré RDW %]]</f>
        <v>12.7</v>
      </c>
      <c r="BU4" s="125">
        <f>Tabela1[[#This Row],[Pós RDW %]]</f>
        <v>13.2</v>
      </c>
      <c r="BV4" s="179">
        <f>Tabela1[[#This Row],[Pré RET %]]</f>
        <v>1.2</v>
      </c>
      <c r="BW4" s="196">
        <f>Tabela1[[#This Row],[Pós RET %]]</f>
        <v>1.31</v>
      </c>
      <c r="BX4" s="197">
        <f>Tabela1[[#This Row],[Pré WBC 10³/mm³]]</f>
        <v>3.85</v>
      </c>
      <c r="BY4" s="179">
        <f>Tabela1[[#This Row],[Pós WBC 10³/mm³]]</f>
        <v>7.22</v>
      </c>
      <c r="BZ4" s="125">
        <f>Tabela1[[#This Row],[Pré NEUT %]]</f>
        <v>56.3</v>
      </c>
      <c r="CA4" s="125">
        <f>Tabela1[[#This Row],[Pós NEUT %]]</f>
        <v>57.2</v>
      </c>
      <c r="CB4" s="125">
        <f>Tabela1[[#This Row],[Pré LINF %]]</f>
        <v>27.3</v>
      </c>
      <c r="CC4" s="125">
        <f>Tabela1[[#This Row],[Pós LINF %]]</f>
        <v>25.9</v>
      </c>
      <c r="CD4" s="125">
        <f>Tabela1[[#This Row],[Pré MONO %]]</f>
        <v>9.1</v>
      </c>
      <c r="CE4" s="125">
        <f>Tabela1[[#This Row],[Pós MONO %]]</f>
        <v>13.7</v>
      </c>
      <c r="CF4" s="125">
        <f>Tabela1[[#This Row],[Pré EOS %]]</f>
        <v>6.5</v>
      </c>
      <c r="CG4" s="125">
        <f>Tabela1[[#This Row],[Pós EOS %]]</f>
        <v>2.1</v>
      </c>
      <c r="CH4" s="125">
        <f>Tabela1[[#This Row],[Pré BASO %]]</f>
        <v>0.8</v>
      </c>
      <c r="CI4" s="198">
        <f>Tabela1[[#This Row],[Pós BASO %]]</f>
        <v>1.1000000000000001</v>
      </c>
      <c r="CJ4" s="199" t="str">
        <f t="shared" si="1"/>
        <v>NÃO</v>
      </c>
      <c r="CK4" s="200" t="str">
        <f t="shared" si="2"/>
        <v>SIM</v>
      </c>
      <c r="CL4" s="194">
        <f t="shared" si="3"/>
        <v>69.236999999999995</v>
      </c>
      <c r="CM4" s="125">
        <f>Tabela1[[#This Row],[MCT KG]]</f>
        <v>73.5</v>
      </c>
      <c r="CN4" s="85">
        <f>Tabela1[[#This Row],[ESTATURA]]</f>
        <v>177</v>
      </c>
      <c r="CO4" s="85">
        <f>Tabela1[[#This Row],[vo2max estimado]]</f>
        <v>53.28</v>
      </c>
      <c r="CP4" s="85">
        <f>Tabela1[[#This Row],[Handgrip     Dominante]]</f>
        <v>52.5</v>
      </c>
      <c r="CQ4" s="85">
        <f>Tabela1[[#This Row],[Handgrip Contrário]]</f>
        <v>50</v>
      </c>
      <c r="CR4" s="281">
        <f>Tabela1[[#This Row],[% gordura]]</f>
        <v>5.8</v>
      </c>
      <c r="CS4" s="185"/>
    </row>
    <row r="5" spans="1:97" ht="15.75">
      <c r="A5" s="279">
        <f>Tabela1[[#This Row],[Ano]]</f>
        <v>2017</v>
      </c>
      <c r="B5" s="181" t="str">
        <f>Tabela1[[#This Row],[Missão]]</f>
        <v>CIASC</v>
      </c>
      <c r="C5" s="181">
        <f>Tabela1[[#This Row],[Aluno]]</f>
        <v>3122</v>
      </c>
      <c r="D5" s="181">
        <f>Tabela1[[#This Row],[Idade]]</f>
        <v>27</v>
      </c>
      <c r="E5" s="182">
        <f>Tabela1[[#This Row],[Peso Kg]]</f>
        <v>0</v>
      </c>
      <c r="F5" s="191">
        <f>Tabela1[[#This Row],[Cor da pele]]</f>
        <v>1</v>
      </c>
      <c r="G5" s="192" t="str">
        <f>Tabela1[[#This Row],[ACTN3]]</f>
        <v>-</v>
      </c>
      <c r="H5" s="85" t="str">
        <f>Tabela1[[#This Row],[AGT]]</f>
        <v>-</v>
      </c>
      <c r="I5" s="85" t="str">
        <f>Tabela1[[#This Row],[ECA]]</f>
        <v>-</v>
      </c>
      <c r="J5" s="85" t="str">
        <f>Tabela1[[#This Row],[BDKRB2]]</f>
        <v>-</v>
      </c>
      <c r="K5" s="85" t="str">
        <f>Tabela1[[#This Row],[Score Força%]]</f>
        <v>-</v>
      </c>
      <c r="L5" s="193" t="str">
        <f>Tabela1[[#This Row],[Score Resistência %]]</f>
        <v>-</v>
      </c>
      <c r="M5" s="192">
        <f>Tabela1[[#This Row],[Pré CK (U/L)]]</f>
        <v>548</v>
      </c>
      <c r="N5" s="85">
        <f>Tabela1[[#This Row],[Pós CK (U/L)]]</f>
        <v>1361</v>
      </c>
      <c r="O5" s="85">
        <f>Tabela1[[#This Row],[Pré CK MB U/L]]</f>
        <v>24</v>
      </c>
      <c r="P5" s="85">
        <f>Tabela1[[#This Row],[Pós CK MB U/L]]</f>
        <v>33</v>
      </c>
      <c r="Q5" s="85" t="str">
        <f>Tabela1[[#This Row],[Pré Lactato (mmol/L)]]</f>
        <v>-</v>
      </c>
      <c r="R5" s="85" t="str">
        <f>Tabela1[[#This Row],[Pós Lactato (mmol/L)]]</f>
        <v>-</v>
      </c>
      <c r="S5" s="85">
        <f>Tabela1[[#This Row],[Pré LDH (U/L)]]</f>
        <v>528</v>
      </c>
      <c r="T5" s="85">
        <f>Tabela1[[#This Row],[Pós LDH (U/L)]]</f>
        <v>681</v>
      </c>
      <c r="U5" s="85">
        <f>Tabela1[[#This Row],[Pré AST (U/L)]]</f>
        <v>55</v>
      </c>
      <c r="V5" s="193">
        <f>Tabela1[[#This Row],[Pós AST (U/L)]]</f>
        <v>66</v>
      </c>
      <c r="W5" s="194">
        <f>Tabela1[[#This Row],[Pré Albumina (g/dL)]]</f>
        <v>4.7</v>
      </c>
      <c r="X5" s="125">
        <f>Tabela1[[#This Row],[Pós Albumina (g/dL)]]</f>
        <v>4.4000000000000004</v>
      </c>
      <c r="Y5" s="85">
        <f>Tabela1[[#This Row],[Pré TGP (g/dL)]]</f>
        <v>46</v>
      </c>
      <c r="Z5" s="85">
        <f>Tabela1[[#This Row],[Pós TGP (g/dL)]]</f>
        <v>51</v>
      </c>
      <c r="AA5" s="85">
        <f>Tabela1[[#This Row],[Pré GGT U/L]]</f>
        <v>32</v>
      </c>
      <c r="AB5" s="193">
        <f>Tabela1[[#This Row],[Pós GGT U/L]]</f>
        <v>35</v>
      </c>
      <c r="AC5" s="194" t="str">
        <f>Tabela1[[#This Row],[Pré Ac. Úrico (mg/dL)]]</f>
        <v>-</v>
      </c>
      <c r="AD5" s="125" t="str">
        <f>Tabela1[[#This Row],[Pós Ac. Úrico (mg/dL)2]]</f>
        <v>-</v>
      </c>
      <c r="AE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5" s="85">
        <f>Tabela1[[#This Row],[Pré Ureia mg/dL]]</f>
        <v>28</v>
      </c>
      <c r="AH5" s="85">
        <f>Tabela1[[#This Row],[Pós Ureia mg/dL]]</f>
        <v>39</v>
      </c>
      <c r="AI5" s="125">
        <f>Tabela1[[#This Row],[Pré creatinina mg/dL]]</f>
        <v>1</v>
      </c>
      <c r="AJ5" s="125">
        <f>Tabela1[[#This Row],[Pós creatinina mg/dL]]</f>
        <v>1</v>
      </c>
      <c r="AK5" s="180">
        <f t="shared" si="0"/>
        <v>0</v>
      </c>
      <c r="AL5" s="125">
        <f>Tabela1[[#This Row],[Pré Fósforo mg/dL]]</f>
        <v>3.8</v>
      </c>
      <c r="AM5" s="125">
        <f>Tabela1[[#This Row],[Pós Fósforo mg/dL]]</f>
        <v>4.0999999999999996</v>
      </c>
      <c r="AN5" s="125">
        <f>Tabela1[[#This Row],[Pré Proteína Total (g/dL)]]</f>
        <v>7.2</v>
      </c>
      <c r="AO5" s="125">
        <f>Tabela1[[#This Row],[Pós Proteína Total (g/dL)]]</f>
        <v>6.9</v>
      </c>
      <c r="AP5" s="85" t="str">
        <f>Tabela1[[#This Row],[Pré FE (ug/dL)]]</f>
        <v>-</v>
      </c>
      <c r="AQ5" s="193" t="str">
        <f>Tabela1[[#This Row],[Pós FE (ug/dL)]]</f>
        <v>-</v>
      </c>
      <c r="AR5" s="194">
        <f>Tabela1[[#This Row],[Pré calcio mg/dL]]</f>
        <v>10</v>
      </c>
      <c r="AS5" s="125">
        <f>Tabela1[[#This Row],[Pós calcio mg/dL]]</f>
        <v>9</v>
      </c>
      <c r="AT5" s="125">
        <f>Tabela1[[#This Row],[Pré Potássio mmol/L]]</f>
        <v>4.5999999999999996</v>
      </c>
      <c r="AU5" s="125">
        <f>Tabela1[[#This Row],[Pós Potássio mmol/L]]</f>
        <v>4</v>
      </c>
      <c r="AV5" s="85">
        <f>Tabela1[[#This Row],[Glicose pré]]</f>
        <v>93</v>
      </c>
      <c r="AW5" s="85">
        <f>Tabela1[[#This Row],[Glicose pós]]</f>
        <v>76</v>
      </c>
      <c r="AX5" s="85">
        <f>Tabela1[[#This Row],[Pré Sódio mmol/L]]</f>
        <v>139</v>
      </c>
      <c r="AY5" s="85">
        <f>Tabela1[[#This Row],[Pós Sódio mmol/L]]</f>
        <v>130</v>
      </c>
      <c r="AZ5" s="125" t="str">
        <f>Tabela1[[#This Row],[Pré Magnésio mg/dL]]</f>
        <v>-</v>
      </c>
      <c r="BA5" s="125" t="str">
        <f>Tabela1[[#This Row],[Pós Magnésio mg/dL]]</f>
        <v>-</v>
      </c>
      <c r="BB5" s="85" t="str">
        <f>Tabela1[[#This Row],[Pré Cloro mmol/L]]</f>
        <v>-</v>
      </c>
      <c r="BC5" s="85" t="str">
        <f>Tabela1[[#This Row],[Pós Cloro mmol/L]]</f>
        <v>-</v>
      </c>
      <c r="BD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291.70433333333335</v>
      </c>
      <c r="BE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274.59555555555556</v>
      </c>
      <c r="BF5" s="194">
        <f>Tabela1[[#This Row],[Pré RBC 10^6/mm³]]</f>
        <v>6.77</v>
      </c>
      <c r="BG5" s="125">
        <f>Tabela1[[#This Row],[Pós RBC 10^6/mm³]]</f>
        <v>6.59</v>
      </c>
      <c r="BH5" s="125">
        <f>Tabela1[[#This Row],[Pré HGB g/dL]]</f>
        <v>13.5</v>
      </c>
      <c r="BI5" s="125">
        <f>Tabela1[[#This Row],[Pós HGB g/dL]]</f>
        <v>12.7</v>
      </c>
      <c r="BJ5" s="125">
        <f>Tabela1[[#This Row],[Pré HCT %]]</f>
        <v>40</v>
      </c>
      <c r="BK5" s="125">
        <f>Tabela1[[#This Row],[Pós HCT %]]</f>
        <v>38.799999999999997</v>
      </c>
      <c r="BL5" s="125">
        <f>Tabela1[[#This Row],[Pré MCV fL]]</f>
        <v>59.1</v>
      </c>
      <c r="BM5" s="125">
        <f>Tabela1[[#This Row],[Pós MCV fL]]</f>
        <v>58.9</v>
      </c>
      <c r="BN5" s="125">
        <f>Tabela1[[#This Row],[Pré MCH pg]]</f>
        <v>19.899999999999999</v>
      </c>
      <c r="BO5" s="125">
        <f>Tabela1[[#This Row],[Pós MCH pg]]</f>
        <v>19.3</v>
      </c>
      <c r="BP5" s="125">
        <f>Tabela1[[#This Row],[Pré MCHC g/dL]]</f>
        <v>33.799999999999997</v>
      </c>
      <c r="BQ5" s="125">
        <f>Tabela1[[#This Row],[Pós MCHC g/dL]]</f>
        <v>32.700000000000003</v>
      </c>
      <c r="BR5" s="85">
        <f>Tabela1[[#This Row],[Pré PLT 10³/mm³]]</f>
        <v>193</v>
      </c>
      <c r="BS5" s="85">
        <f>Tabela1[[#This Row],[Pós PLT 10³/mm³]]</f>
        <v>223</v>
      </c>
      <c r="BT5" s="125">
        <f>Tabela1[[#This Row],[Pré RDW %]]</f>
        <v>18.399999999999999</v>
      </c>
      <c r="BU5" s="125">
        <f>Tabela1[[#This Row],[Pós RDW %]]</f>
        <v>18.7</v>
      </c>
      <c r="BV5" s="179">
        <f>Tabela1[[#This Row],[Pré RET %]]</f>
        <v>1.06</v>
      </c>
      <c r="BW5" s="196">
        <f>Tabela1[[#This Row],[Pós RET %]]</f>
        <v>1.1399999999999999</v>
      </c>
      <c r="BX5" s="197">
        <f>Tabela1[[#This Row],[Pré WBC 10³/mm³]]</f>
        <v>9.5299999999999994</v>
      </c>
      <c r="BY5" s="179">
        <f>Tabela1[[#This Row],[Pós WBC 10³/mm³]]</f>
        <v>10.199999999999999</v>
      </c>
      <c r="BZ5" s="125">
        <f>Tabela1[[#This Row],[Pré NEUT %]]</f>
        <v>51.9</v>
      </c>
      <c r="CA5" s="125">
        <f>Tabela1[[#This Row],[Pós NEUT %]]</f>
        <v>58.3</v>
      </c>
      <c r="CB5" s="125">
        <f>Tabela1[[#This Row],[Pré LINF %]]</f>
        <v>21</v>
      </c>
      <c r="CC5" s="125">
        <f>Tabela1[[#This Row],[Pós LINF %]]</f>
        <v>16.3</v>
      </c>
      <c r="CD5" s="125">
        <f>Tabela1[[#This Row],[Pré MONO %]]</f>
        <v>5.2</v>
      </c>
      <c r="CE5" s="125">
        <f>Tabela1[[#This Row],[Pós MONO %]]</f>
        <v>9.6</v>
      </c>
      <c r="CF5" s="125">
        <f>Tabela1[[#This Row],[Pré EOS %]]</f>
        <v>21.4</v>
      </c>
      <c r="CG5" s="125">
        <f>Tabela1[[#This Row],[Pós EOS %]]</f>
        <v>15.3</v>
      </c>
      <c r="CH5" s="125">
        <f>Tabela1[[#This Row],[Pré BASO %]]</f>
        <v>0.5</v>
      </c>
      <c r="CI5" s="198">
        <f>Tabela1[[#This Row],[Pós BASO %]]</f>
        <v>0.5</v>
      </c>
      <c r="CJ5" s="199" t="str">
        <f t="shared" si="1"/>
        <v>NÃO</v>
      </c>
      <c r="CK5" s="200" t="str">
        <f t="shared" si="2"/>
        <v>SIM</v>
      </c>
      <c r="CL5" s="194">
        <f t="shared" si="3"/>
        <v>0</v>
      </c>
      <c r="CM5" s="125">
        <f>Tabela1[[#This Row],[MCT KG]]</f>
        <v>0</v>
      </c>
      <c r="CN5" s="85">
        <f>Tabela1[[#This Row],[ESTATURA]]</f>
        <v>0</v>
      </c>
      <c r="CO5" s="85">
        <f>Tabela1[[#This Row],[vo2max estimado]]</f>
        <v>0</v>
      </c>
      <c r="CP5" s="85">
        <f>Tabela1[[#This Row],[Handgrip     Dominante]]</f>
        <v>0</v>
      </c>
      <c r="CQ5" s="85">
        <f>Tabela1[[#This Row],[Handgrip Contrário]]</f>
        <v>0</v>
      </c>
      <c r="CR5" s="281">
        <f>Tabela1[[#This Row],[% gordura]]</f>
        <v>0</v>
      </c>
      <c r="CS5" s="185"/>
    </row>
    <row r="6" spans="1:97" ht="15.75">
      <c r="A6" s="279">
        <f>Tabela1[[#This Row],[Ano]]</f>
        <v>2017</v>
      </c>
      <c r="B6" s="181" t="str">
        <f>Tabela1[[#This Row],[Missão]]</f>
        <v>CIASC</v>
      </c>
      <c r="C6" s="181">
        <f>Tabela1[[#This Row],[Aluno]]</f>
        <v>3123</v>
      </c>
      <c r="D6" s="181">
        <f>Tabela1[[#This Row],[Idade]]</f>
        <v>27</v>
      </c>
      <c r="E6" s="182">
        <f>Tabela1[[#This Row],[Peso Kg]]</f>
        <v>85</v>
      </c>
      <c r="F6" s="191">
        <f>Tabela1[[#This Row],[Cor da pele]]</f>
        <v>1</v>
      </c>
      <c r="G6" s="192" t="str">
        <f>Tabela1[[#This Row],[ACTN3]]</f>
        <v>RX</v>
      </c>
      <c r="H6" s="85" t="str">
        <f>Tabela1[[#This Row],[AGT]]</f>
        <v>TT</v>
      </c>
      <c r="I6" s="85" t="str">
        <f>Tabela1[[#This Row],[ECA]]</f>
        <v>ID</v>
      </c>
      <c r="J6" s="85" t="str">
        <f>Tabela1[[#This Row],[BDKRB2]]</f>
        <v>(+9, +9)</v>
      </c>
      <c r="K6" s="85">
        <f>Tabela1[[#This Row],[Score Força%]]</f>
        <v>75</v>
      </c>
      <c r="L6" s="193">
        <f>Tabela1[[#This Row],[Score Resistência %]]</f>
        <v>25</v>
      </c>
      <c r="M6" s="192">
        <f>Tabela1[[#This Row],[Pré CK (U/L)]]</f>
        <v>2144</v>
      </c>
      <c r="N6" s="85">
        <f>Tabela1[[#This Row],[Pós CK (U/L)]]</f>
        <v>516</v>
      </c>
      <c r="O6" s="85">
        <f>Tabela1[[#This Row],[Pré CK MB U/L]]</f>
        <v>31</v>
      </c>
      <c r="P6" s="85">
        <f>Tabela1[[#This Row],[Pós CK MB U/L]]</f>
        <v>21</v>
      </c>
      <c r="Q6" s="85" t="str">
        <f>Tabela1[[#This Row],[Pré Lactato (mmol/L)]]</f>
        <v>-</v>
      </c>
      <c r="R6" s="85" t="str">
        <f>Tabela1[[#This Row],[Pós Lactato (mmol/L)]]</f>
        <v>-</v>
      </c>
      <c r="S6" s="85">
        <f>Tabela1[[#This Row],[Pré LDH (U/L)]]</f>
        <v>815</v>
      </c>
      <c r="T6" s="85">
        <f>Tabela1[[#This Row],[Pós LDH (U/L)]]</f>
        <v>775</v>
      </c>
      <c r="U6" s="85">
        <f>Tabela1[[#This Row],[Pré AST (U/L)]]</f>
        <v>129</v>
      </c>
      <c r="V6" s="193">
        <f>Tabela1[[#This Row],[Pós AST (U/L)]]</f>
        <v>43</v>
      </c>
      <c r="W6" s="194">
        <f>Tabela1[[#This Row],[Pré Albumina (g/dL)]]</f>
        <v>4.2</v>
      </c>
      <c r="X6" s="125">
        <f>Tabela1[[#This Row],[Pós Albumina (g/dL)]]</f>
        <v>4.5</v>
      </c>
      <c r="Y6" s="85">
        <f>Tabela1[[#This Row],[Pré TGP (g/dL)]]</f>
        <v>73</v>
      </c>
      <c r="Z6" s="85">
        <f>Tabela1[[#This Row],[Pós TGP (g/dL)]]</f>
        <v>67</v>
      </c>
      <c r="AA6" s="85">
        <f>Tabela1[[#This Row],[Pré GGT U/L]]</f>
        <v>22</v>
      </c>
      <c r="AB6" s="193">
        <f>Tabela1[[#This Row],[Pós GGT U/L]]</f>
        <v>21</v>
      </c>
      <c r="AC6" s="194" t="str">
        <f>Tabela1[[#This Row],[Pré Ac. Úrico (mg/dL)]]</f>
        <v>-</v>
      </c>
      <c r="AD6" s="125" t="str">
        <f>Tabela1[[#This Row],[Pós Ac. Úrico (mg/dL)2]]</f>
        <v>-</v>
      </c>
      <c r="AE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6" s="85">
        <f>Tabela1[[#This Row],[Pré Ureia mg/dL]]</f>
        <v>29</v>
      </c>
      <c r="AH6" s="85">
        <f>Tabela1[[#This Row],[Pós Ureia mg/dL]]</f>
        <v>30</v>
      </c>
      <c r="AI6" s="125">
        <f>Tabela1[[#This Row],[Pré creatinina mg/dL]]</f>
        <v>0.9</v>
      </c>
      <c r="AJ6" s="125">
        <f>Tabela1[[#This Row],[Pós creatinina mg/dL]]</f>
        <v>0.9</v>
      </c>
      <c r="AK6" s="180">
        <f t="shared" si="0"/>
        <v>0</v>
      </c>
      <c r="AL6" s="125">
        <f>Tabela1[[#This Row],[Pré Fósforo mg/dL]]</f>
        <v>3.6</v>
      </c>
      <c r="AM6" s="125">
        <f>Tabela1[[#This Row],[Pós Fósforo mg/dL]]</f>
        <v>4.4000000000000004</v>
      </c>
      <c r="AN6" s="125">
        <f>Tabela1[[#This Row],[Pré Proteína Total (g/dL)]]</f>
        <v>7.5</v>
      </c>
      <c r="AO6" s="125">
        <f>Tabela1[[#This Row],[Pós Proteína Total (g/dL)]]</f>
        <v>7.9</v>
      </c>
      <c r="AP6" s="85" t="str">
        <f>Tabela1[[#This Row],[Pré FE (ug/dL)]]</f>
        <v>-</v>
      </c>
      <c r="AQ6" s="193" t="str">
        <f>Tabela1[[#This Row],[Pós FE (ug/dL)]]</f>
        <v>-</v>
      </c>
      <c r="AR6" s="194">
        <f>Tabela1[[#This Row],[Pré calcio mg/dL]]</f>
        <v>9.4</v>
      </c>
      <c r="AS6" s="125">
        <f>Tabela1[[#This Row],[Pós calcio mg/dL]]</f>
        <v>9.1</v>
      </c>
      <c r="AT6" s="125">
        <f>Tabela1[[#This Row],[Pré Potássio mmol/L]]</f>
        <v>4.5</v>
      </c>
      <c r="AU6" s="125">
        <f>Tabela1[[#This Row],[Pós Potássio mmol/L]]</f>
        <v>4.5</v>
      </c>
      <c r="AV6" s="85">
        <f>Tabela1[[#This Row],[Glicose pré]]</f>
        <v>93</v>
      </c>
      <c r="AW6" s="85">
        <f>Tabela1[[#This Row],[Glicose pós]]</f>
        <v>89</v>
      </c>
      <c r="AX6" s="85">
        <f>Tabela1[[#This Row],[Pré Sódio mmol/L]]</f>
        <v>139</v>
      </c>
      <c r="AY6" s="85">
        <f>Tabela1[[#This Row],[Pós Sódio mmol/L]]</f>
        <v>133</v>
      </c>
      <c r="AZ6" s="125" t="str">
        <f>Tabela1[[#This Row],[Pré Magnésio mg/dL]]</f>
        <v>-</v>
      </c>
      <c r="BA6" s="125" t="str">
        <f>Tabela1[[#This Row],[Pós Magnésio mg/dL]]</f>
        <v>-</v>
      </c>
      <c r="BB6" s="85" t="str">
        <f>Tabela1[[#This Row],[Pré Cloro mmol/L]]</f>
        <v>-</v>
      </c>
      <c r="BC6" s="85" t="str">
        <f>Tabela1[[#This Row],[Pós Cloro mmol/L]]</f>
        <v>-</v>
      </c>
      <c r="BD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291.685</v>
      </c>
      <c r="BE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280.43611111111113</v>
      </c>
      <c r="BF6" s="194">
        <f>Tabela1[[#This Row],[Pré RBC 10^6/mm³]]</f>
        <v>4.8</v>
      </c>
      <c r="BG6" s="125">
        <f>Tabela1[[#This Row],[Pós RBC 10^6/mm³]]</f>
        <v>4.76</v>
      </c>
      <c r="BH6" s="125">
        <f>Tabela1[[#This Row],[Pré HGB g/dL]]</f>
        <v>12.6</v>
      </c>
      <c r="BI6" s="125">
        <f>Tabela1[[#This Row],[Pós HGB g/dL]]</f>
        <v>12.5</v>
      </c>
      <c r="BJ6" s="125">
        <f>Tabela1[[#This Row],[Pré HCT %]]</f>
        <v>39.9</v>
      </c>
      <c r="BK6" s="125">
        <f>Tabela1[[#This Row],[Pós HCT %]]</f>
        <v>39.299999999999997</v>
      </c>
      <c r="BL6" s="125">
        <f>Tabela1[[#This Row],[Pré MCV fL]]</f>
        <v>83.1</v>
      </c>
      <c r="BM6" s="125">
        <f>Tabela1[[#This Row],[Pós MCV fL]]</f>
        <v>82.6</v>
      </c>
      <c r="BN6" s="125">
        <f>Tabela1[[#This Row],[Pré MCH pg]]</f>
        <v>26.3</v>
      </c>
      <c r="BO6" s="125">
        <f>Tabela1[[#This Row],[Pós MCH pg]]</f>
        <v>26.3</v>
      </c>
      <c r="BP6" s="125">
        <f>Tabela1[[#This Row],[Pré MCHC g/dL]]</f>
        <v>31.6</v>
      </c>
      <c r="BQ6" s="125">
        <f>Tabela1[[#This Row],[Pós MCHC g/dL]]</f>
        <v>31.8</v>
      </c>
      <c r="BR6" s="85">
        <f>Tabela1[[#This Row],[Pré PLT 10³/mm³]]</f>
        <v>289</v>
      </c>
      <c r="BS6" s="85">
        <f>Tabela1[[#This Row],[Pós PLT 10³/mm³]]</f>
        <v>326</v>
      </c>
      <c r="BT6" s="125">
        <f>Tabela1[[#This Row],[Pré RDW %]]</f>
        <v>12.8</v>
      </c>
      <c r="BU6" s="125">
        <f>Tabela1[[#This Row],[Pós RDW %]]</f>
        <v>13.5</v>
      </c>
      <c r="BV6" s="179">
        <f>Tabela1[[#This Row],[Pré RET %]]</f>
        <v>0.96</v>
      </c>
      <c r="BW6" s="196">
        <f>Tabela1[[#This Row],[Pós RET %]]</f>
        <v>1.18</v>
      </c>
      <c r="BX6" s="197">
        <f>Tabela1[[#This Row],[Pré WBC 10³/mm³]]</f>
        <v>5.39</v>
      </c>
      <c r="BY6" s="179">
        <f>Tabela1[[#This Row],[Pós WBC 10³/mm³]]</f>
        <v>8.77</v>
      </c>
      <c r="BZ6" s="125">
        <f>Tabela1[[#This Row],[Pré NEUT %]]</f>
        <v>49.5</v>
      </c>
      <c r="CA6" s="125">
        <f>Tabela1[[#This Row],[Pós NEUT %]]</f>
        <v>58.1</v>
      </c>
      <c r="CB6" s="125">
        <f>Tabela1[[#This Row],[Pré LINF %]]</f>
        <v>36.200000000000003</v>
      </c>
      <c r="CC6" s="125">
        <f>Tabela1[[#This Row],[Pós LINF %]]</f>
        <v>28.7</v>
      </c>
      <c r="CD6" s="125">
        <f>Tabela1[[#This Row],[Pré MONO %]]</f>
        <v>8.5</v>
      </c>
      <c r="CE6" s="125">
        <f>Tabela1[[#This Row],[Pós MONO %]]</f>
        <v>9.5</v>
      </c>
      <c r="CF6" s="125">
        <f>Tabela1[[#This Row],[Pré EOS %]]</f>
        <v>5.2</v>
      </c>
      <c r="CG6" s="125">
        <f>Tabela1[[#This Row],[Pós EOS %]]</f>
        <v>3.4</v>
      </c>
      <c r="CH6" s="125">
        <f>Tabela1[[#This Row],[Pré BASO %]]</f>
        <v>0.6</v>
      </c>
      <c r="CI6" s="198">
        <f>Tabela1[[#This Row],[Pós BASO %]]</f>
        <v>0.3</v>
      </c>
      <c r="CJ6" s="199" t="str">
        <f t="shared" si="1"/>
        <v>NÃO</v>
      </c>
      <c r="CK6" s="200" t="str">
        <f t="shared" si="2"/>
        <v>SIM</v>
      </c>
      <c r="CL6" s="194">
        <f t="shared" si="3"/>
        <v>74.045439999999999</v>
      </c>
      <c r="CM6" s="125">
        <f>Tabela1[[#This Row],[MCT KG]]</f>
        <v>89.6</v>
      </c>
      <c r="CN6" s="85">
        <f>Tabela1[[#This Row],[ESTATURA]]</f>
        <v>176</v>
      </c>
      <c r="CO6" s="85">
        <f>Tabela1[[#This Row],[vo2max estimado]]</f>
        <v>45.45</v>
      </c>
      <c r="CP6" s="85">
        <f>Tabela1[[#This Row],[Handgrip     Dominante]]</f>
        <v>46.5</v>
      </c>
      <c r="CQ6" s="85">
        <f>Tabela1[[#This Row],[Handgrip Contrário]]</f>
        <v>42</v>
      </c>
      <c r="CR6" s="281">
        <f>Tabela1[[#This Row],[% gordura]]</f>
        <v>17.36</v>
      </c>
      <c r="CS6" s="185"/>
    </row>
    <row r="7" spans="1:97" ht="15.75">
      <c r="A7" s="279">
        <f>Tabela1[[#This Row],[Ano]]</f>
        <v>2017</v>
      </c>
      <c r="B7" s="181" t="str">
        <f>Tabela1[[#This Row],[Missão]]</f>
        <v>CIASC</v>
      </c>
      <c r="C7" s="181">
        <f>Tabela1[[#This Row],[Aluno]]</f>
        <v>3125</v>
      </c>
      <c r="D7" s="181">
        <f>Tabela1[[#This Row],[Idade]]</f>
        <v>29</v>
      </c>
      <c r="E7" s="182">
        <f>Tabela1[[#This Row],[Peso Kg]]</f>
        <v>71</v>
      </c>
      <c r="F7" s="191">
        <f>Tabela1[[#This Row],[Cor da pele]]</f>
        <v>1</v>
      </c>
      <c r="G7" s="192" t="str">
        <f>Tabela1[[#This Row],[ACTN3]]</f>
        <v>XX</v>
      </c>
      <c r="H7" s="85" t="str">
        <f>Tabela1[[#This Row],[AGT]]</f>
        <v>MT</v>
      </c>
      <c r="I7" s="85" t="str">
        <f>Tabela1[[#This Row],[ECA]]</f>
        <v>DD</v>
      </c>
      <c r="J7" s="85" t="str">
        <f>Tabela1[[#This Row],[BDKRB2]]</f>
        <v>(+9, -9)</v>
      </c>
      <c r="K7" s="85">
        <f>Tabela1[[#This Row],[Score Força%]]</f>
        <v>50</v>
      </c>
      <c r="L7" s="193">
        <f>Tabela1[[#This Row],[Score Resistência %]]</f>
        <v>50</v>
      </c>
      <c r="M7" s="192">
        <f>Tabela1[[#This Row],[Pré CK (U/L)]]</f>
        <v>523</v>
      </c>
      <c r="N7" s="85">
        <f>Tabela1[[#This Row],[Pós CK (U/L)]]</f>
        <v>804</v>
      </c>
      <c r="O7" s="85">
        <f>Tabela1[[#This Row],[Pré CK MB U/L]]</f>
        <v>25</v>
      </c>
      <c r="P7" s="85">
        <f>Tabela1[[#This Row],[Pós CK MB U/L]]</f>
        <v>18</v>
      </c>
      <c r="Q7" s="85" t="str">
        <f>Tabela1[[#This Row],[Pré Lactato (mmol/L)]]</f>
        <v>-</v>
      </c>
      <c r="R7" s="85" t="str">
        <f>Tabela1[[#This Row],[Pós Lactato (mmol/L)]]</f>
        <v>-</v>
      </c>
      <c r="S7" s="85">
        <f>Tabela1[[#This Row],[Pré LDH (U/L)]]</f>
        <v>614</v>
      </c>
      <c r="T7" s="85">
        <f>Tabela1[[#This Row],[Pós LDH (U/L)]]</f>
        <v>846</v>
      </c>
      <c r="U7" s="85">
        <f>Tabela1[[#This Row],[Pré AST (U/L)]]</f>
        <v>72</v>
      </c>
      <c r="V7" s="193">
        <f>Tabela1[[#This Row],[Pós AST (U/L)]]</f>
        <v>57</v>
      </c>
      <c r="W7" s="194">
        <f>Tabela1[[#This Row],[Pré Albumina (g/dL)]]</f>
        <v>4.7</v>
      </c>
      <c r="X7" s="125">
        <f>Tabela1[[#This Row],[Pós Albumina (g/dL)]]</f>
        <v>3.4</v>
      </c>
      <c r="Y7" s="85">
        <f>Tabela1[[#This Row],[Pré TGP (g/dL)]]</f>
        <v>64</v>
      </c>
      <c r="Z7" s="85">
        <f>Tabela1[[#This Row],[Pós TGP (g/dL)]]</f>
        <v>55</v>
      </c>
      <c r="AA7" s="85">
        <f>Tabela1[[#This Row],[Pré GGT U/L]]</f>
        <v>21</v>
      </c>
      <c r="AB7" s="193">
        <f>Tabela1[[#This Row],[Pós GGT U/L]]</f>
        <v>16</v>
      </c>
      <c r="AC7" s="194" t="str">
        <f>Tabela1[[#This Row],[Pré Ac. Úrico (mg/dL)]]</f>
        <v>-</v>
      </c>
      <c r="AD7" s="125" t="str">
        <f>Tabela1[[#This Row],[Pós Ac. Úrico (mg/dL)2]]</f>
        <v>-</v>
      </c>
      <c r="AE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134.84650417699166</v>
      </c>
      <c r="AG7" s="85">
        <f>Tabela1[[#This Row],[Pré Ureia mg/dL]]</f>
        <v>33</v>
      </c>
      <c r="AH7" s="85">
        <f>Tabela1[[#This Row],[Pós Ureia mg/dL]]</f>
        <v>28</v>
      </c>
      <c r="AI7" s="125">
        <f>Tabela1[[#This Row],[Pré creatinina mg/dL]]</f>
        <v>0.9</v>
      </c>
      <c r="AJ7" s="125">
        <f>Tabela1[[#This Row],[Pós creatinina mg/dL]]</f>
        <v>0.6</v>
      </c>
      <c r="AK7" s="180">
        <f t="shared" si="0"/>
        <v>0</v>
      </c>
      <c r="AL7" s="125">
        <f>Tabela1[[#This Row],[Pré Fósforo mg/dL]]</f>
        <v>3.4</v>
      </c>
      <c r="AM7" s="125">
        <f>Tabela1[[#This Row],[Pós Fósforo mg/dL]]</f>
        <v>3.7</v>
      </c>
      <c r="AN7" s="125">
        <f>Tabela1[[#This Row],[Pré Proteína Total (g/dL)]]</f>
        <v>7.5</v>
      </c>
      <c r="AO7" s="125">
        <f>Tabela1[[#This Row],[Pós Proteína Total (g/dL)]]</f>
        <v>5.8</v>
      </c>
      <c r="AP7" s="85" t="str">
        <f>Tabela1[[#This Row],[Pré FE (ug/dL)]]</f>
        <v>-</v>
      </c>
      <c r="AQ7" s="193" t="str">
        <f>Tabela1[[#This Row],[Pós FE (ug/dL)]]</f>
        <v>-</v>
      </c>
      <c r="AR7" s="194">
        <f>Tabela1[[#This Row],[Pré calcio mg/dL]]</f>
        <v>9.6</v>
      </c>
      <c r="AS7" s="125">
        <f>Tabela1[[#This Row],[Pós calcio mg/dL]]</f>
        <v>7.4</v>
      </c>
      <c r="AT7" s="125">
        <f>Tabela1[[#This Row],[Pré Potássio mmol/L]]</f>
        <v>4.5</v>
      </c>
      <c r="AU7" s="125">
        <f>Tabela1[[#This Row],[Pós Potássio mmol/L]]</f>
        <v>3.4</v>
      </c>
      <c r="AV7" s="85">
        <f>Tabela1[[#This Row],[Glicose pré]]</f>
        <v>95</v>
      </c>
      <c r="AW7" s="85">
        <f>Tabela1[[#This Row],[Glicose pós]]</f>
        <v>52</v>
      </c>
      <c r="AX7" s="85">
        <f>Tabela1[[#This Row],[Pré Sódio mmol/L]]</f>
        <v>140</v>
      </c>
      <c r="AY7" s="85">
        <f>Tabela1[[#This Row],[Pós Sódio mmol/L]]</f>
        <v>103</v>
      </c>
      <c r="AZ7" s="125" t="str">
        <f>Tabela1[[#This Row],[Pré Magnésio mg/dL]]</f>
        <v>-</v>
      </c>
      <c r="BA7" s="125" t="str">
        <f>Tabela1[[#This Row],[Pós Magnésio mg/dL]]</f>
        <v>-</v>
      </c>
      <c r="BB7" s="85" t="str">
        <f>Tabela1[[#This Row],[Pré Cloro mmol/L]]</f>
        <v>-</v>
      </c>
      <c r="BC7" s="85" t="str">
        <f>Tabela1[[#This Row],[Pós Cloro mmol/L]]</f>
        <v>-</v>
      </c>
      <c r="BD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294.3394444444445</v>
      </c>
      <c r="BE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219.8928888888889</v>
      </c>
      <c r="BF7" s="194">
        <f>Tabela1[[#This Row],[Pré RBC 10^6/mm³]]</f>
        <v>5.39</v>
      </c>
      <c r="BG7" s="125">
        <f>Tabela1[[#This Row],[Pós RBC 10^6/mm³]]</f>
        <v>5.23</v>
      </c>
      <c r="BH7" s="125">
        <f>Tabela1[[#This Row],[Pré HGB g/dL]]</f>
        <v>15.3</v>
      </c>
      <c r="BI7" s="125">
        <f>Tabela1[[#This Row],[Pós HGB g/dL]]</f>
        <v>14.9</v>
      </c>
      <c r="BJ7" s="125">
        <f>Tabela1[[#This Row],[Pré HCT %]]</f>
        <v>46.5</v>
      </c>
      <c r="BK7" s="125">
        <f>Tabela1[[#This Row],[Pós HCT %]]</f>
        <v>45.5</v>
      </c>
      <c r="BL7" s="125">
        <f>Tabela1[[#This Row],[Pré MCV fL]]</f>
        <v>86.3</v>
      </c>
      <c r="BM7" s="125">
        <f>Tabela1[[#This Row],[Pós MCV fL]]</f>
        <v>87</v>
      </c>
      <c r="BN7" s="125">
        <f>Tabela1[[#This Row],[Pré MCH pg]]</f>
        <v>28.4</v>
      </c>
      <c r="BO7" s="125">
        <f>Tabela1[[#This Row],[Pós MCH pg]]</f>
        <v>28.5</v>
      </c>
      <c r="BP7" s="125">
        <f>Tabela1[[#This Row],[Pré MCHC g/dL]]</f>
        <v>32.9</v>
      </c>
      <c r="BQ7" s="125">
        <f>Tabela1[[#This Row],[Pós MCHC g/dL]]</f>
        <v>32.700000000000003</v>
      </c>
      <c r="BR7" s="85">
        <f>Tabela1[[#This Row],[Pré PLT 10³/mm³]]</f>
        <v>233</v>
      </c>
      <c r="BS7" s="85">
        <f>Tabela1[[#This Row],[Pós PLT 10³/mm³]]</f>
        <v>276</v>
      </c>
      <c r="BT7" s="125">
        <f>Tabela1[[#This Row],[Pré RDW %]]</f>
        <v>12.3</v>
      </c>
      <c r="BU7" s="125">
        <f>Tabela1[[#This Row],[Pós RDW %]]</f>
        <v>13.3</v>
      </c>
      <c r="BV7" s="179">
        <f>Tabela1[[#This Row],[Pré RET %]]</f>
        <v>1.23</v>
      </c>
      <c r="BW7" s="196">
        <f>Tabela1[[#This Row],[Pós RET %]]</f>
        <v>1.51</v>
      </c>
      <c r="BX7" s="197">
        <f>Tabela1[[#This Row],[Pré WBC 10³/mm³]]</f>
        <v>6.34</v>
      </c>
      <c r="BY7" s="179">
        <f>Tabela1[[#This Row],[Pós WBC 10³/mm³]]</f>
        <v>7.08</v>
      </c>
      <c r="BZ7" s="125">
        <f>Tabela1[[#This Row],[Pré NEUT %]]</f>
        <v>77.099999999999994</v>
      </c>
      <c r="CA7" s="125">
        <f>Tabela1[[#This Row],[Pós NEUT %]]</f>
        <v>68.599999999999994</v>
      </c>
      <c r="CB7" s="125">
        <f>Tabela1[[#This Row],[Pré LINF %]]</f>
        <v>15.8</v>
      </c>
      <c r="CC7" s="125">
        <f>Tabela1[[#This Row],[Pós LINF %]]</f>
        <v>18.600000000000001</v>
      </c>
      <c r="CD7" s="125">
        <f>Tabela1[[#This Row],[Pré MONO %]]</f>
        <v>5.5</v>
      </c>
      <c r="CE7" s="125">
        <f>Tabela1[[#This Row],[Pós MONO %]]</f>
        <v>9.6</v>
      </c>
      <c r="CF7" s="125">
        <f>Tabela1[[#This Row],[Pré EOS %]]</f>
        <v>1.3</v>
      </c>
      <c r="CG7" s="125">
        <f>Tabela1[[#This Row],[Pós EOS %]]</f>
        <v>2.4</v>
      </c>
      <c r="CH7" s="125">
        <f>Tabela1[[#This Row],[Pré BASO %]]</f>
        <v>0.3</v>
      </c>
      <c r="CI7" s="198">
        <f>Tabela1[[#This Row],[Pós BASO %]]</f>
        <v>0.8</v>
      </c>
      <c r="CJ7" s="199" t="str">
        <f t="shared" si="1"/>
        <v>NÃO</v>
      </c>
      <c r="CK7" s="200" t="str">
        <f t="shared" si="2"/>
        <v>NÃO</v>
      </c>
      <c r="CL7" s="194">
        <f t="shared" si="3"/>
        <v>63.743760000000002</v>
      </c>
      <c r="CM7" s="125">
        <f>Tabela1[[#This Row],[MCT KG]]</f>
        <v>72.900000000000006</v>
      </c>
      <c r="CN7" s="85">
        <f>Tabela1[[#This Row],[ESTATURA]]</f>
        <v>168.6</v>
      </c>
      <c r="CO7" s="85">
        <f>Tabela1[[#This Row],[vo2max estimado]]</f>
        <v>48.54</v>
      </c>
      <c r="CP7" s="85">
        <f>Tabela1[[#This Row],[Handgrip     Dominante]]</f>
        <v>50</v>
      </c>
      <c r="CQ7" s="85">
        <f>Tabela1[[#This Row],[Handgrip Contrário]]</f>
        <v>47</v>
      </c>
      <c r="CR7" s="281">
        <f>Tabela1[[#This Row],[% gordura]]</f>
        <v>12.56</v>
      </c>
      <c r="CS7" s="185"/>
    </row>
    <row r="8" spans="1:97" ht="15.75">
      <c r="A8" s="279">
        <f>Tabela1[[#This Row],[Ano]]</f>
        <v>2017</v>
      </c>
      <c r="B8" s="181" t="str">
        <f>Tabela1[[#This Row],[Missão]]</f>
        <v>CIASC</v>
      </c>
      <c r="C8" s="181">
        <f>Tabela1[[#This Row],[Aluno]]</f>
        <v>3128</v>
      </c>
      <c r="D8" s="181">
        <f>Tabela1[[#This Row],[Idade]]</f>
        <v>26</v>
      </c>
      <c r="E8" s="182">
        <f>Tabela1[[#This Row],[Peso Kg]]</f>
        <v>0</v>
      </c>
      <c r="F8" s="191">
        <f>Tabela1[[#This Row],[Cor da pele]]</f>
        <v>2</v>
      </c>
      <c r="G8" s="192" t="str">
        <f>Tabela1[[#This Row],[ACTN3]]</f>
        <v>-</v>
      </c>
      <c r="H8" s="85" t="str">
        <f>Tabela1[[#This Row],[AGT]]</f>
        <v>-</v>
      </c>
      <c r="I8" s="85" t="str">
        <f>Tabela1[[#This Row],[ECA]]</f>
        <v>-</v>
      </c>
      <c r="J8" s="85" t="str">
        <f>Tabela1[[#This Row],[BDKRB2]]</f>
        <v>-</v>
      </c>
      <c r="K8" s="85" t="str">
        <f>Tabela1[[#This Row],[Score Força%]]</f>
        <v>-</v>
      </c>
      <c r="L8" s="193" t="str">
        <f>Tabela1[[#This Row],[Score Resistência %]]</f>
        <v>-</v>
      </c>
      <c r="M8" s="192">
        <f>Tabela1[[#This Row],[Pré CK (U/L)]]</f>
        <v>1600</v>
      </c>
      <c r="N8" s="85">
        <f>Tabela1[[#This Row],[Pós CK (U/L)]]</f>
        <v>1397</v>
      </c>
      <c r="O8" s="85">
        <f>Tabela1[[#This Row],[Pré CK MB U/L]]</f>
        <v>58</v>
      </c>
      <c r="P8" s="85">
        <f>Tabela1[[#This Row],[Pós CK MB U/L]]</f>
        <v>43</v>
      </c>
      <c r="Q8" s="85" t="str">
        <f>Tabela1[[#This Row],[Pré Lactato (mmol/L)]]</f>
        <v>-</v>
      </c>
      <c r="R8" s="85" t="str">
        <f>Tabela1[[#This Row],[Pós Lactato (mmol/L)]]</f>
        <v>-</v>
      </c>
      <c r="S8" s="85">
        <f>Tabela1[[#This Row],[Pré LDH (U/L)]]</f>
        <v>1090</v>
      </c>
      <c r="T8" s="85">
        <f>Tabela1[[#This Row],[Pós LDH (U/L)]]</f>
        <v>870</v>
      </c>
      <c r="U8" s="85">
        <f>Tabela1[[#This Row],[Pré AST (U/L)]]</f>
        <v>236</v>
      </c>
      <c r="V8" s="193">
        <f>Tabela1[[#This Row],[Pós AST (U/L)]]</f>
        <v>104</v>
      </c>
      <c r="W8" s="194">
        <f>Tabela1[[#This Row],[Pré Albumina (g/dL)]]</f>
        <v>4.5999999999999996</v>
      </c>
      <c r="X8" s="125">
        <f>Tabela1[[#This Row],[Pós Albumina (g/dL)]]</f>
        <v>4.2</v>
      </c>
      <c r="Y8" s="85">
        <f>Tabela1[[#This Row],[Pré TGP (g/dL)]]</f>
        <v>70</v>
      </c>
      <c r="Z8" s="85">
        <f>Tabela1[[#This Row],[Pós TGP (g/dL)]]</f>
        <v>58</v>
      </c>
      <c r="AA8" s="85">
        <f>Tabela1[[#This Row],[Pré GGT U/L]]</f>
        <v>20</v>
      </c>
      <c r="AB8" s="193">
        <f>Tabela1[[#This Row],[Pós GGT U/L]]</f>
        <v>17</v>
      </c>
      <c r="AC8" s="194" t="str">
        <f>Tabela1[[#This Row],[Pré Ac. Úrico (mg/dL)]]</f>
        <v>-</v>
      </c>
      <c r="AD8" s="125" t="str">
        <f>Tabela1[[#This Row],[Pós Ac. Úrico (mg/dL)2]]</f>
        <v>-</v>
      </c>
      <c r="AE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8" s="85">
        <f>Tabela1[[#This Row],[Pré Ureia mg/dL]]</f>
        <v>25</v>
      </c>
      <c r="AH8" s="85">
        <f>Tabela1[[#This Row],[Pós Ureia mg/dL]]</f>
        <v>39</v>
      </c>
      <c r="AI8" s="125">
        <f>Tabela1[[#This Row],[Pré creatinina mg/dL]]</f>
        <v>0.9</v>
      </c>
      <c r="AJ8" s="125">
        <f>Tabela1[[#This Row],[Pós creatinina mg/dL]]</f>
        <v>0.9</v>
      </c>
      <c r="AK8" s="180">
        <f t="shared" si="0"/>
        <v>0</v>
      </c>
      <c r="AL8" s="125">
        <f>Tabela1[[#This Row],[Pré Fósforo mg/dL]]</f>
        <v>3.5</v>
      </c>
      <c r="AM8" s="125">
        <f>Tabela1[[#This Row],[Pós Fósforo mg/dL]]</f>
        <v>4.9000000000000004</v>
      </c>
      <c r="AN8" s="125">
        <f>Tabela1[[#This Row],[Pré Proteína Total (g/dL)]]</f>
        <v>8.1</v>
      </c>
      <c r="AO8" s="125">
        <f>Tabela1[[#This Row],[Pós Proteína Total (g/dL)]]</f>
        <v>7.6</v>
      </c>
      <c r="AP8" s="85" t="str">
        <f>Tabela1[[#This Row],[Pré FE (ug/dL)]]</f>
        <v>-</v>
      </c>
      <c r="AQ8" s="193" t="str">
        <f>Tabela1[[#This Row],[Pós FE (ug/dL)]]</f>
        <v>-</v>
      </c>
      <c r="AR8" s="194">
        <f>Tabela1[[#This Row],[Pré calcio mg/dL]]</f>
        <v>10</v>
      </c>
      <c r="AS8" s="125">
        <f>Tabela1[[#This Row],[Pós calcio mg/dL]]</f>
        <v>9.6999999999999993</v>
      </c>
      <c r="AT8" s="125">
        <f>Tabela1[[#This Row],[Pré Potássio mmol/L]]</f>
        <v>4.8</v>
      </c>
      <c r="AU8" s="125">
        <f>Tabela1[[#This Row],[Pós Potássio mmol/L]]</f>
        <v>4.8</v>
      </c>
      <c r="AV8" s="85">
        <f>Tabela1[[#This Row],[Glicose pré]]</f>
        <v>95</v>
      </c>
      <c r="AW8" s="85">
        <f>Tabela1[[#This Row],[Glicose pós]]</f>
        <v>59</v>
      </c>
      <c r="AX8" s="85">
        <f>Tabela1[[#This Row],[Pré Sódio mmol/L]]</f>
        <v>144</v>
      </c>
      <c r="AY8" s="85">
        <f>Tabela1[[#This Row],[Pós Sódio mmol/L]]</f>
        <v>138</v>
      </c>
      <c r="AZ8" s="125" t="str">
        <f>Tabela1[[#This Row],[Pré Magnésio mg/dL]]</f>
        <v>-</v>
      </c>
      <c r="BA8" s="125" t="str">
        <f>Tabela1[[#This Row],[Pós Magnésio mg/dL]]</f>
        <v>-</v>
      </c>
      <c r="BB8" s="85" t="str">
        <f>Tabela1[[#This Row],[Pré Cloro mmol/L]]</f>
        <v>-</v>
      </c>
      <c r="BC8" s="85" t="str">
        <f>Tabela1[[#This Row],[Pós Cloro mmol/L]]</f>
        <v>-</v>
      </c>
      <c r="BD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301.00411111111117</v>
      </c>
      <c r="BE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289.87744444444451</v>
      </c>
      <c r="BF8" s="194">
        <f>Tabela1[[#This Row],[Pré RBC 10^6/mm³]]</f>
        <v>4.5199999999999996</v>
      </c>
      <c r="BG8" s="125">
        <f>Tabela1[[#This Row],[Pós RBC 10^6/mm³]]</f>
        <v>4.3499999999999996</v>
      </c>
      <c r="BH8" s="125">
        <f>Tabela1[[#This Row],[Pré HGB g/dL]]</f>
        <v>14.4</v>
      </c>
      <c r="BI8" s="125">
        <f>Tabela1[[#This Row],[Pós HGB g/dL]]</f>
        <v>13.7</v>
      </c>
      <c r="BJ8" s="125">
        <f>Tabela1[[#This Row],[Pré HCT %]]</f>
        <v>43.2</v>
      </c>
      <c r="BK8" s="125">
        <f>Tabela1[[#This Row],[Pós HCT %]]</f>
        <v>42</v>
      </c>
      <c r="BL8" s="125">
        <f>Tabela1[[#This Row],[Pré MCV fL]]</f>
        <v>95.6</v>
      </c>
      <c r="BM8" s="125">
        <f>Tabela1[[#This Row],[Pós MCV fL]]</f>
        <v>96.6</v>
      </c>
      <c r="BN8" s="125">
        <f>Tabela1[[#This Row],[Pré MCH pg]]</f>
        <v>31.9</v>
      </c>
      <c r="BO8" s="125">
        <f>Tabela1[[#This Row],[Pós MCH pg]]</f>
        <v>31.5</v>
      </c>
      <c r="BP8" s="125">
        <f>Tabela1[[#This Row],[Pré MCHC g/dL]]</f>
        <v>33.299999999999997</v>
      </c>
      <c r="BQ8" s="125">
        <f>Tabela1[[#This Row],[Pós MCHC g/dL]]</f>
        <v>32.6</v>
      </c>
      <c r="BR8" s="85">
        <f>Tabela1[[#This Row],[Pré PLT 10³/mm³]]</f>
        <v>208</v>
      </c>
      <c r="BS8" s="85">
        <f>Tabela1[[#This Row],[Pós PLT 10³/mm³]]</f>
        <v>280</v>
      </c>
      <c r="BT8" s="125">
        <f>Tabela1[[#This Row],[Pré RDW %]]</f>
        <v>11.9</v>
      </c>
      <c r="BU8" s="125">
        <f>Tabela1[[#This Row],[Pós RDW %]]</f>
        <v>12.4</v>
      </c>
      <c r="BV8" s="179">
        <f>Tabela1[[#This Row],[Pré RET %]]</f>
        <v>1.0900000000000001</v>
      </c>
      <c r="BW8" s="196">
        <f>Tabela1[[#This Row],[Pós RET %]]</f>
        <v>1.1299999999999999</v>
      </c>
      <c r="BX8" s="197">
        <f>Tabela1[[#This Row],[Pré WBC 10³/mm³]]</f>
        <v>5.71</v>
      </c>
      <c r="BY8" s="179">
        <f>Tabela1[[#This Row],[Pós WBC 10³/mm³]]</f>
        <v>10.15</v>
      </c>
      <c r="BZ8" s="125">
        <f>Tabela1[[#This Row],[Pré NEUT %]]</f>
        <v>45.8</v>
      </c>
      <c r="CA8" s="125">
        <f>Tabela1[[#This Row],[Pós NEUT %]]</f>
        <v>68.8</v>
      </c>
      <c r="CB8" s="125">
        <f>Tabela1[[#This Row],[Pré LINF %]]</f>
        <v>37.1</v>
      </c>
      <c r="CC8" s="125">
        <f>Tabela1[[#This Row],[Pós LINF %]]</f>
        <v>19.399999999999999</v>
      </c>
      <c r="CD8" s="125">
        <f>Tabela1[[#This Row],[Pré MONO %]]</f>
        <v>13.1</v>
      </c>
      <c r="CE8" s="125">
        <f>Tabela1[[#This Row],[Pós MONO %]]</f>
        <v>9.3000000000000007</v>
      </c>
      <c r="CF8" s="125">
        <f>Tabela1[[#This Row],[Pré EOS %]]</f>
        <v>3.5</v>
      </c>
      <c r="CG8" s="125">
        <f>Tabela1[[#This Row],[Pós EOS %]]</f>
        <v>2</v>
      </c>
      <c r="CH8" s="125">
        <f>Tabela1[[#This Row],[Pré BASO %]]</f>
        <v>0.5</v>
      </c>
      <c r="CI8" s="198">
        <f>Tabela1[[#This Row],[Pós BASO %]]</f>
        <v>0.5</v>
      </c>
      <c r="CJ8" s="199" t="str">
        <f t="shared" si="1"/>
        <v>NÃO</v>
      </c>
      <c r="CK8" s="200" t="str">
        <f t="shared" si="2"/>
        <v>SIM</v>
      </c>
      <c r="CL8" s="194">
        <f t="shared" si="3"/>
        <v>0</v>
      </c>
      <c r="CM8" s="125">
        <f>Tabela1[[#This Row],[MCT KG]]</f>
        <v>0</v>
      </c>
      <c r="CN8" s="85">
        <f>Tabela1[[#This Row],[ESTATURA]]</f>
        <v>0</v>
      </c>
      <c r="CO8" s="85">
        <f>Tabela1[[#This Row],[vo2max estimado]]</f>
        <v>0</v>
      </c>
      <c r="CP8" s="85">
        <f>Tabela1[[#This Row],[Handgrip     Dominante]]</f>
        <v>0</v>
      </c>
      <c r="CQ8" s="85">
        <f>Tabela1[[#This Row],[Handgrip Contrário]]</f>
        <v>0</v>
      </c>
      <c r="CR8" s="281">
        <f>Tabela1[[#This Row],[% gordura]]</f>
        <v>0</v>
      </c>
      <c r="CS8" s="185"/>
    </row>
    <row r="9" spans="1:97" ht="15.75">
      <c r="A9" s="279">
        <f>Tabela1[[#This Row],[Ano]]</f>
        <v>2017</v>
      </c>
      <c r="B9" s="181" t="str">
        <f>Tabela1[[#This Row],[Missão]]</f>
        <v>CIASC</v>
      </c>
      <c r="C9" s="181">
        <f>Tabela1[[#This Row],[Aluno]]</f>
        <v>3129</v>
      </c>
      <c r="D9" s="181">
        <f>Tabela1[[#This Row],[Idade]]</f>
        <v>26</v>
      </c>
      <c r="E9" s="182">
        <f>Tabela1[[#This Row],[Peso Kg]]</f>
        <v>0</v>
      </c>
      <c r="F9" s="191">
        <f>Tabela1[[#This Row],[Cor da pele]]</f>
        <v>1</v>
      </c>
      <c r="G9" s="192" t="str">
        <f>Tabela1[[#This Row],[ACTN3]]</f>
        <v>-</v>
      </c>
      <c r="H9" s="85" t="str">
        <f>Tabela1[[#This Row],[AGT]]</f>
        <v>-</v>
      </c>
      <c r="I9" s="85" t="str">
        <f>Tabela1[[#This Row],[ECA]]</f>
        <v>-</v>
      </c>
      <c r="J9" s="85" t="str">
        <f>Tabela1[[#This Row],[BDKRB2]]</f>
        <v>-</v>
      </c>
      <c r="K9" s="85" t="str">
        <f>Tabela1[[#This Row],[Score Força%]]</f>
        <v>-</v>
      </c>
      <c r="L9" s="193" t="str">
        <f>Tabela1[[#This Row],[Score Resistência %]]</f>
        <v>-</v>
      </c>
      <c r="M9" s="192">
        <f>Tabela1[[#This Row],[Pré CK (U/L)]]</f>
        <v>2843</v>
      </c>
      <c r="N9" s="85">
        <f>Tabela1[[#This Row],[Pós CK (U/L)]]</f>
        <v>1485</v>
      </c>
      <c r="O9" s="85">
        <f>Tabela1[[#This Row],[Pré CK MB U/L]]</f>
        <v>36</v>
      </c>
      <c r="P9" s="85">
        <f>Tabela1[[#This Row],[Pós CK MB U/L]]</f>
        <v>39</v>
      </c>
      <c r="Q9" s="85" t="str">
        <f>Tabela1[[#This Row],[Pré Lactato (mmol/L)]]</f>
        <v>-</v>
      </c>
      <c r="R9" s="85" t="str">
        <f>Tabela1[[#This Row],[Pós Lactato (mmol/L)]]</f>
        <v>-</v>
      </c>
      <c r="S9" s="85">
        <f>Tabela1[[#This Row],[Pré LDH (U/L)]]</f>
        <v>755</v>
      </c>
      <c r="T9" s="85">
        <f>Tabela1[[#This Row],[Pós LDH (U/L)]]</f>
        <v>947</v>
      </c>
      <c r="U9" s="85">
        <f>Tabela1[[#This Row],[Pré AST (U/L)]]</f>
        <v>112</v>
      </c>
      <c r="V9" s="193">
        <f>Tabela1[[#This Row],[Pós AST (U/L)]]</f>
        <v>85</v>
      </c>
      <c r="W9" s="194">
        <f>Tabela1[[#This Row],[Pré Albumina (g/dL)]]</f>
        <v>4.5999999999999996</v>
      </c>
      <c r="X9" s="125">
        <f>Tabela1[[#This Row],[Pós Albumina (g/dL)]]</f>
        <v>4</v>
      </c>
      <c r="Y9" s="85">
        <f>Tabela1[[#This Row],[Pré TGP (g/dL)]]</f>
        <v>84</v>
      </c>
      <c r="Z9" s="85">
        <f>Tabela1[[#This Row],[Pós TGP (g/dL)]]</f>
        <v>88</v>
      </c>
      <c r="AA9" s="85">
        <f>Tabela1[[#This Row],[Pré GGT U/L]]</f>
        <v>24</v>
      </c>
      <c r="AB9" s="193">
        <f>Tabela1[[#This Row],[Pós GGT U/L]]</f>
        <v>25</v>
      </c>
      <c r="AC9" s="194" t="str">
        <f>Tabela1[[#This Row],[Pré Ac. Úrico (mg/dL)]]</f>
        <v>-</v>
      </c>
      <c r="AD9" s="125" t="str">
        <f>Tabela1[[#This Row],[Pós Ac. Úrico (mg/dL)2]]</f>
        <v>-</v>
      </c>
      <c r="AE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9" s="85">
        <f>Tabela1[[#This Row],[Pré Ureia mg/dL]]</f>
        <v>32</v>
      </c>
      <c r="AH9" s="85">
        <f>Tabela1[[#This Row],[Pós Ureia mg/dL]]</f>
        <v>27</v>
      </c>
      <c r="AI9" s="125">
        <f>Tabela1[[#This Row],[Pré creatinina mg/dL]]</f>
        <v>0.9</v>
      </c>
      <c r="AJ9" s="125">
        <f>Tabela1[[#This Row],[Pós creatinina mg/dL]]</f>
        <v>0.9</v>
      </c>
      <c r="AK9" s="180">
        <f t="shared" si="0"/>
        <v>0</v>
      </c>
      <c r="AL9" s="125">
        <f>Tabela1[[#This Row],[Pré Fósforo mg/dL]]</f>
        <v>3.3</v>
      </c>
      <c r="AM9" s="125">
        <f>Tabela1[[#This Row],[Pós Fósforo mg/dL]]</f>
        <v>4.5</v>
      </c>
      <c r="AN9" s="125">
        <f>Tabela1[[#This Row],[Pré Proteína Total (g/dL)]]</f>
        <v>7.9</v>
      </c>
      <c r="AO9" s="125">
        <f>Tabela1[[#This Row],[Pós Proteína Total (g/dL)]]</f>
        <v>7.1</v>
      </c>
      <c r="AP9" s="85" t="str">
        <f>Tabela1[[#This Row],[Pré FE (ug/dL)]]</f>
        <v>-</v>
      </c>
      <c r="AQ9" s="193" t="str">
        <f>Tabela1[[#This Row],[Pós FE (ug/dL)]]</f>
        <v>-</v>
      </c>
      <c r="AR9" s="194">
        <f>Tabela1[[#This Row],[Pré calcio mg/dL]]</f>
        <v>9.5</v>
      </c>
      <c r="AS9" s="125">
        <f>Tabela1[[#This Row],[Pós calcio mg/dL]]</f>
        <v>9.1</v>
      </c>
      <c r="AT9" s="125">
        <f>Tabela1[[#This Row],[Pré Potássio mmol/L]]</f>
        <v>5</v>
      </c>
      <c r="AU9" s="125">
        <f>Tabela1[[#This Row],[Pós Potássio mmol/L]]</f>
        <v>4.3</v>
      </c>
      <c r="AV9" s="85">
        <f>Tabela1[[#This Row],[Glicose pré]]</f>
        <v>88</v>
      </c>
      <c r="AW9" s="85">
        <f>Tabela1[[#This Row],[Glicose pós]]</f>
        <v>72</v>
      </c>
      <c r="AX9" s="85">
        <f>Tabela1[[#This Row],[Pré Sódio mmol/L]]</f>
        <v>140</v>
      </c>
      <c r="AY9" s="85">
        <f>Tabela1[[#This Row],[Pós Sódio mmol/L]]</f>
        <v>134</v>
      </c>
      <c r="AZ9" s="125" t="str">
        <f>Tabela1[[#This Row],[Pré Magnésio mg/dL]]</f>
        <v>-</v>
      </c>
      <c r="BA9" s="125" t="str">
        <f>Tabela1[[#This Row],[Pós Magnésio mg/dL]]</f>
        <v>-</v>
      </c>
      <c r="BB9" s="85" t="str">
        <f>Tabela1[[#This Row],[Pré Cloro mmol/L]]</f>
        <v>-</v>
      </c>
      <c r="BC9" s="85" t="str">
        <f>Tabela1[[#This Row],[Pós Cloro mmol/L]]</f>
        <v>-</v>
      </c>
      <c r="BD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294.65555555555551</v>
      </c>
      <c r="BE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280.33800000000008</v>
      </c>
      <c r="BF9" s="194">
        <f>Tabela1[[#This Row],[Pré RBC 10^6/mm³]]</f>
        <v>4.84</v>
      </c>
      <c r="BG9" s="125">
        <f>Tabela1[[#This Row],[Pós RBC 10^6/mm³]]</f>
        <v>4.46</v>
      </c>
      <c r="BH9" s="125">
        <f>Tabela1[[#This Row],[Pré HGB g/dL]]</f>
        <v>14.3</v>
      </c>
      <c r="BI9" s="125">
        <f>Tabela1[[#This Row],[Pós HGB g/dL]]</f>
        <v>13.1</v>
      </c>
      <c r="BJ9" s="125">
        <f>Tabela1[[#This Row],[Pré HCT %]]</f>
        <v>44.1</v>
      </c>
      <c r="BK9" s="125">
        <f>Tabela1[[#This Row],[Pós HCT %]]</f>
        <v>40.5</v>
      </c>
      <c r="BL9" s="125">
        <f>Tabela1[[#This Row],[Pré MCV fL]]</f>
        <v>91.1</v>
      </c>
      <c r="BM9" s="125">
        <f>Tabela1[[#This Row],[Pós MCV fL]]</f>
        <v>90.8</v>
      </c>
      <c r="BN9" s="125">
        <f>Tabela1[[#This Row],[Pré MCH pg]]</f>
        <v>29.5</v>
      </c>
      <c r="BO9" s="125">
        <f>Tabela1[[#This Row],[Pós MCH pg]]</f>
        <v>29.4</v>
      </c>
      <c r="BP9" s="125">
        <f>Tabela1[[#This Row],[Pré MCHC g/dL]]</f>
        <v>32.4</v>
      </c>
      <c r="BQ9" s="125">
        <f>Tabela1[[#This Row],[Pós MCHC g/dL]]</f>
        <v>32.299999999999997</v>
      </c>
      <c r="BR9" s="85">
        <f>Tabela1[[#This Row],[Pré PLT 10³/mm³]]</f>
        <v>300</v>
      </c>
      <c r="BS9" s="85">
        <f>Tabela1[[#This Row],[Pós PLT 10³/mm³]]</f>
        <v>347</v>
      </c>
      <c r="BT9" s="125">
        <f>Tabela1[[#This Row],[Pré RDW %]]</f>
        <v>12.1</v>
      </c>
      <c r="BU9" s="125">
        <f>Tabela1[[#This Row],[Pós RDW %]]</f>
        <v>12.4</v>
      </c>
      <c r="BV9" s="179">
        <f>Tabela1[[#This Row],[Pré RET %]]</f>
        <v>1.4</v>
      </c>
      <c r="BW9" s="196">
        <f>Tabela1[[#This Row],[Pós RET %]]</f>
        <v>1.18</v>
      </c>
      <c r="BX9" s="197">
        <f>Tabela1[[#This Row],[Pré WBC 10³/mm³]]</f>
        <v>7.96</v>
      </c>
      <c r="BY9" s="179">
        <f>Tabela1[[#This Row],[Pós WBC 10³/mm³]]</f>
        <v>8.85</v>
      </c>
      <c r="BZ9" s="125">
        <f>Tabela1[[#This Row],[Pré NEUT %]]</f>
        <v>59.1</v>
      </c>
      <c r="CA9" s="125">
        <f>Tabela1[[#This Row],[Pós NEUT %]]</f>
        <v>59.2</v>
      </c>
      <c r="CB9" s="125">
        <f>Tabela1[[#This Row],[Pré LINF %]]</f>
        <v>22.4</v>
      </c>
      <c r="CC9" s="125">
        <f>Tabela1[[#This Row],[Pós LINF %]]</f>
        <v>19.2</v>
      </c>
      <c r="CD9" s="125">
        <f>Tabela1[[#This Row],[Pré MONO %]]</f>
        <v>7.8</v>
      </c>
      <c r="CE9" s="125">
        <f>Tabela1[[#This Row],[Pós MONO %]]</f>
        <v>15</v>
      </c>
      <c r="CF9" s="125">
        <f>Tabela1[[#This Row],[Pré EOS %]]</f>
        <v>10.199999999999999</v>
      </c>
      <c r="CG9" s="125">
        <f>Tabela1[[#This Row],[Pós EOS %]]</f>
        <v>6.1</v>
      </c>
      <c r="CH9" s="125">
        <f>Tabela1[[#This Row],[Pré BASO %]]</f>
        <v>0.5</v>
      </c>
      <c r="CI9" s="198">
        <f>Tabela1[[#This Row],[Pós BASO %]]</f>
        <v>0.5</v>
      </c>
      <c r="CJ9" s="199" t="str">
        <f t="shared" si="1"/>
        <v>NÃO</v>
      </c>
      <c r="CK9" s="200" t="str">
        <f t="shared" si="2"/>
        <v>SIM</v>
      </c>
      <c r="CL9" s="194">
        <f t="shared" si="3"/>
        <v>0</v>
      </c>
      <c r="CM9" s="125">
        <f>Tabela1[[#This Row],[MCT KG]]</f>
        <v>0</v>
      </c>
      <c r="CN9" s="85">
        <f>Tabela1[[#This Row],[ESTATURA]]</f>
        <v>0</v>
      </c>
      <c r="CO9" s="85">
        <f>Tabela1[[#This Row],[vo2max estimado]]</f>
        <v>0</v>
      </c>
      <c r="CP9" s="85">
        <f>Tabela1[[#This Row],[Handgrip     Dominante]]</f>
        <v>0</v>
      </c>
      <c r="CQ9" s="85">
        <f>Tabela1[[#This Row],[Handgrip Contrário]]</f>
        <v>0</v>
      </c>
      <c r="CR9" s="281">
        <f>Tabela1[[#This Row],[% gordura]]</f>
        <v>0</v>
      </c>
      <c r="CS9" s="185"/>
    </row>
    <row r="10" spans="1:97" ht="15.75">
      <c r="A10" s="279">
        <f>Tabela1[[#This Row],[Ano]]</f>
        <v>2017</v>
      </c>
      <c r="B10" s="181" t="str">
        <f>Tabela1[[#This Row],[Missão]]</f>
        <v>CIASC</v>
      </c>
      <c r="C10" s="181">
        <f>Tabela1[[#This Row],[Aluno]]</f>
        <v>3134</v>
      </c>
      <c r="D10" s="181">
        <f>Tabela1[[#This Row],[Idade]]</f>
        <v>26</v>
      </c>
      <c r="E10" s="182">
        <f>Tabela1[[#This Row],[Peso Kg]]</f>
        <v>0</v>
      </c>
      <c r="F10" s="191">
        <f>Tabela1[[#This Row],[Cor da pele]]</f>
        <v>1</v>
      </c>
      <c r="G10" s="192" t="str">
        <f>Tabela1[[#This Row],[ACTN3]]</f>
        <v>-</v>
      </c>
      <c r="H10" s="85" t="str">
        <f>Tabela1[[#This Row],[AGT]]</f>
        <v>-</v>
      </c>
      <c r="I10" s="85" t="str">
        <f>Tabela1[[#This Row],[ECA]]</f>
        <v>-</v>
      </c>
      <c r="J10" s="85" t="str">
        <f>Tabela1[[#This Row],[BDKRB2]]</f>
        <v>-</v>
      </c>
      <c r="K10" s="85" t="str">
        <f>Tabela1[[#This Row],[Score Força%]]</f>
        <v>-</v>
      </c>
      <c r="L10" s="193" t="str">
        <f>Tabela1[[#This Row],[Score Resistência %]]</f>
        <v>-</v>
      </c>
      <c r="M10" s="192">
        <f>Tabela1[[#This Row],[Pré CK (U/L)]]</f>
        <v>597</v>
      </c>
      <c r="N10" s="85">
        <f>Tabela1[[#This Row],[Pós CK (U/L)]]</f>
        <v>807</v>
      </c>
      <c r="O10" s="85">
        <f>Tabela1[[#This Row],[Pré CK MB U/L]]</f>
        <v>25</v>
      </c>
      <c r="P10" s="85">
        <f>Tabela1[[#This Row],[Pós CK MB U/L]]</f>
        <v>32</v>
      </c>
      <c r="Q10" s="85" t="str">
        <f>Tabela1[[#This Row],[Pré Lactato (mmol/L)]]</f>
        <v>-</v>
      </c>
      <c r="R10" s="85" t="str">
        <f>Tabela1[[#This Row],[Pós Lactato (mmol/L)]]</f>
        <v>-</v>
      </c>
      <c r="S10" s="85">
        <f>Tabela1[[#This Row],[Pré LDH (U/L)]]</f>
        <v>803</v>
      </c>
      <c r="T10" s="85">
        <f>Tabela1[[#This Row],[Pós LDH (U/L)]]</f>
        <v>744</v>
      </c>
      <c r="U10" s="85">
        <f>Tabela1[[#This Row],[Pré AST (U/L)]]</f>
        <v>68</v>
      </c>
      <c r="V10" s="193">
        <f>Tabela1[[#This Row],[Pós AST (U/L)]]</f>
        <v>67</v>
      </c>
      <c r="W10" s="194">
        <f>Tabela1[[#This Row],[Pré Albumina (g/dL)]]</f>
        <v>4.5999999999999996</v>
      </c>
      <c r="X10" s="125">
        <f>Tabela1[[#This Row],[Pós Albumina (g/dL)]]</f>
        <v>4.3</v>
      </c>
      <c r="Y10" s="85">
        <f>Tabela1[[#This Row],[Pré TGP (g/dL)]]</f>
        <v>73</v>
      </c>
      <c r="Z10" s="85">
        <f>Tabela1[[#This Row],[Pós TGP (g/dL)]]</f>
        <v>52</v>
      </c>
      <c r="AA10" s="85">
        <f>Tabela1[[#This Row],[Pré GGT U/L]]</f>
        <v>18</v>
      </c>
      <c r="AB10" s="193">
        <f>Tabela1[[#This Row],[Pós GGT U/L]]</f>
        <v>14</v>
      </c>
      <c r="AC10" s="194" t="str">
        <f>Tabela1[[#This Row],[Pré Ac. Úrico (mg/dL)]]</f>
        <v>-</v>
      </c>
      <c r="AD10" s="125" t="str">
        <f>Tabela1[[#This Row],[Pós Ac. Úrico (mg/dL)2]]</f>
        <v>-</v>
      </c>
      <c r="AE1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10" s="85">
        <f>Tabela1[[#This Row],[Pré Ureia mg/dL]]</f>
        <v>29</v>
      </c>
      <c r="AH10" s="85">
        <f>Tabela1[[#This Row],[Pós Ureia mg/dL]]</f>
        <v>37</v>
      </c>
      <c r="AI10" s="125">
        <f>Tabela1[[#This Row],[Pré creatinina mg/dL]]</f>
        <v>0.9</v>
      </c>
      <c r="AJ10" s="125">
        <f>Tabela1[[#This Row],[Pós creatinina mg/dL]]</f>
        <v>0.8</v>
      </c>
      <c r="AK10" s="180">
        <f t="shared" si="0"/>
        <v>0</v>
      </c>
      <c r="AL10" s="125">
        <f>Tabela1[[#This Row],[Pré Fósforo mg/dL]]</f>
        <v>3.5</v>
      </c>
      <c r="AM10" s="125">
        <f>Tabela1[[#This Row],[Pós Fósforo mg/dL]]</f>
        <v>4.5</v>
      </c>
      <c r="AN10" s="125">
        <f>Tabela1[[#This Row],[Pré Proteína Total (g/dL)]]</f>
        <v>7.8</v>
      </c>
      <c r="AO10" s="125">
        <f>Tabela1[[#This Row],[Pós Proteína Total (g/dL)]]</f>
        <v>6.9</v>
      </c>
      <c r="AP10" s="85" t="str">
        <f>Tabela1[[#This Row],[Pré FE (ug/dL)]]</f>
        <v>-</v>
      </c>
      <c r="AQ10" s="193" t="str">
        <f>Tabela1[[#This Row],[Pós FE (ug/dL)]]</f>
        <v>-</v>
      </c>
      <c r="AR10" s="194">
        <f>Tabela1[[#This Row],[Pré calcio mg/dL]]</f>
        <v>10.3</v>
      </c>
      <c r="AS10" s="125">
        <f>Tabela1[[#This Row],[Pós calcio mg/dL]]</f>
        <v>8.8000000000000007</v>
      </c>
      <c r="AT10" s="125">
        <f>Tabela1[[#This Row],[Pré Potássio mmol/L]]</f>
        <v>5.3</v>
      </c>
      <c r="AU10" s="125">
        <f>Tabela1[[#This Row],[Pós Potássio mmol/L]]</f>
        <v>4.0999999999999996</v>
      </c>
      <c r="AV10" s="85">
        <f>Tabela1[[#This Row],[Glicose pré]]</f>
        <v>107</v>
      </c>
      <c r="AW10" s="85">
        <f>Tabela1[[#This Row],[Glicose pós]]</f>
        <v>74</v>
      </c>
      <c r="AX10" s="85">
        <f>Tabela1[[#This Row],[Pré Sódio mmol/L]]</f>
        <v>142</v>
      </c>
      <c r="AY10" s="85">
        <f>Tabela1[[#This Row],[Pós Sódio mmol/L]]</f>
        <v>126</v>
      </c>
      <c r="AZ10" s="125" t="str">
        <f>Tabela1[[#This Row],[Pré Magnésio mg/dL]]</f>
        <v>-</v>
      </c>
      <c r="BA10" s="125" t="str">
        <f>Tabela1[[#This Row],[Pós Magnésio mg/dL]]</f>
        <v>-</v>
      </c>
      <c r="BB10" s="85" t="str">
        <f>Tabela1[[#This Row],[Pré Cloro mmol/L]]</f>
        <v>-</v>
      </c>
      <c r="BC10" s="85" t="str">
        <f>Tabela1[[#This Row],[Pós Cloro mmol/L]]</f>
        <v>-</v>
      </c>
      <c r="BD1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299.64744444444443</v>
      </c>
      <c r="BE1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266.88044444444444</v>
      </c>
      <c r="BF10" s="194">
        <f>Tabela1[[#This Row],[Pré RBC 10^6/mm³]]</f>
        <v>5.04</v>
      </c>
      <c r="BG10" s="125">
        <f>Tabela1[[#This Row],[Pós RBC 10^6/mm³]]</f>
        <v>4.3499999999999996</v>
      </c>
      <c r="BH10" s="125">
        <f>Tabela1[[#This Row],[Pré HGB g/dL]]</f>
        <v>14.7</v>
      </c>
      <c r="BI10" s="125">
        <f>Tabela1[[#This Row],[Pós HGB g/dL]]</f>
        <v>12.9</v>
      </c>
      <c r="BJ10" s="125">
        <f>Tabela1[[#This Row],[Pré HCT %]]</f>
        <v>45.4</v>
      </c>
      <c r="BK10" s="125">
        <f>Tabela1[[#This Row],[Pós HCT %]]</f>
        <v>39.799999999999997</v>
      </c>
      <c r="BL10" s="125">
        <f>Tabela1[[#This Row],[Pré MCV fL]]</f>
        <v>90.1</v>
      </c>
      <c r="BM10" s="125">
        <f>Tabela1[[#This Row],[Pós MCV fL]]</f>
        <v>91.5</v>
      </c>
      <c r="BN10" s="125">
        <f>Tabela1[[#This Row],[Pré MCH pg]]</f>
        <v>29.2</v>
      </c>
      <c r="BO10" s="125">
        <f>Tabela1[[#This Row],[Pós MCH pg]]</f>
        <v>29.7</v>
      </c>
      <c r="BP10" s="125">
        <f>Tabela1[[#This Row],[Pré MCHC g/dL]]</f>
        <v>32.4</v>
      </c>
      <c r="BQ10" s="125">
        <f>Tabela1[[#This Row],[Pós MCHC g/dL]]</f>
        <v>32.4</v>
      </c>
      <c r="BR10" s="85">
        <f>Tabela1[[#This Row],[Pré PLT 10³/mm³]]</f>
        <v>316</v>
      </c>
      <c r="BS10" s="85">
        <f>Tabela1[[#This Row],[Pós PLT 10³/mm³]]</f>
        <v>352</v>
      </c>
      <c r="BT10" s="125">
        <f>Tabela1[[#This Row],[Pré RDW %]]</f>
        <v>13.1</v>
      </c>
      <c r="BU10" s="125">
        <f>Tabela1[[#This Row],[Pós RDW %]]</f>
        <v>14.5</v>
      </c>
      <c r="BV10" s="179">
        <f>Tabela1[[#This Row],[Pré RET %]]</f>
        <v>0.63</v>
      </c>
      <c r="BW10" s="196">
        <f>Tabela1[[#This Row],[Pós RET %]]</f>
        <v>0.92</v>
      </c>
      <c r="BX10" s="197">
        <f>Tabela1[[#This Row],[Pré WBC 10³/mm³]]</f>
        <v>8.77</v>
      </c>
      <c r="BY10" s="179">
        <f>Tabela1[[#This Row],[Pós WBC 10³/mm³]]</f>
        <v>10.25</v>
      </c>
      <c r="BZ10" s="125">
        <f>Tabela1[[#This Row],[Pré NEUT %]]</f>
        <v>83.9</v>
      </c>
      <c r="CA10" s="125">
        <f>Tabela1[[#This Row],[Pós NEUT %]]</f>
        <v>72.8</v>
      </c>
      <c r="CB10" s="125">
        <f>Tabela1[[#This Row],[Pré LINF %]]</f>
        <v>9.9</v>
      </c>
      <c r="CC10" s="125">
        <f>Tabela1[[#This Row],[Pós LINF %]]</f>
        <v>15.4</v>
      </c>
      <c r="CD10" s="125">
        <f>Tabela1[[#This Row],[Pré MONO %]]</f>
        <v>5.2</v>
      </c>
      <c r="CE10" s="125">
        <f>Tabela1[[#This Row],[Pós MONO %]]</f>
        <v>10.5</v>
      </c>
      <c r="CF10" s="125">
        <f>Tabela1[[#This Row],[Pré EOS %]]</f>
        <v>0.8</v>
      </c>
      <c r="CG10" s="125">
        <f>Tabela1[[#This Row],[Pós EOS %]]</f>
        <v>1.1000000000000001</v>
      </c>
      <c r="CH10" s="125">
        <f>Tabela1[[#This Row],[Pré BASO %]]</f>
        <v>0.2</v>
      </c>
      <c r="CI10" s="198">
        <f>Tabela1[[#This Row],[Pós BASO %]]</f>
        <v>0.2</v>
      </c>
      <c r="CJ10" s="199" t="str">
        <f t="shared" si="1"/>
        <v>NÃO</v>
      </c>
      <c r="CK10" s="200" t="str">
        <f t="shared" si="2"/>
        <v>NÃO</v>
      </c>
      <c r="CL10" s="194">
        <f t="shared" si="3"/>
        <v>0</v>
      </c>
      <c r="CM10" s="125">
        <f>Tabela1[[#This Row],[MCT KG]]</f>
        <v>0</v>
      </c>
      <c r="CN10" s="85">
        <f>Tabela1[[#This Row],[ESTATURA]]</f>
        <v>0</v>
      </c>
      <c r="CO10" s="85">
        <f>Tabela1[[#This Row],[vo2max estimado]]</f>
        <v>0</v>
      </c>
      <c r="CP10" s="85">
        <f>Tabela1[[#This Row],[Handgrip     Dominante]]</f>
        <v>0</v>
      </c>
      <c r="CQ10" s="85">
        <f>Tabela1[[#This Row],[Handgrip Contrário]]</f>
        <v>0</v>
      </c>
      <c r="CR10" s="281">
        <f>Tabela1[[#This Row],[% gordura]]</f>
        <v>0</v>
      </c>
      <c r="CS10" s="185"/>
    </row>
    <row r="11" spans="1:97" ht="15.75">
      <c r="A11" s="279">
        <f>Tabela1[[#This Row],[Ano]]</f>
        <v>2017</v>
      </c>
      <c r="B11" s="181" t="str">
        <f>Tabela1[[#This Row],[Missão]]</f>
        <v>CIASC</v>
      </c>
      <c r="C11" s="181">
        <f>Tabela1[[#This Row],[Aluno]]</f>
        <v>3136</v>
      </c>
      <c r="D11" s="181">
        <f>Tabela1[[#This Row],[Idade]]</f>
        <v>28</v>
      </c>
      <c r="E11" s="182">
        <f>Tabela1[[#This Row],[Peso Kg]]</f>
        <v>81</v>
      </c>
      <c r="F11" s="191">
        <f>Tabela1[[#This Row],[Cor da pele]]</f>
        <v>1</v>
      </c>
      <c r="G11" s="192" t="str">
        <f>Tabela1[[#This Row],[ACTN3]]</f>
        <v>RX</v>
      </c>
      <c r="H11" s="85" t="str">
        <f>Tabela1[[#This Row],[AGT]]</f>
        <v>MM</v>
      </c>
      <c r="I11" s="85" t="str">
        <f>Tabela1[[#This Row],[ECA]]</f>
        <v>DD</v>
      </c>
      <c r="J11" s="85" t="str">
        <f>Tabela1[[#This Row],[BDKRB2]]</f>
        <v>(-9, -9)</v>
      </c>
      <c r="K11" s="85">
        <f>Tabela1[[#This Row],[Score Força%]]</f>
        <v>37.5</v>
      </c>
      <c r="L11" s="193">
        <f>Tabela1[[#This Row],[Score Resistência %]]</f>
        <v>62.5</v>
      </c>
      <c r="M11" s="192">
        <f>Tabela1[[#This Row],[Pré CK (U/L)]]</f>
        <v>1177</v>
      </c>
      <c r="N11" s="85">
        <f>Tabela1[[#This Row],[Pós CK (U/L)]]</f>
        <v>654</v>
      </c>
      <c r="O11" s="85">
        <f>Tabela1[[#This Row],[Pré CK MB U/L]]</f>
        <v>26</v>
      </c>
      <c r="P11" s="85">
        <f>Tabela1[[#This Row],[Pós CK MB U/L]]</f>
        <v>26</v>
      </c>
      <c r="Q11" s="85" t="str">
        <f>Tabela1[[#This Row],[Pré Lactato (mmol/L)]]</f>
        <v>-</v>
      </c>
      <c r="R11" s="85" t="str">
        <f>Tabela1[[#This Row],[Pós Lactato (mmol/L)]]</f>
        <v>-</v>
      </c>
      <c r="S11" s="85">
        <f>Tabela1[[#This Row],[Pré LDH (U/L)]]</f>
        <v>690</v>
      </c>
      <c r="T11" s="85">
        <f>Tabela1[[#This Row],[Pós LDH (U/L)]]</f>
        <v>957</v>
      </c>
      <c r="U11" s="85">
        <f>Tabela1[[#This Row],[Pré AST (U/L)]]</f>
        <v>97</v>
      </c>
      <c r="V11" s="193">
        <f>Tabela1[[#This Row],[Pós AST (U/L)]]</f>
        <v>58</v>
      </c>
      <c r="W11" s="194">
        <f>Tabela1[[#This Row],[Pré Albumina (g/dL)]]</f>
        <v>4.4000000000000004</v>
      </c>
      <c r="X11" s="125">
        <f>Tabela1[[#This Row],[Pós Albumina (g/dL)]]</f>
        <v>4.3</v>
      </c>
      <c r="Y11" s="85">
        <f>Tabela1[[#This Row],[Pré TGP (g/dL)]]</f>
        <v>69</v>
      </c>
      <c r="Z11" s="85">
        <f>Tabela1[[#This Row],[Pós TGP (g/dL)]]</f>
        <v>61</v>
      </c>
      <c r="AA11" s="85">
        <f>Tabela1[[#This Row],[Pré GGT U/L]]</f>
        <v>20</v>
      </c>
      <c r="AB11" s="193">
        <f>Tabela1[[#This Row],[Pós GGT U/L]]</f>
        <v>15</v>
      </c>
      <c r="AC11" s="194" t="str">
        <f>Tabela1[[#This Row],[Pré Ac. Úrico (mg/dL)]]</f>
        <v>-</v>
      </c>
      <c r="AD11" s="125" t="str">
        <f>Tabela1[[#This Row],[Pós Ac. Úrico (mg/dL)2]]</f>
        <v>-</v>
      </c>
      <c r="AE1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1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1" s="85">
        <f>Tabela1[[#This Row],[Pré Ureia mg/dL]]</f>
        <v>30</v>
      </c>
      <c r="AH11" s="85">
        <f>Tabela1[[#This Row],[Pós Ureia mg/dL]]</f>
        <v>37</v>
      </c>
      <c r="AI11" s="125">
        <f>Tabela1[[#This Row],[Pré creatinina mg/dL]]</f>
        <v>0.8</v>
      </c>
      <c r="AJ11" s="125">
        <f>Tabela1[[#This Row],[Pós creatinina mg/dL]]</f>
        <v>0.9</v>
      </c>
      <c r="AK11" s="180">
        <f t="shared" si="0"/>
        <v>9.9999999999999978E-2</v>
      </c>
      <c r="AL11" s="125">
        <f>Tabela1[[#This Row],[Pré Fósforo mg/dL]]</f>
        <v>3.4</v>
      </c>
      <c r="AM11" s="125">
        <f>Tabela1[[#This Row],[Pós Fósforo mg/dL]]</f>
        <v>5.2</v>
      </c>
      <c r="AN11" s="125">
        <f>Tabela1[[#This Row],[Pré Proteína Total (g/dL)]]</f>
        <v>7.4</v>
      </c>
      <c r="AO11" s="125">
        <f>Tabela1[[#This Row],[Pós Proteína Total (g/dL)]]</f>
        <v>7.2</v>
      </c>
      <c r="AP11" s="85" t="str">
        <f>Tabela1[[#This Row],[Pré FE (ug/dL)]]</f>
        <v>-</v>
      </c>
      <c r="AQ11" s="193" t="str">
        <f>Tabela1[[#This Row],[Pós FE (ug/dL)]]</f>
        <v>-</v>
      </c>
      <c r="AR11" s="194">
        <f>Tabela1[[#This Row],[Pré calcio mg/dL]]</f>
        <v>9.6999999999999993</v>
      </c>
      <c r="AS11" s="125">
        <f>Tabela1[[#This Row],[Pós calcio mg/dL]]</f>
        <v>9.4</v>
      </c>
      <c r="AT11" s="125">
        <f>Tabela1[[#This Row],[Pré Potássio mmol/L]]</f>
        <v>5</v>
      </c>
      <c r="AU11" s="125">
        <f>Tabela1[[#This Row],[Pós Potássio mmol/L]]</f>
        <v>4.7</v>
      </c>
      <c r="AV11" s="85">
        <f>Tabela1[[#This Row],[Glicose pré]]</f>
        <v>80</v>
      </c>
      <c r="AW11" s="85">
        <f>Tabela1[[#This Row],[Glicose pós]]</f>
        <v>69</v>
      </c>
      <c r="AX11" s="85">
        <f>Tabela1[[#This Row],[Pré Sódio mmol/L]]</f>
        <v>140</v>
      </c>
      <c r="AY11" s="85">
        <f>Tabela1[[#This Row],[Pós Sódio mmol/L]]</f>
        <v>134</v>
      </c>
      <c r="AZ11" s="125" t="str">
        <f>Tabela1[[#This Row],[Pré Magnésio mg/dL]]</f>
        <v>-</v>
      </c>
      <c r="BA11" s="125" t="str">
        <f>Tabela1[[#This Row],[Pós Magnésio mg/dL]]</f>
        <v>-</v>
      </c>
      <c r="BB11" s="85" t="str">
        <f>Tabela1[[#This Row],[Pré Cloro mmol/L]]</f>
        <v>-</v>
      </c>
      <c r="BC11" s="85" t="str">
        <f>Tabela1[[#This Row],[Pós Cloro mmol/L]]</f>
        <v>-</v>
      </c>
      <c r="BD1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293.81111111111107</v>
      </c>
      <c r="BE1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282.55700000000002</v>
      </c>
      <c r="BF11" s="194">
        <f>Tabela1[[#This Row],[Pré RBC 10^6/mm³]]</f>
        <v>5.35</v>
      </c>
      <c r="BG11" s="125">
        <f>Tabela1[[#This Row],[Pós RBC 10^6/mm³]]</f>
        <v>4.82</v>
      </c>
      <c r="BH11" s="125">
        <f>Tabela1[[#This Row],[Pré HGB g/dL]]</f>
        <v>15.1</v>
      </c>
      <c r="BI11" s="125">
        <f>Tabela1[[#This Row],[Pós HGB g/dL]]</f>
        <v>13.7</v>
      </c>
      <c r="BJ11" s="125">
        <f>Tabela1[[#This Row],[Pré HCT %]]</f>
        <v>46.1</v>
      </c>
      <c r="BK11" s="125">
        <f>Tabela1[[#This Row],[Pós HCT %]]</f>
        <v>42.9</v>
      </c>
      <c r="BL11" s="125">
        <f>Tabela1[[#This Row],[Pré MCV fL]]</f>
        <v>86.2</v>
      </c>
      <c r="BM11" s="125">
        <f>Tabela1[[#This Row],[Pós MCV fL]]</f>
        <v>89</v>
      </c>
      <c r="BN11" s="125">
        <f>Tabela1[[#This Row],[Pré MCH pg]]</f>
        <v>28.2</v>
      </c>
      <c r="BO11" s="125">
        <f>Tabela1[[#This Row],[Pós MCH pg]]</f>
        <v>28.4</v>
      </c>
      <c r="BP11" s="125">
        <f>Tabela1[[#This Row],[Pré MCHC g/dL]]</f>
        <v>32.799999999999997</v>
      </c>
      <c r="BQ11" s="125">
        <f>Tabela1[[#This Row],[Pós MCHC g/dL]]</f>
        <v>31.9</v>
      </c>
      <c r="BR11" s="85">
        <f>Tabela1[[#This Row],[Pré PLT 10³/mm³]]</f>
        <v>223</v>
      </c>
      <c r="BS11" s="85">
        <f>Tabela1[[#This Row],[Pós PLT 10³/mm³]]</f>
        <v>291</v>
      </c>
      <c r="BT11" s="125">
        <f>Tabela1[[#This Row],[Pré RDW %]]</f>
        <v>12.6</v>
      </c>
      <c r="BU11" s="125">
        <f>Tabela1[[#This Row],[Pós RDW %]]</f>
        <v>13.3</v>
      </c>
      <c r="BV11" s="179">
        <f>Tabela1[[#This Row],[Pré RET %]]</f>
        <v>1.79</v>
      </c>
      <c r="BW11" s="196">
        <f>Tabela1[[#This Row],[Pós RET %]]</f>
        <v>2.3199999999999998</v>
      </c>
      <c r="BX11" s="197">
        <f>Tabela1[[#This Row],[Pré WBC 10³/mm³]]</f>
        <v>4.6100000000000003</v>
      </c>
      <c r="BY11" s="179">
        <f>Tabela1[[#This Row],[Pós WBC 10³/mm³]]</f>
        <v>8.58</v>
      </c>
      <c r="BZ11" s="125">
        <f>Tabela1[[#This Row],[Pré NEUT %]]</f>
        <v>44.1</v>
      </c>
      <c r="CA11" s="125">
        <f>Tabela1[[#This Row],[Pós NEUT %]]</f>
        <v>61.4</v>
      </c>
      <c r="CB11" s="125">
        <f>Tabela1[[#This Row],[Pré LINF %]]</f>
        <v>39.9</v>
      </c>
      <c r="CC11" s="125">
        <f>Tabela1[[#This Row],[Pós LINF %]]</f>
        <v>25.3</v>
      </c>
      <c r="CD11" s="125">
        <f>Tabela1[[#This Row],[Pré MONO %]]</f>
        <v>9.1</v>
      </c>
      <c r="CE11" s="125">
        <f>Tabela1[[#This Row],[Pós MONO %]]</f>
        <v>8.9</v>
      </c>
      <c r="CF11" s="125">
        <f>Tabela1[[#This Row],[Pré EOS %]]</f>
        <v>5.4</v>
      </c>
      <c r="CG11" s="125">
        <f>Tabela1[[#This Row],[Pós EOS %]]</f>
        <v>3.6</v>
      </c>
      <c r="CH11" s="125">
        <f>Tabela1[[#This Row],[Pré BASO %]]</f>
        <v>1.5</v>
      </c>
      <c r="CI11" s="198">
        <f>Tabela1[[#This Row],[Pós BASO %]]</f>
        <v>0.8</v>
      </c>
      <c r="CJ11" s="199" t="str">
        <f t="shared" si="1"/>
        <v>NÃO</v>
      </c>
      <c r="CK11" s="200" t="str">
        <f t="shared" si="2"/>
        <v>SIM</v>
      </c>
      <c r="CL11" s="194">
        <f t="shared" si="3"/>
        <v>70.596360000000004</v>
      </c>
      <c r="CM11" s="125">
        <f>Tabela1[[#This Row],[MCT KG]]</f>
        <v>80.7</v>
      </c>
      <c r="CN11" s="85">
        <f>Tabela1[[#This Row],[ESTATURA]]</f>
        <v>182.1</v>
      </c>
      <c r="CO11" s="85">
        <f>Tabela1[[#This Row],[vo2max estimado]]</f>
        <v>50.93</v>
      </c>
      <c r="CP11" s="85">
        <f>Tabela1[[#This Row],[Handgrip     Dominante]]</f>
        <v>56</v>
      </c>
      <c r="CQ11" s="85">
        <f>Tabela1[[#This Row],[Handgrip Contrário]]</f>
        <v>58</v>
      </c>
      <c r="CR11" s="281">
        <f>Tabela1[[#This Row],[% gordura]]</f>
        <v>12.52</v>
      </c>
      <c r="CS11" s="185"/>
    </row>
    <row r="12" spans="1:97" ht="15.75">
      <c r="A12" s="279">
        <f>Tabela1[[#This Row],[Ano]]</f>
        <v>2017</v>
      </c>
      <c r="B12" s="181" t="str">
        <f>Tabela1[[#This Row],[Missão]]</f>
        <v>CIASC</v>
      </c>
      <c r="C12" s="181">
        <f>Tabela1[[#This Row],[Aluno]]</f>
        <v>3138</v>
      </c>
      <c r="D12" s="181">
        <f>Tabela1[[#This Row],[Idade]]</f>
        <v>27</v>
      </c>
      <c r="E12" s="182">
        <f>Tabela1[[#This Row],[Peso Kg]]</f>
        <v>0</v>
      </c>
      <c r="F12" s="191">
        <f>Tabela1[[#This Row],[Cor da pele]]</f>
        <v>1</v>
      </c>
      <c r="G12" s="192" t="str">
        <f>Tabela1[[#This Row],[ACTN3]]</f>
        <v>-</v>
      </c>
      <c r="H12" s="85" t="str">
        <f>Tabela1[[#This Row],[AGT]]</f>
        <v>-</v>
      </c>
      <c r="I12" s="85" t="str">
        <f>Tabela1[[#This Row],[ECA]]</f>
        <v>-</v>
      </c>
      <c r="J12" s="85" t="str">
        <f>Tabela1[[#This Row],[BDKRB2]]</f>
        <v>-</v>
      </c>
      <c r="K12" s="85" t="str">
        <f>Tabela1[[#This Row],[Score Força%]]</f>
        <v>-</v>
      </c>
      <c r="L12" s="193" t="str">
        <f>Tabela1[[#This Row],[Score Resistência %]]</f>
        <v>-</v>
      </c>
      <c r="M12" s="192">
        <f>Tabela1[[#This Row],[Pré CK (U/L)]]</f>
        <v>1066</v>
      </c>
      <c r="N12" s="85">
        <f>Tabela1[[#This Row],[Pós CK (U/L)]]</f>
        <v>4531</v>
      </c>
      <c r="O12" s="85">
        <f>Tabela1[[#This Row],[Pré CK MB U/L]]</f>
        <v>27</v>
      </c>
      <c r="P12" s="85">
        <f>Tabela1[[#This Row],[Pós CK MB U/L]]</f>
        <v>66</v>
      </c>
      <c r="Q12" s="85" t="str">
        <f>Tabela1[[#This Row],[Pré Lactato (mmol/L)]]</f>
        <v>-</v>
      </c>
      <c r="R12" s="85" t="str">
        <f>Tabela1[[#This Row],[Pós Lactato (mmol/L)]]</f>
        <v>-</v>
      </c>
      <c r="S12" s="85">
        <f>Tabela1[[#This Row],[Pré LDH (U/L)]]</f>
        <v>732</v>
      </c>
      <c r="T12" s="85">
        <f>Tabela1[[#This Row],[Pós LDH (U/L)]]</f>
        <v>1124</v>
      </c>
      <c r="U12" s="85">
        <f>Tabela1[[#This Row],[Pré AST (U/L)]]</f>
        <v>92</v>
      </c>
      <c r="V12" s="193">
        <f>Tabela1[[#This Row],[Pós AST (U/L)]]</f>
        <v>173</v>
      </c>
      <c r="W12" s="194">
        <f>Tabela1[[#This Row],[Pré Albumina (g/dL)]]</f>
        <v>4.5</v>
      </c>
      <c r="X12" s="125">
        <f>Tabela1[[#This Row],[Pós Albumina (g/dL)]]</f>
        <v>4.7</v>
      </c>
      <c r="Y12" s="85">
        <f>Tabela1[[#This Row],[Pré TGP (g/dL)]]</f>
        <v>80</v>
      </c>
      <c r="Z12" s="85">
        <f>Tabela1[[#This Row],[Pós TGP (g/dL)]]</f>
        <v>109</v>
      </c>
      <c r="AA12" s="85">
        <f>Tabela1[[#This Row],[Pré GGT U/L]]</f>
        <v>36</v>
      </c>
      <c r="AB12" s="193">
        <f>Tabela1[[#This Row],[Pós GGT U/L]]</f>
        <v>31</v>
      </c>
      <c r="AC12" s="194" t="str">
        <f>Tabela1[[#This Row],[Pré Ac. Úrico (mg/dL)]]</f>
        <v>-</v>
      </c>
      <c r="AD12" s="125" t="str">
        <f>Tabela1[[#This Row],[Pós Ac. Úrico (mg/dL)2]]</f>
        <v>-</v>
      </c>
      <c r="AE1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2" s="85">
        <f>Tabela1[[#This Row],[Pré Ureia mg/dL]]</f>
        <v>31</v>
      </c>
      <c r="AH12" s="85">
        <f>Tabela1[[#This Row],[Pós Ureia mg/dL]]</f>
        <v>46</v>
      </c>
      <c r="AI12" s="125">
        <f>Tabela1[[#This Row],[Pré creatinina mg/dL]]</f>
        <v>0.9</v>
      </c>
      <c r="AJ12" s="125">
        <f>Tabela1[[#This Row],[Pós creatinina mg/dL]]</f>
        <v>0.9</v>
      </c>
      <c r="AK12" s="180">
        <f t="shared" si="0"/>
        <v>0</v>
      </c>
      <c r="AL12" s="125">
        <f>Tabela1[[#This Row],[Pré Fósforo mg/dL]]</f>
        <v>3.4</v>
      </c>
      <c r="AM12" s="125">
        <f>Tabela1[[#This Row],[Pós Fósforo mg/dL]]</f>
        <v>4.9000000000000004</v>
      </c>
      <c r="AN12" s="125">
        <f>Tabela1[[#This Row],[Pré Proteína Total (g/dL)]]</f>
        <v>7.4</v>
      </c>
      <c r="AO12" s="125">
        <f>Tabela1[[#This Row],[Pós Proteína Total (g/dL)]]</f>
        <v>7.7</v>
      </c>
      <c r="AP12" s="85" t="str">
        <f>Tabela1[[#This Row],[Pré FE (ug/dL)]]</f>
        <v>-</v>
      </c>
      <c r="AQ12" s="193" t="str">
        <f>Tabela1[[#This Row],[Pós FE (ug/dL)]]</f>
        <v>-</v>
      </c>
      <c r="AR12" s="194">
        <f>Tabela1[[#This Row],[Pré calcio mg/dL]]</f>
        <v>9.5</v>
      </c>
      <c r="AS12" s="125">
        <f>Tabela1[[#This Row],[Pós calcio mg/dL]]</f>
        <v>9.6999999999999993</v>
      </c>
      <c r="AT12" s="125">
        <f>Tabela1[[#This Row],[Pré Potássio mmol/L]]</f>
        <v>5.3</v>
      </c>
      <c r="AU12" s="125">
        <f>Tabela1[[#This Row],[Pós Potássio mmol/L]]</f>
        <v>4.7</v>
      </c>
      <c r="AV12" s="85">
        <f>Tabela1[[#This Row],[Glicose pré]]</f>
        <v>94</v>
      </c>
      <c r="AW12" s="85">
        <f>Tabela1[[#This Row],[Glicose pós]]</f>
        <v>74</v>
      </c>
      <c r="AX12" s="85">
        <f>Tabela1[[#This Row],[Pré Sódio mmol/L]]</f>
        <v>143</v>
      </c>
      <c r="AY12" s="85">
        <f>Tabela1[[#This Row],[Pós Sódio mmol/L]]</f>
        <v>138</v>
      </c>
      <c r="AZ12" s="125" t="str">
        <f>Tabela1[[#This Row],[Pré Magnésio mg/dL]]</f>
        <v>-</v>
      </c>
      <c r="BA12" s="125" t="str">
        <f>Tabela1[[#This Row],[Pós Magnésio mg/dL]]</f>
        <v>-</v>
      </c>
      <c r="BB12" s="85" t="str">
        <f>Tabela1[[#This Row],[Pré Cloro mmol/L]]</f>
        <v>-</v>
      </c>
      <c r="BC12" s="85" t="str">
        <f>Tabela1[[#This Row],[Pós Cloro mmol/L]]</f>
        <v>-</v>
      </c>
      <c r="BD1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301.01022222222224</v>
      </c>
      <c r="BE1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291.81644444444441</v>
      </c>
      <c r="BF12" s="194">
        <f>Tabela1[[#This Row],[Pré RBC 10^6/mm³]]</f>
        <v>5.83</v>
      </c>
      <c r="BG12" s="125">
        <f>Tabela1[[#This Row],[Pós RBC 10^6/mm³]]</f>
        <v>5.75</v>
      </c>
      <c r="BH12" s="125">
        <f>Tabela1[[#This Row],[Pré HGB g/dL]]</f>
        <v>12.9</v>
      </c>
      <c r="BI12" s="125">
        <f>Tabela1[[#This Row],[Pós HGB g/dL]]</f>
        <v>13</v>
      </c>
      <c r="BJ12" s="125">
        <f>Tabela1[[#This Row],[Pré HCT %]]</f>
        <v>42.1</v>
      </c>
      <c r="BK12" s="125">
        <f>Tabela1[[#This Row],[Pós HCT %]]</f>
        <v>41</v>
      </c>
      <c r="BL12" s="125">
        <f>Tabela1[[#This Row],[Pré MCV fL]]</f>
        <v>72.2</v>
      </c>
      <c r="BM12" s="125">
        <f>Tabela1[[#This Row],[Pós MCV fL]]</f>
        <v>71.3</v>
      </c>
      <c r="BN12" s="125">
        <f>Tabela1[[#This Row],[Pré MCH pg]]</f>
        <v>22.1</v>
      </c>
      <c r="BO12" s="125">
        <f>Tabela1[[#This Row],[Pós MCH pg]]</f>
        <v>22.6</v>
      </c>
      <c r="BP12" s="125">
        <f>Tabela1[[#This Row],[Pré MCHC g/dL]]</f>
        <v>30.6</v>
      </c>
      <c r="BQ12" s="125">
        <f>Tabela1[[#This Row],[Pós MCHC g/dL]]</f>
        <v>31.7</v>
      </c>
      <c r="BR12" s="85">
        <f>Tabela1[[#This Row],[Pré PLT 10³/mm³]]</f>
        <v>292</v>
      </c>
      <c r="BS12" s="85">
        <f>Tabela1[[#This Row],[Pós PLT 10³/mm³]]</f>
        <v>321</v>
      </c>
      <c r="BT12" s="125">
        <f>Tabela1[[#This Row],[Pré RDW %]]</f>
        <v>15.5</v>
      </c>
      <c r="BU12" s="125">
        <f>Tabela1[[#This Row],[Pós RDW %]]</f>
        <v>15.7</v>
      </c>
      <c r="BV12" s="179">
        <f>Tabela1[[#This Row],[Pré RET %]]</f>
        <v>0.45</v>
      </c>
      <c r="BW12" s="196">
        <f>Tabela1[[#This Row],[Pós RET %]]</f>
        <v>0.53</v>
      </c>
      <c r="BX12" s="197">
        <f>Tabela1[[#This Row],[Pré WBC 10³/mm³]]</f>
        <v>5.58</v>
      </c>
      <c r="BY12" s="179">
        <f>Tabela1[[#This Row],[Pós WBC 10³/mm³]]</f>
        <v>11.44</v>
      </c>
      <c r="BZ12" s="125">
        <f>Tabela1[[#This Row],[Pré NEUT %]]</f>
        <v>57.1</v>
      </c>
      <c r="CA12" s="125">
        <f>Tabela1[[#This Row],[Pós NEUT %]]</f>
        <v>72.5</v>
      </c>
      <c r="CB12" s="125">
        <f>Tabela1[[#This Row],[Pré LINF %]]</f>
        <v>26.9</v>
      </c>
      <c r="CC12" s="125">
        <f>Tabela1[[#This Row],[Pós LINF %]]</f>
        <v>15.6</v>
      </c>
      <c r="CD12" s="125">
        <f>Tabela1[[#This Row],[Pré MONO %]]</f>
        <v>11.3</v>
      </c>
      <c r="CE12" s="125">
        <f>Tabela1[[#This Row],[Pós MONO %]]</f>
        <v>10.199999999999999</v>
      </c>
      <c r="CF12" s="125">
        <f>Tabela1[[#This Row],[Pré EOS %]]</f>
        <v>2.9</v>
      </c>
      <c r="CG12" s="125">
        <f>Tabela1[[#This Row],[Pós EOS %]]</f>
        <v>1.3</v>
      </c>
      <c r="CH12" s="125">
        <f>Tabela1[[#This Row],[Pré BASO %]]</f>
        <v>1.8</v>
      </c>
      <c r="CI12" s="198">
        <f>Tabela1[[#This Row],[Pós BASO %]]</f>
        <v>0.4</v>
      </c>
      <c r="CJ12" s="199" t="str">
        <f t="shared" si="1"/>
        <v>NÃO</v>
      </c>
      <c r="CK12" s="200" t="str">
        <f t="shared" si="2"/>
        <v>SIM</v>
      </c>
      <c r="CL12" s="194">
        <f t="shared" si="3"/>
        <v>0</v>
      </c>
      <c r="CM12" s="125">
        <f>Tabela1[[#This Row],[MCT KG]]</f>
        <v>0</v>
      </c>
      <c r="CN12" s="85">
        <f>Tabela1[[#This Row],[ESTATURA]]</f>
        <v>0</v>
      </c>
      <c r="CO12" s="85">
        <f>Tabela1[[#This Row],[vo2max estimado]]</f>
        <v>0</v>
      </c>
      <c r="CP12" s="85">
        <f>Tabela1[[#This Row],[Handgrip     Dominante]]</f>
        <v>0</v>
      </c>
      <c r="CQ12" s="85">
        <f>Tabela1[[#This Row],[Handgrip Contrário]]</f>
        <v>0</v>
      </c>
      <c r="CR12" s="281">
        <f>Tabela1[[#This Row],[% gordura]]</f>
        <v>0</v>
      </c>
      <c r="CS12" s="185"/>
    </row>
    <row r="13" spans="1:97" ht="15.75">
      <c r="A13" s="279">
        <f>Tabela1[[#This Row],[Ano]]</f>
        <v>2017</v>
      </c>
      <c r="B13" s="181" t="str">
        <f>Tabela1[[#This Row],[Missão]]</f>
        <v>CIASC</v>
      </c>
      <c r="C13" s="181">
        <f>Tabela1[[#This Row],[Aluno]]</f>
        <v>3143</v>
      </c>
      <c r="D13" s="181">
        <f>Tabela1[[#This Row],[Idade]]</f>
        <v>28</v>
      </c>
      <c r="E13" s="182">
        <f>Tabela1[[#This Row],[Peso Kg]]</f>
        <v>78</v>
      </c>
      <c r="F13" s="191">
        <f>Tabela1[[#This Row],[Cor da pele]]</f>
        <v>1</v>
      </c>
      <c r="G13" s="192" t="str">
        <f>Tabela1[[#This Row],[ACTN3]]</f>
        <v>RR</v>
      </c>
      <c r="H13" s="85" t="str">
        <f>Tabela1[[#This Row],[AGT]]</f>
        <v>TT</v>
      </c>
      <c r="I13" s="85" t="str">
        <f>Tabela1[[#This Row],[ECA]]</f>
        <v>DD</v>
      </c>
      <c r="J13" s="85" t="str">
        <f>Tabela1[[#This Row],[BDKRB2]]</f>
        <v>(+9, -9)</v>
      </c>
      <c r="K13" s="85">
        <f>Tabela1[[#This Row],[Score Força%]]</f>
        <v>87.5</v>
      </c>
      <c r="L13" s="193">
        <f>Tabela1[[#This Row],[Score Resistência %]]</f>
        <v>12.5</v>
      </c>
      <c r="M13" s="192">
        <f>Tabela1[[#This Row],[Pré CK (U/L)]]</f>
        <v>1076</v>
      </c>
      <c r="N13" s="85">
        <f>Tabela1[[#This Row],[Pós CK (U/L)]]</f>
        <v>331</v>
      </c>
      <c r="O13" s="85">
        <f>Tabela1[[#This Row],[Pré CK MB U/L]]</f>
        <v>23</v>
      </c>
      <c r="P13" s="85">
        <f>Tabela1[[#This Row],[Pós CK MB U/L]]</f>
        <v>19</v>
      </c>
      <c r="Q13" s="85" t="str">
        <f>Tabela1[[#This Row],[Pré Lactato (mmol/L)]]</f>
        <v>-</v>
      </c>
      <c r="R13" s="85" t="str">
        <f>Tabela1[[#This Row],[Pós Lactato (mmol/L)]]</f>
        <v>-</v>
      </c>
      <c r="S13" s="85">
        <f>Tabela1[[#This Row],[Pré LDH (U/L)]]</f>
        <v>917</v>
      </c>
      <c r="T13" s="85">
        <f>Tabela1[[#This Row],[Pós LDH (U/L)]]</f>
        <v>822</v>
      </c>
      <c r="U13" s="85">
        <f>Tabela1[[#This Row],[Pré AST (U/L)]]</f>
        <v>140</v>
      </c>
      <c r="V13" s="193">
        <f>Tabela1[[#This Row],[Pós AST (U/L)]]</f>
        <v>45</v>
      </c>
      <c r="W13" s="194">
        <f>Tabela1[[#This Row],[Pré Albumina (g/dL)]]</f>
        <v>4.7</v>
      </c>
      <c r="X13" s="125">
        <f>Tabela1[[#This Row],[Pós Albumina (g/dL)]]</f>
        <v>4.7</v>
      </c>
      <c r="Y13" s="85">
        <f>Tabela1[[#This Row],[Pré TGP (g/dL)]]</f>
        <v>140</v>
      </c>
      <c r="Z13" s="85">
        <f>Tabela1[[#This Row],[Pós TGP (g/dL)]]</f>
        <v>75</v>
      </c>
      <c r="AA13" s="85">
        <f>Tabela1[[#This Row],[Pré GGT U/L]]</f>
        <v>61</v>
      </c>
      <c r="AB13" s="193">
        <f>Tabela1[[#This Row],[Pós GGT U/L]]</f>
        <v>48</v>
      </c>
      <c r="AC13" s="194" t="str">
        <f>Tabela1[[#This Row],[Pré Ac. Úrico (mg/dL)]]</f>
        <v>-</v>
      </c>
      <c r="AD13" s="125" t="str">
        <f>Tabela1[[#This Row],[Pós Ac. Úrico (mg/dL)2]]</f>
        <v>-</v>
      </c>
      <c r="AE1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1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13" s="85">
        <f>Tabela1[[#This Row],[Pré Ureia mg/dL]]</f>
        <v>25</v>
      </c>
      <c r="AH13" s="85">
        <f>Tabela1[[#This Row],[Pós Ureia mg/dL]]</f>
        <v>30</v>
      </c>
      <c r="AI13" s="125">
        <f>Tabela1[[#This Row],[Pré creatinina mg/dL]]</f>
        <v>0.8</v>
      </c>
      <c r="AJ13" s="125">
        <f>Tabela1[[#This Row],[Pós creatinina mg/dL]]</f>
        <v>0.8</v>
      </c>
      <c r="AK13" s="180">
        <f t="shared" si="0"/>
        <v>0</v>
      </c>
      <c r="AL13" s="125">
        <f>Tabela1[[#This Row],[Pré Fósforo mg/dL]]</f>
        <v>2.9</v>
      </c>
      <c r="AM13" s="125">
        <f>Tabela1[[#This Row],[Pós Fósforo mg/dL]]</f>
        <v>4.7</v>
      </c>
      <c r="AN13" s="125">
        <f>Tabela1[[#This Row],[Pré Proteína Total (g/dL)]]</f>
        <v>7.6</v>
      </c>
      <c r="AO13" s="125">
        <f>Tabela1[[#This Row],[Pós Proteína Total (g/dL)]]</f>
        <v>7.7</v>
      </c>
      <c r="AP13" s="85" t="str">
        <f>Tabela1[[#This Row],[Pré FE (ug/dL)]]</f>
        <v>-</v>
      </c>
      <c r="AQ13" s="193" t="str">
        <f>Tabela1[[#This Row],[Pós FE (ug/dL)]]</f>
        <v>-</v>
      </c>
      <c r="AR13" s="194">
        <f>Tabela1[[#This Row],[Pré calcio mg/dL]]</f>
        <v>9.6999999999999993</v>
      </c>
      <c r="AS13" s="125">
        <f>Tabela1[[#This Row],[Pós calcio mg/dL]]</f>
        <v>9.6</v>
      </c>
      <c r="AT13" s="125">
        <f>Tabela1[[#This Row],[Pré Potássio mmol/L]]</f>
        <v>4.7</v>
      </c>
      <c r="AU13" s="125">
        <f>Tabela1[[#This Row],[Pós Potássio mmol/L]]</f>
        <v>4.5999999999999996</v>
      </c>
      <c r="AV13" s="85">
        <f>Tabela1[[#This Row],[Glicose pré]]</f>
        <v>101</v>
      </c>
      <c r="AW13" s="85">
        <f>Tabela1[[#This Row],[Glicose pós]]</f>
        <v>88</v>
      </c>
      <c r="AX13" s="85">
        <f>Tabela1[[#This Row],[Pré Sódio mmol/L]]</f>
        <v>141</v>
      </c>
      <c r="AY13" s="85">
        <f>Tabela1[[#This Row],[Pós Sódio mmol/L]]</f>
        <v>140</v>
      </c>
      <c r="AZ13" s="125" t="str">
        <f>Tabela1[[#This Row],[Pré Magnésio mg/dL]]</f>
        <v>-</v>
      </c>
      <c r="BA13" s="125" t="str">
        <f>Tabela1[[#This Row],[Pós Magnésio mg/dL]]</f>
        <v>-</v>
      </c>
      <c r="BB13" s="85" t="str">
        <f>Tabela1[[#This Row],[Pré Cloro mmol/L]]</f>
        <v>-</v>
      </c>
      <c r="BC13" s="85" t="str">
        <f>Tabela1[[#This Row],[Pós Cloro mmol/L]]</f>
        <v>-</v>
      </c>
      <c r="BD1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295.62144444444448</v>
      </c>
      <c r="BE1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293.57822222222222</v>
      </c>
      <c r="BF13" s="194">
        <f>Tabela1[[#This Row],[Pré RBC 10^6/mm³]]</f>
        <v>4.76</v>
      </c>
      <c r="BG13" s="125">
        <f>Tabela1[[#This Row],[Pós RBC 10^6/mm³]]</f>
        <v>4.7</v>
      </c>
      <c r="BH13" s="125">
        <f>Tabela1[[#This Row],[Pré HGB g/dL]]</f>
        <v>13.9</v>
      </c>
      <c r="BI13" s="125">
        <f>Tabela1[[#This Row],[Pós HGB g/dL]]</f>
        <v>13.5</v>
      </c>
      <c r="BJ13" s="125">
        <f>Tabela1[[#This Row],[Pré HCT %]]</f>
        <v>43.9</v>
      </c>
      <c r="BK13" s="125">
        <f>Tabela1[[#This Row],[Pós HCT %]]</f>
        <v>43.2</v>
      </c>
      <c r="BL13" s="125">
        <f>Tabela1[[#This Row],[Pré MCV fL]]</f>
        <v>92.2</v>
      </c>
      <c r="BM13" s="125">
        <f>Tabela1[[#This Row],[Pós MCV fL]]</f>
        <v>91.9</v>
      </c>
      <c r="BN13" s="125">
        <f>Tabela1[[#This Row],[Pré MCH pg]]</f>
        <v>29.2</v>
      </c>
      <c r="BO13" s="125">
        <f>Tabela1[[#This Row],[Pós MCH pg]]</f>
        <v>28.7</v>
      </c>
      <c r="BP13" s="125">
        <f>Tabela1[[#This Row],[Pré MCHC g/dL]]</f>
        <v>31.7</v>
      </c>
      <c r="BQ13" s="125">
        <f>Tabela1[[#This Row],[Pós MCHC g/dL]]</f>
        <v>31.3</v>
      </c>
      <c r="BR13" s="85">
        <f>Tabela1[[#This Row],[Pré PLT 10³/mm³]]</f>
        <v>197</v>
      </c>
      <c r="BS13" s="85">
        <f>Tabela1[[#This Row],[Pós PLT 10³/mm³]]</f>
        <v>304</v>
      </c>
      <c r="BT13" s="125">
        <f>Tabela1[[#This Row],[Pré RDW %]]</f>
        <v>12.7</v>
      </c>
      <c r="BU13" s="125">
        <f>Tabela1[[#This Row],[Pós RDW %]]</f>
        <v>13.3</v>
      </c>
      <c r="BV13" s="179">
        <f>Tabela1[[#This Row],[Pré RET %]]</f>
        <v>0.84</v>
      </c>
      <c r="BW13" s="196">
        <f>Tabela1[[#This Row],[Pós RET %]]</f>
        <v>1.2</v>
      </c>
      <c r="BX13" s="197">
        <f>Tabela1[[#This Row],[Pré WBC 10³/mm³]]</f>
        <v>6.1</v>
      </c>
      <c r="BY13" s="179">
        <f>Tabela1[[#This Row],[Pós WBC 10³/mm³]]</f>
        <v>8.51</v>
      </c>
      <c r="BZ13" s="125">
        <f>Tabela1[[#This Row],[Pré NEUT %]]</f>
        <v>63.9</v>
      </c>
      <c r="CA13" s="125">
        <f>Tabela1[[#This Row],[Pós NEUT %]]</f>
        <v>61.1</v>
      </c>
      <c r="CB13" s="125">
        <f>Tabela1[[#This Row],[Pré LINF %]]</f>
        <v>24.4</v>
      </c>
      <c r="CC13" s="125">
        <f>Tabela1[[#This Row],[Pós LINF %]]</f>
        <v>24.8</v>
      </c>
      <c r="CD13" s="125">
        <f>Tabela1[[#This Row],[Pré MONO %]]</f>
        <v>10.7</v>
      </c>
      <c r="CE13" s="125">
        <f>Tabela1[[#This Row],[Pós MONO %]]</f>
        <v>11.8</v>
      </c>
      <c r="CF13" s="125">
        <f>Tabela1[[#This Row],[Pré EOS %]]</f>
        <v>0.8</v>
      </c>
      <c r="CG13" s="125">
        <f>Tabela1[[#This Row],[Pós EOS %]]</f>
        <v>1.9</v>
      </c>
      <c r="CH13" s="125">
        <f>Tabela1[[#This Row],[Pré BASO %]]</f>
        <v>0.2</v>
      </c>
      <c r="CI13" s="198">
        <f>Tabela1[[#This Row],[Pós BASO %]]</f>
        <v>0.4</v>
      </c>
      <c r="CJ13" s="199" t="str">
        <f t="shared" si="1"/>
        <v>NÃO</v>
      </c>
      <c r="CK13" s="200" t="str">
        <f t="shared" si="2"/>
        <v>SIM</v>
      </c>
      <c r="CL13" s="194">
        <f t="shared" si="3"/>
        <v>70.250040000000013</v>
      </c>
      <c r="CM13" s="125">
        <f>Tabela1[[#This Row],[MCT KG]]</f>
        <v>85.4</v>
      </c>
      <c r="CN13" s="85">
        <f>Tabela1[[#This Row],[ESTATURA]]</f>
        <v>179.3</v>
      </c>
      <c r="CO13" s="85">
        <f>Tabela1[[#This Row],[vo2max estimado]]</f>
        <v>49.65</v>
      </c>
      <c r="CP13" s="85">
        <f>Tabela1[[#This Row],[Handgrip     Dominante]]</f>
        <v>44</v>
      </c>
      <c r="CQ13" s="85">
        <f>Tabela1[[#This Row],[Handgrip Contrário]]</f>
        <v>35</v>
      </c>
      <c r="CR13" s="281">
        <f>Tabela1[[#This Row],[% gordura]]</f>
        <v>17.739999999999998</v>
      </c>
      <c r="CS13" s="185"/>
    </row>
    <row r="14" spans="1:97" ht="15.75">
      <c r="A14" s="279">
        <f>Tabela1[[#This Row],[Ano]]</f>
        <v>2017</v>
      </c>
      <c r="B14" s="181" t="str">
        <f>Tabela1[[#This Row],[Missão]]</f>
        <v>Marambaia</v>
      </c>
      <c r="C14" s="181">
        <f>Tabela1[[#This Row],[Aluno]]</f>
        <v>3089</v>
      </c>
      <c r="D14" s="181">
        <f>Tabela1[[#This Row],[Idade]]</f>
        <v>28</v>
      </c>
      <c r="E14" s="182">
        <f>Tabela1[[#This Row],[Peso Kg]]</f>
        <v>0</v>
      </c>
      <c r="F14" s="191">
        <f>Tabela1[[#This Row],[Cor da pele]]</f>
        <v>1</v>
      </c>
      <c r="G14" s="192" t="str">
        <f>Tabela1[[#This Row],[ACTN3]]</f>
        <v xml:space="preserve">RX </v>
      </c>
      <c r="H14" s="85" t="str">
        <f>Tabela1[[#This Row],[AGT]]</f>
        <v>MT</v>
      </c>
      <c r="I14" s="85" t="str">
        <f>Tabela1[[#This Row],[ECA]]</f>
        <v>II</v>
      </c>
      <c r="J14" s="85" t="str">
        <f>Tabela1[[#This Row],[BDKRB2]]</f>
        <v>(+9, -9)</v>
      </c>
      <c r="K14" s="85">
        <f>Tabela1[[#This Row],[Score Força%]]</f>
        <v>37.5</v>
      </c>
      <c r="L14" s="193">
        <f>Tabela1[[#This Row],[Score Resistência %]]</f>
        <v>62.5</v>
      </c>
      <c r="M14" s="192">
        <f>Tabela1[[#This Row],[Pré CK (U/L)]]</f>
        <v>1521</v>
      </c>
      <c r="N14" s="85">
        <f>Tabela1[[#This Row],[Pós CK (U/L)]]</f>
        <v>48308</v>
      </c>
      <c r="O14" s="85">
        <f>Tabela1[[#This Row],[Pré CK MB U/L]]</f>
        <v>52</v>
      </c>
      <c r="P14" s="85">
        <f>Tabela1[[#This Row],[Pós CK MB U/L]]</f>
        <v>821</v>
      </c>
      <c r="Q14" s="85" t="str">
        <f>Tabela1[[#This Row],[Pré Lactato (mmol/L)]]</f>
        <v>-</v>
      </c>
      <c r="R14" s="85" t="str">
        <f>Tabela1[[#This Row],[Pós Lactato (mmol/L)]]</f>
        <v>-</v>
      </c>
      <c r="S14" s="85">
        <f>Tabela1[[#This Row],[Pré LDH (U/L)]]</f>
        <v>1861</v>
      </c>
      <c r="T14" s="85">
        <f>Tabela1[[#This Row],[Pós LDH (U/L)]]</f>
        <v>6127</v>
      </c>
      <c r="U14" s="85">
        <f>Tabela1[[#This Row],[Pré AST (U/L)]]</f>
        <v>135</v>
      </c>
      <c r="V14" s="193">
        <f>Tabela1[[#This Row],[Pós AST (U/L)]]</f>
        <v>1103</v>
      </c>
      <c r="W14" s="194">
        <f>Tabela1[[#This Row],[Pré Albumina (g/dL)]]</f>
        <v>4.2</v>
      </c>
      <c r="X14" s="125">
        <f>Tabela1[[#This Row],[Pós Albumina (g/dL)]]</f>
        <v>3.8</v>
      </c>
      <c r="Y14" s="85">
        <f>Tabela1[[#This Row],[Pré TGP (g/dL)]]</f>
        <v>138</v>
      </c>
      <c r="Z14" s="85">
        <f>Tabela1[[#This Row],[Pós TGP (g/dL)]]</f>
        <v>261</v>
      </c>
      <c r="AA14" s="85">
        <f>Tabela1[[#This Row],[Pré GGT U/L]]</f>
        <v>20</v>
      </c>
      <c r="AB14" s="193">
        <f>Tabela1[[#This Row],[Pós GGT U/L]]</f>
        <v>19</v>
      </c>
      <c r="AC14" s="194" t="str">
        <f>Tabela1[[#This Row],[Pré Ac. Úrico (mg/dL)]]</f>
        <v>-</v>
      </c>
      <c r="AD14" s="125" t="str">
        <f>Tabela1[[#This Row],[Pós Ac. Úrico (mg/dL)2]]</f>
        <v>-</v>
      </c>
      <c r="AE1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70.209761921634552</v>
      </c>
      <c r="AG14" s="85">
        <f>Tabela1[[#This Row],[Pré Ureia mg/dL]]</f>
        <v>59</v>
      </c>
      <c r="AH14" s="85">
        <f>Tabela1[[#This Row],[Pós Ureia mg/dL]]</f>
        <v>90</v>
      </c>
      <c r="AI14" s="125">
        <f>Tabela1[[#This Row],[Pré creatinina mg/dL]]</f>
        <v>0.9</v>
      </c>
      <c r="AJ14" s="125">
        <f>Tabela1[[#This Row],[Pós creatinina mg/dL]]</f>
        <v>1.4</v>
      </c>
      <c r="AK14" s="180">
        <f t="shared" si="0"/>
        <v>0.49999999999999989</v>
      </c>
      <c r="AL14" s="125">
        <f>Tabela1[[#This Row],[Pré Fósforo mg/dL]]</f>
        <v>4</v>
      </c>
      <c r="AM14" s="125">
        <f>Tabela1[[#This Row],[Pós Fósforo mg/dL]]</f>
        <v>4.4000000000000004</v>
      </c>
      <c r="AN14" s="125">
        <f>Tabela1[[#This Row],[Pré Proteína Total (g/dL)]]</f>
        <v>7.3</v>
      </c>
      <c r="AO14" s="125">
        <f>Tabela1[[#This Row],[Pós Proteína Total (g/dL)]]</f>
        <v>6.5</v>
      </c>
      <c r="AP14" s="85" t="str">
        <f>Tabela1[[#This Row],[Pré FE (ug/dL)]]</f>
        <v>-</v>
      </c>
      <c r="AQ14" s="193" t="str">
        <f>Tabela1[[#This Row],[Pós FE (ug/dL)]]</f>
        <v>-</v>
      </c>
      <c r="AR14" s="194">
        <f>Tabela1[[#This Row],[Pré calcio mg/dL]]</f>
        <v>10</v>
      </c>
      <c r="AS14" s="125">
        <f>Tabela1[[#This Row],[Pós calcio mg/dL]]</f>
        <v>9.3000000000000007</v>
      </c>
      <c r="AT14" s="125">
        <f>Tabela1[[#This Row],[Pré Potássio mmol/L]]</f>
        <v>4.9000000000000004</v>
      </c>
      <c r="AU14" s="125">
        <f>Tabela1[[#This Row],[Pós Potássio mmol/L]]</f>
        <v>5.4</v>
      </c>
      <c r="AV14" s="85">
        <f>Tabela1[[#This Row],[Glicose pré]]</f>
        <v>91</v>
      </c>
      <c r="AW14" s="85">
        <f>Tabela1[[#This Row],[Glicose pós]]</f>
        <v>95</v>
      </c>
      <c r="AX14" s="85">
        <f>Tabela1[[#This Row],[Pré Sódio mmol/L]]</f>
        <v>131</v>
      </c>
      <c r="AY14" s="85">
        <f>Tabela1[[#This Row],[Pós Sódio mmol/L]]</f>
        <v>132</v>
      </c>
      <c r="AZ14" s="125" t="str">
        <f>Tabela1[[#This Row],[Pré Magnésio mg/dL]]</f>
        <v>-</v>
      </c>
      <c r="BA14" s="125" t="str">
        <f>Tabela1[[#This Row],[Pós Magnésio mg/dL]]</f>
        <v>-</v>
      </c>
      <c r="BB14" s="85" t="str">
        <f>Tabela1[[#This Row],[Pré Cloro mmol/L]]</f>
        <v>-</v>
      </c>
      <c r="BC14" s="85" t="str">
        <f>Tabela1[[#This Row],[Pós Cloro mmol/L]]</f>
        <v>-</v>
      </c>
      <c r="BD1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282.42122222222224</v>
      </c>
      <c r="BE1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290.63344444444448</v>
      </c>
      <c r="BF14" s="194">
        <f>Tabela1[[#This Row],[Pré RBC 10^6/mm³]]</f>
        <v>4.6100000000000003</v>
      </c>
      <c r="BG14" s="125">
        <f>Tabela1[[#This Row],[Pós RBC 10^6/mm³]]</f>
        <v>3.38</v>
      </c>
      <c r="BH14" s="125">
        <f>Tabela1[[#This Row],[Pré HGB g/dL]]</f>
        <v>13.7</v>
      </c>
      <c r="BI14" s="125">
        <f>Tabela1[[#This Row],[Pós HGB g/dL]]</f>
        <v>10.199999999999999</v>
      </c>
      <c r="BJ14" s="125">
        <f>Tabela1[[#This Row],[Pré HCT %]]</f>
        <v>41.8</v>
      </c>
      <c r="BK14" s="125">
        <f>Tabela1[[#This Row],[Pós HCT %]]</f>
        <v>30.7</v>
      </c>
      <c r="BL14" s="125">
        <f>Tabela1[[#This Row],[Pré MCV fL]]</f>
        <v>90.7</v>
      </c>
      <c r="BM14" s="125">
        <f>Tabela1[[#This Row],[Pós MCV fL]]</f>
        <v>90.8</v>
      </c>
      <c r="BN14" s="125">
        <f>Tabela1[[#This Row],[Pré MCH pg]]</f>
        <v>29.7</v>
      </c>
      <c r="BO14" s="125">
        <f>Tabela1[[#This Row],[Pós MCH pg]]</f>
        <v>30.2</v>
      </c>
      <c r="BP14" s="125">
        <f>Tabela1[[#This Row],[Pré MCHC g/dL]]</f>
        <v>32.799999999999997</v>
      </c>
      <c r="BQ14" s="125">
        <f>Tabela1[[#This Row],[Pós MCHC g/dL]]</f>
        <v>33.200000000000003</v>
      </c>
      <c r="BR14" s="85">
        <f>Tabela1[[#This Row],[Pré PLT 10³/mm³]]</f>
        <v>332</v>
      </c>
      <c r="BS14" s="85">
        <f>Tabela1[[#This Row],[Pós PLT 10³/mm³]]</f>
        <v>262</v>
      </c>
      <c r="BT14" s="125">
        <f>Tabela1[[#This Row],[Pré RDW %]]</f>
        <v>14</v>
      </c>
      <c r="BU14" s="125">
        <f>Tabela1[[#This Row],[Pós RDW %]]</f>
        <v>13.7</v>
      </c>
      <c r="BV14" s="179">
        <f>Tabela1[[#This Row],[Pré RET %]]</f>
        <v>2.14</v>
      </c>
      <c r="BW14" s="196">
        <f>Tabela1[[#This Row],[Pós RET %]]</f>
        <v>2.14</v>
      </c>
      <c r="BX14" s="197">
        <f>Tabela1[[#This Row],[Pré WBC 10³/mm³]]</f>
        <v>8.7899999999999991</v>
      </c>
      <c r="BY14" s="179">
        <f>Tabela1[[#This Row],[Pós WBC 10³/mm³]]</f>
        <v>10.67</v>
      </c>
      <c r="BZ14" s="125">
        <f>Tabela1[[#This Row],[Pré NEUT %]]</f>
        <v>71.900000000000006</v>
      </c>
      <c r="CA14" s="125">
        <f>Tabela1[[#This Row],[Pós NEUT %]]</f>
        <v>68.7</v>
      </c>
      <c r="CB14" s="125">
        <f>Tabela1[[#This Row],[Pré LINF %]]</f>
        <v>15.6</v>
      </c>
      <c r="CC14" s="125">
        <f>Tabela1[[#This Row],[Pós LINF %]]</f>
        <v>13.9</v>
      </c>
      <c r="CD14" s="125">
        <f>Tabela1[[#This Row],[Pré MONO %]]</f>
        <v>10.7</v>
      </c>
      <c r="CE14" s="125">
        <f>Tabela1[[#This Row],[Pós MONO %]]</f>
        <v>16.600000000000001</v>
      </c>
      <c r="CF14" s="125">
        <f>Tabela1[[#This Row],[Pré EOS %]]</f>
        <v>1.3</v>
      </c>
      <c r="CG14" s="125">
        <f>Tabela1[[#This Row],[Pós EOS %]]</f>
        <v>0.6</v>
      </c>
      <c r="CH14" s="125">
        <f>Tabela1[[#This Row],[Pré BASO %]]</f>
        <v>0.5</v>
      </c>
      <c r="CI14" s="198">
        <f>Tabela1[[#This Row],[Pós BASO %]]</f>
        <v>0.2</v>
      </c>
      <c r="CJ14" s="199" t="str">
        <f t="shared" si="1"/>
        <v>SIM</v>
      </c>
      <c r="CK14" s="200" t="str">
        <f t="shared" si="2"/>
        <v>SIM</v>
      </c>
      <c r="CL14" s="194">
        <f t="shared" si="3"/>
        <v>66.794890000000009</v>
      </c>
      <c r="CM14" s="125">
        <f>Tabela1[[#This Row],[MCT KG]]</f>
        <v>70.900000000000006</v>
      </c>
      <c r="CN14" s="85">
        <f>Tabela1[[#This Row],[ESTATURA]]</f>
        <v>166</v>
      </c>
      <c r="CO14" s="85">
        <f>Tabela1[[#This Row],[vo2max estimado]]</f>
        <v>52.92</v>
      </c>
      <c r="CP14" s="85">
        <f>Tabela1[[#This Row],[Handgrip     Dominante]]</f>
        <v>54.5</v>
      </c>
      <c r="CQ14" s="85">
        <f>Tabela1[[#This Row],[Handgrip Contrário]]</f>
        <v>52.5</v>
      </c>
      <c r="CR14" s="281">
        <f>Tabela1[[#This Row],[% gordura]]</f>
        <v>5.79</v>
      </c>
      <c r="CS14" s="185"/>
    </row>
    <row r="15" spans="1:97" ht="15.75">
      <c r="A15" s="279">
        <f>Tabela1[[#This Row],[Ano]]</f>
        <v>2017</v>
      </c>
      <c r="B15" s="181" t="str">
        <f>Tabela1[[#This Row],[Missão]]</f>
        <v>Marambaia</v>
      </c>
      <c r="C15" s="181">
        <f>Tabela1[[#This Row],[Aluno]]</f>
        <v>3090</v>
      </c>
      <c r="D15" s="181">
        <f>Tabela1[[#This Row],[Idade]]</f>
        <v>29</v>
      </c>
      <c r="E15" s="182">
        <f>Tabela1[[#This Row],[Peso Kg]]</f>
        <v>74</v>
      </c>
      <c r="F15" s="191">
        <f>Tabela1[[#This Row],[Cor da pele]]</f>
        <v>2</v>
      </c>
      <c r="G15" s="192" t="str">
        <f>Tabela1[[#This Row],[ACTN3]]</f>
        <v xml:space="preserve">RX </v>
      </c>
      <c r="H15" s="85" t="str">
        <f>Tabela1[[#This Row],[AGT]]</f>
        <v>MT</v>
      </c>
      <c r="I15" s="85" t="str">
        <f>Tabela1[[#This Row],[ECA]]</f>
        <v>II</v>
      </c>
      <c r="J15" s="85" t="str">
        <f>Tabela1[[#This Row],[BDKRB2]]</f>
        <v>(+9, -9)</v>
      </c>
      <c r="K15" s="85">
        <f>Tabela1[[#This Row],[Score Força%]]</f>
        <v>37.5</v>
      </c>
      <c r="L15" s="193">
        <f>Tabela1[[#This Row],[Score Resistência %]]</f>
        <v>62.5</v>
      </c>
      <c r="M15" s="192">
        <f>Tabela1[[#This Row],[Pré CK (U/L)]]</f>
        <v>17776</v>
      </c>
      <c r="N15" s="85">
        <f>Tabela1[[#This Row],[Pós CK (U/L)]]</f>
        <v>27170</v>
      </c>
      <c r="O15" s="85">
        <f>Tabela1[[#This Row],[Pré CK MB U/L]]</f>
        <v>80</v>
      </c>
      <c r="P15" s="85">
        <f>Tabela1[[#This Row],[Pós CK MB U/L]]</f>
        <v>248</v>
      </c>
      <c r="Q15" s="85" t="str">
        <f>Tabela1[[#This Row],[Pré Lactato (mmol/L)]]</f>
        <v>-</v>
      </c>
      <c r="R15" s="85" t="str">
        <f>Tabela1[[#This Row],[Pós Lactato (mmol/L)]]</f>
        <v>-</v>
      </c>
      <c r="S15" s="85">
        <f>Tabela1[[#This Row],[Pré LDH (U/L)]]</f>
        <v>1439</v>
      </c>
      <c r="T15" s="85">
        <f>Tabela1[[#This Row],[Pós LDH (U/L)]]</f>
        <v>2498</v>
      </c>
      <c r="U15" s="85">
        <f>Tabela1[[#This Row],[Pré AST (U/L)]]</f>
        <v>275</v>
      </c>
      <c r="V15" s="193">
        <f>Tabela1[[#This Row],[Pós AST (U/L)]]</f>
        <v>508</v>
      </c>
      <c r="W15" s="194">
        <f>Tabela1[[#This Row],[Pré Albumina (g/dL)]]</f>
        <v>4.4000000000000004</v>
      </c>
      <c r="X15" s="125">
        <f>Tabela1[[#This Row],[Pós Albumina (g/dL)]]</f>
        <v>4.3</v>
      </c>
      <c r="Y15" s="85">
        <f>Tabela1[[#This Row],[Pré TGP (g/dL)]]</f>
        <v>121</v>
      </c>
      <c r="Z15" s="85">
        <f>Tabela1[[#This Row],[Pós TGP (g/dL)]]</f>
        <v>159</v>
      </c>
      <c r="AA15" s="85">
        <f>Tabela1[[#This Row],[Pré GGT U/L]]</f>
        <v>23</v>
      </c>
      <c r="AB15" s="193">
        <f>Tabela1[[#This Row],[Pós GGT U/L]]</f>
        <v>21</v>
      </c>
      <c r="AC15" s="194" t="str">
        <f>Tabela1[[#This Row],[Pré Ac. Úrico (mg/dL)]]</f>
        <v>-</v>
      </c>
      <c r="AD15" s="125" t="str">
        <f>Tabela1[[#This Row],[Pós Ac. Úrico (mg/dL)2]]</f>
        <v>-</v>
      </c>
      <c r="AE1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1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5" s="85">
        <f>Tabela1[[#This Row],[Pré Ureia mg/dL]]</f>
        <v>42</v>
      </c>
      <c r="AH15" s="85">
        <f>Tabela1[[#This Row],[Pós Ureia mg/dL]]</f>
        <v>47</v>
      </c>
      <c r="AI15" s="125">
        <f>Tabela1[[#This Row],[Pré creatinina mg/dL]]</f>
        <v>0.8</v>
      </c>
      <c r="AJ15" s="125">
        <f>Tabela1[[#This Row],[Pós creatinina mg/dL]]</f>
        <v>0.9</v>
      </c>
      <c r="AK15" s="180">
        <f t="shared" si="0"/>
        <v>9.9999999999999978E-2</v>
      </c>
      <c r="AL15" s="125">
        <f>Tabela1[[#This Row],[Pré Fósforo mg/dL]]</f>
        <v>3.5</v>
      </c>
      <c r="AM15" s="125">
        <f>Tabela1[[#This Row],[Pós Fósforo mg/dL]]</f>
        <v>4.5</v>
      </c>
      <c r="AN15" s="125">
        <f>Tabela1[[#This Row],[Pré Proteína Total (g/dL)]]</f>
        <v>7.3</v>
      </c>
      <c r="AO15" s="125">
        <f>Tabela1[[#This Row],[Pós Proteína Total (g/dL)]]</f>
        <v>7.1</v>
      </c>
      <c r="AP15" s="85" t="str">
        <f>Tabela1[[#This Row],[Pré FE (ug/dL)]]</f>
        <v>-</v>
      </c>
      <c r="AQ15" s="193" t="str">
        <f>Tabela1[[#This Row],[Pós FE (ug/dL)]]</f>
        <v>-</v>
      </c>
      <c r="AR15" s="194">
        <f>Tabela1[[#This Row],[Pré calcio mg/dL]]</f>
        <v>9.6999999999999993</v>
      </c>
      <c r="AS15" s="125">
        <f>Tabela1[[#This Row],[Pós calcio mg/dL]]</f>
        <v>9.1999999999999993</v>
      </c>
      <c r="AT15" s="125">
        <f>Tabela1[[#This Row],[Pré Potássio mmol/L]]</f>
        <v>4.2</v>
      </c>
      <c r="AU15" s="125">
        <f>Tabela1[[#This Row],[Pós Potássio mmol/L]]</f>
        <v>4.3</v>
      </c>
      <c r="AV15" s="85">
        <f>Tabela1[[#This Row],[Glicose pré]]</f>
        <v>80</v>
      </c>
      <c r="AW15" s="85">
        <f>Tabela1[[#This Row],[Glicose pós]]</f>
        <v>75</v>
      </c>
      <c r="AX15" s="85">
        <f>Tabela1[[#This Row],[Pré Sódio mmol/L]]</f>
        <v>134</v>
      </c>
      <c r="AY15" s="85">
        <f>Tabela1[[#This Row],[Pós Sódio mmol/L]]</f>
        <v>132</v>
      </c>
      <c r="AZ15" s="125" t="str">
        <f>Tabela1[[#This Row],[Pré Magnésio mg/dL]]</f>
        <v>-</v>
      </c>
      <c r="BA15" s="125" t="str">
        <f>Tabela1[[#This Row],[Pós Magnésio mg/dL]]</f>
        <v>-</v>
      </c>
      <c r="BB15" s="85" t="str">
        <f>Tabela1[[#This Row],[Pré Cloro mmol/L]]</f>
        <v>-</v>
      </c>
      <c r="BC15" s="85" t="str">
        <f>Tabela1[[#This Row],[Pós Cloro mmol/L]]</f>
        <v>-</v>
      </c>
      <c r="BD1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283.16311111111105</v>
      </c>
      <c r="BE1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280.14300000000003</v>
      </c>
      <c r="BF15" s="194">
        <f>Tabela1[[#This Row],[Pré RBC 10^6/mm³]]</f>
        <v>5.16</v>
      </c>
      <c r="BG15" s="125">
        <f>Tabela1[[#This Row],[Pós RBC 10^6/mm³]]</f>
        <v>4.75</v>
      </c>
      <c r="BH15" s="125">
        <f>Tabela1[[#This Row],[Pré HGB g/dL]]</f>
        <v>14.9</v>
      </c>
      <c r="BI15" s="125">
        <f>Tabela1[[#This Row],[Pós HGB g/dL]]</f>
        <v>13.9</v>
      </c>
      <c r="BJ15" s="125">
        <f>Tabela1[[#This Row],[Pré HCT %]]</f>
        <v>44.6</v>
      </c>
      <c r="BK15" s="125">
        <f>Tabela1[[#This Row],[Pós HCT %]]</f>
        <v>41.4</v>
      </c>
      <c r="BL15" s="125">
        <f>Tabela1[[#This Row],[Pré MCV fL]]</f>
        <v>86.4</v>
      </c>
      <c r="BM15" s="125">
        <f>Tabela1[[#This Row],[Pós MCV fL]]</f>
        <v>87.2</v>
      </c>
      <c r="BN15" s="125">
        <f>Tabela1[[#This Row],[Pré MCH pg]]</f>
        <v>28.9</v>
      </c>
      <c r="BO15" s="125">
        <f>Tabela1[[#This Row],[Pós MCH pg]]</f>
        <v>29.3</v>
      </c>
      <c r="BP15" s="125">
        <f>Tabela1[[#This Row],[Pré MCHC g/dL]]</f>
        <v>33.4</v>
      </c>
      <c r="BQ15" s="125">
        <f>Tabela1[[#This Row],[Pós MCHC g/dL]]</f>
        <v>33.6</v>
      </c>
      <c r="BR15" s="85">
        <f>Tabela1[[#This Row],[Pré PLT 10³/mm³]]</f>
        <v>348</v>
      </c>
      <c r="BS15" s="85">
        <f>Tabela1[[#This Row],[Pós PLT 10³/mm³]]</f>
        <v>283</v>
      </c>
      <c r="BT15" s="125">
        <f>Tabela1[[#This Row],[Pré RDW %]]</f>
        <v>12.8</v>
      </c>
      <c r="BU15" s="125">
        <f>Tabela1[[#This Row],[Pós RDW %]]</f>
        <v>12.8</v>
      </c>
      <c r="BV15" s="179">
        <f>Tabela1[[#This Row],[Pré RET %]]</f>
        <v>0.97</v>
      </c>
      <c r="BW15" s="196">
        <f>Tabela1[[#This Row],[Pós RET %]]</f>
        <v>0.79</v>
      </c>
      <c r="BX15" s="197">
        <f>Tabela1[[#This Row],[Pré WBC 10³/mm³]]</f>
        <v>11.89</v>
      </c>
      <c r="BY15" s="179">
        <f>Tabela1[[#This Row],[Pós WBC 10³/mm³]]</f>
        <v>2.94</v>
      </c>
      <c r="BZ15" s="125">
        <f>Tabela1[[#This Row],[Pré NEUT %]]</f>
        <v>60.6</v>
      </c>
      <c r="CA15" s="125">
        <f>Tabela1[[#This Row],[Pós NEUT %]]</f>
        <v>35.1</v>
      </c>
      <c r="CB15" s="125">
        <f>Tabela1[[#This Row],[Pré LINF %]]</f>
        <v>26.3</v>
      </c>
      <c r="CC15" s="125">
        <f>Tabela1[[#This Row],[Pós LINF %]]</f>
        <v>36.700000000000003</v>
      </c>
      <c r="CD15" s="125">
        <f>Tabela1[[#This Row],[Pré MONO %]]</f>
        <v>6.8</v>
      </c>
      <c r="CE15" s="125">
        <f>Tabela1[[#This Row],[Pós MONO %]]</f>
        <v>18.7</v>
      </c>
      <c r="CF15" s="125">
        <f>Tabela1[[#This Row],[Pré EOS %]]</f>
        <v>5.4</v>
      </c>
      <c r="CG15" s="125">
        <f>Tabela1[[#This Row],[Pós EOS %]]</f>
        <v>7.5</v>
      </c>
      <c r="CH15" s="125">
        <f>Tabela1[[#This Row],[Pré BASO %]]</f>
        <v>0.9</v>
      </c>
      <c r="CI15" s="198">
        <f>Tabela1[[#This Row],[Pós BASO %]]</f>
        <v>2</v>
      </c>
      <c r="CJ15" s="199" t="str">
        <f t="shared" si="1"/>
        <v>NÃO</v>
      </c>
      <c r="CK15" s="200" t="str">
        <f t="shared" si="2"/>
        <v>SIM</v>
      </c>
      <c r="CL15" s="194">
        <f t="shared" si="3"/>
        <v>64.758570000000006</v>
      </c>
      <c r="CM15" s="125">
        <f>Tabela1[[#This Row],[MCT KG]]</f>
        <v>73.900000000000006</v>
      </c>
      <c r="CN15" s="85">
        <f>Tabela1[[#This Row],[ESTATURA]]</f>
        <v>172.6</v>
      </c>
      <c r="CO15" s="85">
        <f>Tabela1[[#This Row],[vo2max estimado]]</f>
        <v>52.06</v>
      </c>
      <c r="CP15" s="85">
        <f>Tabela1[[#This Row],[Handgrip     Dominante]]</f>
        <v>42</v>
      </c>
      <c r="CQ15" s="85">
        <f>Tabela1[[#This Row],[Handgrip Contrário]]</f>
        <v>36.5</v>
      </c>
      <c r="CR15" s="281">
        <f>Tabela1[[#This Row],[% gordura]]</f>
        <v>12.37</v>
      </c>
      <c r="CS15" s="185"/>
    </row>
    <row r="16" spans="1:97" ht="15.75">
      <c r="A16" s="279">
        <f>Tabela1[[#This Row],[Ano]]</f>
        <v>2017</v>
      </c>
      <c r="B16" s="181" t="str">
        <f>Tabela1[[#This Row],[Missão]]</f>
        <v>Marambaia</v>
      </c>
      <c r="C16" s="181">
        <f>Tabela1[[#This Row],[Aluno]]</f>
        <v>3091</v>
      </c>
      <c r="D16" s="181">
        <f>Tabela1[[#This Row],[Idade]]</f>
        <v>28</v>
      </c>
      <c r="E16" s="182">
        <f>Tabela1[[#This Row],[Peso Kg]]</f>
        <v>78</v>
      </c>
      <c r="F16" s="191">
        <f>Tabela1[[#This Row],[Cor da pele]]</f>
        <v>0</v>
      </c>
      <c r="G16" s="192" t="str">
        <f>Tabela1[[#This Row],[ACTN3]]</f>
        <v>XX</v>
      </c>
      <c r="H16" s="85" t="str">
        <f>Tabela1[[#This Row],[AGT]]</f>
        <v>MT</v>
      </c>
      <c r="I16" s="85" t="str">
        <f>Tabela1[[#This Row],[ECA]]</f>
        <v>II</v>
      </c>
      <c r="J16" s="85" t="str">
        <f>Tabela1[[#This Row],[BDKRB2]]</f>
        <v>(+9, +9)</v>
      </c>
      <c r="K16" s="85">
        <f>Tabela1[[#This Row],[Score Força%]]</f>
        <v>37.5</v>
      </c>
      <c r="L16" s="193">
        <f>Tabela1[[#This Row],[Score Resistência %]]</f>
        <v>62.5</v>
      </c>
      <c r="M16" s="192">
        <f>Tabela1[[#This Row],[Pré CK (U/L)]]</f>
        <v>255</v>
      </c>
      <c r="N16" s="85">
        <f>Tabela1[[#This Row],[Pós CK (U/L)]]</f>
        <v>13616</v>
      </c>
      <c r="O16" s="85">
        <f>Tabela1[[#This Row],[Pré CK MB U/L]]</f>
        <v>15</v>
      </c>
      <c r="P16" s="85">
        <f>Tabela1[[#This Row],[Pós CK MB U/L]]</f>
        <v>99</v>
      </c>
      <c r="Q16" s="85" t="str">
        <f>Tabela1[[#This Row],[Pré Lactato (mmol/L)]]</f>
        <v>-</v>
      </c>
      <c r="R16" s="85" t="str">
        <f>Tabela1[[#This Row],[Pós Lactato (mmol/L)]]</f>
        <v>-</v>
      </c>
      <c r="S16" s="85">
        <f>Tabela1[[#This Row],[Pré LDH (U/L)]]</f>
        <v>614</v>
      </c>
      <c r="T16" s="85">
        <f>Tabela1[[#This Row],[Pós LDH (U/L)]]</f>
        <v>2725</v>
      </c>
      <c r="U16" s="85">
        <f>Tabela1[[#This Row],[Pré AST (U/L)]]</f>
        <v>48</v>
      </c>
      <c r="V16" s="193">
        <f>Tabela1[[#This Row],[Pós AST (U/L)]]</f>
        <v>341</v>
      </c>
      <c r="W16" s="194">
        <f>Tabela1[[#This Row],[Pré Albumina (g/dL)]]</f>
        <v>3.9</v>
      </c>
      <c r="X16" s="125">
        <f>Tabela1[[#This Row],[Pós Albumina (g/dL)]]</f>
        <v>4.0999999999999996</v>
      </c>
      <c r="Y16" s="85">
        <f>Tabela1[[#This Row],[Pré TGP (g/dL)]]</f>
        <v>50</v>
      </c>
      <c r="Z16" s="85">
        <f>Tabela1[[#This Row],[Pós TGP (g/dL)]]</f>
        <v>121</v>
      </c>
      <c r="AA16" s="85">
        <f>Tabela1[[#This Row],[Pré GGT U/L]]</f>
        <v>11</v>
      </c>
      <c r="AB16" s="193">
        <f>Tabela1[[#This Row],[Pós GGT U/L]]</f>
        <v>17</v>
      </c>
      <c r="AC16" s="194" t="str">
        <f>Tabela1[[#This Row],[Pré Ac. Úrico (mg/dL)]]</f>
        <v>-</v>
      </c>
      <c r="AD16" s="125" t="str">
        <f>Tabela1[[#This Row],[Pós Ac. Úrico (mg/dL)2]]</f>
        <v>-</v>
      </c>
      <c r="AE1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6" s="85">
        <f>Tabela1[[#This Row],[Pré Ureia mg/dL]]</f>
        <v>58</v>
      </c>
      <c r="AH16" s="85">
        <f>Tabela1[[#This Row],[Pós Ureia mg/dL]]</f>
        <v>95</v>
      </c>
      <c r="AI16" s="125">
        <f>Tabela1[[#This Row],[Pré creatinina mg/dL]]</f>
        <v>0.9</v>
      </c>
      <c r="AJ16" s="125">
        <f>Tabela1[[#This Row],[Pós creatinina mg/dL]]</f>
        <v>1.1000000000000001</v>
      </c>
      <c r="AK16" s="180">
        <f t="shared" si="0"/>
        <v>0.20000000000000007</v>
      </c>
      <c r="AL16" s="125">
        <f>Tabela1[[#This Row],[Pré Fósforo mg/dL]]</f>
        <v>3.3</v>
      </c>
      <c r="AM16" s="125">
        <f>Tabela1[[#This Row],[Pós Fósforo mg/dL]]</f>
        <v>5.2</v>
      </c>
      <c r="AN16" s="125">
        <f>Tabela1[[#This Row],[Pré Proteína Total (g/dL)]]</f>
        <v>6.7</v>
      </c>
      <c r="AO16" s="125">
        <f>Tabela1[[#This Row],[Pós Proteína Total (g/dL)]]</f>
        <v>7</v>
      </c>
      <c r="AP16" s="85" t="str">
        <f>Tabela1[[#This Row],[Pré FE (ug/dL)]]</f>
        <v>-</v>
      </c>
      <c r="AQ16" s="193" t="str">
        <f>Tabela1[[#This Row],[Pós FE (ug/dL)]]</f>
        <v>-</v>
      </c>
      <c r="AR16" s="194">
        <f>Tabela1[[#This Row],[Pré calcio mg/dL]]</f>
        <v>9.5</v>
      </c>
      <c r="AS16" s="125">
        <f>Tabela1[[#This Row],[Pós calcio mg/dL]]</f>
        <v>9.1999999999999993</v>
      </c>
      <c r="AT16" s="125">
        <f>Tabela1[[#This Row],[Pré Potássio mmol/L]]</f>
        <v>4.4000000000000004</v>
      </c>
      <c r="AU16" s="125">
        <f>Tabela1[[#This Row],[Pós Potássio mmol/L]]</f>
        <v>4.5999999999999996</v>
      </c>
      <c r="AV16" s="85">
        <f>Tabela1[[#This Row],[Glicose pré]]</f>
        <v>91</v>
      </c>
      <c r="AW16" s="85">
        <f>Tabela1[[#This Row],[Glicose pós]]</f>
        <v>98</v>
      </c>
      <c r="AX16" s="85">
        <f>Tabela1[[#This Row],[Pré Sódio mmol/L]]</f>
        <v>136</v>
      </c>
      <c r="AY16" s="85">
        <f>Tabela1[[#This Row],[Pós Sódio mmol/L]]</f>
        <v>131</v>
      </c>
      <c r="AZ16" s="125" t="str">
        <f>Tabela1[[#This Row],[Pré Magnésio mg/dL]]</f>
        <v>-</v>
      </c>
      <c r="BA16" s="125" t="str">
        <f>Tabela1[[#This Row],[Pós Magnésio mg/dL]]</f>
        <v>-</v>
      </c>
      <c r="BB16" s="85" t="str">
        <f>Tabela1[[#This Row],[Pré Cloro mmol/L]]</f>
        <v>-</v>
      </c>
      <c r="BC16" s="85" t="str">
        <f>Tabela1[[#This Row],[Pós Cloro mmol/L]]</f>
        <v>-</v>
      </c>
      <c r="BD1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290.62455555555556</v>
      </c>
      <c r="BE1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288.31044444444444</v>
      </c>
      <c r="BF16" s="194">
        <f>Tabela1[[#This Row],[Pré RBC 10^6/mm³]]</f>
        <v>4.16</v>
      </c>
      <c r="BG16" s="125">
        <f>Tabela1[[#This Row],[Pós RBC 10^6/mm³]]</f>
        <v>3.81</v>
      </c>
      <c r="BH16" s="125">
        <f>Tabela1[[#This Row],[Pré HGB g/dL]]</f>
        <v>12.7</v>
      </c>
      <c r="BI16" s="125">
        <f>Tabela1[[#This Row],[Pós HGB g/dL]]</f>
        <v>11.6</v>
      </c>
      <c r="BJ16" s="125">
        <f>Tabela1[[#This Row],[Pré HCT %]]</f>
        <v>38.299999999999997</v>
      </c>
      <c r="BK16" s="125">
        <f>Tabela1[[#This Row],[Pós HCT %]]</f>
        <v>34.9</v>
      </c>
      <c r="BL16" s="125">
        <f>Tabela1[[#This Row],[Pré MCV fL]]</f>
        <v>92.1</v>
      </c>
      <c r="BM16" s="125">
        <f>Tabela1[[#This Row],[Pós MCV fL]]</f>
        <v>91.6</v>
      </c>
      <c r="BN16" s="125">
        <f>Tabela1[[#This Row],[Pré MCH pg]]</f>
        <v>30.5</v>
      </c>
      <c r="BO16" s="125">
        <f>Tabela1[[#This Row],[Pós MCH pg]]</f>
        <v>30.4</v>
      </c>
      <c r="BP16" s="125">
        <f>Tabela1[[#This Row],[Pré MCHC g/dL]]</f>
        <v>33.200000000000003</v>
      </c>
      <c r="BQ16" s="125">
        <f>Tabela1[[#This Row],[Pós MCHC g/dL]]</f>
        <v>33.200000000000003</v>
      </c>
      <c r="BR16" s="85">
        <f>Tabela1[[#This Row],[Pré PLT 10³/mm³]]</f>
        <v>337</v>
      </c>
      <c r="BS16" s="85">
        <f>Tabela1[[#This Row],[Pós PLT 10³/mm³]]</f>
        <v>284</v>
      </c>
      <c r="BT16" s="125">
        <f>Tabela1[[#This Row],[Pré RDW %]]</f>
        <v>12.8</v>
      </c>
      <c r="BU16" s="125">
        <f>Tabela1[[#This Row],[Pós RDW %]]</f>
        <v>12.7</v>
      </c>
      <c r="BV16" s="179">
        <f>Tabela1[[#This Row],[Pré RET %]]</f>
        <v>1.33</v>
      </c>
      <c r="BW16" s="196">
        <f>Tabela1[[#This Row],[Pós RET %]]</f>
        <v>1.1599999999999999</v>
      </c>
      <c r="BX16" s="197">
        <f>Tabela1[[#This Row],[Pré WBC 10³/mm³]]</f>
        <v>6.87</v>
      </c>
      <c r="BY16" s="179">
        <f>Tabela1[[#This Row],[Pós WBC 10³/mm³]]</f>
        <v>7.22</v>
      </c>
      <c r="BZ16" s="125">
        <f>Tabela1[[#This Row],[Pré NEUT %]]</f>
        <v>68.599999999999994</v>
      </c>
      <c r="CA16" s="125">
        <f>Tabela1[[#This Row],[Pós NEUT %]]</f>
        <v>61.6</v>
      </c>
      <c r="CB16" s="125">
        <f>Tabela1[[#This Row],[Pré LINF %]]</f>
        <v>18.3</v>
      </c>
      <c r="CC16" s="125">
        <f>Tabela1[[#This Row],[Pós LINF %]]</f>
        <v>16.3</v>
      </c>
      <c r="CD16" s="125">
        <f>Tabela1[[#This Row],[Pré MONO %]]</f>
        <v>8.1999999999999993</v>
      </c>
      <c r="CE16" s="125">
        <f>Tabela1[[#This Row],[Pós MONO %]]</f>
        <v>19.7</v>
      </c>
      <c r="CF16" s="125">
        <f>Tabela1[[#This Row],[Pré EOS %]]</f>
        <v>4.2</v>
      </c>
      <c r="CG16" s="125">
        <f>Tabela1[[#This Row],[Pós EOS %]]</f>
        <v>1.7</v>
      </c>
      <c r="CH16" s="125">
        <f>Tabela1[[#This Row],[Pré BASO %]]</f>
        <v>0.7</v>
      </c>
      <c r="CI16" s="198">
        <f>Tabela1[[#This Row],[Pós BASO %]]</f>
        <v>0.7</v>
      </c>
      <c r="CJ16" s="199" t="str">
        <f t="shared" si="1"/>
        <v>NÃO</v>
      </c>
      <c r="CK16" s="200" t="str">
        <f t="shared" si="2"/>
        <v>SIM</v>
      </c>
      <c r="CL16" s="194">
        <f t="shared" si="3"/>
        <v>64.734659999999991</v>
      </c>
      <c r="CM16" s="125">
        <f>Tabela1[[#This Row],[MCT KG]]</f>
        <v>76.599999999999994</v>
      </c>
      <c r="CN16" s="85">
        <f>Tabela1[[#This Row],[ESTATURA]]</f>
        <v>177</v>
      </c>
      <c r="CO16" s="85">
        <f>Tabela1[[#This Row],[vo2max estimado]]</f>
        <v>52.21</v>
      </c>
      <c r="CP16" s="85">
        <f>Tabela1[[#This Row],[Handgrip     Dominante]]</f>
        <v>52</v>
      </c>
      <c r="CQ16" s="85">
        <f>Tabela1[[#This Row],[Handgrip Contrário]]</f>
        <v>49</v>
      </c>
      <c r="CR16" s="281">
        <f>Tabela1[[#This Row],[% gordura]]</f>
        <v>15.49</v>
      </c>
      <c r="CS16" s="185"/>
    </row>
    <row r="17" spans="1:97" ht="15.75">
      <c r="A17" s="279">
        <f>Tabela1[[#This Row],[Ano]]</f>
        <v>2017</v>
      </c>
      <c r="B17" s="181" t="str">
        <f>Tabela1[[#This Row],[Missão]]</f>
        <v>Marambaia</v>
      </c>
      <c r="C17" s="181">
        <f>Tabela1[[#This Row],[Aluno]]</f>
        <v>3092</v>
      </c>
      <c r="D17" s="181">
        <f>Tabela1[[#This Row],[Idade]]</f>
        <v>28</v>
      </c>
      <c r="E17" s="182">
        <f>Tabela1[[#This Row],[Peso Kg]]</f>
        <v>91</v>
      </c>
      <c r="F17" s="191">
        <f>Tabela1[[#This Row],[Cor da pele]]</f>
        <v>1</v>
      </c>
      <c r="G17" s="192" t="str">
        <f>Tabela1[[#This Row],[ACTN3]]</f>
        <v>RR</v>
      </c>
      <c r="H17" s="85" t="str">
        <f>Tabela1[[#This Row],[AGT]]</f>
        <v>MT</v>
      </c>
      <c r="I17" s="85" t="str">
        <f>Tabela1[[#This Row],[ECA]]</f>
        <v>DD</v>
      </c>
      <c r="J17" s="85" t="str">
        <f>Tabela1[[#This Row],[BDKRB2]]</f>
        <v>(-9, -9)</v>
      </c>
      <c r="K17" s="85">
        <f>Tabela1[[#This Row],[Score Força%]]</f>
        <v>62.5</v>
      </c>
      <c r="L17" s="193">
        <f>Tabela1[[#This Row],[Score Resistência %]]</f>
        <v>37.5</v>
      </c>
      <c r="M17" s="192">
        <f>Tabela1[[#This Row],[Pré CK (U/L)]]</f>
        <v>440</v>
      </c>
      <c r="N17" s="85">
        <f>Tabela1[[#This Row],[Pós CK (U/L)]]</f>
        <v>16928</v>
      </c>
      <c r="O17" s="85">
        <f>Tabela1[[#This Row],[Pré CK MB U/L]]</f>
        <v>25</v>
      </c>
      <c r="P17" s="85">
        <f>Tabela1[[#This Row],[Pós CK MB U/L]]</f>
        <v>237</v>
      </c>
      <c r="Q17" s="85" t="str">
        <f>Tabela1[[#This Row],[Pré Lactato (mmol/L)]]</f>
        <v>-</v>
      </c>
      <c r="R17" s="85" t="str">
        <f>Tabela1[[#This Row],[Pós Lactato (mmol/L)]]</f>
        <v>-</v>
      </c>
      <c r="S17" s="85">
        <f>Tabela1[[#This Row],[Pré LDH (U/L)]]</f>
        <v>694</v>
      </c>
      <c r="T17" s="85">
        <f>Tabela1[[#This Row],[Pós LDH (U/L)]]</f>
        <v>2052</v>
      </c>
      <c r="U17" s="85">
        <f>Tabela1[[#This Row],[Pré AST (U/L)]]</f>
        <v>60</v>
      </c>
      <c r="V17" s="193">
        <f>Tabela1[[#This Row],[Pós AST (U/L)]]</f>
        <v>492</v>
      </c>
      <c r="W17" s="194">
        <f>Tabela1[[#This Row],[Pré Albumina (g/dL)]]</f>
        <v>4.3</v>
      </c>
      <c r="X17" s="125">
        <f>Tabela1[[#This Row],[Pós Albumina (g/dL)]]</f>
        <v>4.0999999999999996</v>
      </c>
      <c r="Y17" s="85">
        <f>Tabela1[[#This Row],[Pré TGP (g/dL)]]</f>
        <v>63</v>
      </c>
      <c r="Z17" s="85">
        <f>Tabela1[[#This Row],[Pós TGP (g/dL)]]</f>
        <v>118</v>
      </c>
      <c r="AA17" s="85">
        <f>Tabela1[[#This Row],[Pré GGT U/L]]</f>
        <v>32</v>
      </c>
      <c r="AB17" s="193">
        <f>Tabela1[[#This Row],[Pós GGT U/L]]</f>
        <v>31</v>
      </c>
      <c r="AC17" s="194" t="str">
        <f>Tabela1[[#This Row],[Pré Ac. Úrico (mg/dL)]]</f>
        <v>-</v>
      </c>
      <c r="AD17" s="125" t="str">
        <f>Tabela1[[#This Row],[Pós Ac. Úrico (mg/dL)2]]</f>
        <v>-</v>
      </c>
      <c r="AE1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17" s="85">
        <f>Tabela1[[#This Row],[Pré Ureia mg/dL]]</f>
        <v>32</v>
      </c>
      <c r="AH17" s="85">
        <f>Tabela1[[#This Row],[Pós Ureia mg/dL]]</f>
        <v>53</v>
      </c>
      <c r="AI17" s="125">
        <f>Tabela1[[#This Row],[Pré creatinina mg/dL]]</f>
        <v>0.9</v>
      </c>
      <c r="AJ17" s="125">
        <f>Tabela1[[#This Row],[Pós creatinina mg/dL]]</f>
        <v>0.8</v>
      </c>
      <c r="AK17" s="180">
        <f t="shared" si="0"/>
        <v>0</v>
      </c>
      <c r="AL17" s="125">
        <f>Tabela1[[#This Row],[Pré Fósforo mg/dL]]</f>
        <v>4.0999999999999996</v>
      </c>
      <c r="AM17" s="125">
        <f>Tabela1[[#This Row],[Pós Fósforo mg/dL]]</f>
        <v>4.5</v>
      </c>
      <c r="AN17" s="125">
        <f>Tabela1[[#This Row],[Pré Proteína Total (g/dL)]]</f>
        <v>7.4</v>
      </c>
      <c r="AO17" s="125">
        <f>Tabela1[[#This Row],[Pós Proteína Total (g/dL)]]</f>
        <v>7.2</v>
      </c>
      <c r="AP17" s="85" t="str">
        <f>Tabela1[[#This Row],[Pré FE (ug/dL)]]</f>
        <v>-</v>
      </c>
      <c r="AQ17" s="193" t="str">
        <f>Tabela1[[#This Row],[Pós FE (ug/dL)]]</f>
        <v>-</v>
      </c>
      <c r="AR17" s="194">
        <f>Tabela1[[#This Row],[Pré calcio mg/dL]]</f>
        <v>10</v>
      </c>
      <c r="AS17" s="125">
        <f>Tabela1[[#This Row],[Pós calcio mg/dL]]</f>
        <v>9.3000000000000007</v>
      </c>
      <c r="AT17" s="125">
        <f>Tabela1[[#This Row],[Pré Potássio mmol/L]]</f>
        <v>4.4000000000000004</v>
      </c>
      <c r="AU17" s="125">
        <f>Tabela1[[#This Row],[Pós Potássio mmol/L]]</f>
        <v>5</v>
      </c>
      <c r="AV17" s="85">
        <f>Tabela1[[#This Row],[Glicose pré]]</f>
        <v>96</v>
      </c>
      <c r="AW17" s="85">
        <f>Tabela1[[#This Row],[Glicose pós]]</f>
        <v>100</v>
      </c>
      <c r="AX17" s="85">
        <f>Tabela1[[#This Row],[Pré Sódio mmol/L]]</f>
        <v>134</v>
      </c>
      <c r="AY17" s="85">
        <f>Tabela1[[#This Row],[Pós Sódio mmol/L]]</f>
        <v>136</v>
      </c>
      <c r="AZ17" s="125" t="str">
        <f>Tabela1[[#This Row],[Pré Magnésio mg/dL]]</f>
        <v>-</v>
      </c>
      <c r="BA17" s="125" t="str">
        <f>Tabela1[[#This Row],[Pós Magnésio mg/dL]]</f>
        <v>-</v>
      </c>
      <c r="BB17" s="85" t="str">
        <f>Tabela1[[#This Row],[Pré Cloro mmol/L]]</f>
        <v>-</v>
      </c>
      <c r="BC17" s="85" t="str">
        <f>Tabela1[[#This Row],[Pós Cloro mmol/L]]</f>
        <v>-</v>
      </c>
      <c r="BD1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282.89066666666668</v>
      </c>
      <c r="BE1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291.48222222222222</v>
      </c>
      <c r="BF17" s="194">
        <f>Tabela1[[#This Row],[Pré RBC 10^6/mm³]]</f>
        <v>4.43</v>
      </c>
      <c r="BG17" s="125">
        <f>Tabela1[[#This Row],[Pós RBC 10^6/mm³]]</f>
        <v>3.96</v>
      </c>
      <c r="BH17" s="125">
        <f>Tabela1[[#This Row],[Pré HGB g/dL]]</f>
        <v>13.3</v>
      </c>
      <c r="BI17" s="125">
        <f>Tabela1[[#This Row],[Pós HGB g/dL]]</f>
        <v>11.8</v>
      </c>
      <c r="BJ17" s="125">
        <f>Tabela1[[#This Row],[Pré HCT %]]</f>
        <v>41.4</v>
      </c>
      <c r="BK17" s="125">
        <f>Tabela1[[#This Row],[Pós HCT %]]</f>
        <v>37.299999999999997</v>
      </c>
      <c r="BL17" s="125">
        <f>Tabela1[[#This Row],[Pré MCV fL]]</f>
        <v>93.5</v>
      </c>
      <c r="BM17" s="125">
        <f>Tabela1[[#This Row],[Pós MCV fL]]</f>
        <v>94.2</v>
      </c>
      <c r="BN17" s="125">
        <f>Tabela1[[#This Row],[Pré MCH pg]]</f>
        <v>30</v>
      </c>
      <c r="BO17" s="125">
        <f>Tabela1[[#This Row],[Pós MCH pg]]</f>
        <v>29.8</v>
      </c>
      <c r="BP17" s="125">
        <f>Tabela1[[#This Row],[Pré MCHC g/dL]]</f>
        <v>32.1</v>
      </c>
      <c r="BQ17" s="125">
        <f>Tabela1[[#This Row],[Pós MCHC g/dL]]</f>
        <v>31.6</v>
      </c>
      <c r="BR17" s="85">
        <f>Tabela1[[#This Row],[Pré PLT 10³/mm³]]</f>
        <v>322</v>
      </c>
      <c r="BS17" s="85">
        <f>Tabela1[[#This Row],[Pós PLT 10³/mm³]]</f>
        <v>329</v>
      </c>
      <c r="BT17" s="125">
        <f>Tabela1[[#This Row],[Pré RDW %]]</f>
        <v>14</v>
      </c>
      <c r="BU17" s="125">
        <f>Tabela1[[#This Row],[Pós RDW %]]</f>
        <v>13.4</v>
      </c>
      <c r="BV17" s="179">
        <f>Tabela1[[#This Row],[Pré RET %]]</f>
        <v>0.84</v>
      </c>
      <c r="BW17" s="196">
        <f>Tabela1[[#This Row],[Pós RET %]]</f>
        <v>1.2</v>
      </c>
      <c r="BX17" s="197">
        <f>Tabela1[[#This Row],[Pré WBC 10³/mm³]]</f>
        <v>9.7200000000000006</v>
      </c>
      <c r="BY17" s="179">
        <f>Tabela1[[#This Row],[Pós WBC 10³/mm³]]</f>
        <v>2.92</v>
      </c>
      <c r="BZ17" s="125">
        <f>Tabela1[[#This Row],[Pré NEUT %]]</f>
        <v>57.5</v>
      </c>
      <c r="CA17" s="125">
        <f>Tabela1[[#This Row],[Pós NEUT %]]</f>
        <v>32.6</v>
      </c>
      <c r="CB17" s="125">
        <f>Tabela1[[#This Row],[Pré LINF %]]</f>
        <v>26.3</v>
      </c>
      <c r="CC17" s="125">
        <f>Tabela1[[#This Row],[Pós LINF %]]</f>
        <v>49</v>
      </c>
      <c r="CD17" s="125">
        <f>Tabela1[[#This Row],[Pré MONO %]]</f>
        <v>10.8</v>
      </c>
      <c r="CE17" s="125">
        <f>Tabela1[[#This Row],[Pós MONO %]]</f>
        <v>17.100000000000001</v>
      </c>
      <c r="CF17" s="125">
        <f>Tabela1[[#This Row],[Pré EOS %]]</f>
        <v>4.2</v>
      </c>
      <c r="CG17" s="125">
        <f>Tabela1[[#This Row],[Pós EOS %]]</f>
        <v>0.3</v>
      </c>
      <c r="CH17" s="125">
        <f>Tabela1[[#This Row],[Pré BASO %]]</f>
        <v>1.2</v>
      </c>
      <c r="CI17" s="198">
        <f>Tabela1[[#This Row],[Pós BASO %]]</f>
        <v>1</v>
      </c>
      <c r="CJ17" s="199" t="str">
        <f t="shared" si="1"/>
        <v>NÃO</v>
      </c>
      <c r="CK17" s="200" t="str">
        <f t="shared" si="2"/>
        <v>SIM</v>
      </c>
      <c r="CL17" s="194">
        <f t="shared" si="3"/>
        <v>82.193119999999993</v>
      </c>
      <c r="CM17" s="125">
        <f>Tabela1[[#This Row],[MCT KG]]</f>
        <v>85.6</v>
      </c>
      <c r="CN17" s="85">
        <f>Tabela1[[#This Row],[ESTATURA]]</f>
        <v>192.5</v>
      </c>
      <c r="CO17" s="85">
        <f>Tabela1[[#This Row],[vo2max estimado]]</f>
        <v>0</v>
      </c>
      <c r="CP17" s="85">
        <f>Tabela1[[#This Row],[Handgrip     Dominante]]</f>
        <v>74</v>
      </c>
      <c r="CQ17" s="85">
        <f>Tabela1[[#This Row],[Handgrip Contrário]]</f>
        <v>70</v>
      </c>
      <c r="CR17" s="281">
        <f>Tabela1[[#This Row],[% gordura]]</f>
        <v>3.98</v>
      </c>
      <c r="CS17" s="185"/>
    </row>
    <row r="18" spans="1:97" ht="15.75">
      <c r="A18" s="279">
        <f>Tabela1[[#This Row],[Ano]]</f>
        <v>2017</v>
      </c>
      <c r="B18" s="181" t="str">
        <f>Tabela1[[#This Row],[Missão]]</f>
        <v>Marambaia</v>
      </c>
      <c r="C18" s="181">
        <f>Tabela1[[#This Row],[Aluno]]</f>
        <v>3093</v>
      </c>
      <c r="D18" s="181">
        <f>Tabela1[[#This Row],[Idade]]</f>
        <v>28</v>
      </c>
      <c r="E18" s="182">
        <f>Tabela1[[#This Row],[Peso Kg]]</f>
        <v>85</v>
      </c>
      <c r="F18" s="191">
        <f>Tabela1[[#This Row],[Cor da pele]]</f>
        <v>2</v>
      </c>
      <c r="G18" s="192" t="str">
        <f>Tabela1[[#This Row],[ACTN3]]</f>
        <v xml:space="preserve">RX </v>
      </c>
      <c r="H18" s="85" t="str">
        <f>Tabela1[[#This Row],[AGT]]</f>
        <v>TT</v>
      </c>
      <c r="I18" s="85" t="str">
        <f>Tabela1[[#This Row],[ECA]]</f>
        <v>ID</v>
      </c>
      <c r="J18" s="85" t="str">
        <f>Tabela1[[#This Row],[BDKRB2]]</f>
        <v>(+9, -9)</v>
      </c>
      <c r="K18" s="85">
        <f>Tabela1[[#This Row],[Score Força%]]</f>
        <v>62.5</v>
      </c>
      <c r="L18" s="193">
        <f>Tabela1[[#This Row],[Score Resistência %]]</f>
        <v>37.5</v>
      </c>
      <c r="M18" s="192">
        <f>Tabela1[[#This Row],[Pré CK (U/L)]]</f>
        <v>8495</v>
      </c>
      <c r="N18" s="85">
        <f>Tabela1[[#This Row],[Pós CK (U/L)]]</f>
        <v>24554</v>
      </c>
      <c r="O18" s="85">
        <f>Tabela1[[#This Row],[Pré CK MB U/L]]</f>
        <v>47</v>
      </c>
      <c r="P18" s="85">
        <f>Tabela1[[#This Row],[Pós CK MB U/L]]</f>
        <v>196</v>
      </c>
      <c r="Q18" s="85" t="str">
        <f>Tabela1[[#This Row],[Pré Lactato (mmol/L)]]</f>
        <v>-</v>
      </c>
      <c r="R18" s="85" t="str">
        <f>Tabela1[[#This Row],[Pós Lactato (mmol/L)]]</f>
        <v>-</v>
      </c>
      <c r="S18" s="85">
        <f>Tabela1[[#This Row],[Pré LDH (U/L)]]</f>
        <v>1142</v>
      </c>
      <c r="T18" s="85">
        <f>Tabela1[[#This Row],[Pós LDH (U/L)]]</f>
        <v>2996</v>
      </c>
      <c r="U18" s="85">
        <f>Tabela1[[#This Row],[Pré AST (U/L)]]</f>
        <v>135</v>
      </c>
      <c r="V18" s="193">
        <f>Tabela1[[#This Row],[Pós AST (U/L)]]</f>
        <v>413</v>
      </c>
      <c r="W18" s="194">
        <f>Tabela1[[#This Row],[Pré Albumina (g/dL)]]</f>
        <v>4.5</v>
      </c>
      <c r="X18" s="125">
        <f>Tabela1[[#This Row],[Pós Albumina (g/dL)]]</f>
        <v>4.3</v>
      </c>
      <c r="Y18" s="85">
        <f>Tabela1[[#This Row],[Pré TGP (g/dL)]]</f>
        <v>65</v>
      </c>
      <c r="Z18" s="85">
        <f>Tabela1[[#This Row],[Pós TGP (g/dL)]]</f>
        <v>97</v>
      </c>
      <c r="AA18" s="85">
        <f>Tabela1[[#This Row],[Pré GGT U/L]]</f>
        <v>21</v>
      </c>
      <c r="AB18" s="193">
        <f>Tabela1[[#This Row],[Pós GGT U/L]]</f>
        <v>20</v>
      </c>
      <c r="AC18" s="194" t="str">
        <f>Tabela1[[#This Row],[Pré Ac. Úrico (mg/dL)]]</f>
        <v>-</v>
      </c>
      <c r="AD18" s="125" t="str">
        <f>Tabela1[[#This Row],[Pós Ac. Úrico (mg/dL)2]]</f>
        <v>-</v>
      </c>
      <c r="AE1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8" s="85">
        <f>Tabela1[[#This Row],[Pré Ureia mg/dL]]</f>
        <v>35</v>
      </c>
      <c r="AH18" s="85">
        <f>Tabela1[[#This Row],[Pós Ureia mg/dL]]</f>
        <v>56</v>
      </c>
      <c r="AI18" s="125">
        <f>Tabela1[[#This Row],[Pré creatinina mg/dL]]</f>
        <v>1.1000000000000001</v>
      </c>
      <c r="AJ18" s="125">
        <f>Tabela1[[#This Row],[Pós creatinina mg/dL]]</f>
        <v>1</v>
      </c>
      <c r="AK18" s="180">
        <f t="shared" si="0"/>
        <v>0</v>
      </c>
      <c r="AL18" s="125">
        <f>Tabela1[[#This Row],[Pré Fósforo mg/dL]]</f>
        <v>3.5</v>
      </c>
      <c r="AM18" s="125">
        <f>Tabela1[[#This Row],[Pós Fósforo mg/dL]]</f>
        <v>4.7</v>
      </c>
      <c r="AN18" s="125">
        <f>Tabela1[[#This Row],[Pré Proteína Total (g/dL)]]</f>
        <v>7.5</v>
      </c>
      <c r="AO18" s="125">
        <f>Tabela1[[#This Row],[Pós Proteína Total (g/dL)]]</f>
        <v>7.1</v>
      </c>
      <c r="AP18" s="85" t="str">
        <f>Tabela1[[#This Row],[Pré FE (ug/dL)]]</f>
        <v>-</v>
      </c>
      <c r="AQ18" s="193" t="str">
        <f>Tabela1[[#This Row],[Pós FE (ug/dL)]]</f>
        <v>-</v>
      </c>
      <c r="AR18" s="194">
        <f>Tabela1[[#This Row],[Pré calcio mg/dL]]</f>
        <v>9.6999999999999993</v>
      </c>
      <c r="AS18" s="125">
        <f>Tabela1[[#This Row],[Pós calcio mg/dL]]</f>
        <v>9.4</v>
      </c>
      <c r="AT18" s="125">
        <f>Tabela1[[#This Row],[Pré Potássio mmol/L]]</f>
        <v>4.5</v>
      </c>
      <c r="AU18" s="125">
        <f>Tabela1[[#This Row],[Pós Potássio mmol/L]]</f>
        <v>4.8</v>
      </c>
      <c r="AV18" s="85">
        <f>Tabela1[[#This Row],[Glicose pré]]</f>
        <v>110</v>
      </c>
      <c r="AW18" s="85">
        <f>Tabela1[[#This Row],[Glicose pós]]</f>
        <v>93</v>
      </c>
      <c r="AX18" s="85">
        <f>Tabela1[[#This Row],[Pré Sódio mmol/L]]</f>
        <v>135</v>
      </c>
      <c r="AY18" s="85">
        <f>Tabela1[[#This Row],[Pós Sódio mmol/L]]</f>
        <v>123</v>
      </c>
      <c r="AZ18" s="125" t="str">
        <f>Tabela1[[#This Row],[Pré Magnésio mg/dL]]</f>
        <v>-</v>
      </c>
      <c r="BA18" s="125" t="str">
        <f>Tabela1[[#This Row],[Pós Magnésio mg/dL]]</f>
        <v>-</v>
      </c>
      <c r="BB18" s="85" t="str">
        <f>Tabela1[[#This Row],[Pré Cloro mmol/L]]</f>
        <v>-</v>
      </c>
      <c r="BC18" s="85" t="str">
        <f>Tabela1[[#This Row],[Pós Cloro mmol/L]]</f>
        <v>-</v>
      </c>
      <c r="BD1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286.33111111111111</v>
      </c>
      <c r="BE1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266.983</v>
      </c>
      <c r="BF18" s="194">
        <f>Tabela1[[#This Row],[Pré RBC 10^6/mm³]]</f>
        <v>4.45</v>
      </c>
      <c r="BG18" s="125">
        <f>Tabela1[[#This Row],[Pós RBC 10^6/mm³]]</f>
        <v>4.04</v>
      </c>
      <c r="BH18" s="125">
        <f>Tabela1[[#This Row],[Pré HGB g/dL]]</f>
        <v>14.4</v>
      </c>
      <c r="BI18" s="125">
        <f>Tabela1[[#This Row],[Pós HGB g/dL]]</f>
        <v>13.1</v>
      </c>
      <c r="BJ18" s="125">
        <f>Tabela1[[#This Row],[Pré HCT %]]</f>
        <v>45</v>
      </c>
      <c r="BK18" s="125">
        <f>Tabela1[[#This Row],[Pós HCT %]]</f>
        <v>40.9</v>
      </c>
      <c r="BL18" s="125">
        <f>Tabela1[[#This Row],[Pré MCV fL]]</f>
        <v>101.1</v>
      </c>
      <c r="BM18" s="125">
        <f>Tabela1[[#This Row],[Pós MCV fL]]</f>
        <v>101.2</v>
      </c>
      <c r="BN18" s="125">
        <f>Tabela1[[#This Row],[Pré MCH pg]]</f>
        <v>32.4</v>
      </c>
      <c r="BO18" s="125">
        <f>Tabela1[[#This Row],[Pós MCH pg]]</f>
        <v>32.4</v>
      </c>
      <c r="BP18" s="125">
        <f>Tabela1[[#This Row],[Pré MCHC g/dL]]</f>
        <v>32</v>
      </c>
      <c r="BQ18" s="125">
        <f>Tabela1[[#This Row],[Pós MCHC g/dL]]</f>
        <v>32</v>
      </c>
      <c r="BR18" s="85">
        <f>Tabela1[[#This Row],[Pré PLT 10³/mm³]]</f>
        <v>427</v>
      </c>
      <c r="BS18" s="85">
        <f>Tabela1[[#This Row],[Pós PLT 10³/mm³]]</f>
        <v>365</v>
      </c>
      <c r="BT18" s="125">
        <f>Tabela1[[#This Row],[Pré RDW %]]</f>
        <v>12.5</v>
      </c>
      <c r="BU18" s="125">
        <f>Tabela1[[#This Row],[Pós RDW %]]</f>
        <v>12.6</v>
      </c>
      <c r="BV18" s="179">
        <f>Tabela1[[#This Row],[Pré RET %]]</f>
        <v>1.81</v>
      </c>
      <c r="BW18" s="196">
        <f>Tabela1[[#This Row],[Pós RET %]]</f>
        <v>1.52</v>
      </c>
      <c r="BX18" s="197">
        <f>Tabela1[[#This Row],[Pré WBC 10³/mm³]]</f>
        <v>5.67</v>
      </c>
      <c r="BY18" s="179">
        <f>Tabela1[[#This Row],[Pós WBC 10³/mm³]]</f>
        <v>8.9700000000000006</v>
      </c>
      <c r="BZ18" s="125">
        <f>Tabela1[[#This Row],[Pré NEUT %]]</f>
        <v>55</v>
      </c>
      <c r="CA18" s="125">
        <f>Tabela1[[#This Row],[Pós NEUT %]]</f>
        <v>71.7</v>
      </c>
      <c r="CB18" s="125">
        <f>Tabela1[[#This Row],[Pré LINF %]]</f>
        <v>30</v>
      </c>
      <c r="CC18" s="125">
        <f>Tabela1[[#This Row],[Pós LINF %]]</f>
        <v>10.3</v>
      </c>
      <c r="CD18" s="125">
        <f>Tabela1[[#This Row],[Pré MONO %]]</f>
        <v>11.8</v>
      </c>
      <c r="CE18" s="125">
        <f>Tabela1[[#This Row],[Pós MONO %]]</f>
        <v>17.8</v>
      </c>
      <c r="CF18" s="125">
        <f>Tabela1[[#This Row],[Pré EOS %]]</f>
        <v>1.4</v>
      </c>
      <c r="CG18" s="125">
        <f>Tabela1[[#This Row],[Pós EOS %]]</f>
        <v>0</v>
      </c>
      <c r="CH18" s="125">
        <f>Tabela1[[#This Row],[Pré BASO %]]</f>
        <v>1.8</v>
      </c>
      <c r="CI18" s="198">
        <f>Tabela1[[#This Row],[Pós BASO %]]</f>
        <v>0.2</v>
      </c>
      <c r="CJ18" s="199" t="str">
        <f t="shared" si="1"/>
        <v>NÃO</v>
      </c>
      <c r="CK18" s="200" t="str">
        <f t="shared" si="2"/>
        <v>SIM</v>
      </c>
      <c r="CL18" s="194">
        <f t="shared" si="3"/>
        <v>78.848640000000003</v>
      </c>
      <c r="CM18" s="125">
        <f>Tabela1[[#This Row],[MCT KG]]</f>
        <v>86.4</v>
      </c>
      <c r="CN18" s="85">
        <f>Tabela1[[#This Row],[ESTATURA]]</f>
        <v>184</v>
      </c>
      <c r="CO18" s="85">
        <f>Tabela1[[#This Row],[vo2max estimado]]</f>
        <v>50.17</v>
      </c>
      <c r="CP18" s="85">
        <f>Tabela1[[#This Row],[Handgrip     Dominante]]</f>
        <v>48</v>
      </c>
      <c r="CQ18" s="85">
        <f>Tabela1[[#This Row],[Handgrip Contrário]]</f>
        <v>42.5</v>
      </c>
      <c r="CR18" s="281">
        <f>Tabela1[[#This Row],[% gordura]]</f>
        <v>8.74</v>
      </c>
      <c r="CS18" s="185"/>
    </row>
    <row r="19" spans="1:97" ht="15.75" customHeight="1">
      <c r="A19" s="279">
        <f>Tabela1[[#This Row],[Ano]]</f>
        <v>2017</v>
      </c>
      <c r="B19" s="181" t="str">
        <f>Tabela1[[#This Row],[Missão]]</f>
        <v>Marambaia</v>
      </c>
      <c r="C19" s="181">
        <f>Tabela1[[#This Row],[Aluno]]</f>
        <v>3094</v>
      </c>
      <c r="D19" s="181">
        <f>Tabela1[[#This Row],[Idade]]</f>
        <v>34</v>
      </c>
      <c r="E19" s="182">
        <f>Tabela1[[#This Row],[Peso Kg]]</f>
        <v>81</v>
      </c>
      <c r="F19" s="191">
        <f>Tabela1[[#This Row],[Cor da pele]]</f>
        <v>2</v>
      </c>
      <c r="G19" s="192" t="str">
        <f>Tabela1[[#This Row],[ACTN3]]</f>
        <v>XX</v>
      </c>
      <c r="H19" s="85" t="str">
        <f>Tabela1[[#This Row],[AGT]]</f>
        <v>MT</v>
      </c>
      <c r="I19" s="85" t="str">
        <f>Tabela1[[#This Row],[ECA]]</f>
        <v>ID</v>
      </c>
      <c r="J19" s="85" t="str">
        <f>Tabela1[[#This Row],[BDKRB2]]</f>
        <v>(+9, -9)</v>
      </c>
      <c r="K19" s="85">
        <f>Tabela1[[#This Row],[Score Força%]]</f>
        <v>37.5</v>
      </c>
      <c r="L19" s="193">
        <f>Tabela1[[#This Row],[Score Resistência %]]</f>
        <v>62.5</v>
      </c>
      <c r="M19" s="192">
        <f>Tabela1[[#This Row],[Pré CK (U/L)]]</f>
        <v>519</v>
      </c>
      <c r="N19" s="85">
        <f>Tabela1[[#This Row],[Pós CK (U/L)]]</f>
        <v>15423</v>
      </c>
      <c r="O19" s="85">
        <f>Tabela1[[#This Row],[Pré CK MB U/L]]</f>
        <v>26</v>
      </c>
      <c r="P19" s="85">
        <f>Tabela1[[#This Row],[Pós CK MB U/L]]</f>
        <v>144</v>
      </c>
      <c r="Q19" s="85" t="str">
        <f>Tabela1[[#This Row],[Pré Lactato (mmol/L)]]</f>
        <v>-</v>
      </c>
      <c r="R19" s="85" t="str">
        <f>Tabela1[[#This Row],[Pós Lactato (mmol/L)]]</f>
        <v>-</v>
      </c>
      <c r="S19" s="85">
        <f>Tabela1[[#This Row],[Pré LDH (U/L)]]</f>
        <v>842</v>
      </c>
      <c r="T19" s="85">
        <f>Tabela1[[#This Row],[Pós LDH (U/L)]]</f>
        <v>2386</v>
      </c>
      <c r="U19" s="85">
        <f>Tabela1[[#This Row],[Pré AST (U/L)]]</f>
        <v>107</v>
      </c>
      <c r="V19" s="193">
        <f>Tabela1[[#This Row],[Pós AST (U/L)]]</f>
        <v>455</v>
      </c>
      <c r="W19" s="194">
        <f>Tabela1[[#This Row],[Pré Albumina (g/dL)]]</f>
        <v>4.2</v>
      </c>
      <c r="X19" s="125">
        <f>Tabela1[[#This Row],[Pós Albumina (g/dL)]]</f>
        <v>3.4</v>
      </c>
      <c r="Y19" s="85">
        <f>Tabela1[[#This Row],[Pré TGP (g/dL)]]</f>
        <v>134</v>
      </c>
      <c r="Z19" s="85">
        <f>Tabela1[[#This Row],[Pós TGP (g/dL)]]</f>
        <v>191</v>
      </c>
      <c r="AA19" s="85">
        <f>Tabela1[[#This Row],[Pré GGT U/L]]</f>
        <v>27</v>
      </c>
      <c r="AB19" s="193">
        <f>Tabela1[[#This Row],[Pós GGT U/L]]</f>
        <v>24</v>
      </c>
      <c r="AC19" s="194" t="str">
        <f>Tabela1[[#This Row],[Pré Ac. Úrico (mg/dL)]]</f>
        <v>-</v>
      </c>
      <c r="AD19" s="125" t="str">
        <f>Tabela1[[#This Row],[Pós Ac. Úrico (mg/dL)2]]</f>
        <v>-</v>
      </c>
      <c r="AE1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9" s="85">
        <f>Tabela1[[#This Row],[Pré Ureia mg/dL]]</f>
        <v>31</v>
      </c>
      <c r="AH19" s="85">
        <f>Tabela1[[#This Row],[Pós Ureia mg/dL]]</f>
        <v>74</v>
      </c>
      <c r="AI19" s="125">
        <f>Tabela1[[#This Row],[Pré creatinina mg/dL]]</f>
        <v>0.9</v>
      </c>
      <c r="AJ19" s="125">
        <f>Tabela1[[#This Row],[Pós creatinina mg/dL]]</f>
        <v>1.1000000000000001</v>
      </c>
      <c r="AK19" s="180">
        <f t="shared" si="0"/>
        <v>0.20000000000000007</v>
      </c>
      <c r="AL19" s="125">
        <f>Tabela1[[#This Row],[Pré Fósforo mg/dL]]</f>
        <v>3.3</v>
      </c>
      <c r="AM19" s="125">
        <f>Tabela1[[#This Row],[Pós Fósforo mg/dL]]</f>
        <v>3.8</v>
      </c>
      <c r="AN19" s="125">
        <f>Tabela1[[#This Row],[Pré Proteína Total (g/dL)]]</f>
        <v>7.5</v>
      </c>
      <c r="AO19" s="125">
        <f>Tabela1[[#This Row],[Pós Proteína Total (g/dL)]]</f>
        <v>6.3</v>
      </c>
      <c r="AP19" s="85" t="str">
        <f>Tabela1[[#This Row],[Pré FE (ug/dL)]]</f>
        <v>-</v>
      </c>
      <c r="AQ19" s="193" t="str">
        <f>Tabela1[[#This Row],[Pós FE (ug/dL)]]</f>
        <v>-</v>
      </c>
      <c r="AR19" s="194">
        <f>Tabela1[[#This Row],[Pré calcio mg/dL]]</f>
        <v>9.4</v>
      </c>
      <c r="AS19" s="125">
        <f>Tabela1[[#This Row],[Pós calcio mg/dL]]</f>
        <v>8.3000000000000007</v>
      </c>
      <c r="AT19" s="125">
        <f>Tabela1[[#This Row],[Pré Potássio mmol/L]]</f>
        <v>4.2</v>
      </c>
      <c r="AU19" s="125">
        <f>Tabela1[[#This Row],[Pós Potássio mmol/L]]</f>
        <v>7.8</v>
      </c>
      <c r="AV19" s="85">
        <f>Tabela1[[#This Row],[Glicose pré]]</f>
        <v>110</v>
      </c>
      <c r="AW19" s="85">
        <f>Tabela1[[#This Row],[Glicose pós]]</f>
        <v>101</v>
      </c>
      <c r="AX19" s="85">
        <f>Tabela1[[#This Row],[Pré Sódio mmol/L]]</f>
        <v>132</v>
      </c>
      <c r="AY19" s="85">
        <f>Tabela1[[#This Row],[Pós Sódio mmol/L]]</f>
        <v>116</v>
      </c>
      <c r="AZ19" s="125" t="str">
        <f>Tabela1[[#This Row],[Pré Magnésio mg/dL]]</f>
        <v>-</v>
      </c>
      <c r="BA19" s="125" t="str">
        <f>Tabela1[[#This Row],[Pós Magnésio mg/dL]]</f>
        <v>-</v>
      </c>
      <c r="BB19" s="85" t="str">
        <f>Tabela1[[#This Row],[Pré Cloro mmol/L]]</f>
        <v>-</v>
      </c>
      <c r="BC19" s="85" t="str">
        <f>Tabela1[[#This Row],[Pós Cloro mmol/L]]</f>
        <v>-</v>
      </c>
      <c r="BD1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279.52644444444445</v>
      </c>
      <c r="BE1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263.05411111111113</v>
      </c>
      <c r="BF19" s="194">
        <f>Tabela1[[#This Row],[Pré RBC 10^6/mm³]]</f>
        <v>5.05</v>
      </c>
      <c r="BG19" s="125">
        <f>Tabela1[[#This Row],[Pós RBC 10^6/mm³]]</f>
        <v>4.1100000000000003</v>
      </c>
      <c r="BH19" s="125">
        <f>Tabela1[[#This Row],[Pré HGB g/dL]]</f>
        <v>15.2</v>
      </c>
      <c r="BI19" s="125">
        <f>Tabela1[[#This Row],[Pós HGB g/dL]]</f>
        <v>12.5</v>
      </c>
      <c r="BJ19" s="125">
        <f>Tabela1[[#This Row],[Pré HCT %]]</f>
        <v>46.1</v>
      </c>
      <c r="BK19" s="125">
        <f>Tabela1[[#This Row],[Pós HCT %]]</f>
        <v>37.4</v>
      </c>
      <c r="BL19" s="125">
        <f>Tabela1[[#This Row],[Pré MCV fL]]</f>
        <v>91.3</v>
      </c>
      <c r="BM19" s="125">
        <f>Tabela1[[#This Row],[Pós MCV fL]]</f>
        <v>91</v>
      </c>
      <c r="BN19" s="125">
        <f>Tabela1[[#This Row],[Pré MCH pg]]</f>
        <v>30.1</v>
      </c>
      <c r="BO19" s="125">
        <f>Tabela1[[#This Row],[Pós MCH pg]]</f>
        <v>30.4</v>
      </c>
      <c r="BP19" s="125">
        <f>Tabela1[[#This Row],[Pré MCHC g/dL]]</f>
        <v>33</v>
      </c>
      <c r="BQ19" s="125">
        <f>Tabela1[[#This Row],[Pós MCHC g/dL]]</f>
        <v>33.4</v>
      </c>
      <c r="BR19" s="85">
        <f>Tabela1[[#This Row],[Pré PLT 10³/mm³]]</f>
        <v>352</v>
      </c>
      <c r="BS19" s="85">
        <f>Tabela1[[#This Row],[Pós PLT 10³/mm³]]</f>
        <v>332</v>
      </c>
      <c r="BT19" s="125">
        <f>Tabela1[[#This Row],[Pré RDW %]]</f>
        <v>13.7</v>
      </c>
      <c r="BU19" s="125">
        <f>Tabela1[[#This Row],[Pós RDW %]]</f>
        <v>13.7</v>
      </c>
      <c r="BV19" s="179">
        <f>Tabela1[[#This Row],[Pré RET %]]</f>
        <v>0.93</v>
      </c>
      <c r="BW19" s="196">
        <f>Tabela1[[#This Row],[Pós RET %]]</f>
        <v>0.89</v>
      </c>
      <c r="BX19" s="197">
        <f>Tabela1[[#This Row],[Pré WBC 10³/mm³]]</f>
        <v>11.37</v>
      </c>
      <c r="BY19" s="179">
        <f>Tabela1[[#This Row],[Pós WBC 10³/mm³]]</f>
        <v>11.16</v>
      </c>
      <c r="BZ19" s="125">
        <f>Tabela1[[#This Row],[Pré NEUT %]]</f>
        <v>78.8</v>
      </c>
      <c r="CA19" s="125">
        <f>Tabela1[[#This Row],[Pós NEUT %]]</f>
        <v>82</v>
      </c>
      <c r="CB19" s="125">
        <f>Tabela1[[#This Row],[Pré LINF %]]</f>
        <v>13.3</v>
      </c>
      <c r="CC19" s="125">
        <f>Tabela1[[#This Row],[Pós LINF %]]</f>
        <v>6.4</v>
      </c>
      <c r="CD19" s="125">
        <f>Tabela1[[#This Row],[Pré MONO %]]</f>
        <v>6.3</v>
      </c>
      <c r="CE19" s="125">
        <f>Tabela1[[#This Row],[Pós MONO %]]</f>
        <v>11.3</v>
      </c>
      <c r="CF19" s="125">
        <f>Tabela1[[#This Row],[Pré EOS %]]</f>
        <v>1.1000000000000001</v>
      </c>
      <c r="CG19" s="125">
        <f>Tabela1[[#This Row],[Pós EOS %]]</f>
        <v>0</v>
      </c>
      <c r="CH19" s="125">
        <f>Tabela1[[#This Row],[Pré BASO %]]</f>
        <v>0.5</v>
      </c>
      <c r="CI19" s="198">
        <f>Tabela1[[#This Row],[Pós BASO %]]</f>
        <v>0.3</v>
      </c>
      <c r="CJ19" s="199" t="str">
        <f t="shared" si="1"/>
        <v>NÃO</v>
      </c>
      <c r="CK19" s="200" t="str">
        <f t="shared" si="2"/>
        <v>SIM</v>
      </c>
      <c r="CL19" s="194">
        <f t="shared" si="3"/>
        <v>73.472700000000003</v>
      </c>
      <c r="CM19" s="125">
        <f>Tabela1[[#This Row],[MCT KG]]</f>
        <v>88.5</v>
      </c>
      <c r="CN19" s="85">
        <f>Tabela1[[#This Row],[ESTATURA]]</f>
        <v>187</v>
      </c>
      <c r="CO19" s="85">
        <f>Tabela1[[#This Row],[vo2max estimado]]</f>
        <v>49.59</v>
      </c>
      <c r="CP19" s="85">
        <f>Tabela1[[#This Row],[Handgrip     Dominante]]</f>
        <v>59.5</v>
      </c>
      <c r="CQ19" s="85">
        <f>Tabela1[[#This Row],[Handgrip Contrário]]</f>
        <v>0</v>
      </c>
      <c r="CR19" s="281">
        <f>Tabela1[[#This Row],[% gordura]]</f>
        <v>16.98</v>
      </c>
      <c r="CS19" s="185"/>
    </row>
    <row r="20" spans="1:97" ht="15.75" customHeight="1">
      <c r="A20" s="279">
        <f>Tabela1[[#This Row],[Ano]]</f>
        <v>2017</v>
      </c>
      <c r="B20" s="181" t="str">
        <f>Tabela1[[#This Row],[Missão]]</f>
        <v>Marambaia</v>
      </c>
      <c r="C20" s="181">
        <f>Tabela1[[#This Row],[Aluno]]</f>
        <v>3095</v>
      </c>
      <c r="D20" s="181">
        <f>Tabela1[[#This Row],[Idade]]</f>
        <v>34</v>
      </c>
      <c r="E20" s="182">
        <f>Tabela1[[#This Row],[Peso Kg]]</f>
        <v>82</v>
      </c>
      <c r="F20" s="191">
        <f>Tabela1[[#This Row],[Cor da pele]]</f>
        <v>2</v>
      </c>
      <c r="G20" s="192" t="str">
        <f>Tabela1[[#This Row],[ACTN3]]</f>
        <v xml:space="preserve">RX </v>
      </c>
      <c r="H20" s="85" t="str">
        <f>Tabela1[[#This Row],[AGT]]</f>
        <v>MT</v>
      </c>
      <c r="I20" s="85" t="str">
        <f>Tabela1[[#This Row],[ECA]]</f>
        <v>II</v>
      </c>
      <c r="J20" s="85" t="str">
        <f>Tabela1[[#This Row],[BDKRB2]]</f>
        <v>(+9, -9)</v>
      </c>
      <c r="K20" s="85">
        <f>Tabela1[[#This Row],[Score Força%]]</f>
        <v>37.5</v>
      </c>
      <c r="L20" s="193">
        <f>Tabela1[[#This Row],[Score Resistência %]]</f>
        <v>62.5</v>
      </c>
      <c r="M20" s="192">
        <f>Tabela1[[#This Row],[Pré CK (U/L)]]</f>
        <v>989</v>
      </c>
      <c r="N20" s="85">
        <f>Tabela1[[#This Row],[Pós CK (U/L)]]</f>
        <v>7326</v>
      </c>
      <c r="O20" s="85">
        <f>Tabela1[[#This Row],[Pré CK MB U/L]]</f>
        <v>31</v>
      </c>
      <c r="P20" s="85">
        <f>Tabela1[[#This Row],[Pós CK MB U/L]]</f>
        <v>125</v>
      </c>
      <c r="Q20" s="85" t="str">
        <f>Tabela1[[#This Row],[Pré Lactato (mmol/L)]]</f>
        <v>-</v>
      </c>
      <c r="R20" s="85" t="str">
        <f>Tabela1[[#This Row],[Pós Lactato (mmol/L)]]</f>
        <v>-</v>
      </c>
      <c r="S20" s="85">
        <f>Tabela1[[#This Row],[Pré LDH (U/L)]]</f>
        <v>649</v>
      </c>
      <c r="T20" s="85">
        <f>Tabela1[[#This Row],[Pós LDH (U/L)]]</f>
        <v>1243</v>
      </c>
      <c r="U20" s="85">
        <f>Tabela1[[#This Row],[Pré AST (U/L)]]</f>
        <v>79</v>
      </c>
      <c r="V20" s="193">
        <f>Tabela1[[#This Row],[Pós AST (U/L)]]</f>
        <v>273</v>
      </c>
      <c r="W20" s="194">
        <f>Tabela1[[#This Row],[Pré Albumina (g/dL)]]</f>
        <v>4</v>
      </c>
      <c r="X20" s="125">
        <f>Tabela1[[#This Row],[Pós Albumina (g/dL)]]</f>
        <v>4.2</v>
      </c>
      <c r="Y20" s="85">
        <f>Tabela1[[#This Row],[Pré TGP (g/dL)]]</f>
        <v>68</v>
      </c>
      <c r="Z20" s="85">
        <f>Tabela1[[#This Row],[Pós TGP (g/dL)]]</f>
        <v>100</v>
      </c>
      <c r="AA20" s="85">
        <f>Tabela1[[#This Row],[Pré GGT U/L]]</f>
        <v>27</v>
      </c>
      <c r="AB20" s="193">
        <f>Tabela1[[#This Row],[Pós GGT U/L]]</f>
        <v>28</v>
      </c>
      <c r="AC20" s="194" t="str">
        <f>Tabela1[[#This Row],[Pré Ac. Úrico (mg/dL)]]</f>
        <v>-</v>
      </c>
      <c r="AD20" s="125" t="str">
        <f>Tabela1[[#This Row],[Pós Ac. Úrico (mg/dL)2]]</f>
        <v>-</v>
      </c>
      <c r="AE2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0" s="85">
        <f>Tabela1[[#This Row],[Pré Ureia mg/dL]]</f>
        <v>42</v>
      </c>
      <c r="AH20" s="85">
        <f>Tabela1[[#This Row],[Pós Ureia mg/dL]]</f>
        <v>59</v>
      </c>
      <c r="AI20" s="125">
        <f>Tabela1[[#This Row],[Pré creatinina mg/dL]]</f>
        <v>1</v>
      </c>
      <c r="AJ20" s="125">
        <f>Tabela1[[#This Row],[Pós creatinina mg/dL]]</f>
        <v>0.9</v>
      </c>
      <c r="AK20" s="180">
        <f t="shared" si="0"/>
        <v>0</v>
      </c>
      <c r="AL20" s="125">
        <f>Tabela1[[#This Row],[Pré Fósforo mg/dL]]</f>
        <v>3.2</v>
      </c>
      <c r="AM20" s="125">
        <f>Tabela1[[#This Row],[Pós Fósforo mg/dL]]</f>
        <v>3.8</v>
      </c>
      <c r="AN20" s="125">
        <f>Tabela1[[#This Row],[Pré Proteína Total (g/dL)]]</f>
        <v>7.3</v>
      </c>
      <c r="AO20" s="125">
        <f>Tabela1[[#This Row],[Pós Proteína Total (g/dL)]]</f>
        <v>7.6</v>
      </c>
      <c r="AP20" s="85" t="str">
        <f>Tabela1[[#This Row],[Pré FE (ug/dL)]]</f>
        <v>-</v>
      </c>
      <c r="AQ20" s="193" t="str">
        <f>Tabela1[[#This Row],[Pós FE (ug/dL)]]</f>
        <v>-</v>
      </c>
      <c r="AR20" s="194">
        <f>Tabela1[[#This Row],[Pré calcio mg/dL]]</f>
        <v>9.4</v>
      </c>
      <c r="AS20" s="125">
        <f>Tabela1[[#This Row],[Pós calcio mg/dL]]</f>
        <v>9.4</v>
      </c>
      <c r="AT20" s="125">
        <f>Tabela1[[#This Row],[Pré Potássio mmol/L]]</f>
        <v>4.3</v>
      </c>
      <c r="AU20" s="125">
        <f>Tabela1[[#This Row],[Pós Potássio mmol/L]]</f>
        <v>6.2</v>
      </c>
      <c r="AV20" s="85">
        <f>Tabela1[[#This Row],[Glicose pré]]</f>
        <v>96</v>
      </c>
      <c r="AW20" s="85">
        <f>Tabela1[[#This Row],[Glicose pós]]</f>
        <v>65</v>
      </c>
      <c r="AX20" s="85">
        <f>Tabela1[[#This Row],[Pré Sódio mmol/L]]</f>
        <v>134</v>
      </c>
      <c r="AY20" s="85">
        <f>Tabela1[[#This Row],[Pós Sódio mmol/L]]</f>
        <v>133</v>
      </c>
      <c r="AZ20" s="125" t="str">
        <f>Tabela1[[#This Row],[Pré Magnésio mg/dL]]</f>
        <v>-</v>
      </c>
      <c r="BA20" s="125" t="str">
        <f>Tabela1[[#This Row],[Pós Magnésio mg/dL]]</f>
        <v>-</v>
      </c>
      <c r="BB20" s="85" t="str">
        <f>Tabela1[[#This Row],[Pré Cloro mmol/L]]</f>
        <v>-</v>
      </c>
      <c r="BC20" s="85" t="str">
        <f>Tabela1[[#This Row],[Pós Cloro mmol/L]]</f>
        <v>-</v>
      </c>
      <c r="BD2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284.37133333333338</v>
      </c>
      <c r="BE2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286.89811111111106</v>
      </c>
      <c r="BF20" s="194">
        <f>Tabela1[[#This Row],[Pré RBC 10^6/mm³]]</f>
        <v>5.07</v>
      </c>
      <c r="BG20" s="125">
        <f>Tabela1[[#This Row],[Pós RBC 10^6/mm³]]</f>
        <v>4.78</v>
      </c>
      <c r="BH20" s="125">
        <f>Tabela1[[#This Row],[Pré HGB g/dL]]</f>
        <v>13.8</v>
      </c>
      <c r="BI20" s="125">
        <f>Tabela1[[#This Row],[Pós HGB g/dL]]</f>
        <v>13.1</v>
      </c>
      <c r="BJ20" s="125">
        <f>Tabela1[[#This Row],[Pré HCT %]]</f>
        <v>43.1</v>
      </c>
      <c r="BK20" s="125">
        <f>Tabela1[[#This Row],[Pós HCT %]]</f>
        <v>41.5</v>
      </c>
      <c r="BL20" s="125">
        <f>Tabela1[[#This Row],[Pré MCV fL]]</f>
        <v>85</v>
      </c>
      <c r="BM20" s="125">
        <f>Tabela1[[#This Row],[Pós MCV fL]]</f>
        <v>86.8</v>
      </c>
      <c r="BN20" s="125">
        <f>Tabela1[[#This Row],[Pré MCH pg]]</f>
        <v>27.2</v>
      </c>
      <c r="BO20" s="125">
        <f>Tabela1[[#This Row],[Pós MCH pg]]</f>
        <v>27.4</v>
      </c>
      <c r="BP20" s="125">
        <f>Tabela1[[#This Row],[Pré MCHC g/dL]]</f>
        <v>32</v>
      </c>
      <c r="BQ20" s="125">
        <f>Tabela1[[#This Row],[Pós MCHC g/dL]]</f>
        <v>31.6</v>
      </c>
      <c r="BR20" s="85">
        <f>Tabela1[[#This Row],[Pré PLT 10³/mm³]]</f>
        <v>239</v>
      </c>
      <c r="BS20" s="85">
        <f>Tabela1[[#This Row],[Pós PLT 10³/mm³]]</f>
        <v>220</v>
      </c>
      <c r="BT20" s="125">
        <f>Tabela1[[#This Row],[Pré RDW %]]</f>
        <v>13.2</v>
      </c>
      <c r="BU20" s="125">
        <f>Tabela1[[#This Row],[Pós RDW %]]</f>
        <v>13.6</v>
      </c>
      <c r="BV20" s="179">
        <f>Tabela1[[#This Row],[Pré RET %]]</f>
        <v>0.93</v>
      </c>
      <c r="BW20" s="196">
        <f>Tabela1[[#This Row],[Pós RET %]]</f>
        <v>0.8</v>
      </c>
      <c r="BX20" s="197">
        <f>Tabela1[[#This Row],[Pré WBC 10³/mm³]]</f>
        <v>6.42</v>
      </c>
      <c r="BY20" s="179">
        <f>Tabela1[[#This Row],[Pós WBC 10³/mm³]]</f>
        <v>6.18</v>
      </c>
      <c r="BZ20" s="125">
        <f>Tabela1[[#This Row],[Pré NEUT %]]</f>
        <v>57.3</v>
      </c>
      <c r="CA20" s="125">
        <f>Tabela1[[#This Row],[Pós NEUT %]]</f>
        <v>60.5</v>
      </c>
      <c r="CB20" s="125">
        <f>Tabela1[[#This Row],[Pré LINF %]]</f>
        <v>32.1</v>
      </c>
      <c r="CC20" s="125">
        <f>Tabela1[[#This Row],[Pós LINF %]]</f>
        <v>27.3</v>
      </c>
      <c r="CD20" s="125">
        <f>Tabela1[[#This Row],[Pré MONO %]]</f>
        <v>9.1999999999999993</v>
      </c>
      <c r="CE20" s="125">
        <f>Tabela1[[#This Row],[Pós MONO %]]</f>
        <v>11.8</v>
      </c>
      <c r="CF20" s="125">
        <f>Tabela1[[#This Row],[Pré EOS %]]</f>
        <v>1.1000000000000001</v>
      </c>
      <c r="CG20" s="125">
        <f>Tabela1[[#This Row],[Pós EOS %]]</f>
        <v>0.2</v>
      </c>
      <c r="CH20" s="125">
        <f>Tabela1[[#This Row],[Pré BASO %]]</f>
        <v>0.3</v>
      </c>
      <c r="CI20" s="198">
        <f>Tabela1[[#This Row],[Pós BASO %]]</f>
        <v>0.2</v>
      </c>
      <c r="CJ20" s="199" t="str">
        <f t="shared" si="1"/>
        <v>NÃO</v>
      </c>
      <c r="CK20" s="200" t="str">
        <f t="shared" si="2"/>
        <v>SIM</v>
      </c>
      <c r="CL20" s="194">
        <f t="shared" si="3"/>
        <v>71.675339999999991</v>
      </c>
      <c r="CM20" s="125">
        <f>Tabela1[[#This Row],[MCT KG]]</f>
        <v>78.599999999999994</v>
      </c>
      <c r="CN20" s="85">
        <f>Tabela1[[#This Row],[ESTATURA]]</f>
        <v>172</v>
      </c>
      <c r="CO20" s="85">
        <f>Tabela1[[#This Row],[vo2max estimado]]</f>
        <v>51.33</v>
      </c>
      <c r="CP20" s="85">
        <f>Tabela1[[#This Row],[Handgrip     Dominante]]</f>
        <v>48</v>
      </c>
      <c r="CQ20" s="85">
        <f>Tabela1[[#This Row],[Handgrip Contrário]]</f>
        <v>49</v>
      </c>
      <c r="CR20" s="281">
        <f>Tabela1[[#This Row],[% gordura]]</f>
        <v>8.81</v>
      </c>
      <c r="CS20" s="185"/>
    </row>
    <row r="21" spans="1:97" ht="15.75" customHeight="1">
      <c r="A21" s="279">
        <f>Tabela1[[#This Row],[Ano]]</f>
        <v>2017</v>
      </c>
      <c r="B21" s="181" t="str">
        <f>Tabela1[[#This Row],[Missão]]</f>
        <v>Marambaia</v>
      </c>
      <c r="C21" s="181">
        <f>Tabela1[[#This Row],[Aluno]]</f>
        <v>3102</v>
      </c>
      <c r="D21" s="181">
        <f>Tabela1[[#This Row],[Idade]]</f>
        <v>34</v>
      </c>
      <c r="E21" s="182">
        <f>Tabela1[[#This Row],[Peso Kg]]</f>
        <v>85</v>
      </c>
      <c r="F21" s="191">
        <f>Tabela1[[#This Row],[Cor da pele]]</f>
        <v>2</v>
      </c>
      <c r="G21" s="192" t="str">
        <f>Tabela1[[#This Row],[ACTN3]]</f>
        <v>XX</v>
      </c>
      <c r="H21" s="85" t="str">
        <f>Tabela1[[#This Row],[AGT]]</f>
        <v>MM</v>
      </c>
      <c r="I21" s="85" t="str">
        <f>Tabela1[[#This Row],[ECA]]</f>
        <v>ID</v>
      </c>
      <c r="J21" s="85" t="str">
        <f>Tabela1[[#This Row],[BDKRB2]]</f>
        <v>(+9, +9)</v>
      </c>
      <c r="K21" s="85">
        <f>Tabela1[[#This Row],[Score Força%]]</f>
        <v>37.5</v>
      </c>
      <c r="L21" s="193">
        <f>Tabela1[[#This Row],[Score Resistência %]]</f>
        <v>62.5</v>
      </c>
      <c r="M21" s="192">
        <f>Tabela1[[#This Row],[Pré CK (U/L)]]</f>
        <v>1545</v>
      </c>
      <c r="N21" s="85">
        <f>Tabela1[[#This Row],[Pós CK (U/L)]]</f>
        <v>21065</v>
      </c>
      <c r="O21" s="85">
        <f>Tabela1[[#This Row],[Pré CK MB U/L]]</f>
        <v>35</v>
      </c>
      <c r="P21" s="85">
        <f>Tabela1[[#This Row],[Pós CK MB U/L]]</f>
        <v>196</v>
      </c>
      <c r="Q21" s="85" t="str">
        <f>Tabela1[[#This Row],[Pré Lactato (mmol/L)]]</f>
        <v>-</v>
      </c>
      <c r="R21" s="85" t="str">
        <f>Tabela1[[#This Row],[Pós Lactato (mmol/L)]]</f>
        <v>-</v>
      </c>
      <c r="S21" s="85">
        <f>Tabela1[[#This Row],[Pré LDH (U/L)]]</f>
        <v>836</v>
      </c>
      <c r="T21" s="85">
        <f>Tabela1[[#This Row],[Pós LDH (U/L)]]</f>
        <v>2652</v>
      </c>
      <c r="U21" s="85">
        <f>Tabela1[[#This Row],[Pré AST (U/L)]]</f>
        <v>108</v>
      </c>
      <c r="V21" s="193">
        <f>Tabela1[[#This Row],[Pós AST (U/L)]]</f>
        <v>424</v>
      </c>
      <c r="W21" s="194">
        <f>Tabela1[[#This Row],[Pré Albumina (g/dL)]]</f>
        <v>4.3</v>
      </c>
      <c r="X21" s="125">
        <f>Tabela1[[#This Row],[Pós Albumina (g/dL)]]</f>
        <v>4.2</v>
      </c>
      <c r="Y21" s="85">
        <f>Tabela1[[#This Row],[Pré TGP (g/dL)]]</f>
        <v>109</v>
      </c>
      <c r="Z21" s="85">
        <f>Tabela1[[#This Row],[Pós TGP (g/dL)]]</f>
        <v>151</v>
      </c>
      <c r="AA21" s="85">
        <f>Tabela1[[#This Row],[Pré GGT U/L]]</f>
        <v>36</v>
      </c>
      <c r="AB21" s="193">
        <f>Tabela1[[#This Row],[Pós GGT U/L]]</f>
        <v>34</v>
      </c>
      <c r="AC21" s="194" t="str">
        <f>Tabela1[[#This Row],[Pré Ac. Úrico (mg/dL)]]</f>
        <v>-</v>
      </c>
      <c r="AD21" s="125" t="str">
        <f>Tabela1[[#This Row],[Pós Ac. Úrico (mg/dL)2]]</f>
        <v>-</v>
      </c>
      <c r="AE2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2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128.71280700150223</v>
      </c>
      <c r="AG21" s="85">
        <f>Tabela1[[#This Row],[Pré Ureia mg/dL]]</f>
        <v>28</v>
      </c>
      <c r="AH21" s="85">
        <f>Tabela1[[#This Row],[Pós Ureia mg/dL]]</f>
        <v>44</v>
      </c>
      <c r="AI21" s="125">
        <f>Tabela1[[#This Row],[Pré creatinina mg/dL]]</f>
        <v>0.7</v>
      </c>
      <c r="AJ21" s="125">
        <f>Tabela1[[#This Row],[Pós creatinina mg/dL]]</f>
        <v>0.7</v>
      </c>
      <c r="AK21" s="180">
        <f t="shared" si="0"/>
        <v>0</v>
      </c>
      <c r="AL21" s="125">
        <f>Tabela1[[#This Row],[Pré Fósforo mg/dL]]</f>
        <v>3.8</v>
      </c>
      <c r="AM21" s="125">
        <f>Tabela1[[#This Row],[Pós Fósforo mg/dL]]</f>
        <v>4</v>
      </c>
      <c r="AN21" s="125">
        <f>Tabela1[[#This Row],[Pré Proteína Total (g/dL)]]</f>
        <v>7.2</v>
      </c>
      <c r="AO21" s="125">
        <f>Tabela1[[#This Row],[Pós Proteína Total (g/dL)]]</f>
        <v>6.8</v>
      </c>
      <c r="AP21" s="85" t="str">
        <f>Tabela1[[#This Row],[Pré FE (ug/dL)]]</f>
        <v>-</v>
      </c>
      <c r="AQ21" s="193" t="str">
        <f>Tabela1[[#This Row],[Pós FE (ug/dL)]]</f>
        <v>-</v>
      </c>
      <c r="AR21" s="194">
        <f>Tabela1[[#This Row],[Pré calcio mg/dL]]</f>
        <v>9.3000000000000007</v>
      </c>
      <c r="AS21" s="125">
        <f>Tabela1[[#This Row],[Pós calcio mg/dL]]</f>
        <v>9.1</v>
      </c>
      <c r="AT21" s="125">
        <f>Tabela1[[#This Row],[Pré Potássio mmol/L]]</f>
        <v>4.5</v>
      </c>
      <c r="AU21" s="125">
        <f>Tabela1[[#This Row],[Pós Potássio mmol/L]]</f>
        <v>6.8</v>
      </c>
      <c r="AV21" s="85">
        <f>Tabela1[[#This Row],[Glicose pré]]</f>
        <v>95</v>
      </c>
      <c r="AW21" s="85">
        <f>Tabela1[[#This Row],[Glicose pós]]</f>
        <v>95</v>
      </c>
      <c r="AX21" s="85">
        <f>Tabela1[[#This Row],[Pré Sódio mmol/L]]</f>
        <v>137</v>
      </c>
      <c r="AY21" s="85">
        <f>Tabela1[[#This Row],[Pós Sódio mmol/L]]</f>
        <v>135</v>
      </c>
      <c r="AZ21" s="125" t="str">
        <f>Tabela1[[#This Row],[Pré Magnésio mg/dL]]</f>
        <v>-</v>
      </c>
      <c r="BA21" s="125" t="str">
        <f>Tabela1[[#This Row],[Pós Magnésio mg/dL]]</f>
        <v>-</v>
      </c>
      <c r="BB21" s="85" t="str">
        <f>Tabela1[[#This Row],[Pré Cloro mmol/L]]</f>
        <v>-</v>
      </c>
      <c r="BC21" s="85" t="str">
        <f>Tabela1[[#This Row],[Pós Cloro mmol/L]]</f>
        <v>-</v>
      </c>
      <c r="BD2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287.92611111111114</v>
      </c>
      <c r="BE2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291.15077777777782</v>
      </c>
      <c r="BF21" s="194">
        <f>Tabela1[[#This Row],[Pré RBC 10^6/mm³]]</f>
        <v>4.68</v>
      </c>
      <c r="BG21" s="125">
        <f>Tabela1[[#This Row],[Pós RBC 10^6/mm³]]</f>
        <v>4.17</v>
      </c>
      <c r="BH21" s="125">
        <f>Tabela1[[#This Row],[Pré HGB g/dL]]</f>
        <v>12.7</v>
      </c>
      <c r="BI21" s="125">
        <f>Tabela1[[#This Row],[Pós HGB g/dL]]</f>
        <v>11.3</v>
      </c>
      <c r="BJ21" s="125">
        <f>Tabela1[[#This Row],[Pré HCT %]]</f>
        <v>39.4</v>
      </c>
      <c r="BK21" s="125">
        <f>Tabela1[[#This Row],[Pós HCT %]]</f>
        <v>35.299999999999997</v>
      </c>
      <c r="BL21" s="125">
        <f>Tabela1[[#This Row],[Pré MCV fL]]</f>
        <v>84.2</v>
      </c>
      <c r="BM21" s="125">
        <f>Tabela1[[#This Row],[Pós MCV fL]]</f>
        <v>84.7</v>
      </c>
      <c r="BN21" s="125">
        <f>Tabela1[[#This Row],[Pré MCH pg]]</f>
        <v>27.1</v>
      </c>
      <c r="BO21" s="125">
        <f>Tabela1[[#This Row],[Pós MCH pg]]</f>
        <v>27.1</v>
      </c>
      <c r="BP21" s="125">
        <f>Tabela1[[#This Row],[Pré MCHC g/dL]]</f>
        <v>32.200000000000003</v>
      </c>
      <c r="BQ21" s="125">
        <f>Tabela1[[#This Row],[Pós MCHC g/dL]]</f>
        <v>32</v>
      </c>
      <c r="BR21" s="85">
        <f>Tabela1[[#This Row],[Pré PLT 10³/mm³]]</f>
        <v>276</v>
      </c>
      <c r="BS21" s="85">
        <f>Tabela1[[#This Row],[Pós PLT 10³/mm³]]</f>
        <v>190</v>
      </c>
      <c r="BT21" s="125">
        <f>Tabela1[[#This Row],[Pré RDW %]]</f>
        <v>14</v>
      </c>
      <c r="BU21" s="125">
        <f>Tabela1[[#This Row],[Pós RDW %]]</f>
        <v>14</v>
      </c>
      <c r="BV21" s="179">
        <f>Tabela1[[#This Row],[Pré RET %]]</f>
        <v>1.39</v>
      </c>
      <c r="BW21" s="196">
        <f>Tabela1[[#This Row],[Pós RET %]]</f>
        <v>1.38</v>
      </c>
      <c r="BX21" s="197">
        <f>Tabela1[[#This Row],[Pré WBC 10³/mm³]]</f>
        <v>5.67</v>
      </c>
      <c r="BY21" s="179">
        <f>Tabela1[[#This Row],[Pós WBC 10³/mm³]]</f>
        <v>5.21</v>
      </c>
      <c r="BZ21" s="125">
        <f>Tabela1[[#This Row],[Pré NEUT %]]</f>
        <v>60.6</v>
      </c>
      <c r="CA21" s="125">
        <f>Tabela1[[#This Row],[Pós NEUT %]]</f>
        <v>50.9</v>
      </c>
      <c r="CB21" s="125">
        <f>Tabela1[[#This Row],[Pré LINF %]]</f>
        <v>29.5</v>
      </c>
      <c r="CC21" s="125">
        <f>Tabela1[[#This Row],[Pós LINF %]]</f>
        <v>32.4</v>
      </c>
      <c r="CD21" s="125">
        <f>Tabela1[[#This Row],[Pré MONO %]]</f>
        <v>7.9</v>
      </c>
      <c r="CE21" s="125">
        <f>Tabela1[[#This Row],[Pós MONO %]]</f>
        <v>14.8</v>
      </c>
      <c r="CF21" s="125">
        <f>Tabela1[[#This Row],[Pré EOS %]]</f>
        <v>1.1000000000000001</v>
      </c>
      <c r="CG21" s="125">
        <f>Tabela1[[#This Row],[Pós EOS %]]</f>
        <v>1.5</v>
      </c>
      <c r="CH21" s="125">
        <f>Tabela1[[#This Row],[Pré BASO %]]</f>
        <v>0.9</v>
      </c>
      <c r="CI21" s="198">
        <f>Tabela1[[#This Row],[Pós BASO %]]</f>
        <v>0.4</v>
      </c>
      <c r="CJ21" s="199" t="str">
        <f t="shared" si="1"/>
        <v>NÃO</v>
      </c>
      <c r="CK21" s="200" t="str">
        <f t="shared" si="2"/>
        <v>SIM</v>
      </c>
      <c r="CL21" s="194">
        <f t="shared" si="3"/>
        <v>75.626200000000011</v>
      </c>
      <c r="CM21" s="125">
        <f>Tabela1[[#This Row],[MCT KG]]</f>
        <v>88.4</v>
      </c>
      <c r="CN21" s="85">
        <f>Tabela1[[#This Row],[ESTATURA]]</f>
        <v>179</v>
      </c>
      <c r="CO21" s="85">
        <f>Tabela1[[#This Row],[vo2max estimado]]</f>
        <v>47.54</v>
      </c>
      <c r="CP21" s="85">
        <f>Tabela1[[#This Row],[Handgrip     Dominante]]</f>
        <v>51.5</v>
      </c>
      <c r="CQ21" s="85">
        <f>Tabela1[[#This Row],[Handgrip Contrário]]</f>
        <v>50.5</v>
      </c>
      <c r="CR21" s="281">
        <f>Tabela1[[#This Row],[% gordura]]</f>
        <v>14.45</v>
      </c>
      <c r="CS21" s="185"/>
    </row>
    <row r="22" spans="1:97" ht="17.25" customHeight="1">
      <c r="A22" s="279">
        <f>Tabela1[[#This Row],[Ano]]</f>
        <v>2017</v>
      </c>
      <c r="B22" s="181" t="str">
        <f>Tabela1[[#This Row],[Missão]]</f>
        <v>Marambaia</v>
      </c>
      <c r="C22" s="181">
        <f>Tabela1[[#This Row],[Aluno]]</f>
        <v>3103</v>
      </c>
      <c r="D22" s="181">
        <f>Tabela1[[#This Row],[Idade]]</f>
        <v>30</v>
      </c>
      <c r="E22" s="182">
        <f>Tabela1[[#This Row],[Peso Kg]]</f>
        <v>0</v>
      </c>
      <c r="F22" s="191">
        <f>Tabela1[[#This Row],[Cor da pele]]</f>
        <v>2</v>
      </c>
      <c r="G22" s="192" t="str">
        <f>Tabela1[[#This Row],[ACTN3]]</f>
        <v>RX</v>
      </c>
      <c r="H22" s="85" t="str">
        <f>Tabela1[[#This Row],[AGT]]</f>
        <v>MM</v>
      </c>
      <c r="I22" s="85" t="str">
        <f>Tabela1[[#This Row],[ECA]]</f>
        <v>DD</v>
      </c>
      <c r="J22" s="85" t="str">
        <f>Tabela1[[#This Row],[BDKRB2]]</f>
        <v>(+9, +9)</v>
      </c>
      <c r="K22" s="85">
        <f>Tabela1[[#This Row],[Score Força%]]</f>
        <v>62.5</v>
      </c>
      <c r="L22" s="193">
        <f>Tabela1[[#This Row],[Score Resistência %]]</f>
        <v>37.5</v>
      </c>
      <c r="M22" s="192">
        <f>Tabela1[[#This Row],[Pré CK (U/L)]]</f>
        <v>1345</v>
      </c>
      <c r="N22" s="85">
        <f>Tabela1[[#This Row],[Pós CK (U/L)]]</f>
        <v>13125</v>
      </c>
      <c r="O22" s="85">
        <f>Tabela1[[#This Row],[Pré CK MB U/L]]</f>
        <v>23</v>
      </c>
      <c r="P22" s="85">
        <f>Tabela1[[#This Row],[Pós CK MB U/L]]</f>
        <v>85</v>
      </c>
      <c r="Q22" s="85" t="str">
        <f>Tabela1[[#This Row],[Pré Lactato (mmol/L)]]</f>
        <v>-</v>
      </c>
      <c r="R22" s="85" t="str">
        <f>Tabela1[[#This Row],[Pós Lactato (mmol/L)]]</f>
        <v>-</v>
      </c>
      <c r="S22" s="85">
        <f>Tabela1[[#This Row],[Pré LDH (U/L)]]</f>
        <v>771</v>
      </c>
      <c r="T22" s="85">
        <f>Tabela1[[#This Row],[Pós LDH (U/L)]]</f>
        <v>2033</v>
      </c>
      <c r="U22" s="85">
        <f>Tabela1[[#This Row],[Pré AST (U/L)]]</f>
        <v>171</v>
      </c>
      <c r="V22" s="193">
        <f>Tabela1[[#This Row],[Pós AST (U/L)]]</f>
        <v>269</v>
      </c>
      <c r="W22" s="194">
        <f>Tabela1[[#This Row],[Pré Albumina (g/dL)]]</f>
        <v>4.5</v>
      </c>
      <c r="X22" s="125">
        <f>Tabela1[[#This Row],[Pós Albumina (g/dL)]]</f>
        <v>4.0999999999999996</v>
      </c>
      <c r="Y22" s="85">
        <f>Tabela1[[#This Row],[Pré TGP (g/dL)]]</f>
        <v>269</v>
      </c>
      <c r="Z22" s="85">
        <f>Tabela1[[#This Row],[Pós TGP (g/dL)]]</f>
        <v>182</v>
      </c>
      <c r="AA22" s="85">
        <f>Tabela1[[#This Row],[Pré GGT U/L]]</f>
        <v>132</v>
      </c>
      <c r="AB22" s="193">
        <f>Tabela1[[#This Row],[Pós GGT U/L]]</f>
        <v>106</v>
      </c>
      <c r="AC22" s="194" t="str">
        <f>Tabela1[[#This Row],[Pré Ac. Úrico (mg/dL)]]</f>
        <v>-</v>
      </c>
      <c r="AD22" s="125" t="str">
        <f>Tabela1[[#This Row],[Pós Ac. Úrico (mg/dL)2]]</f>
        <v>-</v>
      </c>
      <c r="AE2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2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128.71280700150223</v>
      </c>
      <c r="AG22" s="85">
        <f>Tabela1[[#This Row],[Pré Ureia mg/dL]]</f>
        <v>25</v>
      </c>
      <c r="AH22" s="85">
        <f>Tabela1[[#This Row],[Pós Ureia mg/dL]]</f>
        <v>47</v>
      </c>
      <c r="AI22" s="125">
        <f>Tabela1[[#This Row],[Pré creatinina mg/dL]]</f>
        <v>0.7</v>
      </c>
      <c r="AJ22" s="125">
        <f>Tabela1[[#This Row],[Pós creatinina mg/dL]]</f>
        <v>0.7</v>
      </c>
      <c r="AK22" s="180">
        <f t="shared" si="0"/>
        <v>0</v>
      </c>
      <c r="AL22" s="125">
        <f>Tabela1[[#This Row],[Pré Fósforo mg/dL]]</f>
        <v>3.9</v>
      </c>
      <c r="AM22" s="125">
        <f>Tabela1[[#This Row],[Pós Fósforo mg/dL]]</f>
        <v>3.8</v>
      </c>
      <c r="AN22" s="125">
        <f>Tabela1[[#This Row],[Pré Proteína Total (g/dL)]]</f>
        <v>7.2</v>
      </c>
      <c r="AO22" s="125">
        <f>Tabela1[[#This Row],[Pós Proteína Total (g/dL)]]</f>
        <v>6.6</v>
      </c>
      <c r="AP22" s="85" t="str">
        <f>Tabela1[[#This Row],[Pré FE (ug/dL)]]</f>
        <v>-</v>
      </c>
      <c r="AQ22" s="193" t="str">
        <f>Tabela1[[#This Row],[Pós FE (ug/dL)]]</f>
        <v>-</v>
      </c>
      <c r="AR22" s="194">
        <f>Tabela1[[#This Row],[Pré calcio mg/dL]]</f>
        <v>9.6999999999999993</v>
      </c>
      <c r="AS22" s="125">
        <f>Tabela1[[#This Row],[Pós calcio mg/dL]]</f>
        <v>8.9</v>
      </c>
      <c r="AT22" s="125">
        <f>Tabela1[[#This Row],[Pré Potássio mmol/L]]</f>
        <v>4.3</v>
      </c>
      <c r="AU22" s="125">
        <f>Tabela1[[#This Row],[Pós Potássio mmol/L]]</f>
        <v>6.3</v>
      </c>
      <c r="AV22" s="85">
        <f>Tabela1[[#This Row],[Glicose pré]]</f>
        <v>99</v>
      </c>
      <c r="AW22" s="85">
        <f>Tabela1[[#This Row],[Glicose pós]]</f>
        <v>105</v>
      </c>
      <c r="AX22" s="85">
        <f>Tabela1[[#This Row],[Pré Sódio mmol/L]]</f>
        <v>135</v>
      </c>
      <c r="AY22" s="85">
        <f>Tabela1[[#This Row],[Pós Sódio mmol/L]]</f>
        <v>131</v>
      </c>
      <c r="AZ22" s="125" t="str">
        <f>Tabela1[[#This Row],[Pré Magnésio mg/dL]]</f>
        <v>-</v>
      </c>
      <c r="BA22" s="125" t="str">
        <f>Tabela1[[#This Row],[Pós Magnésio mg/dL]]</f>
        <v>-</v>
      </c>
      <c r="BB22" s="85" t="str">
        <f>Tabela1[[#This Row],[Pré Cloro mmol/L]]</f>
        <v>-</v>
      </c>
      <c r="BC22" s="85" t="str">
        <f>Tabela1[[#This Row],[Pós Cloro mmol/L]]</f>
        <v>-</v>
      </c>
      <c r="BD2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283.58966666666669</v>
      </c>
      <c r="BE2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283.91966666666667</v>
      </c>
      <c r="BF22" s="194">
        <f>Tabela1[[#This Row],[Pré RBC 10^6/mm³]]</f>
        <v>4.37</v>
      </c>
      <c r="BG22" s="125">
        <f>Tabela1[[#This Row],[Pós RBC 10^6/mm³]]</f>
        <v>3.75</v>
      </c>
      <c r="BH22" s="125">
        <f>Tabela1[[#This Row],[Pré HGB g/dL]]</f>
        <v>13.7</v>
      </c>
      <c r="BI22" s="125">
        <f>Tabela1[[#This Row],[Pós HGB g/dL]]</f>
        <v>11.9</v>
      </c>
      <c r="BJ22" s="125">
        <f>Tabela1[[#This Row],[Pré HCT %]]</f>
        <v>41.4</v>
      </c>
      <c r="BK22" s="125">
        <f>Tabela1[[#This Row],[Pós HCT %]]</f>
        <v>36.6</v>
      </c>
      <c r="BL22" s="125">
        <f>Tabela1[[#This Row],[Pré MCV fL]]</f>
        <v>94.7</v>
      </c>
      <c r="BM22" s="125">
        <f>Tabela1[[#This Row],[Pós MCV fL]]</f>
        <v>97.6</v>
      </c>
      <c r="BN22" s="125">
        <f>Tabela1[[#This Row],[Pré MCH pg]]</f>
        <v>31.4</v>
      </c>
      <c r="BO22" s="125">
        <f>Tabela1[[#This Row],[Pós MCH pg]]</f>
        <v>31.7</v>
      </c>
      <c r="BP22" s="125">
        <f>Tabela1[[#This Row],[Pré MCHC g/dL]]</f>
        <v>33.1</v>
      </c>
      <c r="BQ22" s="125">
        <f>Tabela1[[#This Row],[Pós MCHC g/dL]]</f>
        <v>32.5</v>
      </c>
      <c r="BR22" s="85">
        <f>Tabela1[[#This Row],[Pré PLT 10³/mm³]]</f>
        <v>293</v>
      </c>
      <c r="BS22" s="85">
        <f>Tabela1[[#This Row],[Pós PLT 10³/mm³]]</f>
        <v>267</v>
      </c>
      <c r="BT22" s="125">
        <f>Tabela1[[#This Row],[Pré RDW %]]</f>
        <v>11.9</v>
      </c>
      <c r="BU22" s="125">
        <f>Tabela1[[#This Row],[Pós RDW %]]</f>
        <v>12</v>
      </c>
      <c r="BV22" s="179">
        <f>Tabela1[[#This Row],[Pré RET %]]</f>
        <v>1.41</v>
      </c>
      <c r="BW22" s="196">
        <f>Tabela1[[#This Row],[Pós RET %]]</f>
        <v>1.61</v>
      </c>
      <c r="BX22" s="197">
        <f>Tabela1[[#This Row],[Pré WBC 10³/mm³]]</f>
        <v>5.32</v>
      </c>
      <c r="BY22" s="179">
        <f>Tabela1[[#This Row],[Pós WBC 10³/mm³]]</f>
        <v>5.42</v>
      </c>
      <c r="BZ22" s="125">
        <f>Tabela1[[#This Row],[Pré NEUT %]]</f>
        <v>61</v>
      </c>
      <c r="CA22" s="125">
        <f>Tabela1[[#This Row],[Pós NEUT %]]</f>
        <v>66</v>
      </c>
      <c r="CB22" s="125">
        <f>Tabela1[[#This Row],[Pré LINF %]]</f>
        <v>27.8</v>
      </c>
      <c r="CC22" s="125">
        <f>Tabela1[[#This Row],[Pós LINF %]]</f>
        <v>22.7</v>
      </c>
      <c r="CD22" s="125">
        <f>Tabela1[[#This Row],[Pré MONO %]]</f>
        <v>9.6</v>
      </c>
      <c r="CE22" s="125">
        <f>Tabela1[[#This Row],[Pós MONO %]]</f>
        <v>9.6</v>
      </c>
      <c r="CF22" s="125">
        <f>Tabela1[[#This Row],[Pré EOS %]]</f>
        <v>0.8</v>
      </c>
      <c r="CG22" s="125">
        <f>Tabela1[[#This Row],[Pós EOS %]]</f>
        <v>1.3</v>
      </c>
      <c r="CH22" s="125">
        <f>Tabela1[[#This Row],[Pré BASO %]]</f>
        <v>0.8</v>
      </c>
      <c r="CI22" s="198">
        <f>Tabela1[[#This Row],[Pós BASO %]]</f>
        <v>0.4</v>
      </c>
      <c r="CJ22" s="199" t="str">
        <f t="shared" si="1"/>
        <v>NÃO</v>
      </c>
      <c r="CK22" s="200" t="str">
        <f t="shared" si="2"/>
        <v>SIM</v>
      </c>
      <c r="CL22" s="194">
        <f t="shared" si="3"/>
        <v>60.885999999999996</v>
      </c>
      <c r="CM22" s="125">
        <f>Tabela1[[#This Row],[MCT KG]]</f>
        <v>70</v>
      </c>
      <c r="CN22" s="85">
        <f>Tabela1[[#This Row],[ESTATURA]]</f>
        <v>167</v>
      </c>
      <c r="CO22" s="85">
        <f>Tabela1[[#This Row],[vo2max estimado]]</f>
        <v>53.35</v>
      </c>
      <c r="CP22" s="85">
        <f>Tabela1[[#This Row],[Handgrip     Dominante]]</f>
        <v>42.5</v>
      </c>
      <c r="CQ22" s="85">
        <f>Tabela1[[#This Row],[Handgrip Contrário]]</f>
        <v>38</v>
      </c>
      <c r="CR22" s="281">
        <f>Tabela1[[#This Row],[% gordura]]</f>
        <v>13.02</v>
      </c>
      <c r="CS22" s="185"/>
    </row>
    <row r="23" spans="1:97" ht="15.75" customHeight="1">
      <c r="A23" s="279">
        <f>Tabela1[[#This Row],[Ano]]</f>
        <v>2017</v>
      </c>
      <c r="B23" s="181" t="str">
        <f>Tabela1[[#This Row],[Missão]]</f>
        <v>Marambaia</v>
      </c>
      <c r="C23" s="181">
        <f>Tabela1[[#This Row],[Aluno]]</f>
        <v>3105</v>
      </c>
      <c r="D23" s="181">
        <f>Tabela1[[#This Row],[Idade]]</f>
        <v>32</v>
      </c>
      <c r="E23" s="182">
        <f>Tabela1[[#This Row],[Peso Kg]]</f>
        <v>82</v>
      </c>
      <c r="F23" s="191">
        <f>Tabela1[[#This Row],[Cor da pele]]</f>
        <v>2</v>
      </c>
      <c r="G23" s="192" t="str">
        <f>Tabela1[[#This Row],[ACTN3]]</f>
        <v>RR</v>
      </c>
      <c r="H23" s="85" t="str">
        <f>Tabela1[[#This Row],[AGT]]</f>
        <v>MM</v>
      </c>
      <c r="I23" s="85" t="str">
        <f>Tabela1[[#This Row],[ECA]]</f>
        <v>ID</v>
      </c>
      <c r="J23" s="85" t="str">
        <f>Tabela1[[#This Row],[BDKRB2]]</f>
        <v>(+9, -9)</v>
      </c>
      <c r="K23" s="85">
        <f>Tabela1[[#This Row],[Score Força%]]</f>
        <v>50</v>
      </c>
      <c r="L23" s="193">
        <f>Tabela1[[#This Row],[Score Resistência %]]</f>
        <v>50</v>
      </c>
      <c r="M23" s="192">
        <f>Tabela1[[#This Row],[Pré CK (U/L)]]</f>
        <v>1460</v>
      </c>
      <c r="N23" s="85">
        <f>Tabela1[[#This Row],[Pós CK (U/L)]]</f>
        <v>27137</v>
      </c>
      <c r="O23" s="85">
        <f>Tabela1[[#This Row],[Pré CK MB U/L]]</f>
        <v>40</v>
      </c>
      <c r="P23" s="85">
        <f>Tabela1[[#This Row],[Pós CK MB U/L]]</f>
        <v>244</v>
      </c>
      <c r="Q23" s="85" t="str">
        <f>Tabela1[[#This Row],[Pré Lactato (mmol/L)]]</f>
        <v>-</v>
      </c>
      <c r="R23" s="85" t="str">
        <f>Tabela1[[#This Row],[Pós Lactato (mmol/L)]]</f>
        <v>-</v>
      </c>
      <c r="S23" s="85">
        <f>Tabela1[[#This Row],[Pré LDH (U/L)]]</f>
        <v>1034</v>
      </c>
      <c r="T23" s="85">
        <f>Tabela1[[#This Row],[Pós LDH (U/L)]]</f>
        <v>2528</v>
      </c>
      <c r="U23" s="85">
        <f>Tabela1[[#This Row],[Pré AST (U/L)]]</f>
        <v>153</v>
      </c>
      <c r="V23" s="193">
        <f>Tabela1[[#This Row],[Pós AST (U/L)]]</f>
        <v>594</v>
      </c>
      <c r="W23" s="194">
        <f>Tabela1[[#This Row],[Pré Albumina (g/dL)]]</f>
        <v>4.4000000000000004</v>
      </c>
      <c r="X23" s="125">
        <f>Tabela1[[#This Row],[Pós Albumina (g/dL)]]</f>
        <v>3.9</v>
      </c>
      <c r="Y23" s="85">
        <f>Tabela1[[#This Row],[Pré TGP (g/dL)]]</f>
        <v>144</v>
      </c>
      <c r="Z23" s="85">
        <f>Tabela1[[#This Row],[Pós TGP (g/dL)]]</f>
        <v>204</v>
      </c>
      <c r="AA23" s="85">
        <f>Tabela1[[#This Row],[Pré GGT U/L]]</f>
        <v>16</v>
      </c>
      <c r="AB23" s="193">
        <f>Tabela1[[#This Row],[Pós GGT U/L]]</f>
        <v>15</v>
      </c>
      <c r="AC23" s="194" t="str">
        <f>Tabela1[[#This Row],[Pré Ac. Úrico (mg/dL)]]</f>
        <v>-</v>
      </c>
      <c r="AD23" s="125" t="str">
        <f>Tabela1[[#This Row],[Pós Ac. Úrico (mg/dL)2]]</f>
        <v>-</v>
      </c>
      <c r="AE2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3" s="85">
        <f>Tabela1[[#This Row],[Pré Ureia mg/dL]]</f>
        <v>39</v>
      </c>
      <c r="AH23" s="85">
        <f>Tabela1[[#This Row],[Pós Ureia mg/dL]]</f>
        <v>48</v>
      </c>
      <c r="AI23" s="125">
        <f>Tabela1[[#This Row],[Pré creatinina mg/dL]]</f>
        <v>0.8</v>
      </c>
      <c r="AJ23" s="125">
        <f>Tabela1[[#This Row],[Pós creatinina mg/dL]]</f>
        <v>0.9</v>
      </c>
      <c r="AK23" s="180">
        <f t="shared" si="0"/>
        <v>9.9999999999999978E-2</v>
      </c>
      <c r="AL23" s="125">
        <f>Tabela1[[#This Row],[Pré Fósforo mg/dL]]</f>
        <v>3.6</v>
      </c>
      <c r="AM23" s="125">
        <f>Tabela1[[#This Row],[Pós Fósforo mg/dL]]</f>
        <v>4.5</v>
      </c>
      <c r="AN23" s="125">
        <f>Tabela1[[#This Row],[Pré Proteína Total (g/dL)]]</f>
        <v>7.7</v>
      </c>
      <c r="AO23" s="125">
        <f>Tabela1[[#This Row],[Pós Proteína Total (g/dL)]]</f>
        <v>6.8</v>
      </c>
      <c r="AP23" s="85" t="str">
        <f>Tabela1[[#This Row],[Pré FE (ug/dL)]]</f>
        <v>-</v>
      </c>
      <c r="AQ23" s="193" t="str">
        <f>Tabela1[[#This Row],[Pós FE (ug/dL)]]</f>
        <v>-</v>
      </c>
      <c r="AR23" s="194">
        <f>Tabela1[[#This Row],[Pré calcio mg/dL]]</f>
        <v>9.6</v>
      </c>
      <c r="AS23" s="125">
        <f>Tabela1[[#This Row],[Pós calcio mg/dL]]</f>
        <v>8.9</v>
      </c>
      <c r="AT23" s="125">
        <f>Tabela1[[#This Row],[Pré Potássio mmol/L]]</f>
        <v>4.4000000000000004</v>
      </c>
      <c r="AU23" s="125">
        <f>Tabela1[[#This Row],[Pós Potássio mmol/L]]</f>
        <v>5.9</v>
      </c>
      <c r="AV23" s="85">
        <f>Tabela1[[#This Row],[Glicose pré]]</f>
        <v>93</v>
      </c>
      <c r="AW23" s="85">
        <f>Tabela1[[#This Row],[Glicose pós]]</f>
        <v>84</v>
      </c>
      <c r="AX23" s="85">
        <f>Tabela1[[#This Row],[Pré Sódio mmol/L]]</f>
        <v>136</v>
      </c>
      <c r="AY23" s="85">
        <f>Tabela1[[#This Row],[Pós Sódio mmol/L]]</f>
        <v>134</v>
      </c>
      <c r="AZ23" s="125" t="str">
        <f>Tabela1[[#This Row],[Pré Magnésio mg/dL]]</f>
        <v>-</v>
      </c>
      <c r="BA23" s="125" t="str">
        <f>Tabela1[[#This Row],[Pós Magnésio mg/dL]]</f>
        <v>-</v>
      </c>
      <c r="BB23" s="85" t="str">
        <f>Tabela1[[#This Row],[Pré Cloro mmol/L]]</f>
        <v>-</v>
      </c>
      <c r="BC23" s="85" t="str">
        <f>Tabela1[[#This Row],[Pós Cloro mmol/L]]</f>
        <v>-</v>
      </c>
      <c r="BD2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287.58566666666667</v>
      </c>
      <c r="BE2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287.58066666666667</v>
      </c>
      <c r="BF23" s="194">
        <f>Tabela1[[#This Row],[Pré RBC 10^6/mm³]]</f>
        <v>4.5599999999999996</v>
      </c>
      <c r="BG23" s="125">
        <f>Tabela1[[#This Row],[Pós RBC 10^6/mm³]]</f>
        <v>3.97</v>
      </c>
      <c r="BH23" s="125">
        <f>Tabela1[[#This Row],[Pré HGB g/dL]]</f>
        <v>13.5</v>
      </c>
      <c r="BI23" s="125">
        <f>Tabela1[[#This Row],[Pós HGB g/dL]]</f>
        <v>11.8</v>
      </c>
      <c r="BJ23" s="125">
        <f>Tabela1[[#This Row],[Pré HCT %]]</f>
        <v>42.1</v>
      </c>
      <c r="BK23" s="125">
        <f>Tabela1[[#This Row],[Pós HCT %]]</f>
        <v>37.5</v>
      </c>
      <c r="BL23" s="125">
        <f>Tabela1[[#This Row],[Pré MCV fL]]</f>
        <v>92.3</v>
      </c>
      <c r="BM23" s="125">
        <f>Tabela1[[#This Row],[Pós MCV fL]]</f>
        <v>94.5</v>
      </c>
      <c r="BN23" s="125">
        <f>Tabela1[[#This Row],[Pré MCH pg]]</f>
        <v>29.6</v>
      </c>
      <c r="BO23" s="125">
        <f>Tabela1[[#This Row],[Pós MCH pg]]</f>
        <v>29.7</v>
      </c>
      <c r="BP23" s="125">
        <f>Tabela1[[#This Row],[Pré MCHC g/dL]]</f>
        <v>32.1</v>
      </c>
      <c r="BQ23" s="125">
        <f>Tabela1[[#This Row],[Pós MCHC g/dL]]</f>
        <v>31.5</v>
      </c>
      <c r="BR23" s="85">
        <f>Tabela1[[#This Row],[Pré PLT 10³/mm³]]</f>
        <v>373</v>
      </c>
      <c r="BS23" s="85">
        <f>Tabela1[[#This Row],[Pós PLT 10³/mm³]]</f>
        <v>345</v>
      </c>
      <c r="BT23" s="125">
        <f>Tabela1[[#This Row],[Pré RDW %]]</f>
        <v>13.2</v>
      </c>
      <c r="BU23" s="125">
        <f>Tabela1[[#This Row],[Pós RDW %]]</f>
        <v>13.1</v>
      </c>
      <c r="BV23" s="179">
        <f>Tabela1[[#This Row],[Pré RET %]]</f>
        <v>1.1000000000000001</v>
      </c>
      <c r="BW23" s="196">
        <f>Tabela1[[#This Row],[Pós RET %]]</f>
        <v>0.89</v>
      </c>
      <c r="BX23" s="197">
        <f>Tabela1[[#This Row],[Pré WBC 10³/mm³]]</f>
        <v>8.4</v>
      </c>
      <c r="BY23" s="179">
        <f>Tabela1[[#This Row],[Pós WBC 10³/mm³]]</f>
        <v>4.59</v>
      </c>
      <c r="BZ23" s="125">
        <f>Tabela1[[#This Row],[Pré NEUT %]]</f>
        <v>75.5</v>
      </c>
      <c r="CA23" s="125">
        <f>Tabela1[[#This Row],[Pós NEUT %]]</f>
        <v>56.6</v>
      </c>
      <c r="CB23" s="125">
        <f>Tabela1[[#This Row],[Pré LINF %]]</f>
        <v>17.100000000000001</v>
      </c>
      <c r="CC23" s="125">
        <f>Tabela1[[#This Row],[Pós LINF %]]</f>
        <v>27.5</v>
      </c>
      <c r="CD23" s="125">
        <f>Tabela1[[#This Row],[Pré MONO %]]</f>
        <v>6</v>
      </c>
      <c r="CE23" s="125">
        <f>Tabela1[[#This Row],[Pós MONO %]]</f>
        <v>13.9</v>
      </c>
      <c r="CF23" s="125">
        <f>Tabela1[[#This Row],[Pré EOS %]]</f>
        <v>1.2</v>
      </c>
      <c r="CG23" s="125">
        <f>Tabela1[[#This Row],[Pós EOS %]]</f>
        <v>2</v>
      </c>
      <c r="CH23" s="125">
        <f>Tabela1[[#This Row],[Pré BASO %]]</f>
        <v>0.2</v>
      </c>
      <c r="CI23" s="198">
        <f>Tabela1[[#This Row],[Pós BASO %]]</f>
        <v>0</v>
      </c>
      <c r="CJ23" s="199" t="str">
        <f t="shared" si="1"/>
        <v>NÃO</v>
      </c>
      <c r="CK23" s="200" t="str">
        <f t="shared" si="2"/>
        <v>SIM</v>
      </c>
      <c r="CL23" s="194">
        <f t="shared" si="3"/>
        <v>71.683920000000001</v>
      </c>
      <c r="CM23" s="125">
        <f>Tabela1[[#This Row],[MCT KG]]</f>
        <v>79.2</v>
      </c>
      <c r="CN23" s="85">
        <f>Tabela1[[#This Row],[ESTATURA]]</f>
        <v>172.6</v>
      </c>
      <c r="CO23" s="85">
        <f>Tabela1[[#This Row],[vo2max estimado]]</f>
        <v>51.6</v>
      </c>
      <c r="CP23" s="85">
        <f>Tabela1[[#This Row],[Handgrip     Dominante]]</f>
        <v>60</v>
      </c>
      <c r="CQ23" s="85">
        <f>Tabela1[[#This Row],[Handgrip Contrário]]</f>
        <v>54</v>
      </c>
      <c r="CR23" s="281">
        <f>Tabela1[[#This Row],[% gordura]]</f>
        <v>9.49</v>
      </c>
    </row>
    <row r="24" spans="1:97" ht="15.75" customHeight="1">
      <c r="A24" s="279">
        <f>Tabela1[[#This Row],[Ano]]</f>
        <v>2017</v>
      </c>
      <c r="B24" s="181" t="str">
        <f>Tabela1[[#This Row],[Missão]]</f>
        <v>Marambaia</v>
      </c>
      <c r="C24" s="181">
        <f>Tabela1[[#This Row],[Aluno]]</f>
        <v>3106</v>
      </c>
      <c r="D24" s="181">
        <f>Tabela1[[#This Row],[Idade]]</f>
        <v>31</v>
      </c>
      <c r="E24" s="182">
        <f>Tabela1[[#This Row],[Peso Kg]]</f>
        <v>85</v>
      </c>
      <c r="F24" s="191">
        <f>Tabela1[[#This Row],[Cor da pele]]</f>
        <v>2</v>
      </c>
      <c r="G24" s="192" t="str">
        <f>Tabela1[[#This Row],[ACTN3]]</f>
        <v>XX</v>
      </c>
      <c r="H24" s="85" t="str">
        <f>Tabela1[[#This Row],[AGT]]</f>
        <v>MT</v>
      </c>
      <c r="I24" s="85" t="str">
        <f>Tabela1[[#This Row],[ECA]]</f>
        <v>DD</v>
      </c>
      <c r="J24" s="85" t="str">
        <f>Tabela1[[#This Row],[BDKRB2]]</f>
        <v>(+9, -9)</v>
      </c>
      <c r="K24" s="85">
        <f>Tabela1[[#This Row],[Score Força%]]</f>
        <v>50</v>
      </c>
      <c r="L24" s="193">
        <f>Tabela1[[#This Row],[Score Resistência %]]</f>
        <v>50</v>
      </c>
      <c r="M24" s="192">
        <f>Tabela1[[#This Row],[Pré CK (U/L)]]</f>
        <v>239</v>
      </c>
      <c r="N24" s="85">
        <f>Tabela1[[#This Row],[Pós CK (U/L)]]</f>
        <v>8377</v>
      </c>
      <c r="O24" s="85">
        <f>Tabela1[[#This Row],[Pré CK MB U/L]]</f>
        <v>19</v>
      </c>
      <c r="P24" s="85">
        <f>Tabela1[[#This Row],[Pós CK MB U/L]]</f>
        <v>68</v>
      </c>
      <c r="Q24" s="85" t="str">
        <f>Tabela1[[#This Row],[Pré Lactato (mmol/L)]]</f>
        <v>-</v>
      </c>
      <c r="R24" s="85" t="str">
        <f>Tabela1[[#This Row],[Pós Lactato (mmol/L)]]</f>
        <v>-</v>
      </c>
      <c r="S24" s="85">
        <f>Tabela1[[#This Row],[Pré LDH (U/L)]]</f>
        <v>506</v>
      </c>
      <c r="T24" s="85">
        <f>Tabela1[[#This Row],[Pós LDH (U/L)]]</f>
        <v>1372</v>
      </c>
      <c r="U24" s="85">
        <f>Tabela1[[#This Row],[Pré AST (U/L)]]</f>
        <v>43</v>
      </c>
      <c r="V24" s="193">
        <f>Tabela1[[#This Row],[Pós AST (U/L)]]</f>
        <v>244</v>
      </c>
      <c r="W24" s="194">
        <f>Tabela1[[#This Row],[Pré Albumina (g/dL)]]</f>
        <v>4.4000000000000004</v>
      </c>
      <c r="X24" s="125">
        <f>Tabela1[[#This Row],[Pós Albumina (g/dL)]]</f>
        <v>4.5</v>
      </c>
      <c r="Y24" s="85">
        <f>Tabela1[[#This Row],[Pré TGP (g/dL)]]</f>
        <v>41</v>
      </c>
      <c r="Z24" s="85">
        <f>Tabela1[[#This Row],[Pós TGP (g/dL)]]</f>
        <v>85</v>
      </c>
      <c r="AA24" s="85">
        <f>Tabela1[[#This Row],[Pré GGT U/L]]</f>
        <v>12</v>
      </c>
      <c r="AB24" s="193">
        <f>Tabela1[[#This Row],[Pós GGT U/L]]</f>
        <v>15</v>
      </c>
      <c r="AC24" s="194" t="str">
        <f>Tabela1[[#This Row],[Pré Ac. Úrico (mg/dL)]]</f>
        <v>-</v>
      </c>
      <c r="AD24" s="125" t="str">
        <f>Tabela1[[#This Row],[Pós Ac. Úrico (mg/dL)2]]</f>
        <v>-</v>
      </c>
      <c r="AE2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4" s="85">
        <f>Tabela1[[#This Row],[Pré Ureia mg/dL]]</f>
        <v>40</v>
      </c>
      <c r="AH24" s="85">
        <f>Tabela1[[#This Row],[Pós Ureia mg/dL]]</f>
        <v>62</v>
      </c>
      <c r="AI24" s="125">
        <f>Tabela1[[#This Row],[Pré creatinina mg/dL]]</f>
        <v>1</v>
      </c>
      <c r="AJ24" s="125">
        <f>Tabela1[[#This Row],[Pós creatinina mg/dL]]</f>
        <v>1</v>
      </c>
      <c r="AK24" s="180">
        <f t="shared" si="0"/>
        <v>0</v>
      </c>
      <c r="AL24" s="125">
        <f>Tabela1[[#This Row],[Pré Fósforo mg/dL]]</f>
        <v>3.1</v>
      </c>
      <c r="AM24" s="125">
        <f>Tabela1[[#This Row],[Pós Fósforo mg/dL]]</f>
        <v>4.4000000000000004</v>
      </c>
      <c r="AN24" s="125">
        <f>Tabela1[[#This Row],[Pré Proteína Total (g/dL)]]</f>
        <v>7.4</v>
      </c>
      <c r="AO24" s="125">
        <f>Tabela1[[#This Row],[Pós Proteína Total (g/dL)]]</f>
        <v>7.6</v>
      </c>
      <c r="AP24" s="85" t="str">
        <f>Tabela1[[#This Row],[Pré FE (ug/dL)]]</f>
        <v>-</v>
      </c>
      <c r="AQ24" s="193" t="str">
        <f>Tabela1[[#This Row],[Pós FE (ug/dL)]]</f>
        <v>-</v>
      </c>
      <c r="AR24" s="194">
        <f>Tabela1[[#This Row],[Pré calcio mg/dL]]</f>
        <v>9.5</v>
      </c>
      <c r="AS24" s="125">
        <f>Tabela1[[#This Row],[Pós calcio mg/dL]]</f>
        <v>9.3000000000000007</v>
      </c>
      <c r="AT24" s="125">
        <f>Tabela1[[#This Row],[Pré Potássio mmol/L]]</f>
        <v>5</v>
      </c>
      <c r="AU24" s="125">
        <f>Tabela1[[#This Row],[Pós Potássio mmol/L]]</f>
        <v>4.5</v>
      </c>
      <c r="AV24" s="85">
        <f>Tabela1[[#This Row],[Glicose pré]]</f>
        <v>102</v>
      </c>
      <c r="AW24" s="85">
        <f>Tabela1[[#This Row],[Glicose pós]]</f>
        <v>68</v>
      </c>
      <c r="AX24" s="85">
        <f>Tabela1[[#This Row],[Pré Sódio mmol/L]]</f>
        <v>137</v>
      </c>
      <c r="AY24" s="85">
        <f>Tabela1[[#This Row],[Pós Sódio mmol/L]]</f>
        <v>134</v>
      </c>
      <c r="AZ24" s="125" t="str">
        <f>Tabela1[[#This Row],[Pré Magnésio mg/dL]]</f>
        <v>-</v>
      </c>
      <c r="BA24" s="125" t="str">
        <f>Tabela1[[#This Row],[Pós Magnésio mg/dL]]</f>
        <v>-</v>
      </c>
      <c r="BB24" s="85" t="str">
        <f>Tabela1[[#This Row],[Pré Cloro mmol/L]]</f>
        <v>-</v>
      </c>
      <c r="BC24" s="85" t="str">
        <f>Tabela1[[#This Row],[Pós Cloro mmol/L]]</f>
        <v>-</v>
      </c>
      <c r="BD2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291.30333333333334</v>
      </c>
      <c r="BE2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286.28777777777776</v>
      </c>
      <c r="BF24" s="194">
        <f>Tabela1[[#This Row],[Pré RBC 10^6/mm³]]</f>
        <v>4.99</v>
      </c>
      <c r="BG24" s="125">
        <f>Tabela1[[#This Row],[Pós RBC 10^6/mm³]]</f>
        <v>4.78</v>
      </c>
      <c r="BH24" s="125">
        <f>Tabela1[[#This Row],[Pré HGB g/dL]]</f>
        <v>13.7</v>
      </c>
      <c r="BI24" s="125">
        <f>Tabela1[[#This Row],[Pós HGB g/dL]]</f>
        <v>13.3</v>
      </c>
      <c r="BJ24" s="125">
        <f>Tabela1[[#This Row],[Pré HCT %]]</f>
        <v>40.5</v>
      </c>
      <c r="BK24" s="125">
        <f>Tabela1[[#This Row],[Pós HCT %]]</f>
        <v>38.700000000000003</v>
      </c>
      <c r="BL24" s="125">
        <f>Tabela1[[#This Row],[Pré MCV fL]]</f>
        <v>81.2</v>
      </c>
      <c r="BM24" s="125">
        <f>Tabela1[[#This Row],[Pós MCV fL]]</f>
        <v>81</v>
      </c>
      <c r="BN24" s="125">
        <f>Tabela1[[#This Row],[Pré MCH pg]]</f>
        <v>27.5</v>
      </c>
      <c r="BO24" s="125">
        <f>Tabela1[[#This Row],[Pós MCH pg]]</f>
        <v>27.8</v>
      </c>
      <c r="BP24" s="125">
        <f>Tabela1[[#This Row],[Pré MCHC g/dL]]</f>
        <v>33.799999999999997</v>
      </c>
      <c r="BQ24" s="125">
        <f>Tabela1[[#This Row],[Pós MCHC g/dL]]</f>
        <v>34.4</v>
      </c>
      <c r="BR24" s="85">
        <f>Tabela1[[#This Row],[Pré PLT 10³/mm³]]</f>
        <v>324</v>
      </c>
      <c r="BS24" s="85">
        <f>Tabela1[[#This Row],[Pós PLT 10³/mm³]]</f>
        <v>274</v>
      </c>
      <c r="BT24" s="125">
        <f>Tabela1[[#This Row],[Pré RDW %]]</f>
        <v>12.9</v>
      </c>
      <c r="BU24" s="125">
        <f>Tabela1[[#This Row],[Pós RDW %]]</f>
        <v>13</v>
      </c>
      <c r="BV24" s="179">
        <f>Tabela1[[#This Row],[Pré RET %]]</f>
        <v>1.1200000000000001</v>
      </c>
      <c r="BW24" s="196">
        <f>Tabela1[[#This Row],[Pós RET %]]</f>
        <v>0.99</v>
      </c>
      <c r="BX24" s="197">
        <f>Tabela1[[#This Row],[Pré WBC 10³/mm³]]</f>
        <v>8.0399999999999991</v>
      </c>
      <c r="BY24" s="179">
        <f>Tabela1[[#This Row],[Pós WBC 10³/mm³]]</f>
        <v>5.5</v>
      </c>
      <c r="BZ24" s="125">
        <f>Tabela1[[#This Row],[Pré NEUT %]]</f>
        <v>67.900000000000006</v>
      </c>
      <c r="CA24" s="125">
        <f>Tabela1[[#This Row],[Pós NEUT %]]</f>
        <v>44.9</v>
      </c>
      <c r="CB24" s="125">
        <f>Tabela1[[#This Row],[Pré LINF %]]</f>
        <v>21.5</v>
      </c>
      <c r="CC24" s="125">
        <f>Tabela1[[#This Row],[Pós LINF %]]</f>
        <v>31.8</v>
      </c>
      <c r="CD24" s="125">
        <f>Tabela1[[#This Row],[Pré MONO %]]</f>
        <v>8.8000000000000007</v>
      </c>
      <c r="CE24" s="125">
        <f>Tabela1[[#This Row],[Pós MONO %]]</f>
        <v>21.1</v>
      </c>
      <c r="CF24" s="125">
        <f>Tabela1[[#This Row],[Pré EOS %]]</f>
        <v>1.1000000000000001</v>
      </c>
      <c r="CG24" s="125">
        <f>Tabela1[[#This Row],[Pós EOS %]]</f>
        <v>1.3</v>
      </c>
      <c r="CH24" s="125">
        <f>Tabela1[[#This Row],[Pré BASO %]]</f>
        <v>0.7</v>
      </c>
      <c r="CI24" s="198">
        <f>Tabela1[[#This Row],[Pós BASO %]]</f>
        <v>0.9</v>
      </c>
      <c r="CJ24" s="199" t="str">
        <f t="shared" si="1"/>
        <v>NÃO</v>
      </c>
      <c r="CK24" s="200" t="str">
        <f t="shared" si="2"/>
        <v>SIM</v>
      </c>
      <c r="CL24" s="194">
        <f t="shared" si="3"/>
        <v>76.33</v>
      </c>
      <c r="CM24" s="125">
        <f>Tabela1[[#This Row],[MCT KG]]</f>
        <v>85</v>
      </c>
      <c r="CN24" s="85">
        <f>Tabela1[[#This Row],[ESTATURA]]</f>
        <v>181</v>
      </c>
      <c r="CO24" s="85">
        <f>Tabela1[[#This Row],[vo2max estimado]]</f>
        <v>50.68</v>
      </c>
      <c r="CP24" s="85">
        <f>Tabela1[[#This Row],[Handgrip     Dominante]]</f>
        <v>52</v>
      </c>
      <c r="CQ24" s="85">
        <f>Tabela1[[#This Row],[Handgrip Contrário]]</f>
        <v>55</v>
      </c>
      <c r="CR24" s="281">
        <f>Tabela1[[#This Row],[% gordura]]</f>
        <v>10.199999999999999</v>
      </c>
    </row>
    <row r="25" spans="1:97" ht="15.75" customHeight="1">
      <c r="A25" s="279">
        <f>Tabela1[[#This Row],[Ano]]</f>
        <v>2017</v>
      </c>
      <c r="B25" s="181" t="str">
        <f>Tabela1[[#This Row],[Missão]]</f>
        <v>Marambaia</v>
      </c>
      <c r="C25" s="181">
        <f>Tabela1[[#This Row],[Aluno]]</f>
        <v>3108</v>
      </c>
      <c r="D25" s="181">
        <f>Tabela1[[#This Row],[Idade]]</f>
        <v>31</v>
      </c>
      <c r="E25" s="182">
        <f>Tabela1[[#This Row],[Peso Kg]]</f>
        <v>80</v>
      </c>
      <c r="F25" s="191">
        <f>Tabela1[[#This Row],[Cor da pele]]</f>
        <v>2</v>
      </c>
      <c r="G25" s="192" t="str">
        <f>Tabela1[[#This Row],[ACTN3]]</f>
        <v>RR</v>
      </c>
      <c r="H25" s="85" t="str">
        <f>Tabela1[[#This Row],[AGT]]</f>
        <v>MT</v>
      </c>
      <c r="I25" s="85" t="str">
        <f>Tabela1[[#This Row],[ECA]]</f>
        <v>DD</v>
      </c>
      <c r="J25" s="85" t="str">
        <f>Tabela1[[#This Row],[BDKRB2]]</f>
        <v>(-9, -9)</v>
      </c>
      <c r="K25" s="85">
        <f>Tabela1[[#This Row],[Score Força%]]</f>
        <v>62.5</v>
      </c>
      <c r="L25" s="193">
        <f>Tabela1[[#This Row],[Score Resistência %]]</f>
        <v>37.5</v>
      </c>
      <c r="M25" s="192">
        <f>Tabela1[[#This Row],[Pré CK (U/L)]]</f>
        <v>593</v>
      </c>
      <c r="N25" s="85">
        <f>Tabela1[[#This Row],[Pós CK (U/L)]]</f>
        <v>8433</v>
      </c>
      <c r="O25" s="85">
        <f>Tabela1[[#This Row],[Pré CK MB U/L]]</f>
        <v>29</v>
      </c>
      <c r="P25" s="85">
        <f>Tabela1[[#This Row],[Pós CK MB U/L]]</f>
        <v>79</v>
      </c>
      <c r="Q25" s="85" t="str">
        <f>Tabela1[[#This Row],[Pré Lactato (mmol/L)]]</f>
        <v>-</v>
      </c>
      <c r="R25" s="85" t="str">
        <f>Tabela1[[#This Row],[Pós Lactato (mmol/L)]]</f>
        <v>-</v>
      </c>
      <c r="S25" s="85">
        <f>Tabela1[[#This Row],[Pré LDH (U/L)]]</f>
        <v>686</v>
      </c>
      <c r="T25" s="85">
        <f>Tabela1[[#This Row],[Pós LDH (U/L)]]</f>
        <v>1226</v>
      </c>
      <c r="U25" s="85">
        <f>Tabela1[[#This Row],[Pré AST (U/L)]]</f>
        <v>72</v>
      </c>
      <c r="V25" s="193">
        <f>Tabela1[[#This Row],[Pós AST (U/L)]]</f>
        <v>275</v>
      </c>
      <c r="W25" s="194">
        <f>Tabela1[[#This Row],[Pré Albumina (g/dL)]]</f>
        <v>4.7</v>
      </c>
      <c r="X25" s="125">
        <f>Tabela1[[#This Row],[Pós Albumina (g/dL)]]</f>
        <v>4.3</v>
      </c>
      <c r="Y25" s="85">
        <f>Tabela1[[#This Row],[Pré TGP (g/dL)]]</f>
        <v>65</v>
      </c>
      <c r="Z25" s="85">
        <f>Tabela1[[#This Row],[Pós TGP (g/dL)]]</f>
        <v>117</v>
      </c>
      <c r="AA25" s="85">
        <f>Tabela1[[#This Row],[Pré GGT U/L]]</f>
        <v>17</v>
      </c>
      <c r="AB25" s="193">
        <f>Tabela1[[#This Row],[Pós GGT U/L]]</f>
        <v>21</v>
      </c>
      <c r="AC25" s="194" t="str">
        <f>Tabela1[[#This Row],[Pré Ac. Úrico (mg/dL)]]</f>
        <v>-</v>
      </c>
      <c r="AD25" s="125" t="str">
        <f>Tabela1[[#This Row],[Pós Ac. Úrico (mg/dL)2]]</f>
        <v>-</v>
      </c>
      <c r="AE2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25" s="85">
        <f>Tabela1[[#This Row],[Pré Ureia mg/dL]]</f>
        <v>37</v>
      </c>
      <c r="AH25" s="85">
        <f>Tabela1[[#This Row],[Pós Ureia mg/dL]]</f>
        <v>46</v>
      </c>
      <c r="AI25" s="125">
        <f>Tabela1[[#This Row],[Pré creatinina mg/dL]]</f>
        <v>0.8</v>
      </c>
      <c r="AJ25" s="125">
        <f>Tabela1[[#This Row],[Pós creatinina mg/dL]]</f>
        <v>0.8</v>
      </c>
      <c r="AK25" s="180">
        <f t="shared" si="0"/>
        <v>0</v>
      </c>
      <c r="AL25" s="125">
        <f>Tabela1[[#This Row],[Pré Fósforo mg/dL]]</f>
        <v>3.6</v>
      </c>
      <c r="AM25" s="125">
        <f>Tabela1[[#This Row],[Pós Fósforo mg/dL]]</f>
        <v>4</v>
      </c>
      <c r="AN25" s="125">
        <f>Tabela1[[#This Row],[Pré Proteína Total (g/dL)]]</f>
        <v>8</v>
      </c>
      <c r="AO25" s="125">
        <f>Tabela1[[#This Row],[Pós Proteína Total (g/dL)]]</f>
        <v>7.4</v>
      </c>
      <c r="AP25" s="85" t="str">
        <f>Tabela1[[#This Row],[Pré FE (ug/dL)]]</f>
        <v>-</v>
      </c>
      <c r="AQ25" s="193" t="str">
        <f>Tabela1[[#This Row],[Pós FE (ug/dL)]]</f>
        <v>-</v>
      </c>
      <c r="AR25" s="194">
        <f>Tabela1[[#This Row],[Pré calcio mg/dL]]</f>
        <v>9.6999999999999993</v>
      </c>
      <c r="AS25" s="125">
        <f>Tabela1[[#This Row],[Pós calcio mg/dL]]</f>
        <v>9</v>
      </c>
      <c r="AT25" s="125">
        <f>Tabela1[[#This Row],[Pré Potássio mmol/L]]</f>
        <v>4.4000000000000004</v>
      </c>
      <c r="AU25" s="125">
        <f>Tabela1[[#This Row],[Pós Potássio mmol/L]]</f>
        <v>4.0999999999999996</v>
      </c>
      <c r="AV25" s="85">
        <f>Tabela1[[#This Row],[Glicose pré]]</f>
        <v>116</v>
      </c>
      <c r="AW25" s="85">
        <f>Tabela1[[#This Row],[Glicose pós]]</f>
        <v>88</v>
      </c>
      <c r="AX25" s="85">
        <f>Tabela1[[#This Row],[Pré Sódio mmol/L]]</f>
        <v>137</v>
      </c>
      <c r="AY25" s="85">
        <f>Tabela1[[#This Row],[Pós Sódio mmol/L]]</f>
        <v>129</v>
      </c>
      <c r="AZ25" s="125" t="str">
        <f>Tabela1[[#This Row],[Pré Magnésio mg/dL]]</f>
        <v>-</v>
      </c>
      <c r="BA25" s="125" t="str">
        <f>Tabela1[[#This Row],[Pós Magnésio mg/dL]]</f>
        <v>-</v>
      </c>
      <c r="BB25" s="85" t="str">
        <f>Tabela1[[#This Row],[Pré Cloro mmol/L]]</f>
        <v>-</v>
      </c>
      <c r="BC25" s="85" t="str">
        <f>Tabela1[[#This Row],[Pós Cloro mmol/L]]</f>
        <v>-</v>
      </c>
      <c r="BD2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290.5817777777778</v>
      </c>
      <c r="BE2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274.85488888888892</v>
      </c>
      <c r="BF25" s="194">
        <f>Tabela1[[#This Row],[Pré RBC 10^6/mm³]]</f>
        <v>4.6500000000000004</v>
      </c>
      <c r="BG25" s="125">
        <f>Tabela1[[#This Row],[Pós RBC 10^6/mm³]]</f>
        <v>4.32</v>
      </c>
      <c r="BH25" s="125">
        <f>Tabela1[[#This Row],[Pré HGB g/dL]]</f>
        <v>14.3</v>
      </c>
      <c r="BI25" s="125">
        <f>Tabela1[[#This Row],[Pós HGB g/dL]]</f>
        <v>13.1</v>
      </c>
      <c r="BJ25" s="125">
        <f>Tabela1[[#This Row],[Pré HCT %]]</f>
        <v>43.6</v>
      </c>
      <c r="BK25" s="125">
        <f>Tabela1[[#This Row],[Pós HCT %]]</f>
        <v>40.4</v>
      </c>
      <c r="BL25" s="125">
        <f>Tabela1[[#This Row],[Pré MCV fL]]</f>
        <v>93.8</v>
      </c>
      <c r="BM25" s="125">
        <f>Tabela1[[#This Row],[Pós MCV fL]]</f>
        <v>93.5</v>
      </c>
      <c r="BN25" s="125">
        <f>Tabela1[[#This Row],[Pré MCH pg]]</f>
        <v>30.8</v>
      </c>
      <c r="BO25" s="125">
        <f>Tabela1[[#This Row],[Pós MCH pg]]</f>
        <v>30.3</v>
      </c>
      <c r="BP25" s="125">
        <f>Tabela1[[#This Row],[Pré MCHC g/dL]]</f>
        <v>32.799999999999997</v>
      </c>
      <c r="BQ25" s="125">
        <f>Tabela1[[#This Row],[Pós MCHC g/dL]]</f>
        <v>32.4</v>
      </c>
      <c r="BR25" s="85">
        <f>Tabela1[[#This Row],[Pré PLT 10³/mm³]]</f>
        <v>262</v>
      </c>
      <c r="BS25" s="85">
        <f>Tabela1[[#This Row],[Pós PLT 10³/mm³]]</f>
        <v>202</v>
      </c>
      <c r="BT25" s="125">
        <f>Tabela1[[#This Row],[Pré RDW %]]</f>
        <v>12.8</v>
      </c>
      <c r="BU25" s="125">
        <f>Tabela1[[#This Row],[Pós RDW %]]</f>
        <v>12.4</v>
      </c>
      <c r="BV25" s="179">
        <f>Tabela1[[#This Row],[Pré RET %]]</f>
        <v>1.51</v>
      </c>
      <c r="BW25" s="196">
        <f>Tabela1[[#This Row],[Pós RET %]]</f>
        <v>1.18</v>
      </c>
      <c r="BX25" s="197">
        <f>Tabela1[[#This Row],[Pré WBC 10³/mm³]]</f>
        <v>11</v>
      </c>
      <c r="BY25" s="179">
        <f>Tabela1[[#This Row],[Pós WBC 10³/mm³]]</f>
        <v>3.5</v>
      </c>
      <c r="BZ25" s="125">
        <f>Tabela1[[#This Row],[Pré NEUT %]]</f>
        <v>71.400000000000006</v>
      </c>
      <c r="CA25" s="125">
        <f>Tabela1[[#This Row],[Pós NEUT %]]</f>
        <v>55.9</v>
      </c>
      <c r="CB25" s="125">
        <f>Tabela1[[#This Row],[Pré LINF %]]</f>
        <v>20.399999999999999</v>
      </c>
      <c r="CC25" s="125">
        <f>Tabela1[[#This Row],[Pós LINF %]]</f>
        <v>32</v>
      </c>
      <c r="CD25" s="125">
        <f>Tabela1[[#This Row],[Pré MONO %]]</f>
        <v>7.4</v>
      </c>
      <c r="CE25" s="125">
        <f>Tabela1[[#This Row],[Pós MONO %]]</f>
        <v>10.9</v>
      </c>
      <c r="CF25" s="125">
        <f>Tabela1[[#This Row],[Pré EOS %]]</f>
        <v>0.4</v>
      </c>
      <c r="CG25" s="125">
        <f>Tabela1[[#This Row],[Pós EOS %]]</f>
        <v>0.6</v>
      </c>
      <c r="CH25" s="125">
        <f>Tabela1[[#This Row],[Pré BASO %]]</f>
        <v>0.4</v>
      </c>
      <c r="CI25" s="198">
        <f>Tabela1[[#This Row],[Pós BASO %]]</f>
        <v>0.6</v>
      </c>
      <c r="CJ25" s="199" t="str">
        <f t="shared" si="1"/>
        <v>NÃO</v>
      </c>
      <c r="CK25" s="200" t="str">
        <f t="shared" si="2"/>
        <v>SIM</v>
      </c>
      <c r="CL25" s="194">
        <f t="shared" si="3"/>
        <v>71.280989999999989</v>
      </c>
      <c r="CM25" s="125">
        <f>Tabela1[[#This Row],[MCT KG]]</f>
        <v>80.099999999999994</v>
      </c>
      <c r="CN25" s="85">
        <f>Tabela1[[#This Row],[ESTATURA]]</f>
        <v>184</v>
      </c>
      <c r="CO25" s="85">
        <f>Tabela1[[#This Row],[vo2max estimado]]</f>
        <v>51.35</v>
      </c>
      <c r="CP25" s="85">
        <f>Tabela1[[#This Row],[Handgrip     Dominante]]</f>
        <v>57</v>
      </c>
      <c r="CQ25" s="85">
        <f>Tabela1[[#This Row],[Handgrip Contrário]]</f>
        <v>55</v>
      </c>
      <c r="CR25" s="281">
        <f>Tabela1[[#This Row],[% gordura]]</f>
        <v>11.01</v>
      </c>
    </row>
    <row r="26" spans="1:97" ht="15.75" customHeight="1">
      <c r="A26" s="279">
        <f>Tabela1[[#This Row],[Ano]]</f>
        <v>2017</v>
      </c>
      <c r="B26" s="181" t="str">
        <f>Tabela1[[#This Row],[Missão]]</f>
        <v>Marambaia</v>
      </c>
      <c r="C26" s="181">
        <f>Tabela1[[#This Row],[Aluno]]</f>
        <v>3114</v>
      </c>
      <c r="D26" s="181">
        <f>Tabela1[[#This Row],[Idade]]</f>
        <v>30</v>
      </c>
      <c r="E26" s="182">
        <f>Tabela1[[#This Row],[Peso Kg]]</f>
        <v>73</v>
      </c>
      <c r="F26" s="191">
        <f>Tabela1[[#This Row],[Cor da pele]]</f>
        <v>1</v>
      </c>
      <c r="G26" s="192" t="str">
        <f>Tabela1[[#This Row],[ACTN3]]</f>
        <v>RX</v>
      </c>
      <c r="H26" s="85" t="str">
        <f>Tabela1[[#This Row],[AGT]]</f>
        <v>MM</v>
      </c>
      <c r="I26" s="85" t="str">
        <f>Tabela1[[#This Row],[ECA]]</f>
        <v>DD</v>
      </c>
      <c r="J26" s="85" t="str">
        <f>Tabela1[[#This Row],[BDKRB2]]</f>
        <v>(+9, -9)</v>
      </c>
      <c r="K26" s="85">
        <f>Tabela1[[#This Row],[Score Força%]]</f>
        <v>50</v>
      </c>
      <c r="L26" s="193">
        <f>Tabela1[[#This Row],[Score Resistência %]]</f>
        <v>50</v>
      </c>
      <c r="M26" s="192">
        <f>Tabela1[[#This Row],[Pré CK (U/L)]]</f>
        <v>629</v>
      </c>
      <c r="N26" s="85">
        <f>Tabela1[[#This Row],[Pós CK (U/L)]]</f>
        <v>9545</v>
      </c>
      <c r="O26" s="85">
        <f>Tabela1[[#This Row],[Pré CK MB U/L]]</f>
        <v>32</v>
      </c>
      <c r="P26" s="85">
        <f>Tabela1[[#This Row],[Pós CK MB U/L]]</f>
        <v>110</v>
      </c>
      <c r="Q26" s="85" t="str">
        <f>Tabela1[[#This Row],[Pré Lactato (mmol/L)]]</f>
        <v>-</v>
      </c>
      <c r="R26" s="85" t="str">
        <f>Tabela1[[#This Row],[Pós Lactato (mmol/L)]]</f>
        <v>-</v>
      </c>
      <c r="S26" s="85">
        <f>Tabela1[[#This Row],[Pré LDH (U/L)]]</f>
        <v>707</v>
      </c>
      <c r="T26" s="85">
        <f>Tabela1[[#This Row],[Pós LDH (U/L)]]</f>
        <v>1681</v>
      </c>
      <c r="U26" s="85">
        <f>Tabela1[[#This Row],[Pré AST (U/L)]]</f>
        <v>69</v>
      </c>
      <c r="V26" s="193">
        <f>Tabela1[[#This Row],[Pós AST (U/L)]]</f>
        <v>224</v>
      </c>
      <c r="W26" s="194">
        <f>Tabela1[[#This Row],[Pré Albumina (g/dL)]]</f>
        <v>4.5</v>
      </c>
      <c r="X26" s="125">
        <f>Tabela1[[#This Row],[Pós Albumina (g/dL)]]</f>
        <v>4.0999999999999996</v>
      </c>
      <c r="Y26" s="85">
        <f>Tabela1[[#This Row],[Pré TGP (g/dL)]]</f>
        <v>69</v>
      </c>
      <c r="Z26" s="85">
        <f>Tabela1[[#This Row],[Pós TGP (g/dL)]]</f>
        <v>110</v>
      </c>
      <c r="AA26" s="85">
        <f>Tabela1[[#This Row],[Pré GGT U/L]]</f>
        <v>10</v>
      </c>
      <c r="AB26" s="193">
        <f>Tabela1[[#This Row],[Pós GGT U/L]]</f>
        <v>11</v>
      </c>
      <c r="AC26" s="194" t="str">
        <f>Tabela1[[#This Row],[Pré Ac. Úrico (mg/dL)]]</f>
        <v>-</v>
      </c>
      <c r="AD26" s="125" t="str">
        <f>Tabela1[[#This Row],[Pós Ac. Úrico (mg/dL)2]]</f>
        <v>-</v>
      </c>
      <c r="AE2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128.71280700150223</v>
      </c>
      <c r="AG26" s="85">
        <f>Tabela1[[#This Row],[Pré Ureia mg/dL]]</f>
        <v>42</v>
      </c>
      <c r="AH26" s="85">
        <f>Tabela1[[#This Row],[Pós Ureia mg/dL]]</f>
        <v>60</v>
      </c>
      <c r="AI26" s="125">
        <f>Tabela1[[#This Row],[Pré creatinina mg/dL]]</f>
        <v>0.9</v>
      </c>
      <c r="AJ26" s="125">
        <f>Tabela1[[#This Row],[Pós creatinina mg/dL]]</f>
        <v>0.7</v>
      </c>
      <c r="AK26" s="180">
        <f t="shared" si="0"/>
        <v>0</v>
      </c>
      <c r="AL26" s="125">
        <f>Tabela1[[#This Row],[Pré Fósforo mg/dL]]</f>
        <v>2.8</v>
      </c>
      <c r="AM26" s="125">
        <f>Tabela1[[#This Row],[Pós Fósforo mg/dL]]</f>
        <v>3.7</v>
      </c>
      <c r="AN26" s="125">
        <f>Tabela1[[#This Row],[Pré Proteína Total (g/dL)]]</f>
        <v>7.5</v>
      </c>
      <c r="AO26" s="125">
        <f>Tabela1[[#This Row],[Pós Proteína Total (g/dL)]]</f>
        <v>7.1</v>
      </c>
      <c r="AP26" s="85" t="str">
        <f>Tabela1[[#This Row],[Pré FE (ug/dL)]]</f>
        <v>-</v>
      </c>
      <c r="AQ26" s="193" t="str">
        <f>Tabela1[[#This Row],[Pós FE (ug/dL)]]</f>
        <v>-</v>
      </c>
      <c r="AR26" s="194">
        <f>Tabela1[[#This Row],[Pré calcio mg/dL]]</f>
        <v>10</v>
      </c>
      <c r="AS26" s="125">
        <f>Tabela1[[#This Row],[Pós calcio mg/dL]]</f>
        <v>9.3000000000000007</v>
      </c>
      <c r="AT26" s="125">
        <f>Tabela1[[#This Row],[Pré Potássio mmol/L]]</f>
        <v>4.5999999999999996</v>
      </c>
      <c r="AU26" s="125">
        <f>Tabela1[[#This Row],[Pós Potássio mmol/L]]</f>
        <v>4.9000000000000004</v>
      </c>
      <c r="AV26" s="85">
        <f>Tabela1[[#This Row],[Glicose pré]]</f>
        <v>89</v>
      </c>
      <c r="AW26" s="85">
        <f>Tabela1[[#This Row],[Glicose pós]]</f>
        <v>95</v>
      </c>
      <c r="AX26" s="85">
        <f>Tabela1[[#This Row],[Pré Sódio mmol/L]]</f>
        <v>135</v>
      </c>
      <c r="AY26" s="85">
        <f>Tabela1[[#This Row],[Pós Sódio mmol/L]]</f>
        <v>136</v>
      </c>
      <c r="AZ26" s="125" t="str">
        <f>Tabela1[[#This Row],[Pré Magnésio mg/dL]]</f>
        <v>-</v>
      </c>
      <c r="BA26" s="125" t="str">
        <f>Tabela1[[#This Row],[Pós Magnésio mg/dL]]</f>
        <v>-</v>
      </c>
      <c r="BB26" s="85" t="str">
        <f>Tabela1[[#This Row],[Pré Cloro mmol/L]]</f>
        <v>-</v>
      </c>
      <c r="BC26" s="85" t="str">
        <f>Tabela1[[#This Row],[Pós Cloro mmol/L]]</f>
        <v>-</v>
      </c>
      <c r="BD2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286.34211111111114</v>
      </c>
      <c r="BE2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292.14344444444447</v>
      </c>
      <c r="BF26" s="194">
        <f>Tabela1[[#This Row],[Pré RBC 10^6/mm³]]</f>
        <v>5.09</v>
      </c>
      <c r="BG26" s="125">
        <f>Tabela1[[#This Row],[Pós RBC 10^6/mm³]]</f>
        <v>4.4400000000000004</v>
      </c>
      <c r="BH26" s="125">
        <f>Tabela1[[#This Row],[Pré HGB g/dL]]</f>
        <v>14.6</v>
      </c>
      <c r="BI26" s="125">
        <f>Tabela1[[#This Row],[Pós HGB g/dL]]</f>
        <v>12.8</v>
      </c>
      <c r="BJ26" s="125">
        <f>Tabela1[[#This Row],[Pré HCT %]]</f>
        <v>46.5</v>
      </c>
      <c r="BK26" s="125">
        <f>Tabela1[[#This Row],[Pós HCT %]]</f>
        <v>42.3</v>
      </c>
      <c r="BL26" s="125">
        <f>Tabela1[[#This Row],[Pré MCV fL]]</f>
        <v>91.4</v>
      </c>
      <c r="BM26" s="125">
        <f>Tabela1[[#This Row],[Pós MCV fL]]</f>
        <v>95.3</v>
      </c>
      <c r="BN26" s="125">
        <f>Tabela1[[#This Row],[Pré MCH pg]]</f>
        <v>28.7</v>
      </c>
      <c r="BO26" s="125">
        <f>Tabela1[[#This Row],[Pós MCH pg]]</f>
        <v>28.8</v>
      </c>
      <c r="BP26" s="125">
        <f>Tabela1[[#This Row],[Pré MCHC g/dL]]</f>
        <v>31.4</v>
      </c>
      <c r="BQ26" s="125">
        <f>Tabela1[[#This Row],[Pós MCHC g/dL]]</f>
        <v>30.3</v>
      </c>
      <c r="BR26" s="85">
        <f>Tabela1[[#This Row],[Pré PLT 10³/mm³]]</f>
        <v>327</v>
      </c>
      <c r="BS26" s="85">
        <f>Tabela1[[#This Row],[Pós PLT 10³/mm³]]</f>
        <v>349</v>
      </c>
      <c r="BT26" s="125">
        <f>Tabela1[[#This Row],[Pré RDW %]]</f>
        <v>12.7</v>
      </c>
      <c r="BU26" s="125">
        <f>Tabela1[[#This Row],[Pós RDW %]]</f>
        <v>12.7</v>
      </c>
      <c r="BV26" s="179">
        <f>Tabela1[[#This Row],[Pré RET %]]</f>
        <v>0.63</v>
      </c>
      <c r="BW26" s="196">
        <f>Tabela1[[#This Row],[Pós RET %]]</f>
        <v>1.0900000000000001</v>
      </c>
      <c r="BX26" s="197">
        <f>Tabela1[[#This Row],[Pré WBC 10³/mm³]]</f>
        <v>7.14</v>
      </c>
      <c r="BY26" s="179">
        <f>Tabela1[[#This Row],[Pós WBC 10³/mm³]]</f>
        <v>3.96</v>
      </c>
      <c r="BZ26" s="125">
        <f>Tabela1[[#This Row],[Pré NEUT %]]</f>
        <v>65</v>
      </c>
      <c r="CA26" s="125">
        <f>Tabela1[[#This Row],[Pós NEUT %]]</f>
        <v>57.6</v>
      </c>
      <c r="CB26" s="125">
        <f>Tabela1[[#This Row],[Pré LINF %]]</f>
        <v>22.4</v>
      </c>
      <c r="CC26" s="125">
        <f>Tabela1[[#This Row],[Pós LINF %]]</f>
        <v>25.5</v>
      </c>
      <c r="CD26" s="125">
        <f>Tabela1[[#This Row],[Pré MONO %]]</f>
        <v>11.1</v>
      </c>
      <c r="CE26" s="125">
        <f>Tabela1[[#This Row],[Pós MONO %]]</f>
        <v>16.399999999999999</v>
      </c>
      <c r="CF26" s="125">
        <f>Tabela1[[#This Row],[Pré EOS %]]</f>
        <v>0.8</v>
      </c>
      <c r="CG26" s="125">
        <f>Tabela1[[#This Row],[Pós EOS %]]</f>
        <v>0</v>
      </c>
      <c r="CH26" s="125">
        <f>Tabela1[[#This Row],[Pré BASO %]]</f>
        <v>0.7</v>
      </c>
      <c r="CI26" s="198">
        <f>Tabela1[[#This Row],[Pós BASO %]]</f>
        <v>0.5</v>
      </c>
      <c r="CJ26" s="199" t="str">
        <f t="shared" si="1"/>
        <v>NÃO</v>
      </c>
      <c r="CK26" s="200" t="str">
        <f t="shared" si="2"/>
        <v>SIM</v>
      </c>
      <c r="CL26" s="194">
        <f t="shared" si="3"/>
        <v>66.363659999999996</v>
      </c>
      <c r="CM26" s="125">
        <f>Tabela1[[#This Row],[MCT KG]]</f>
        <v>72.599999999999994</v>
      </c>
      <c r="CN26" s="85">
        <f>Tabela1[[#This Row],[ESTATURA]]</f>
        <v>180</v>
      </c>
      <c r="CO26" s="85">
        <f>Tabela1[[#This Row],[vo2max estimado]]</f>
        <v>52.5</v>
      </c>
      <c r="CP26" s="85">
        <f>Tabela1[[#This Row],[Handgrip     Dominante]]</f>
        <v>45</v>
      </c>
      <c r="CQ26" s="85">
        <f>Tabela1[[#This Row],[Handgrip Contrário]]</f>
        <v>42</v>
      </c>
      <c r="CR26" s="281">
        <f>Tabela1[[#This Row],[% gordura]]</f>
        <v>8.59</v>
      </c>
    </row>
    <row r="27" spans="1:97" ht="15.75" customHeight="1">
      <c r="A27" s="279">
        <f>Tabela1[[#This Row],[Ano]]</f>
        <v>2017</v>
      </c>
      <c r="B27" s="181" t="str">
        <f>Tabela1[[#This Row],[Missão]]</f>
        <v>Marambaia</v>
      </c>
      <c r="C27" s="181">
        <f>Tabela1[[#This Row],[Aluno]]</f>
        <v>3119</v>
      </c>
      <c r="D27" s="181">
        <f>Tabela1[[#This Row],[Idade]]</f>
        <v>28</v>
      </c>
      <c r="E27" s="182">
        <f>Tabela1[[#This Row],[Peso Kg]]</f>
        <v>75</v>
      </c>
      <c r="F27" s="191">
        <f>Tabela1[[#This Row],[Cor da pele]]</f>
        <v>1</v>
      </c>
      <c r="G27" s="192" t="str">
        <f>Tabela1[[#This Row],[ACTN3]]</f>
        <v>RX</v>
      </c>
      <c r="H27" s="85" t="str">
        <f>Tabela1[[#This Row],[AGT]]</f>
        <v>TT</v>
      </c>
      <c r="I27" s="85" t="str">
        <f>Tabela1[[#This Row],[ECA]]</f>
        <v>DD</v>
      </c>
      <c r="J27" s="85" t="str">
        <f>Tabela1[[#This Row],[BDKRB2]]</f>
        <v>(-9, -9)</v>
      </c>
      <c r="K27" s="85">
        <f>Tabela1[[#This Row],[Score Força%]]</f>
        <v>62.5</v>
      </c>
      <c r="L27" s="193">
        <f>Tabela1[[#This Row],[Score Resistência %]]</f>
        <v>37.5</v>
      </c>
      <c r="M27" s="192">
        <f>Tabela1[[#This Row],[Pré CK (U/L)]]</f>
        <v>538</v>
      </c>
      <c r="N27" s="85">
        <f>Tabela1[[#This Row],[Pós CK (U/L)]]</f>
        <v>35847</v>
      </c>
      <c r="O27" s="85">
        <f>Tabela1[[#This Row],[Pré CK MB U/L]]</f>
        <v>32</v>
      </c>
      <c r="P27" s="85">
        <f>Tabela1[[#This Row],[Pós CK MB U/L]]</f>
        <v>446</v>
      </c>
      <c r="Q27" s="85" t="str">
        <f>Tabela1[[#This Row],[Pré Lactato (mmol/L)]]</f>
        <v>-</v>
      </c>
      <c r="R27" s="85" t="str">
        <f>Tabela1[[#This Row],[Pós Lactato (mmol/L)]]</f>
        <v>-</v>
      </c>
      <c r="S27" s="85">
        <f>Tabela1[[#This Row],[Pré LDH (U/L)]]</f>
        <v>825</v>
      </c>
      <c r="T27" s="85">
        <f>Tabela1[[#This Row],[Pós LDH (U/L)]]</f>
        <v>2776</v>
      </c>
      <c r="U27" s="85">
        <f>Tabela1[[#This Row],[Pré AST (U/L)]]</f>
        <v>67</v>
      </c>
      <c r="V27" s="193">
        <f>Tabela1[[#This Row],[Pós AST (U/L)]]</f>
        <v>773</v>
      </c>
      <c r="W27" s="194">
        <f>Tabela1[[#This Row],[Pré Albumina (g/dL)]]</f>
        <v>4.4000000000000004</v>
      </c>
      <c r="X27" s="125">
        <f>Tabela1[[#This Row],[Pós Albumina (g/dL)]]</f>
        <v>3.9</v>
      </c>
      <c r="Y27" s="85">
        <f>Tabela1[[#This Row],[Pré TGP (g/dL)]]</f>
        <v>107</v>
      </c>
      <c r="Z27" s="85">
        <f>Tabela1[[#This Row],[Pós TGP (g/dL)]]</f>
        <v>172</v>
      </c>
      <c r="AA27" s="85">
        <f>Tabela1[[#This Row],[Pré GGT U/L]]</f>
        <v>56</v>
      </c>
      <c r="AB27" s="193">
        <f>Tabela1[[#This Row],[Pós GGT U/L]]</f>
        <v>47</v>
      </c>
      <c r="AC27" s="194" t="str">
        <f>Tabela1[[#This Row],[Pré Ac. Úrico (mg/dL)]]</f>
        <v>-</v>
      </c>
      <c r="AD27" s="125" t="str">
        <f>Tabela1[[#This Row],[Pós Ac. Úrico (mg/dL)2]]</f>
        <v>-</v>
      </c>
      <c r="AE2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7" s="85">
        <f>Tabela1[[#This Row],[Pré Ureia mg/dL]]</f>
        <v>26</v>
      </c>
      <c r="AH27" s="85">
        <f>Tabela1[[#This Row],[Pós Ureia mg/dL]]</f>
        <v>55</v>
      </c>
      <c r="AI27" s="125">
        <f>Tabela1[[#This Row],[Pré creatinina mg/dL]]</f>
        <v>1</v>
      </c>
      <c r="AJ27" s="125">
        <f>Tabela1[[#This Row],[Pós creatinina mg/dL]]</f>
        <v>0.9</v>
      </c>
      <c r="AK27" s="180">
        <f t="shared" si="0"/>
        <v>0</v>
      </c>
      <c r="AL27" s="125">
        <f>Tabela1[[#This Row],[Pré Fósforo mg/dL]]</f>
        <v>3.3</v>
      </c>
      <c r="AM27" s="125">
        <f>Tabela1[[#This Row],[Pós Fósforo mg/dL]]</f>
        <v>4</v>
      </c>
      <c r="AN27" s="125">
        <f>Tabela1[[#This Row],[Pré Proteína Total (g/dL)]]</f>
        <v>7.2</v>
      </c>
      <c r="AO27" s="125">
        <f>Tabela1[[#This Row],[Pós Proteína Total (g/dL)]]</f>
        <v>6.6</v>
      </c>
      <c r="AP27" s="85" t="str">
        <f>Tabela1[[#This Row],[Pré FE (ug/dL)]]</f>
        <v>-</v>
      </c>
      <c r="AQ27" s="193" t="str">
        <f>Tabela1[[#This Row],[Pós FE (ug/dL)]]</f>
        <v>-</v>
      </c>
      <c r="AR27" s="194">
        <f>Tabela1[[#This Row],[Pré calcio mg/dL]]</f>
        <v>9.9</v>
      </c>
      <c r="AS27" s="125">
        <f>Tabela1[[#This Row],[Pós calcio mg/dL]]</f>
        <v>9</v>
      </c>
      <c r="AT27" s="125">
        <f>Tabela1[[#This Row],[Pré Potássio mmol/L]]</f>
        <v>4.5999999999999996</v>
      </c>
      <c r="AU27" s="125">
        <f>Tabela1[[#This Row],[Pós Potássio mmol/L]]</f>
        <v>4.0999999999999996</v>
      </c>
      <c r="AV27" s="85">
        <f>Tabela1[[#This Row],[Glicose pré]]</f>
        <v>94</v>
      </c>
      <c r="AW27" s="85">
        <f>Tabela1[[#This Row],[Glicose pós]]</f>
        <v>89</v>
      </c>
      <c r="AX27" s="85">
        <f>Tabela1[[#This Row],[Pré Sódio mmol/L]]</f>
        <v>135</v>
      </c>
      <c r="AY27" s="85">
        <f>Tabela1[[#This Row],[Pós Sódio mmol/L]]</f>
        <v>136</v>
      </c>
      <c r="AZ27" s="125" t="str">
        <f>Tabela1[[#This Row],[Pré Magnésio mg/dL]]</f>
        <v>-</v>
      </c>
      <c r="BA27" s="125" t="str">
        <f>Tabela1[[#This Row],[Pós Magnésio mg/dL]]</f>
        <v>-</v>
      </c>
      <c r="BB27" s="85" t="str">
        <f>Tabela1[[#This Row],[Pré Cloro mmol/L]]</f>
        <v>-</v>
      </c>
      <c r="BC27" s="85" t="str">
        <f>Tabela1[[#This Row],[Pós Cloro mmol/L]]</f>
        <v>-</v>
      </c>
      <c r="BD2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283.99488888888885</v>
      </c>
      <c r="BE2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289.43877777777783</v>
      </c>
      <c r="BF27" s="194">
        <f>Tabela1[[#This Row],[Pré RBC 10^6/mm³]]</f>
        <v>4.5999999999999996</v>
      </c>
      <c r="BG27" s="125">
        <f>Tabela1[[#This Row],[Pós RBC 10^6/mm³]]</f>
        <v>4.1100000000000003</v>
      </c>
      <c r="BH27" s="125">
        <f>Tabela1[[#This Row],[Pré HGB g/dL]]</f>
        <v>13.5</v>
      </c>
      <c r="BI27" s="125">
        <f>Tabela1[[#This Row],[Pós HGB g/dL]]</f>
        <v>12.2</v>
      </c>
      <c r="BJ27" s="125">
        <f>Tabela1[[#This Row],[Pré HCT %]]</f>
        <v>41.6</v>
      </c>
      <c r="BK27" s="125">
        <f>Tabela1[[#This Row],[Pós HCT %]]</f>
        <v>37.5</v>
      </c>
      <c r="BL27" s="125">
        <f>Tabela1[[#This Row],[Pré MCV fL]]</f>
        <v>90.4</v>
      </c>
      <c r="BM27" s="125">
        <f>Tabela1[[#This Row],[Pós MCV fL]]</f>
        <v>91.2</v>
      </c>
      <c r="BN27" s="125">
        <f>Tabela1[[#This Row],[Pré MCH pg]]</f>
        <v>29.3</v>
      </c>
      <c r="BO27" s="125">
        <f>Tabela1[[#This Row],[Pós MCH pg]]</f>
        <v>29.7</v>
      </c>
      <c r="BP27" s="125">
        <f>Tabela1[[#This Row],[Pré MCHC g/dL]]</f>
        <v>32.5</v>
      </c>
      <c r="BQ27" s="125">
        <f>Tabela1[[#This Row],[Pós MCHC g/dL]]</f>
        <v>32.5</v>
      </c>
      <c r="BR27" s="85">
        <f>Tabela1[[#This Row],[Pré PLT 10³/mm³]]</f>
        <v>298</v>
      </c>
      <c r="BS27" s="85">
        <f>Tabela1[[#This Row],[Pós PLT 10³/mm³]]</f>
        <v>193</v>
      </c>
      <c r="BT27" s="125">
        <f>Tabela1[[#This Row],[Pré RDW %]]</f>
        <v>13.6</v>
      </c>
      <c r="BU27" s="125">
        <f>Tabela1[[#This Row],[Pós RDW %]]</f>
        <v>13.6</v>
      </c>
      <c r="BV27" s="179">
        <f>Tabela1[[#This Row],[Pré RET %]]</f>
        <v>1.1299999999999999</v>
      </c>
      <c r="BW27" s="196">
        <f>Tabela1[[#This Row],[Pós RET %]]</f>
        <v>1.47</v>
      </c>
      <c r="BX27" s="197">
        <f>Tabela1[[#This Row],[Pré WBC 10³/mm³]]</f>
        <v>5.86</v>
      </c>
      <c r="BY27" s="179">
        <f>Tabela1[[#This Row],[Pós WBC 10³/mm³]]</f>
        <v>3.44</v>
      </c>
      <c r="BZ27" s="125">
        <f>Tabela1[[#This Row],[Pré NEUT %]]</f>
        <v>67</v>
      </c>
      <c r="CA27" s="125">
        <f>Tabela1[[#This Row],[Pós NEUT %]]</f>
        <v>59.3</v>
      </c>
      <c r="CB27" s="125">
        <f>Tabela1[[#This Row],[Pré LINF %]]</f>
        <v>20.5</v>
      </c>
      <c r="CC27" s="125">
        <f>Tabela1[[#This Row],[Pós LINF %]]</f>
        <v>18.3</v>
      </c>
      <c r="CD27" s="125">
        <f>Tabela1[[#This Row],[Pré MONO %]]</f>
        <v>9.6</v>
      </c>
      <c r="CE27" s="125">
        <f>Tabela1[[#This Row],[Pós MONO %]]</f>
        <v>18.3</v>
      </c>
      <c r="CF27" s="125">
        <f>Tabela1[[#This Row],[Pré EOS %]]</f>
        <v>1.9</v>
      </c>
      <c r="CG27" s="125">
        <f>Tabela1[[#This Row],[Pós EOS %]]</f>
        <v>3.2</v>
      </c>
      <c r="CH27" s="125">
        <f>Tabela1[[#This Row],[Pré BASO %]]</f>
        <v>1</v>
      </c>
      <c r="CI27" s="198">
        <f>Tabela1[[#This Row],[Pós BASO %]]</f>
        <v>0.9</v>
      </c>
      <c r="CJ27" s="199" t="str">
        <f t="shared" si="1"/>
        <v>NÃO</v>
      </c>
      <c r="CK27" s="200" t="str">
        <f t="shared" si="2"/>
        <v>SIM</v>
      </c>
      <c r="CL27" s="194">
        <f t="shared" si="3"/>
        <v>69.236999999999995</v>
      </c>
      <c r="CM27" s="125">
        <f>Tabela1[[#This Row],[MCT KG]]</f>
        <v>73.5</v>
      </c>
      <c r="CN27" s="85">
        <f>Tabela1[[#This Row],[ESTATURA]]</f>
        <v>177</v>
      </c>
      <c r="CO27" s="85">
        <f>Tabela1[[#This Row],[vo2max estimado]]</f>
        <v>53.28</v>
      </c>
      <c r="CP27" s="85">
        <f>Tabela1[[#This Row],[Handgrip     Dominante]]</f>
        <v>52.5</v>
      </c>
      <c r="CQ27" s="85">
        <f>Tabela1[[#This Row],[Handgrip Contrário]]</f>
        <v>50</v>
      </c>
      <c r="CR27" s="281">
        <f>Tabela1[[#This Row],[% gordura]]</f>
        <v>5.8</v>
      </c>
    </row>
    <row r="28" spans="1:97" ht="15.75" customHeight="1">
      <c r="A28" s="279">
        <f>Tabela1[[#This Row],[Ano]]</f>
        <v>2017</v>
      </c>
      <c r="B28" s="181" t="str">
        <f>Tabela1[[#This Row],[Missão]]</f>
        <v>Marambaia</v>
      </c>
      <c r="C28" s="181">
        <f>Tabela1[[#This Row],[Aluno]]</f>
        <v>3123</v>
      </c>
      <c r="D28" s="181">
        <f>Tabela1[[#This Row],[Idade]]</f>
        <v>27</v>
      </c>
      <c r="E28" s="182">
        <f>Tabela1[[#This Row],[Peso Kg]]</f>
        <v>89</v>
      </c>
      <c r="F28" s="191">
        <f>Tabela1[[#This Row],[Cor da pele]]</f>
        <v>1</v>
      </c>
      <c r="G28" s="192" t="str">
        <f>Tabela1[[#This Row],[ACTN3]]</f>
        <v>RX</v>
      </c>
      <c r="H28" s="85" t="str">
        <f>Tabela1[[#This Row],[AGT]]</f>
        <v>TT</v>
      </c>
      <c r="I28" s="85" t="str">
        <f>Tabela1[[#This Row],[ECA]]</f>
        <v>ID</v>
      </c>
      <c r="J28" s="85" t="str">
        <f>Tabela1[[#This Row],[BDKRB2]]</f>
        <v>(+9, +9)</v>
      </c>
      <c r="K28" s="85">
        <f>Tabela1[[#This Row],[Score Força%]]</f>
        <v>75</v>
      </c>
      <c r="L28" s="193">
        <f>Tabela1[[#This Row],[Score Resistência %]]</f>
        <v>25</v>
      </c>
      <c r="M28" s="192">
        <f>Tabela1[[#This Row],[Pré CK (U/L)]]</f>
        <v>646</v>
      </c>
      <c r="N28" s="85">
        <f>Tabela1[[#This Row],[Pós CK (U/L)]]</f>
        <v>4616</v>
      </c>
      <c r="O28" s="85">
        <f>Tabela1[[#This Row],[Pré CK MB U/L]]</f>
        <v>19</v>
      </c>
      <c r="P28" s="85">
        <f>Tabela1[[#This Row],[Pós CK MB U/L]]</f>
        <v>36</v>
      </c>
      <c r="Q28" s="85" t="str">
        <f>Tabela1[[#This Row],[Pré Lactato (mmol/L)]]</f>
        <v>-</v>
      </c>
      <c r="R28" s="85" t="str">
        <f>Tabela1[[#This Row],[Pós Lactato (mmol/L)]]</f>
        <v>-</v>
      </c>
      <c r="S28" s="85">
        <f>Tabela1[[#This Row],[Pré LDH (U/L)]]</f>
        <v>685</v>
      </c>
      <c r="T28" s="85">
        <f>Tabela1[[#This Row],[Pós LDH (U/L)]]</f>
        <v>1579</v>
      </c>
      <c r="U28" s="85">
        <f>Tabela1[[#This Row],[Pré AST (U/L)]]</f>
        <v>54</v>
      </c>
      <c r="V28" s="193">
        <f>Tabela1[[#This Row],[Pós AST (U/L)]]</f>
        <v>170</v>
      </c>
      <c r="W28" s="194">
        <f>Tabela1[[#This Row],[Pré Albumina (g/dL)]]</f>
        <v>4.3</v>
      </c>
      <c r="X28" s="125">
        <f>Tabela1[[#This Row],[Pós Albumina (g/dL)]]</f>
        <v>4.5999999999999996</v>
      </c>
      <c r="Y28" s="85">
        <f>Tabela1[[#This Row],[Pré TGP (g/dL)]]</f>
        <v>53</v>
      </c>
      <c r="Z28" s="85">
        <f>Tabela1[[#This Row],[Pós TGP (g/dL)]]</f>
        <v>65</v>
      </c>
      <c r="AA28" s="85">
        <f>Tabela1[[#This Row],[Pré GGT U/L]]</f>
        <v>19</v>
      </c>
      <c r="AB28" s="193">
        <f>Tabela1[[#This Row],[Pós GGT U/L]]</f>
        <v>17</v>
      </c>
      <c r="AC28" s="194" t="str">
        <f>Tabela1[[#This Row],[Pré Ac. Úrico (mg/dL)]]</f>
        <v>-</v>
      </c>
      <c r="AD28" s="125" t="str">
        <f>Tabela1[[#This Row],[Pós Ac. Úrico (mg/dL)2]]</f>
        <v>-</v>
      </c>
      <c r="AE2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8" s="85">
        <f>Tabela1[[#This Row],[Pré Ureia mg/dL]]</f>
        <v>28</v>
      </c>
      <c r="AH28" s="85">
        <f>Tabela1[[#This Row],[Pós Ureia mg/dL]]</f>
        <v>55</v>
      </c>
      <c r="AI28" s="125">
        <f>Tabela1[[#This Row],[Pré creatinina mg/dL]]</f>
        <v>0.8</v>
      </c>
      <c r="AJ28" s="125">
        <f>Tabela1[[#This Row],[Pós creatinina mg/dL]]</f>
        <v>0.9</v>
      </c>
      <c r="AK28" s="180">
        <f t="shared" si="0"/>
        <v>9.9999999999999978E-2</v>
      </c>
      <c r="AL28" s="125">
        <f>Tabela1[[#This Row],[Pré Fósforo mg/dL]]</f>
        <v>3.5</v>
      </c>
      <c r="AM28" s="125">
        <f>Tabela1[[#This Row],[Pós Fósforo mg/dL]]</f>
        <v>4.5999999999999996</v>
      </c>
      <c r="AN28" s="125">
        <f>Tabela1[[#This Row],[Pré Proteína Total (g/dL)]]</f>
        <v>7.9</v>
      </c>
      <c r="AO28" s="125">
        <f>Tabela1[[#This Row],[Pós Proteína Total (g/dL)]]</f>
        <v>8.1999999999999993</v>
      </c>
      <c r="AP28" s="85" t="str">
        <f>Tabela1[[#This Row],[Pré FE (ug/dL)]]</f>
        <v>-</v>
      </c>
      <c r="AQ28" s="193" t="str">
        <f>Tabela1[[#This Row],[Pós FE (ug/dL)]]</f>
        <v>-</v>
      </c>
      <c r="AR28" s="194">
        <f>Tabela1[[#This Row],[Pré calcio mg/dL]]</f>
        <v>9.6</v>
      </c>
      <c r="AS28" s="125">
        <f>Tabela1[[#This Row],[Pós calcio mg/dL]]</f>
        <v>9.6</v>
      </c>
      <c r="AT28" s="125">
        <f>Tabela1[[#This Row],[Pré Potássio mmol/L]]</f>
        <v>4.4000000000000004</v>
      </c>
      <c r="AU28" s="125">
        <f>Tabela1[[#This Row],[Pós Potássio mmol/L]]</f>
        <v>5</v>
      </c>
      <c r="AV28" s="85">
        <f>Tabela1[[#This Row],[Glicose pré]]</f>
        <v>84</v>
      </c>
      <c r="AW28" s="85">
        <f>Tabela1[[#This Row],[Glicose pós]]</f>
        <v>115</v>
      </c>
      <c r="AX28" s="85">
        <f>Tabela1[[#This Row],[Pré Sódio mmol/L]]</f>
        <v>136</v>
      </c>
      <c r="AY28" s="85">
        <f>Tabela1[[#This Row],[Pós Sódio mmol/L]]</f>
        <v>133</v>
      </c>
      <c r="AZ28" s="125" t="str">
        <f>Tabela1[[#This Row],[Pré Magnésio mg/dL]]</f>
        <v>-</v>
      </c>
      <c r="BA28" s="125" t="str">
        <f>Tabela1[[#This Row],[Pós Magnésio mg/dL]]</f>
        <v>-</v>
      </c>
      <c r="BB28" s="85" t="str">
        <f>Tabela1[[#This Row],[Pré Cloro mmol/L]]</f>
        <v>-</v>
      </c>
      <c r="BC28" s="85" t="str">
        <f>Tabela1[[#This Row],[Pós Cloro mmol/L]]</f>
        <v>-</v>
      </c>
      <c r="BD2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285.17733333333337</v>
      </c>
      <c r="BE2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287.19388888888892</v>
      </c>
      <c r="BF28" s="194">
        <f>Tabela1[[#This Row],[Pré RBC 10^6/mm³]]</f>
        <v>4.67</v>
      </c>
      <c r="BG28" s="125">
        <f>Tabela1[[#This Row],[Pós RBC 10^6/mm³]]</f>
        <v>4.3899999999999997</v>
      </c>
      <c r="BH28" s="125">
        <f>Tabela1[[#This Row],[Pré HGB g/dL]]</f>
        <v>12.4</v>
      </c>
      <c r="BI28" s="125">
        <f>Tabela1[[#This Row],[Pós HGB g/dL]]</f>
        <v>11.7</v>
      </c>
      <c r="BJ28" s="125">
        <f>Tabela1[[#This Row],[Pré HCT %]]</f>
        <v>38.6</v>
      </c>
      <c r="BK28" s="125">
        <f>Tabela1[[#This Row],[Pós HCT %]]</f>
        <v>36.799999999999997</v>
      </c>
      <c r="BL28" s="125">
        <f>Tabela1[[#This Row],[Pré MCV fL]]</f>
        <v>82.7</v>
      </c>
      <c r="BM28" s="125">
        <f>Tabela1[[#This Row],[Pós MCV fL]]</f>
        <v>83.8</v>
      </c>
      <c r="BN28" s="125">
        <f>Tabela1[[#This Row],[Pré MCH pg]]</f>
        <v>26.6</v>
      </c>
      <c r="BO28" s="125">
        <f>Tabela1[[#This Row],[Pós MCH pg]]</f>
        <v>26.7</v>
      </c>
      <c r="BP28" s="125">
        <f>Tabela1[[#This Row],[Pré MCHC g/dL]]</f>
        <v>32.1</v>
      </c>
      <c r="BQ28" s="125">
        <f>Tabela1[[#This Row],[Pós MCHC g/dL]]</f>
        <v>31.8</v>
      </c>
      <c r="BR28" s="85">
        <f>Tabela1[[#This Row],[Pré PLT 10³/mm³]]</f>
        <v>321</v>
      </c>
      <c r="BS28" s="85">
        <f>Tabela1[[#This Row],[Pós PLT 10³/mm³]]</f>
        <v>310</v>
      </c>
      <c r="BT28" s="125">
        <f>Tabela1[[#This Row],[Pré RDW %]]</f>
        <v>13.9</v>
      </c>
      <c r="BU28" s="125">
        <f>Tabela1[[#This Row],[Pós RDW %]]</f>
        <v>13.2</v>
      </c>
      <c r="BV28" s="179">
        <f>Tabela1[[#This Row],[Pré RET %]]</f>
        <v>0.91</v>
      </c>
      <c r="BW28" s="196">
        <f>Tabela1[[#This Row],[Pós RET %]]</f>
        <v>1.02</v>
      </c>
      <c r="BX28" s="197">
        <f>Tabela1[[#This Row],[Pré WBC 10³/mm³]]</f>
        <v>6.66</v>
      </c>
      <c r="BY28" s="179">
        <f>Tabela1[[#This Row],[Pós WBC 10³/mm³]]</f>
        <v>7.82</v>
      </c>
      <c r="BZ28" s="125">
        <f>Tabela1[[#This Row],[Pré NEUT %]]</f>
        <v>49.9</v>
      </c>
      <c r="CA28" s="125">
        <f>Tabela1[[#This Row],[Pós NEUT %]]</f>
        <v>67.2</v>
      </c>
      <c r="CB28" s="125">
        <f>Tabela1[[#This Row],[Pré LINF %]]</f>
        <v>34.4</v>
      </c>
      <c r="CC28" s="125">
        <f>Tabela1[[#This Row],[Pós LINF %]]</f>
        <v>20.8</v>
      </c>
      <c r="CD28" s="125">
        <f>Tabela1[[#This Row],[Pré MONO %]]</f>
        <v>10.7</v>
      </c>
      <c r="CE28" s="125">
        <f>Tabela1[[#This Row],[Pós MONO %]]</f>
        <v>11.9</v>
      </c>
      <c r="CF28" s="125">
        <f>Tabela1[[#This Row],[Pré EOS %]]</f>
        <v>4.5</v>
      </c>
      <c r="CG28" s="125">
        <f>Tabela1[[#This Row],[Pós EOS %]]</f>
        <v>0</v>
      </c>
      <c r="CH28" s="125">
        <f>Tabela1[[#This Row],[Pré BASO %]]</f>
        <v>0.5</v>
      </c>
      <c r="CI28" s="198">
        <f>Tabela1[[#This Row],[Pós BASO %]]</f>
        <v>0.1</v>
      </c>
      <c r="CJ28" s="199" t="str">
        <f t="shared" si="1"/>
        <v>NÃO</v>
      </c>
      <c r="CK28" s="200" t="str">
        <f t="shared" si="2"/>
        <v>SIM</v>
      </c>
      <c r="CL28" s="194">
        <f t="shared" si="3"/>
        <v>74.045439999999999</v>
      </c>
      <c r="CM28" s="125">
        <f>Tabela1[[#This Row],[MCT KG]]</f>
        <v>89.6</v>
      </c>
      <c r="CN28" s="85">
        <f>Tabela1[[#This Row],[ESTATURA]]</f>
        <v>176</v>
      </c>
      <c r="CO28" s="85">
        <f>Tabela1[[#This Row],[vo2max estimado]]</f>
        <v>45.45</v>
      </c>
      <c r="CP28" s="85">
        <f>Tabela1[[#This Row],[Handgrip     Dominante]]</f>
        <v>46.5</v>
      </c>
      <c r="CQ28" s="85">
        <f>Tabela1[[#This Row],[Handgrip Contrário]]</f>
        <v>42</v>
      </c>
      <c r="CR28" s="281">
        <f>Tabela1[[#This Row],[% gordura]]</f>
        <v>17.36</v>
      </c>
    </row>
    <row r="29" spans="1:97" ht="15.75" customHeight="1">
      <c r="A29" s="279">
        <f>Tabela1[[#This Row],[Ano]]</f>
        <v>2017</v>
      </c>
      <c r="B29" s="181" t="str">
        <f>Tabela1[[#This Row],[Missão]]</f>
        <v>Marambaia</v>
      </c>
      <c r="C29" s="181">
        <f>Tabela1[[#This Row],[Aluno]]</f>
        <v>3125</v>
      </c>
      <c r="D29" s="181">
        <f>Tabela1[[#This Row],[Idade]]</f>
        <v>29</v>
      </c>
      <c r="E29" s="182">
        <f>Tabela1[[#This Row],[Peso Kg]]</f>
        <v>70</v>
      </c>
      <c r="F29" s="191">
        <f>Tabela1[[#This Row],[Cor da pele]]</f>
        <v>1</v>
      </c>
      <c r="G29" s="192" t="str">
        <f>Tabela1[[#This Row],[ACTN3]]</f>
        <v>XX</v>
      </c>
      <c r="H29" s="85" t="str">
        <f>Tabela1[[#This Row],[AGT]]</f>
        <v>MT</v>
      </c>
      <c r="I29" s="85" t="str">
        <f>Tabela1[[#This Row],[ECA]]</f>
        <v>DD</v>
      </c>
      <c r="J29" s="85" t="str">
        <f>Tabela1[[#This Row],[BDKRB2]]</f>
        <v>(+9, -9)</v>
      </c>
      <c r="K29" s="85">
        <f>Tabela1[[#This Row],[Score Força%]]</f>
        <v>50</v>
      </c>
      <c r="L29" s="193">
        <f>Tabela1[[#This Row],[Score Resistência %]]</f>
        <v>50</v>
      </c>
      <c r="M29" s="192">
        <f>Tabela1[[#This Row],[Pré CK (U/L)]]</f>
        <v>143</v>
      </c>
      <c r="N29" s="85">
        <f>Tabela1[[#This Row],[Pós CK (U/L)]]</f>
        <v>4555</v>
      </c>
      <c r="O29" s="85">
        <f>Tabela1[[#This Row],[Pré CK MB U/L]]</f>
        <v>16</v>
      </c>
      <c r="P29" s="85">
        <f>Tabela1[[#This Row],[Pós CK MB U/L]]</f>
        <v>29</v>
      </c>
      <c r="Q29" s="85" t="str">
        <f>Tabela1[[#This Row],[Pré Lactato (mmol/L)]]</f>
        <v>-</v>
      </c>
      <c r="R29" s="85" t="str">
        <f>Tabela1[[#This Row],[Pós Lactato (mmol/L)]]</f>
        <v>-</v>
      </c>
      <c r="S29" s="85">
        <f>Tabela1[[#This Row],[Pré LDH (U/L)]]</f>
        <v>495</v>
      </c>
      <c r="T29" s="85">
        <f>Tabela1[[#This Row],[Pós LDH (U/L)]]</f>
        <v>1216</v>
      </c>
      <c r="U29" s="85">
        <f>Tabela1[[#This Row],[Pré AST (U/L)]]</f>
        <v>52</v>
      </c>
      <c r="V29" s="193">
        <f>Tabela1[[#This Row],[Pós AST (U/L)]]</f>
        <v>212</v>
      </c>
      <c r="W29" s="194">
        <f>Tabela1[[#This Row],[Pré Albumina (g/dL)]]</f>
        <v>4.0999999999999996</v>
      </c>
      <c r="X29" s="125">
        <f>Tabela1[[#This Row],[Pós Albumina (g/dL)]]</f>
        <v>4.5999999999999996</v>
      </c>
      <c r="Y29" s="85">
        <f>Tabela1[[#This Row],[Pré TGP (g/dL)]]</f>
        <v>45</v>
      </c>
      <c r="Z29" s="85">
        <f>Tabela1[[#This Row],[Pós TGP (g/dL)]]</f>
        <v>79</v>
      </c>
      <c r="AA29" s="85">
        <f>Tabela1[[#This Row],[Pré GGT U/L]]</f>
        <v>19</v>
      </c>
      <c r="AB29" s="193">
        <f>Tabela1[[#This Row],[Pós GGT U/L]]</f>
        <v>20</v>
      </c>
      <c r="AC29" s="194" t="str">
        <f>Tabela1[[#This Row],[Pré Ac. Úrico (mg/dL)]]</f>
        <v>-</v>
      </c>
      <c r="AD29" s="125" t="str">
        <f>Tabela1[[#This Row],[Pós Ac. Úrico (mg/dL)2]]</f>
        <v>-</v>
      </c>
      <c r="AE2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9" s="85">
        <f>Tabela1[[#This Row],[Pré Ureia mg/dL]]</f>
        <v>31</v>
      </c>
      <c r="AH29" s="85">
        <f>Tabela1[[#This Row],[Pós Ureia mg/dL]]</f>
        <v>49</v>
      </c>
      <c r="AI29" s="125">
        <f>Tabela1[[#This Row],[Pré creatinina mg/dL]]</f>
        <v>0.8</v>
      </c>
      <c r="AJ29" s="125">
        <f>Tabela1[[#This Row],[Pós creatinina mg/dL]]</f>
        <v>0.9</v>
      </c>
      <c r="AK29" s="180">
        <f t="shared" si="0"/>
        <v>9.9999999999999978E-2</v>
      </c>
      <c r="AL29" s="125">
        <f>Tabela1[[#This Row],[Pré Fósforo mg/dL]]</f>
        <v>3.2</v>
      </c>
      <c r="AM29" s="125">
        <f>Tabela1[[#This Row],[Pós Fósforo mg/dL]]</f>
        <v>4.5</v>
      </c>
      <c r="AN29" s="125">
        <f>Tabela1[[#This Row],[Pré Proteína Total (g/dL)]]</f>
        <v>7.1</v>
      </c>
      <c r="AO29" s="125">
        <f>Tabela1[[#This Row],[Pós Proteína Total (g/dL)]]</f>
        <v>7.5</v>
      </c>
      <c r="AP29" s="85" t="str">
        <f>Tabela1[[#This Row],[Pré FE (ug/dL)]]</f>
        <v>-</v>
      </c>
      <c r="AQ29" s="193" t="str">
        <f>Tabela1[[#This Row],[Pós FE (ug/dL)]]</f>
        <v>-</v>
      </c>
      <c r="AR29" s="194">
        <f>Tabela1[[#This Row],[Pré calcio mg/dL]]</f>
        <v>8.9</v>
      </c>
      <c r="AS29" s="125">
        <f>Tabela1[[#This Row],[Pós calcio mg/dL]]</f>
        <v>9.3000000000000007</v>
      </c>
      <c r="AT29" s="125">
        <f>Tabela1[[#This Row],[Pré Potássio mmol/L]]</f>
        <v>4.5999999999999996</v>
      </c>
      <c r="AU29" s="125">
        <f>Tabela1[[#This Row],[Pós Potássio mmol/L]]</f>
        <v>4.4000000000000004</v>
      </c>
      <c r="AV29" s="85">
        <f>Tabela1[[#This Row],[Glicose pré]]</f>
        <v>93</v>
      </c>
      <c r="AW29" s="85">
        <f>Tabela1[[#This Row],[Glicose pós]]</f>
        <v>94</v>
      </c>
      <c r="AX29" s="85">
        <f>Tabela1[[#This Row],[Pré Sódio mmol/L]]</f>
        <v>136</v>
      </c>
      <c r="AY29" s="85">
        <f>Tabela1[[#This Row],[Pós Sódio mmol/L]]</f>
        <v>132</v>
      </c>
      <c r="AZ29" s="125" t="str">
        <f>Tabela1[[#This Row],[Pré Magnésio mg/dL]]</f>
        <v>-</v>
      </c>
      <c r="BA29" s="125" t="str">
        <f>Tabela1[[#This Row],[Pós Magnésio mg/dL]]</f>
        <v>-</v>
      </c>
      <c r="BB29" s="85" t="str">
        <f>Tabela1[[#This Row],[Pré Cloro mmol/L]]</f>
        <v>-</v>
      </c>
      <c r="BC29" s="85" t="str">
        <f>Tabela1[[#This Row],[Pós Cloro mmol/L]]</f>
        <v>-</v>
      </c>
      <c r="BD2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286.62433333333337</v>
      </c>
      <c r="BE2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281.87622222222228</v>
      </c>
      <c r="BF29" s="194">
        <f>Tabela1[[#This Row],[Pré RBC 10^6/mm³]]</f>
        <v>4.7</v>
      </c>
      <c r="BG29" s="125">
        <f>Tabela1[[#This Row],[Pós RBC 10^6/mm³]]</f>
        <v>4.5999999999999996</v>
      </c>
      <c r="BH29" s="125">
        <f>Tabela1[[#This Row],[Pré HGB g/dL]]</f>
        <v>13.4</v>
      </c>
      <c r="BI29" s="125">
        <f>Tabela1[[#This Row],[Pós HGB g/dL]]</f>
        <v>13.1</v>
      </c>
      <c r="BJ29" s="125">
        <f>Tabela1[[#This Row],[Pré HCT %]]</f>
        <v>41.6</v>
      </c>
      <c r="BK29" s="125">
        <f>Tabela1[[#This Row],[Pós HCT %]]</f>
        <v>40.9</v>
      </c>
      <c r="BL29" s="125">
        <f>Tabela1[[#This Row],[Pré MCV fL]]</f>
        <v>88.5</v>
      </c>
      <c r="BM29" s="125">
        <f>Tabela1[[#This Row],[Pós MCV fL]]</f>
        <v>88.9</v>
      </c>
      <c r="BN29" s="125">
        <f>Tabela1[[#This Row],[Pré MCH pg]]</f>
        <v>28.5</v>
      </c>
      <c r="BO29" s="125">
        <f>Tabela1[[#This Row],[Pós MCH pg]]</f>
        <v>28.5</v>
      </c>
      <c r="BP29" s="125">
        <f>Tabela1[[#This Row],[Pré MCHC g/dL]]</f>
        <v>32.200000000000003</v>
      </c>
      <c r="BQ29" s="125">
        <f>Tabela1[[#This Row],[Pós MCHC g/dL]]</f>
        <v>32</v>
      </c>
      <c r="BR29" s="85">
        <f>Tabela1[[#This Row],[Pré PLT 10³/mm³]]</f>
        <v>274</v>
      </c>
      <c r="BS29" s="85">
        <f>Tabela1[[#This Row],[Pós PLT 10³/mm³]]</f>
        <v>260</v>
      </c>
      <c r="BT29" s="125">
        <f>Tabela1[[#This Row],[Pré RDW %]]</f>
        <v>13.1</v>
      </c>
      <c r="BU29" s="125">
        <f>Tabela1[[#This Row],[Pós RDW %]]</f>
        <v>13.2</v>
      </c>
      <c r="BV29" s="179">
        <f>Tabela1[[#This Row],[Pré RET %]]</f>
        <v>1.0900000000000001</v>
      </c>
      <c r="BW29" s="196">
        <f>Tabela1[[#This Row],[Pós RET %]]</f>
        <v>1.1399999999999999</v>
      </c>
      <c r="BX29" s="197">
        <f>Tabela1[[#This Row],[Pré WBC 10³/mm³]]</f>
        <v>5.58</v>
      </c>
      <c r="BY29" s="179">
        <f>Tabela1[[#This Row],[Pós WBC 10³/mm³]]</f>
        <v>2.98</v>
      </c>
      <c r="BZ29" s="125">
        <f>Tabela1[[#This Row],[Pré NEUT %]]</f>
        <v>67.400000000000006</v>
      </c>
      <c r="CA29" s="125">
        <f>Tabela1[[#This Row],[Pós NEUT %]]</f>
        <v>56</v>
      </c>
      <c r="CB29" s="125">
        <f>Tabela1[[#This Row],[Pré LINF %]]</f>
        <v>21.7</v>
      </c>
      <c r="CC29" s="125">
        <f>Tabela1[[#This Row],[Pós LINF %]]</f>
        <v>26.2</v>
      </c>
      <c r="CD29" s="125">
        <f>Tabela1[[#This Row],[Pré MONO %]]</f>
        <v>9.1</v>
      </c>
      <c r="CE29" s="125">
        <f>Tabela1[[#This Row],[Pós MONO %]]</f>
        <v>15.1</v>
      </c>
      <c r="CF29" s="125">
        <f>Tabela1[[#This Row],[Pré EOS %]]</f>
        <v>1.1000000000000001</v>
      </c>
      <c r="CG29" s="125">
        <f>Tabela1[[#This Row],[Pós EOS %]]</f>
        <v>2</v>
      </c>
      <c r="CH29" s="125">
        <f>Tabela1[[#This Row],[Pré BASO %]]</f>
        <v>0.7</v>
      </c>
      <c r="CI29" s="198">
        <f>Tabela1[[#This Row],[Pós BASO %]]</f>
        <v>0.7</v>
      </c>
      <c r="CJ29" s="199" t="str">
        <f t="shared" si="1"/>
        <v>NÃO</v>
      </c>
      <c r="CK29" s="200" t="str">
        <f t="shared" si="2"/>
        <v>SIM</v>
      </c>
      <c r="CL29" s="194">
        <f t="shared" si="3"/>
        <v>63.743760000000002</v>
      </c>
      <c r="CM29" s="125">
        <f>Tabela1[[#This Row],[MCT KG]]</f>
        <v>72.900000000000006</v>
      </c>
      <c r="CN29" s="85">
        <f>Tabela1[[#This Row],[ESTATURA]]</f>
        <v>168.6</v>
      </c>
      <c r="CO29" s="85">
        <f>Tabela1[[#This Row],[vo2max estimado]]</f>
        <v>48.54</v>
      </c>
      <c r="CP29" s="85">
        <f>Tabela1[[#This Row],[Handgrip     Dominante]]</f>
        <v>50</v>
      </c>
      <c r="CQ29" s="85">
        <f>Tabela1[[#This Row],[Handgrip Contrário]]</f>
        <v>47</v>
      </c>
      <c r="CR29" s="281">
        <f>Tabela1[[#This Row],[% gordura]]</f>
        <v>12.56</v>
      </c>
    </row>
    <row r="30" spans="1:97" ht="15.75" customHeight="1">
      <c r="A30" s="279">
        <f>Tabela1[[#This Row],[Ano]]</f>
        <v>2017</v>
      </c>
      <c r="B30" s="181" t="str">
        <f>Tabela1[[#This Row],[Missão]]</f>
        <v>Marambaia</v>
      </c>
      <c r="C30" s="181">
        <f>Tabela1[[#This Row],[Aluno]]</f>
        <v>3136</v>
      </c>
      <c r="D30" s="181">
        <f>Tabela1[[#This Row],[Idade]]</f>
        <v>28</v>
      </c>
      <c r="E30" s="182">
        <f>Tabela1[[#This Row],[Peso Kg]]</f>
        <v>82</v>
      </c>
      <c r="F30" s="191">
        <f>Tabela1[[#This Row],[Cor da pele]]</f>
        <v>1</v>
      </c>
      <c r="G30" s="192" t="str">
        <f>Tabela1[[#This Row],[ACTN3]]</f>
        <v>RX</v>
      </c>
      <c r="H30" s="85" t="str">
        <f>Tabela1[[#This Row],[AGT]]</f>
        <v>MM</v>
      </c>
      <c r="I30" s="85" t="str">
        <f>Tabela1[[#This Row],[ECA]]</f>
        <v>DD</v>
      </c>
      <c r="J30" s="85" t="str">
        <f>Tabela1[[#This Row],[BDKRB2]]</f>
        <v>(-9, -9)</v>
      </c>
      <c r="K30" s="85">
        <f>Tabela1[[#This Row],[Score Força%]]</f>
        <v>37.5</v>
      </c>
      <c r="L30" s="193">
        <f>Tabela1[[#This Row],[Score Resistência %]]</f>
        <v>62.5</v>
      </c>
      <c r="M30" s="192">
        <f>Tabela1[[#This Row],[Pré CK (U/L)]]</f>
        <v>219</v>
      </c>
      <c r="N30" s="85">
        <f>Tabela1[[#This Row],[Pós CK (U/L)]]</f>
        <v>1205</v>
      </c>
      <c r="O30" s="85">
        <f>Tabela1[[#This Row],[Pré CK MB U/L]]</f>
        <v>20</v>
      </c>
      <c r="P30" s="85">
        <f>Tabela1[[#This Row],[Pós CK MB U/L]]</f>
        <v>44</v>
      </c>
      <c r="Q30" s="85" t="str">
        <f>Tabela1[[#This Row],[Pré Lactato (mmol/L)]]</f>
        <v>-</v>
      </c>
      <c r="R30" s="85" t="str">
        <f>Tabela1[[#This Row],[Pós Lactato (mmol/L)]]</f>
        <v>-</v>
      </c>
      <c r="S30" s="85">
        <f>Tabela1[[#This Row],[Pré LDH (U/L)]]</f>
        <v>602</v>
      </c>
      <c r="T30" s="85">
        <f>Tabela1[[#This Row],[Pós LDH (U/L)]]</f>
        <v>955</v>
      </c>
      <c r="U30" s="85">
        <f>Tabela1[[#This Row],[Pré AST (U/L)]]</f>
        <v>56</v>
      </c>
      <c r="V30" s="193">
        <f>Tabela1[[#This Row],[Pós AST (U/L)]]</f>
        <v>147</v>
      </c>
      <c r="W30" s="194">
        <f>Tabela1[[#This Row],[Pré Albumina (g/dL)]]</f>
        <v>4.5</v>
      </c>
      <c r="X30" s="125">
        <f>Tabela1[[#This Row],[Pós Albumina (g/dL)]]</f>
        <v>4.5999999999999996</v>
      </c>
      <c r="Y30" s="85">
        <f>Tabela1[[#This Row],[Pré TGP (g/dL)]]</f>
        <v>52</v>
      </c>
      <c r="Z30" s="85">
        <f>Tabela1[[#This Row],[Pós TGP (g/dL)]]</f>
        <v>68</v>
      </c>
      <c r="AA30" s="85">
        <f>Tabela1[[#This Row],[Pré GGT U/L]]</f>
        <v>13</v>
      </c>
      <c r="AB30" s="193">
        <f>Tabela1[[#This Row],[Pós GGT U/L]]</f>
        <v>14</v>
      </c>
      <c r="AC30" s="194" t="str">
        <f>Tabela1[[#This Row],[Pré Ac. Úrico (mg/dL)]]</f>
        <v>-</v>
      </c>
      <c r="AD30" s="125" t="str">
        <f>Tabela1[[#This Row],[Pós Ac. Úrico (mg/dL)2]]</f>
        <v>-</v>
      </c>
      <c r="AE3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30" s="85">
        <f>Tabela1[[#This Row],[Pré Ureia mg/dL]]</f>
        <v>34</v>
      </c>
      <c r="AH30" s="85">
        <f>Tabela1[[#This Row],[Pós Ureia mg/dL]]</f>
        <v>55</v>
      </c>
      <c r="AI30" s="125">
        <f>Tabela1[[#This Row],[Pré creatinina mg/dL]]</f>
        <v>0.8</v>
      </c>
      <c r="AJ30" s="125">
        <f>Tabela1[[#This Row],[Pós creatinina mg/dL]]</f>
        <v>0.9</v>
      </c>
      <c r="AK30" s="180">
        <f t="shared" si="0"/>
        <v>9.9999999999999978E-2</v>
      </c>
      <c r="AL30" s="125">
        <f>Tabela1[[#This Row],[Pré Fósforo mg/dL]]</f>
        <v>3.6</v>
      </c>
      <c r="AM30" s="125">
        <f>Tabela1[[#This Row],[Pós Fósforo mg/dL]]</f>
        <v>4.8</v>
      </c>
      <c r="AN30" s="125">
        <f>Tabela1[[#This Row],[Pré Proteína Total (g/dL)]]</f>
        <v>7.5</v>
      </c>
      <c r="AO30" s="125">
        <f>Tabela1[[#This Row],[Pós Proteína Total (g/dL)]]</f>
        <v>7.5</v>
      </c>
      <c r="AP30" s="85" t="str">
        <f>Tabela1[[#This Row],[Pré FE (ug/dL)]]</f>
        <v>-</v>
      </c>
      <c r="AQ30" s="193" t="str">
        <f>Tabela1[[#This Row],[Pós FE (ug/dL)]]</f>
        <v>-</v>
      </c>
      <c r="AR30" s="194">
        <f>Tabela1[[#This Row],[Pré calcio mg/dL]]</f>
        <v>9.9</v>
      </c>
      <c r="AS30" s="125">
        <f>Tabela1[[#This Row],[Pós calcio mg/dL]]</f>
        <v>9.4</v>
      </c>
      <c r="AT30" s="125">
        <f>Tabela1[[#This Row],[Pré Potássio mmol/L]]</f>
        <v>4.5999999999999996</v>
      </c>
      <c r="AU30" s="125">
        <f>Tabela1[[#This Row],[Pós Potássio mmol/L]]</f>
        <v>4.7</v>
      </c>
      <c r="AV30" s="85">
        <f>Tabela1[[#This Row],[Glicose pré]]</f>
        <v>79</v>
      </c>
      <c r="AW30" s="85">
        <f>Tabela1[[#This Row],[Glicose pós]]</f>
        <v>86</v>
      </c>
      <c r="AX30" s="85">
        <f>Tabela1[[#This Row],[Pré Sódio mmol/L]]</f>
        <v>137</v>
      </c>
      <c r="AY30" s="85">
        <f>Tabela1[[#This Row],[Pós Sódio mmol/L]]</f>
        <v>134</v>
      </c>
      <c r="AZ30" s="125" t="str">
        <f>Tabela1[[#This Row],[Pré Magnésio mg/dL]]</f>
        <v>-</v>
      </c>
      <c r="BA30" s="125" t="str">
        <f>Tabela1[[#This Row],[Pós Magnésio mg/dL]]</f>
        <v>-</v>
      </c>
      <c r="BB30" s="85" t="str">
        <f>Tabela1[[#This Row],[Pré Cloro mmol/L]]</f>
        <v>-</v>
      </c>
      <c r="BC30" s="85" t="str">
        <f>Tabela1[[#This Row],[Pós Cloro mmol/L]]</f>
        <v>-</v>
      </c>
      <c r="BD3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288.08988888888888</v>
      </c>
      <c r="BE3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286.64311111111112</v>
      </c>
      <c r="BF30" s="194">
        <f>Tabela1[[#This Row],[Pré RBC 10^6/mm³]]</f>
        <v>4.6500000000000004</v>
      </c>
      <c r="BG30" s="125">
        <f>Tabela1[[#This Row],[Pós RBC 10^6/mm³]]</f>
        <v>4.62</v>
      </c>
      <c r="BH30" s="125">
        <f>Tabela1[[#This Row],[Pré HGB g/dL]]</f>
        <v>13.2</v>
      </c>
      <c r="BI30" s="125">
        <f>Tabela1[[#This Row],[Pós HGB g/dL]]</f>
        <v>13.1</v>
      </c>
      <c r="BJ30" s="125">
        <f>Tabela1[[#This Row],[Pré HCT %]]</f>
        <v>41.5</v>
      </c>
      <c r="BK30" s="125">
        <f>Tabela1[[#This Row],[Pós HCT %]]</f>
        <v>41</v>
      </c>
      <c r="BL30" s="125">
        <f>Tabela1[[#This Row],[Pré MCV fL]]</f>
        <v>89.2</v>
      </c>
      <c r="BM30" s="125">
        <f>Tabela1[[#This Row],[Pós MCV fL]]</f>
        <v>88.7</v>
      </c>
      <c r="BN30" s="125">
        <f>Tabela1[[#This Row],[Pré MCH pg]]</f>
        <v>28.4</v>
      </c>
      <c r="BO30" s="125">
        <f>Tabela1[[#This Row],[Pós MCH pg]]</f>
        <v>28.4</v>
      </c>
      <c r="BP30" s="125">
        <f>Tabela1[[#This Row],[Pré MCHC g/dL]]</f>
        <v>31.8</v>
      </c>
      <c r="BQ30" s="125">
        <f>Tabela1[[#This Row],[Pós MCHC g/dL]]</f>
        <v>32</v>
      </c>
      <c r="BR30" s="85">
        <f>Tabela1[[#This Row],[Pré PLT 10³/mm³]]</f>
        <v>336</v>
      </c>
      <c r="BS30" s="85">
        <f>Tabela1[[#This Row],[Pós PLT 10³/mm³]]</f>
        <v>249</v>
      </c>
      <c r="BT30" s="125">
        <f>Tabela1[[#This Row],[Pré RDW %]]</f>
        <v>12.9</v>
      </c>
      <c r="BU30" s="125">
        <f>Tabela1[[#This Row],[Pós RDW %]]</f>
        <v>12.9</v>
      </c>
      <c r="BV30" s="179">
        <f>Tabela1[[#This Row],[Pré RET %]]</f>
        <v>1.36</v>
      </c>
      <c r="BW30" s="196">
        <f>Tabela1[[#This Row],[Pós RET %]]</f>
        <v>1.1299999999999999</v>
      </c>
      <c r="BX30" s="197">
        <f>Tabela1[[#This Row],[Pré WBC 10³/mm³]]</f>
        <v>6.28</v>
      </c>
      <c r="BY30" s="179">
        <f>Tabela1[[#This Row],[Pós WBC 10³/mm³]]</f>
        <v>4.71</v>
      </c>
      <c r="BZ30" s="125">
        <f>Tabela1[[#This Row],[Pré NEUT %]]</f>
        <v>66.3</v>
      </c>
      <c r="CA30" s="125">
        <f>Tabela1[[#This Row],[Pós NEUT %]]</f>
        <v>48.6</v>
      </c>
      <c r="CB30" s="125">
        <f>Tabela1[[#This Row],[Pré LINF %]]</f>
        <v>22.9</v>
      </c>
      <c r="CC30" s="125">
        <f>Tabela1[[#This Row],[Pós LINF %]]</f>
        <v>34</v>
      </c>
      <c r="CD30" s="125">
        <f>Tabela1[[#This Row],[Pré MONO %]]</f>
        <v>7.5</v>
      </c>
      <c r="CE30" s="125">
        <f>Tabela1[[#This Row],[Pós MONO %]]</f>
        <v>11.9</v>
      </c>
      <c r="CF30" s="125">
        <f>Tabela1[[#This Row],[Pré EOS %]]</f>
        <v>2.5</v>
      </c>
      <c r="CG30" s="125">
        <f>Tabela1[[#This Row],[Pós EOS %]]</f>
        <v>4.7</v>
      </c>
      <c r="CH30" s="125">
        <f>Tabela1[[#This Row],[Pré BASO %]]</f>
        <v>0.8</v>
      </c>
      <c r="CI30" s="198">
        <f>Tabela1[[#This Row],[Pós BASO %]]</f>
        <v>0.8</v>
      </c>
      <c r="CJ30" s="199" t="str">
        <f t="shared" si="1"/>
        <v>NÃO</v>
      </c>
      <c r="CK30" s="200" t="str">
        <f t="shared" si="2"/>
        <v>SIM</v>
      </c>
      <c r="CL30" s="194">
        <f t="shared" si="3"/>
        <v>70.596360000000004</v>
      </c>
      <c r="CM30" s="125">
        <f>Tabela1[[#This Row],[MCT KG]]</f>
        <v>80.7</v>
      </c>
      <c r="CN30" s="85">
        <f>Tabela1[[#This Row],[ESTATURA]]</f>
        <v>182.1</v>
      </c>
      <c r="CO30" s="85">
        <f>Tabela1[[#This Row],[vo2max estimado]]</f>
        <v>50.93</v>
      </c>
      <c r="CP30" s="85">
        <f>Tabela1[[#This Row],[Handgrip     Dominante]]</f>
        <v>56</v>
      </c>
      <c r="CQ30" s="85">
        <f>Tabela1[[#This Row],[Handgrip Contrário]]</f>
        <v>58</v>
      </c>
      <c r="CR30" s="281">
        <f>Tabela1[[#This Row],[% gordura]]</f>
        <v>12.52</v>
      </c>
    </row>
    <row r="31" spans="1:97" ht="15.75" customHeight="1">
      <c r="A31" s="279">
        <f>Tabela1[[#This Row],[Ano]]</f>
        <v>2017</v>
      </c>
      <c r="B31" s="181" t="str">
        <f>Tabela1[[#This Row],[Missão]]</f>
        <v>Marambaia</v>
      </c>
      <c r="C31" s="181">
        <f>Tabela1[[#This Row],[Aluno]]</f>
        <v>3143</v>
      </c>
      <c r="D31" s="181">
        <f>Tabela1[[#This Row],[Idade]]</f>
        <v>28</v>
      </c>
      <c r="E31" s="182">
        <f>Tabela1[[#This Row],[Peso Kg]]</f>
        <v>78</v>
      </c>
      <c r="F31" s="191">
        <f>Tabela1[[#This Row],[Cor da pele]]</f>
        <v>1</v>
      </c>
      <c r="G31" s="192" t="str">
        <f>Tabela1[[#This Row],[ACTN3]]</f>
        <v>RR</v>
      </c>
      <c r="H31" s="85" t="str">
        <f>Tabela1[[#This Row],[AGT]]</f>
        <v>TT</v>
      </c>
      <c r="I31" s="85" t="str">
        <f>Tabela1[[#This Row],[ECA]]</f>
        <v>DD</v>
      </c>
      <c r="J31" s="85" t="str">
        <f>Tabela1[[#This Row],[BDKRB2]]</f>
        <v>(+9, -9)</v>
      </c>
      <c r="K31" s="85">
        <f>Tabela1[[#This Row],[Score Força%]]</f>
        <v>87.5</v>
      </c>
      <c r="L31" s="193">
        <f>Tabela1[[#This Row],[Score Resistência %]]</f>
        <v>12.5</v>
      </c>
      <c r="M31" s="192">
        <f>Tabela1[[#This Row],[Pré CK (U/L)]]</f>
        <v>685</v>
      </c>
      <c r="N31" s="85">
        <f>Tabela1[[#This Row],[Pós CK (U/L)]]</f>
        <v>721</v>
      </c>
      <c r="O31" s="85">
        <f>Tabela1[[#This Row],[Pré CK MB U/L]]</f>
        <v>19</v>
      </c>
      <c r="P31" s="85">
        <f>Tabela1[[#This Row],[Pós CK MB U/L]]</f>
        <v>33</v>
      </c>
      <c r="Q31" s="85" t="str">
        <f>Tabela1[[#This Row],[Pré Lactato (mmol/L)]]</f>
        <v>-</v>
      </c>
      <c r="R31" s="85" t="str">
        <f>Tabela1[[#This Row],[Pós Lactato (mmol/L)]]</f>
        <v>-</v>
      </c>
      <c r="S31" s="85">
        <f>Tabela1[[#This Row],[Pré LDH (U/L)]]</f>
        <v>626</v>
      </c>
      <c r="T31" s="85">
        <f>Tabela1[[#This Row],[Pós LDH (U/L)]]</f>
        <v>964</v>
      </c>
      <c r="U31" s="85">
        <f>Tabela1[[#This Row],[Pré AST (U/L)]]</f>
        <v>59</v>
      </c>
      <c r="V31" s="193">
        <f>Tabela1[[#This Row],[Pós AST (U/L)]]</f>
        <v>95</v>
      </c>
      <c r="W31" s="194">
        <f>Tabela1[[#This Row],[Pré Albumina (g/dL)]]</f>
        <v>4.4000000000000004</v>
      </c>
      <c r="X31" s="125">
        <f>Tabela1[[#This Row],[Pós Albumina (g/dL)]]</f>
        <v>4.4000000000000004</v>
      </c>
      <c r="Y31" s="85">
        <f>Tabela1[[#This Row],[Pré TGP (g/dL)]]</f>
        <v>57</v>
      </c>
      <c r="Z31" s="85">
        <f>Tabela1[[#This Row],[Pós TGP (g/dL)]]</f>
        <v>76</v>
      </c>
      <c r="AA31" s="85">
        <f>Tabela1[[#This Row],[Pré GGT U/L]]</f>
        <v>37</v>
      </c>
      <c r="AB31" s="193">
        <f>Tabela1[[#This Row],[Pós GGT U/L]]</f>
        <v>38</v>
      </c>
      <c r="AC31" s="194" t="str">
        <f>Tabela1[[#This Row],[Pré Ac. Úrico (mg/dL)]]</f>
        <v>-</v>
      </c>
      <c r="AD31" s="125" t="str">
        <f>Tabela1[[#This Row],[Pós Ac. Úrico (mg/dL)2]]</f>
        <v>-</v>
      </c>
      <c r="AE3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128.71280700150223</v>
      </c>
      <c r="AG31" s="85">
        <f>Tabela1[[#This Row],[Pré Ureia mg/dL]]</f>
        <v>33</v>
      </c>
      <c r="AH31" s="85">
        <f>Tabela1[[#This Row],[Pós Ureia mg/dL]]</f>
        <v>39</v>
      </c>
      <c r="AI31" s="125">
        <f>Tabela1[[#This Row],[Pré creatinina mg/dL]]</f>
        <v>0.8</v>
      </c>
      <c r="AJ31" s="125">
        <f>Tabela1[[#This Row],[Pós creatinina mg/dL]]</f>
        <v>0.7</v>
      </c>
      <c r="AK31" s="180">
        <f t="shared" si="0"/>
        <v>0</v>
      </c>
      <c r="AL31" s="125">
        <f>Tabela1[[#This Row],[Pré Fósforo mg/dL]]</f>
        <v>3.4</v>
      </c>
      <c r="AM31" s="125">
        <f>Tabela1[[#This Row],[Pós Fósforo mg/dL]]</f>
        <v>3.9</v>
      </c>
      <c r="AN31" s="125">
        <f>Tabela1[[#This Row],[Pré Proteína Total (g/dL)]]</f>
        <v>7.4</v>
      </c>
      <c r="AO31" s="125">
        <f>Tabela1[[#This Row],[Pós Proteína Total (g/dL)]]</f>
        <v>7.5</v>
      </c>
      <c r="AP31" s="85" t="str">
        <f>Tabela1[[#This Row],[Pré FE (ug/dL)]]</f>
        <v>-</v>
      </c>
      <c r="AQ31" s="193" t="str">
        <f>Tabela1[[#This Row],[Pós FE (ug/dL)]]</f>
        <v>-</v>
      </c>
      <c r="AR31" s="194">
        <f>Tabela1[[#This Row],[Pré calcio mg/dL]]</f>
        <v>9.4</v>
      </c>
      <c r="AS31" s="125">
        <f>Tabela1[[#This Row],[Pós calcio mg/dL]]</f>
        <v>9.3000000000000007</v>
      </c>
      <c r="AT31" s="125">
        <f>Tabela1[[#This Row],[Pré Potássio mmol/L]]</f>
        <v>4.5</v>
      </c>
      <c r="AU31" s="125">
        <f>Tabela1[[#This Row],[Pós Potássio mmol/L]]</f>
        <v>4.7</v>
      </c>
      <c r="AV31" s="85">
        <f>Tabela1[[#This Row],[Glicose pré]]</f>
        <v>93</v>
      </c>
      <c r="AW31" s="85">
        <f>Tabela1[[#This Row],[Glicose pós]]</f>
        <v>96</v>
      </c>
      <c r="AX31" s="85">
        <f>Tabela1[[#This Row],[Pré Sódio mmol/L]]</f>
        <v>136</v>
      </c>
      <c r="AY31" s="85">
        <f>Tabela1[[#This Row],[Pós Sódio mmol/L]]</f>
        <v>134</v>
      </c>
      <c r="AZ31" s="125" t="str">
        <f>Tabela1[[#This Row],[Pré Magnésio mg/dL]]</f>
        <v>-</v>
      </c>
      <c r="BA31" s="125" t="str">
        <f>Tabela1[[#This Row],[Pós Magnésio mg/dL]]</f>
        <v>-</v>
      </c>
      <c r="BB31" s="85" t="str">
        <f>Tabela1[[#This Row],[Pré Cloro mmol/L]]</f>
        <v>-</v>
      </c>
      <c r="BC31" s="85" t="str">
        <f>Tabela1[[#This Row],[Pós Cloro mmol/L]]</f>
        <v>-</v>
      </c>
      <c r="BD3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286.7716666666667</v>
      </c>
      <c r="BE3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284.6153333333333</v>
      </c>
      <c r="BF31" s="194">
        <f>Tabela1[[#This Row],[Pré RBC 10^6/mm³]]</f>
        <v>4.54</v>
      </c>
      <c r="BG31" s="125">
        <f>Tabela1[[#This Row],[Pós RBC 10^6/mm³]]</f>
        <v>4.38</v>
      </c>
      <c r="BH31" s="125">
        <f>Tabela1[[#This Row],[Pré HGB g/dL]]</f>
        <v>13.1</v>
      </c>
      <c r="BI31" s="125">
        <f>Tabela1[[#This Row],[Pós HGB g/dL]]</f>
        <v>12.7</v>
      </c>
      <c r="BJ31" s="125">
        <f>Tabela1[[#This Row],[Pré HCT %]]</f>
        <v>41.3</v>
      </c>
      <c r="BK31" s="125">
        <f>Tabela1[[#This Row],[Pós HCT %]]</f>
        <v>40.299999999999997</v>
      </c>
      <c r="BL31" s="125">
        <f>Tabela1[[#This Row],[Pré MCV fL]]</f>
        <v>91</v>
      </c>
      <c r="BM31" s="125">
        <f>Tabela1[[#This Row],[Pós MCV fL]]</f>
        <v>92</v>
      </c>
      <c r="BN31" s="125">
        <f>Tabela1[[#This Row],[Pré MCH pg]]</f>
        <v>28.9</v>
      </c>
      <c r="BO31" s="125">
        <f>Tabela1[[#This Row],[Pós MCH pg]]</f>
        <v>29</v>
      </c>
      <c r="BP31" s="125">
        <f>Tabela1[[#This Row],[Pré MCHC g/dL]]</f>
        <v>31.7</v>
      </c>
      <c r="BQ31" s="125">
        <f>Tabela1[[#This Row],[Pós MCHC g/dL]]</f>
        <v>31.5</v>
      </c>
      <c r="BR31" s="85">
        <f>Tabela1[[#This Row],[Pré PLT 10³/mm³]]</f>
        <v>245</v>
      </c>
      <c r="BS31" s="85">
        <f>Tabela1[[#This Row],[Pós PLT 10³/mm³]]</f>
        <v>292</v>
      </c>
      <c r="BT31" s="125">
        <f>Tabela1[[#This Row],[Pré RDW %]]</f>
        <v>13</v>
      </c>
      <c r="BU31" s="125">
        <f>Tabela1[[#This Row],[Pós RDW %]]</f>
        <v>12.7</v>
      </c>
      <c r="BV31" s="179">
        <f>Tabela1[[#This Row],[Pré RET %]]</f>
        <v>0.8</v>
      </c>
      <c r="BW31" s="196">
        <f>Tabela1[[#This Row],[Pós RET %]]</f>
        <v>1.04</v>
      </c>
      <c r="BX31" s="197">
        <f>Tabela1[[#This Row],[Pré WBC 10³/mm³]]</f>
        <v>6.59</v>
      </c>
      <c r="BY31" s="179">
        <f>Tabela1[[#This Row],[Pós WBC 10³/mm³]]</f>
        <v>10.53</v>
      </c>
      <c r="BZ31" s="125">
        <f>Tabela1[[#This Row],[Pré NEUT %]]</f>
        <v>57.5</v>
      </c>
      <c r="CA31" s="125">
        <f>Tabela1[[#This Row],[Pós NEUT %]]</f>
        <v>42.2</v>
      </c>
      <c r="CB31" s="125">
        <f>Tabela1[[#This Row],[Pré LINF %]]</f>
        <v>27</v>
      </c>
      <c r="CC31" s="125">
        <f>Tabela1[[#This Row],[Pós LINF %]]</f>
        <v>22</v>
      </c>
      <c r="CD31" s="125">
        <f>Tabela1[[#This Row],[Pré MONO %]]</f>
        <v>9.4</v>
      </c>
      <c r="CE31" s="125">
        <f>Tabela1[[#This Row],[Pós MONO %]]</f>
        <v>10.1</v>
      </c>
      <c r="CF31" s="125">
        <f>Tabela1[[#This Row],[Pré EOS %]]</f>
        <v>5.9</v>
      </c>
      <c r="CG31" s="125">
        <f>Tabela1[[#This Row],[Pós EOS %]]</f>
        <v>25.1</v>
      </c>
      <c r="CH31" s="125">
        <f>Tabela1[[#This Row],[Pré BASO %]]</f>
        <v>0.2</v>
      </c>
      <c r="CI31" s="198">
        <f>Tabela1[[#This Row],[Pós BASO %]]</f>
        <v>0.6</v>
      </c>
      <c r="CJ31" s="199" t="str">
        <f t="shared" si="1"/>
        <v>NÃO</v>
      </c>
      <c r="CK31" s="200" t="str">
        <f t="shared" si="2"/>
        <v>NÃO</v>
      </c>
      <c r="CL31" s="194">
        <f t="shared" si="3"/>
        <v>70.250040000000013</v>
      </c>
      <c r="CM31" s="125">
        <f>Tabela1[[#This Row],[MCT KG]]</f>
        <v>85.4</v>
      </c>
      <c r="CN31" s="85">
        <f>Tabela1[[#This Row],[ESTATURA]]</f>
        <v>179.3</v>
      </c>
      <c r="CO31" s="85">
        <f>Tabela1[[#This Row],[vo2max estimado]]</f>
        <v>49.65</v>
      </c>
      <c r="CP31" s="85">
        <f>Tabela1[[#This Row],[Handgrip     Dominante]]</f>
        <v>44</v>
      </c>
      <c r="CQ31" s="85">
        <f>Tabela1[[#This Row],[Handgrip Contrário]]</f>
        <v>35</v>
      </c>
      <c r="CR31" s="281">
        <f>Tabela1[[#This Row],[% gordura]]</f>
        <v>17.739999999999998</v>
      </c>
    </row>
    <row r="32" spans="1:97" ht="15.75" customHeight="1">
      <c r="A32" s="279">
        <f>Tabela1[[#This Row],[Ano]]</f>
        <v>2017</v>
      </c>
      <c r="B32" s="181" t="str">
        <f>Tabela1[[#This Row],[Missão]]</f>
        <v>Itatiaia</v>
      </c>
      <c r="C32" s="181">
        <f>Tabela1[[#This Row],[Aluno]]</f>
        <v>3089</v>
      </c>
      <c r="D32" s="181">
        <f>Tabela1[[#This Row],[Idade]]</f>
        <v>28</v>
      </c>
      <c r="E32" s="182">
        <f>Tabela1[[#This Row],[Peso Kg]]</f>
        <v>0</v>
      </c>
      <c r="F32" s="191">
        <f>Tabela1[[#This Row],[Cor da pele]]</f>
        <v>1</v>
      </c>
      <c r="G32" s="192" t="str">
        <f>Tabela1[[#This Row],[ACTN3]]</f>
        <v xml:space="preserve">RX </v>
      </c>
      <c r="H32" s="85" t="str">
        <f>Tabela1[[#This Row],[AGT]]</f>
        <v>MT</v>
      </c>
      <c r="I32" s="85" t="str">
        <f>Tabela1[[#This Row],[ECA]]</f>
        <v>II</v>
      </c>
      <c r="J32" s="85" t="str">
        <f>Tabela1[[#This Row],[BDKRB2]]</f>
        <v>(+9, -9)</v>
      </c>
      <c r="K32" s="85">
        <f>Tabela1[[#This Row],[Score Força%]]</f>
        <v>37.5</v>
      </c>
      <c r="L32" s="193">
        <f>Tabela1[[#This Row],[Score Resistência %]]</f>
        <v>62.5</v>
      </c>
      <c r="M32" s="192">
        <f>Tabela1[[#This Row],[Pré CK (U/L)]]</f>
        <v>252</v>
      </c>
      <c r="N32" s="85">
        <f>Tabela1[[#This Row],[Pós CK (U/L)]]</f>
        <v>2475</v>
      </c>
      <c r="O32" s="85">
        <f>Tabela1[[#This Row],[Pré CK MB U/L]]</f>
        <v>15</v>
      </c>
      <c r="P32" s="85">
        <f>Tabela1[[#This Row],[Pós CK MB U/L]]</f>
        <v>82</v>
      </c>
      <c r="Q32" s="85" t="str">
        <f>Tabela1[[#This Row],[Pré Lactato (mmol/L)]]</f>
        <v>-</v>
      </c>
      <c r="R32" s="85" t="str">
        <f>Tabela1[[#This Row],[Pós Lactato (mmol/L)]]</f>
        <v>-</v>
      </c>
      <c r="S32" s="85">
        <f>Tabela1[[#This Row],[Pré LDH (U/L)]]</f>
        <v>630</v>
      </c>
      <c r="T32" s="85">
        <f>Tabela1[[#This Row],[Pós LDH (U/L)]]</f>
        <v>1236</v>
      </c>
      <c r="U32" s="85">
        <f>Tabela1[[#This Row],[Pré AST (U/L)]]</f>
        <v>40</v>
      </c>
      <c r="V32" s="193">
        <f>Tabela1[[#This Row],[Pós AST (U/L)]]</f>
        <v>125</v>
      </c>
      <c r="W32" s="194">
        <f>Tabela1[[#This Row],[Pré Albumina (g/dL)]]</f>
        <v>4.4000000000000004</v>
      </c>
      <c r="X32" s="125">
        <f>Tabela1[[#This Row],[Pós Albumina (g/dL)]]</f>
        <v>4.2</v>
      </c>
      <c r="Y32" s="85">
        <f>Tabela1[[#This Row],[Pré TGP (g/dL)]]</f>
        <v>43</v>
      </c>
      <c r="Z32" s="85">
        <f>Tabela1[[#This Row],[Pós TGP (g/dL)]]</f>
        <v>70</v>
      </c>
      <c r="AA32" s="85">
        <f>Tabela1[[#This Row],[Pré GGT U/L]]</f>
        <v>21</v>
      </c>
      <c r="AB32" s="193">
        <f>Tabela1[[#This Row],[Pós GGT U/L]]</f>
        <v>22</v>
      </c>
      <c r="AC32" s="194" t="str">
        <f>Tabela1[[#This Row],[Pré Ac. Úrico (mg/dL)]]</f>
        <v>-</v>
      </c>
      <c r="AD32" s="125" t="str">
        <f>Tabela1[[#This Row],[Pós Ac. Úrico (mg/dL)2]]</f>
        <v>-</v>
      </c>
      <c r="AE3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3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32" s="85">
        <f>Tabela1[[#This Row],[Pré Ureia mg/dL]]</f>
        <v>45</v>
      </c>
      <c r="AH32" s="85">
        <f>Tabela1[[#This Row],[Pós Ureia mg/dL]]</f>
        <v>49</v>
      </c>
      <c r="AI32" s="125">
        <f>Tabela1[[#This Row],[Pré creatinina mg/dL]]</f>
        <v>1.2</v>
      </c>
      <c r="AJ32" s="125">
        <f>Tabela1[[#This Row],[Pós creatinina mg/dL]]</f>
        <v>1</v>
      </c>
      <c r="AK32" s="180">
        <f t="shared" si="0"/>
        <v>0</v>
      </c>
      <c r="AL32" s="125">
        <f>Tabela1[[#This Row],[Pré Fósforo mg/dL]]</f>
        <v>4.5</v>
      </c>
      <c r="AM32" s="125">
        <f>Tabela1[[#This Row],[Pós Fósforo mg/dL]]</f>
        <v>4</v>
      </c>
      <c r="AN32" s="125">
        <f>Tabela1[[#This Row],[Pré Proteína Total (g/dL)]]</f>
        <v>7.6</v>
      </c>
      <c r="AO32" s="125">
        <f>Tabela1[[#This Row],[Pós Proteína Total (g/dL)]]</f>
        <v>7.3</v>
      </c>
      <c r="AP32" s="85" t="str">
        <f>Tabela1[[#This Row],[Pré FE (ug/dL)]]</f>
        <v>-</v>
      </c>
      <c r="AQ32" s="193" t="str">
        <f>Tabela1[[#This Row],[Pós FE (ug/dL)]]</f>
        <v>-</v>
      </c>
      <c r="AR32" s="194">
        <f>Tabela1[[#This Row],[Pré calcio mg/dL]]</f>
        <v>9.8000000000000007</v>
      </c>
      <c r="AS32" s="125">
        <f>Tabela1[[#This Row],[Pós calcio mg/dL]]</f>
        <v>9</v>
      </c>
      <c r="AT32" s="125">
        <f>Tabela1[[#This Row],[Pré Potássio mmol/L]]</f>
        <v>4.9000000000000004</v>
      </c>
      <c r="AU32" s="125">
        <f>Tabela1[[#This Row],[Pós Potássio mmol/L]]</f>
        <v>4.4000000000000004</v>
      </c>
      <c r="AV32" s="85">
        <f>Tabela1[[#This Row],[Glicose pré]]</f>
        <v>100</v>
      </c>
      <c r="AW32" s="85">
        <f>Tabela1[[#This Row],[Glicose pós]]</f>
        <v>82</v>
      </c>
      <c r="AX32" s="85">
        <f>Tabela1[[#This Row],[Pré Sódio mmol/L]]</f>
        <v>136</v>
      </c>
      <c r="AY32" s="85">
        <f>Tabela1[[#This Row],[Pós Sódio mmol/L]]</f>
        <v>131</v>
      </c>
      <c r="AZ32" s="125" t="str">
        <f>Tabela1[[#This Row],[Pré Magnésio mg/dL]]</f>
        <v>-</v>
      </c>
      <c r="BA32" s="125" t="str">
        <f>Tabela1[[#This Row],[Pós Magnésio mg/dL]]</f>
        <v>-</v>
      </c>
      <c r="BB32" s="85" t="str">
        <f>Tabela1[[#This Row],[Pré Cloro mmol/L]]</f>
        <v>-</v>
      </c>
      <c r="BC32" s="85" t="str">
        <f>Tabela1[[#This Row],[Pós Cloro mmol/L]]</f>
        <v>-</v>
      </c>
      <c r="BD3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289.96288888888893</v>
      </c>
      <c r="BE3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279.24955555555562</v>
      </c>
      <c r="BF32" s="194">
        <f>Tabela1[[#This Row],[Pré RBC 10^6/mm³]]</f>
        <v>4.59</v>
      </c>
      <c r="BG32" s="125">
        <f>Tabela1[[#This Row],[Pós RBC 10^6/mm³]]</f>
        <v>4.5</v>
      </c>
      <c r="BH32" s="125">
        <f>Tabela1[[#This Row],[Pré HGB g/dL]]</f>
        <v>13.6</v>
      </c>
      <c r="BI32" s="125">
        <f>Tabela1[[#This Row],[Pós HGB g/dL]]</f>
        <v>13.4</v>
      </c>
      <c r="BJ32" s="125">
        <f>Tabela1[[#This Row],[Pré HCT %]]</f>
        <v>43</v>
      </c>
      <c r="BK32" s="125">
        <f>Tabela1[[#This Row],[Pós HCT %]]</f>
        <v>40.299999999999997</v>
      </c>
      <c r="BL32" s="125">
        <f>Tabela1[[#This Row],[Pré MCV fL]]</f>
        <v>93.7</v>
      </c>
      <c r="BM32" s="125">
        <f>Tabela1[[#This Row],[Pós MCV fL]]</f>
        <v>89.6</v>
      </c>
      <c r="BN32" s="125">
        <f>Tabela1[[#This Row],[Pré MCH pg]]</f>
        <v>29.6</v>
      </c>
      <c r="BO32" s="125">
        <f>Tabela1[[#This Row],[Pós MCH pg]]</f>
        <v>29.8</v>
      </c>
      <c r="BP32" s="125">
        <f>Tabela1[[#This Row],[Pré MCHC g/dL]]</f>
        <v>31.6</v>
      </c>
      <c r="BQ32" s="125">
        <f>Tabela1[[#This Row],[Pós MCHC g/dL]]</f>
        <v>33.299999999999997</v>
      </c>
      <c r="BR32" s="85">
        <f>Tabela1[[#This Row],[Pré PLT 10³/mm³]]</f>
        <v>204</v>
      </c>
      <c r="BS32" s="85">
        <f>Tabela1[[#This Row],[Pós PLT 10³/mm³]]</f>
        <v>262</v>
      </c>
      <c r="BT32" s="125">
        <f>Tabela1[[#This Row],[Pré RDW %]]</f>
        <v>13.5</v>
      </c>
      <c r="BU32" s="125">
        <f>Tabela1[[#This Row],[Pós RDW %]]</f>
        <v>13.7</v>
      </c>
      <c r="BV32" s="179">
        <f>Tabela1[[#This Row],[Pré RET %]]</f>
        <v>2.2400000000000002</v>
      </c>
      <c r="BW32" s="196">
        <f>Tabela1[[#This Row],[Pós RET %]]</f>
        <v>1.7</v>
      </c>
      <c r="BX32" s="197">
        <f>Tabela1[[#This Row],[Pré WBC 10³/mm³]]</f>
        <v>8.81</v>
      </c>
      <c r="BY32" s="179">
        <f>Tabela1[[#This Row],[Pós WBC 10³/mm³]]</f>
        <v>9.2799999999999994</v>
      </c>
      <c r="BZ32" s="125">
        <f>Tabela1[[#This Row],[Pré NEUT %]]</f>
        <v>54.3</v>
      </c>
      <c r="CA32" s="125">
        <f>Tabela1[[#This Row],[Pós NEUT %]]</f>
        <v>55.7</v>
      </c>
      <c r="CB32" s="125">
        <f>Tabela1[[#This Row],[Pré LINF %]]</f>
        <v>26.3</v>
      </c>
      <c r="CC32" s="125">
        <f>Tabela1[[#This Row],[Pós LINF %]]</f>
        <v>27.9</v>
      </c>
      <c r="CD32" s="125">
        <f>Tabela1[[#This Row],[Pré MONO %]]</f>
        <v>14</v>
      </c>
      <c r="CE32" s="125">
        <f>Tabela1[[#This Row],[Pós MONO %]]</f>
        <v>11</v>
      </c>
      <c r="CF32" s="125">
        <f>Tabela1[[#This Row],[Pré EOS %]]</f>
        <v>4.4000000000000004</v>
      </c>
      <c r="CG32" s="125">
        <f>Tabela1[[#This Row],[Pós EOS %]]</f>
        <v>4.5</v>
      </c>
      <c r="CH32" s="125">
        <f>Tabela1[[#This Row],[Pré BASO %]]</f>
        <v>1</v>
      </c>
      <c r="CI32" s="198">
        <f>Tabela1[[#This Row],[Pós BASO %]]</f>
        <v>0.9</v>
      </c>
      <c r="CJ32" s="199" t="str">
        <f t="shared" si="1"/>
        <v>NÃO</v>
      </c>
      <c r="CK32" s="200" t="str">
        <f t="shared" si="2"/>
        <v>SIM</v>
      </c>
      <c r="CL32" s="194">
        <f t="shared" si="3"/>
        <v>66.794890000000009</v>
      </c>
      <c r="CM32" s="125">
        <f>Tabela1[[#This Row],[MCT KG]]</f>
        <v>70.900000000000006</v>
      </c>
      <c r="CN32" s="85">
        <f>Tabela1[[#This Row],[ESTATURA]]</f>
        <v>166</v>
      </c>
      <c r="CO32" s="85">
        <f>Tabela1[[#This Row],[vo2max estimado]]</f>
        <v>52.92</v>
      </c>
      <c r="CP32" s="85">
        <f>Tabela1[[#This Row],[Handgrip     Dominante]]</f>
        <v>54.5</v>
      </c>
      <c r="CQ32" s="85">
        <f>Tabela1[[#This Row],[Handgrip Contrário]]</f>
        <v>52.5</v>
      </c>
      <c r="CR32" s="281">
        <f>Tabela1[[#This Row],[% gordura]]</f>
        <v>5.79</v>
      </c>
    </row>
    <row r="33" spans="1:96" ht="15.75" customHeight="1">
      <c r="A33" s="279">
        <f>Tabela1[[#This Row],[Ano]]</f>
        <v>2017</v>
      </c>
      <c r="B33" s="181" t="str">
        <f>Tabela1[[#This Row],[Missão]]</f>
        <v>Itatiaia</v>
      </c>
      <c r="C33" s="181">
        <f>Tabela1[[#This Row],[Aluno]]</f>
        <v>3090</v>
      </c>
      <c r="D33" s="181">
        <f>Tabela1[[#This Row],[Idade]]</f>
        <v>29</v>
      </c>
      <c r="E33" s="182">
        <f>Tabela1[[#This Row],[Peso Kg]]</f>
        <v>74</v>
      </c>
      <c r="F33" s="191">
        <f>Tabela1[[#This Row],[Cor da pele]]</f>
        <v>2</v>
      </c>
      <c r="G33" s="192" t="str">
        <f>Tabela1[[#This Row],[ACTN3]]</f>
        <v xml:space="preserve">RX </v>
      </c>
      <c r="H33" s="85" t="str">
        <f>Tabela1[[#This Row],[AGT]]</f>
        <v>MT</v>
      </c>
      <c r="I33" s="85" t="str">
        <f>Tabela1[[#This Row],[ECA]]</f>
        <v>II</v>
      </c>
      <c r="J33" s="85" t="str">
        <f>Tabela1[[#This Row],[BDKRB2]]</f>
        <v>(+9, -9)</v>
      </c>
      <c r="K33" s="85">
        <f>Tabela1[[#This Row],[Score Força%]]</f>
        <v>37.5</v>
      </c>
      <c r="L33" s="193">
        <f>Tabela1[[#This Row],[Score Resistência %]]</f>
        <v>62.5</v>
      </c>
      <c r="M33" s="192">
        <f>Tabela1[[#This Row],[Pré CK (U/L)]]</f>
        <v>992</v>
      </c>
      <c r="N33" s="85">
        <f>Tabela1[[#This Row],[Pós CK (U/L)]]</f>
        <v>2845</v>
      </c>
      <c r="O33" s="85">
        <f>Tabela1[[#This Row],[Pré CK MB U/L]]</f>
        <v>13</v>
      </c>
      <c r="P33" s="85">
        <f>Tabela1[[#This Row],[Pós CK MB U/L]]</f>
        <v>34</v>
      </c>
      <c r="Q33" s="85" t="str">
        <f>Tabela1[[#This Row],[Pré Lactato (mmol/L)]]</f>
        <v>-</v>
      </c>
      <c r="R33" s="85" t="str">
        <f>Tabela1[[#This Row],[Pós Lactato (mmol/L)]]</f>
        <v>-</v>
      </c>
      <c r="S33" s="85">
        <f>Tabela1[[#This Row],[Pré LDH (U/L)]]</f>
        <v>580</v>
      </c>
      <c r="T33" s="85">
        <f>Tabela1[[#This Row],[Pós LDH (U/L)]]</f>
        <v>981</v>
      </c>
      <c r="U33" s="85">
        <f>Tabela1[[#This Row],[Pré AST (U/L)]]</f>
        <v>52</v>
      </c>
      <c r="V33" s="193">
        <f>Tabela1[[#This Row],[Pós AST (U/L)]]</f>
        <v>108</v>
      </c>
      <c r="W33" s="194">
        <f>Tabela1[[#This Row],[Pré Albumina (g/dL)]]</f>
        <v>4.4000000000000004</v>
      </c>
      <c r="X33" s="125">
        <f>Tabela1[[#This Row],[Pós Albumina (g/dL)]]</f>
        <v>4.0999999999999996</v>
      </c>
      <c r="Y33" s="85">
        <f>Tabela1[[#This Row],[Pré TGP (g/dL)]]</f>
        <v>58</v>
      </c>
      <c r="Z33" s="85">
        <f>Tabela1[[#This Row],[Pós TGP (g/dL)]]</f>
        <v>81</v>
      </c>
      <c r="AA33" s="85">
        <f>Tabela1[[#This Row],[Pré GGT U/L]]</f>
        <v>23</v>
      </c>
      <c r="AB33" s="193">
        <f>Tabela1[[#This Row],[Pós GGT U/L]]</f>
        <v>25</v>
      </c>
      <c r="AC33" s="194" t="str">
        <f>Tabela1[[#This Row],[Pré Ac. Úrico (mg/dL)]]</f>
        <v>-</v>
      </c>
      <c r="AD33" s="125" t="str">
        <f>Tabela1[[#This Row],[Pós Ac. Úrico (mg/dL)2]]</f>
        <v>-</v>
      </c>
      <c r="AE3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3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33" s="85">
        <f>Tabela1[[#This Row],[Pré Ureia mg/dL]]</f>
        <v>40</v>
      </c>
      <c r="AH33" s="85">
        <f>Tabela1[[#This Row],[Pós Ureia mg/dL]]</f>
        <v>36</v>
      </c>
      <c r="AI33" s="125">
        <f>Tabela1[[#This Row],[Pré creatinina mg/dL]]</f>
        <v>1</v>
      </c>
      <c r="AJ33" s="125">
        <f>Tabela1[[#This Row],[Pós creatinina mg/dL]]</f>
        <v>0.9</v>
      </c>
      <c r="AK33" s="180">
        <f t="shared" si="0"/>
        <v>0</v>
      </c>
      <c r="AL33" s="125">
        <f>Tabela1[[#This Row],[Pré Fósforo mg/dL]]</f>
        <v>4.0999999999999996</v>
      </c>
      <c r="AM33" s="125">
        <f>Tabela1[[#This Row],[Pós Fósforo mg/dL]]</f>
        <v>4.7</v>
      </c>
      <c r="AN33" s="125">
        <f>Tabela1[[#This Row],[Pré Proteína Total (g/dL)]]</f>
        <v>7.2</v>
      </c>
      <c r="AO33" s="125">
        <f>Tabela1[[#This Row],[Pós Proteína Total (g/dL)]]</f>
        <v>7</v>
      </c>
      <c r="AP33" s="85" t="str">
        <f>Tabela1[[#This Row],[Pré FE (ug/dL)]]</f>
        <v>-</v>
      </c>
      <c r="AQ33" s="193" t="str">
        <f>Tabela1[[#This Row],[Pós FE (ug/dL)]]</f>
        <v>-</v>
      </c>
      <c r="AR33" s="194">
        <f>Tabela1[[#This Row],[Pré calcio mg/dL]]</f>
        <v>9.5</v>
      </c>
      <c r="AS33" s="125">
        <f>Tabela1[[#This Row],[Pós calcio mg/dL]]</f>
        <v>9.4</v>
      </c>
      <c r="AT33" s="125">
        <f>Tabela1[[#This Row],[Pré Potássio mmol/L]]</f>
        <v>5.2</v>
      </c>
      <c r="AU33" s="125">
        <f>Tabela1[[#This Row],[Pós Potássio mmol/L]]</f>
        <v>4.4000000000000004</v>
      </c>
      <c r="AV33" s="85">
        <f>Tabela1[[#This Row],[Glicose pré]]</f>
        <v>85</v>
      </c>
      <c r="AW33" s="85">
        <f>Tabela1[[#This Row],[Glicose pós]]</f>
        <v>84</v>
      </c>
      <c r="AX33" s="85">
        <f>Tabela1[[#This Row],[Pré Sódio mmol/L]]</f>
        <v>135</v>
      </c>
      <c r="AY33" s="85">
        <f>Tabela1[[#This Row],[Pós Sódio mmol/L]]</f>
        <v>133</v>
      </c>
      <c r="AZ33" s="125" t="str">
        <f>Tabela1[[#This Row],[Pré Magnésio mg/dL]]</f>
        <v>-</v>
      </c>
      <c r="BA33" s="125" t="str">
        <f>Tabela1[[#This Row],[Pós Magnésio mg/dL]]</f>
        <v>-</v>
      </c>
      <c r="BB33" s="85" t="str">
        <f>Tabela1[[#This Row],[Pré Cloro mmol/L]]</f>
        <v>-</v>
      </c>
      <c r="BC33" s="85" t="str">
        <f>Tabela1[[#This Row],[Pós Cloro mmol/L]]</f>
        <v>-</v>
      </c>
      <c r="BD3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286.86922222222222</v>
      </c>
      <c r="BE3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280.9306666666667</v>
      </c>
      <c r="BF33" s="194">
        <f>Tabela1[[#This Row],[Pré RBC 10^6/mm³]]</f>
        <v>5.16</v>
      </c>
      <c r="BG33" s="125">
        <f>Tabela1[[#This Row],[Pós RBC 10^6/mm³]]</f>
        <v>5.13</v>
      </c>
      <c r="BH33" s="125">
        <f>Tabela1[[#This Row],[Pré HGB g/dL]]</f>
        <v>15.1</v>
      </c>
      <c r="BI33" s="125">
        <f>Tabela1[[#This Row],[Pós HGB g/dL]]</f>
        <v>15.1</v>
      </c>
      <c r="BJ33" s="125">
        <f>Tabela1[[#This Row],[Pré HCT %]]</f>
        <v>45.7</v>
      </c>
      <c r="BK33" s="125">
        <f>Tabela1[[#This Row],[Pós HCT %]]</f>
        <v>44</v>
      </c>
      <c r="BL33" s="125">
        <f>Tabela1[[#This Row],[Pré MCV fL]]</f>
        <v>88.6</v>
      </c>
      <c r="BM33" s="125">
        <f>Tabela1[[#This Row],[Pós MCV fL]]</f>
        <v>85.8</v>
      </c>
      <c r="BN33" s="125">
        <f>Tabela1[[#This Row],[Pré MCH pg]]</f>
        <v>29.3</v>
      </c>
      <c r="BO33" s="125">
        <f>Tabela1[[#This Row],[Pós MCH pg]]</f>
        <v>29.4</v>
      </c>
      <c r="BP33" s="125">
        <f>Tabela1[[#This Row],[Pré MCHC g/dL]]</f>
        <v>33</v>
      </c>
      <c r="BQ33" s="125">
        <f>Tabela1[[#This Row],[Pós MCHC g/dL]]</f>
        <v>34.299999999999997</v>
      </c>
      <c r="BR33" s="85">
        <f>Tabela1[[#This Row],[Pré PLT 10³/mm³]]</f>
        <v>283</v>
      </c>
      <c r="BS33" s="85">
        <f>Tabela1[[#This Row],[Pós PLT 10³/mm³]]</f>
        <v>313</v>
      </c>
      <c r="BT33" s="125">
        <f>Tabela1[[#This Row],[Pré RDW %]]</f>
        <v>12.1</v>
      </c>
      <c r="BU33" s="125">
        <f>Tabela1[[#This Row],[Pós RDW %]]</f>
        <v>12.2</v>
      </c>
      <c r="BV33" s="179">
        <f>Tabela1[[#This Row],[Pré RET %]]</f>
        <v>0.8</v>
      </c>
      <c r="BW33" s="196">
        <f>Tabela1[[#This Row],[Pós RET %]]</f>
        <v>0.59</v>
      </c>
      <c r="BX33" s="197">
        <f>Tabela1[[#This Row],[Pré WBC 10³/mm³]]</f>
        <v>4.8</v>
      </c>
      <c r="BY33" s="179">
        <f>Tabela1[[#This Row],[Pós WBC 10³/mm³]]</f>
        <v>8.9499999999999993</v>
      </c>
      <c r="BZ33" s="125">
        <f>Tabela1[[#This Row],[Pré NEUT %]]</f>
        <v>38.4</v>
      </c>
      <c r="CA33" s="125">
        <f>Tabela1[[#This Row],[Pós NEUT %]]</f>
        <v>51.5</v>
      </c>
      <c r="CB33" s="125">
        <f>Tabela1[[#This Row],[Pré LINF %]]</f>
        <v>32.5</v>
      </c>
      <c r="CC33" s="125">
        <f>Tabela1[[#This Row],[Pós LINF %]]</f>
        <v>27.2</v>
      </c>
      <c r="CD33" s="125">
        <f>Tabela1[[#This Row],[Pré MONO %]]</f>
        <v>11.5</v>
      </c>
      <c r="CE33" s="125">
        <f>Tabela1[[#This Row],[Pós MONO %]]</f>
        <v>10.7</v>
      </c>
      <c r="CF33" s="125">
        <f>Tabela1[[#This Row],[Pré EOS %]]</f>
        <v>13.8</v>
      </c>
      <c r="CG33" s="125">
        <f>Tabela1[[#This Row],[Pós EOS %]]</f>
        <v>9.5</v>
      </c>
      <c r="CH33" s="125">
        <f>Tabela1[[#This Row],[Pré BASO %]]</f>
        <v>3.8</v>
      </c>
      <c r="CI33" s="198">
        <f>Tabela1[[#This Row],[Pós BASO %]]</f>
        <v>1.1000000000000001</v>
      </c>
      <c r="CJ33" s="199" t="str">
        <f t="shared" si="1"/>
        <v>NÃO</v>
      </c>
      <c r="CK33" s="200" t="str">
        <f t="shared" si="2"/>
        <v>SIM</v>
      </c>
      <c r="CL33" s="194">
        <f t="shared" si="3"/>
        <v>64.758570000000006</v>
      </c>
      <c r="CM33" s="125">
        <f>Tabela1[[#This Row],[MCT KG]]</f>
        <v>73.900000000000006</v>
      </c>
      <c r="CN33" s="85">
        <f>Tabela1[[#This Row],[ESTATURA]]</f>
        <v>172.6</v>
      </c>
      <c r="CO33" s="85">
        <f>Tabela1[[#This Row],[vo2max estimado]]</f>
        <v>52.06</v>
      </c>
      <c r="CP33" s="85">
        <f>Tabela1[[#This Row],[Handgrip     Dominante]]</f>
        <v>42</v>
      </c>
      <c r="CQ33" s="85">
        <f>Tabela1[[#This Row],[Handgrip Contrário]]</f>
        <v>36.5</v>
      </c>
      <c r="CR33" s="281">
        <f>Tabela1[[#This Row],[% gordura]]</f>
        <v>12.37</v>
      </c>
    </row>
    <row r="34" spans="1:96" ht="15.75" customHeight="1">
      <c r="A34" s="279">
        <f>Tabela1[[#This Row],[Ano]]</f>
        <v>2017</v>
      </c>
      <c r="B34" s="181" t="str">
        <f>Tabela1[[#This Row],[Missão]]</f>
        <v>Itatiaia</v>
      </c>
      <c r="C34" s="181">
        <f>Tabela1[[#This Row],[Aluno]]</f>
        <v>3091</v>
      </c>
      <c r="D34" s="181">
        <f>Tabela1[[#This Row],[Idade]]</f>
        <v>28</v>
      </c>
      <c r="E34" s="182">
        <f>Tabela1[[#This Row],[Peso Kg]]</f>
        <v>78</v>
      </c>
      <c r="F34" s="191">
        <f>Tabela1[[#This Row],[Cor da pele]]</f>
        <v>0</v>
      </c>
      <c r="G34" s="192" t="str">
        <f>Tabela1[[#This Row],[ACTN3]]</f>
        <v>XX</v>
      </c>
      <c r="H34" s="85" t="str">
        <f>Tabela1[[#This Row],[AGT]]</f>
        <v>MT</v>
      </c>
      <c r="I34" s="85" t="str">
        <f>Tabela1[[#This Row],[ECA]]</f>
        <v>II</v>
      </c>
      <c r="J34" s="85" t="str">
        <f>Tabela1[[#This Row],[BDKRB2]]</f>
        <v>(+9, +9)</v>
      </c>
      <c r="K34" s="85">
        <f>Tabela1[[#This Row],[Score Força%]]</f>
        <v>37.5</v>
      </c>
      <c r="L34" s="193">
        <f>Tabela1[[#This Row],[Score Resistência %]]</f>
        <v>62.5</v>
      </c>
      <c r="M34" s="192">
        <f>Tabela1[[#This Row],[Pré CK (U/L)]]</f>
        <v>298</v>
      </c>
      <c r="N34" s="85">
        <f>Tabela1[[#This Row],[Pós CK (U/L)]]</f>
        <v>879</v>
      </c>
      <c r="O34" s="85">
        <f>Tabela1[[#This Row],[Pré CK MB U/L]]</f>
        <v>3</v>
      </c>
      <c r="P34" s="85">
        <f>Tabela1[[#This Row],[Pós CK MB U/L]]</f>
        <v>9</v>
      </c>
      <c r="Q34" s="85" t="str">
        <f>Tabela1[[#This Row],[Pré Lactato (mmol/L)]]</f>
        <v>-</v>
      </c>
      <c r="R34" s="85" t="str">
        <f>Tabela1[[#This Row],[Pós Lactato (mmol/L)]]</f>
        <v>-</v>
      </c>
      <c r="S34" s="85">
        <f>Tabela1[[#This Row],[Pré LDH (U/L)]]</f>
        <v>455</v>
      </c>
      <c r="T34" s="85">
        <f>Tabela1[[#This Row],[Pós LDH (U/L)]]</f>
        <v>642</v>
      </c>
      <c r="U34" s="85">
        <f>Tabela1[[#This Row],[Pré AST (U/L)]]</f>
        <v>44</v>
      </c>
      <c r="V34" s="193">
        <f>Tabela1[[#This Row],[Pós AST (U/L)]]</f>
        <v>63</v>
      </c>
      <c r="W34" s="194">
        <f>Tabela1[[#This Row],[Pré Albumina (g/dL)]]</f>
        <v>4</v>
      </c>
      <c r="X34" s="125">
        <f>Tabela1[[#This Row],[Pós Albumina (g/dL)]]</f>
        <v>4</v>
      </c>
      <c r="Y34" s="85">
        <f>Tabela1[[#This Row],[Pré TGP (g/dL)]]</f>
        <v>47</v>
      </c>
      <c r="Z34" s="85">
        <f>Tabela1[[#This Row],[Pós TGP (g/dL)]]</f>
        <v>48</v>
      </c>
      <c r="AA34" s="85">
        <f>Tabela1[[#This Row],[Pré GGT U/L]]</f>
        <v>22</v>
      </c>
      <c r="AB34" s="193">
        <f>Tabela1[[#This Row],[Pós GGT U/L]]</f>
        <v>20</v>
      </c>
      <c r="AC34" s="194" t="str">
        <f>Tabela1[[#This Row],[Pré Ac. Úrico (mg/dL)]]</f>
        <v>-</v>
      </c>
      <c r="AD34" s="125" t="str">
        <f>Tabela1[[#This Row],[Pós Ac. Úrico (mg/dL)2]]</f>
        <v>-</v>
      </c>
      <c r="AE3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3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34" s="85">
        <f>Tabela1[[#This Row],[Pré Ureia mg/dL]]</f>
        <v>46</v>
      </c>
      <c r="AH34" s="85">
        <f>Tabela1[[#This Row],[Pós Ureia mg/dL]]</f>
        <v>47</v>
      </c>
      <c r="AI34" s="125">
        <f>Tabela1[[#This Row],[Pré creatinina mg/dL]]</f>
        <v>1.1000000000000001</v>
      </c>
      <c r="AJ34" s="125">
        <f>Tabela1[[#This Row],[Pós creatinina mg/dL]]</f>
        <v>1</v>
      </c>
      <c r="AK34" s="180">
        <f t="shared" si="0"/>
        <v>0</v>
      </c>
      <c r="AL34" s="125">
        <f>Tabela1[[#This Row],[Pré Fósforo mg/dL]]</f>
        <v>4.4000000000000004</v>
      </c>
      <c r="AM34" s="125">
        <f>Tabela1[[#This Row],[Pós Fósforo mg/dL]]</f>
        <v>4.4000000000000004</v>
      </c>
      <c r="AN34" s="125">
        <f>Tabela1[[#This Row],[Pré Proteína Total (g/dL)]]</f>
        <v>6.7</v>
      </c>
      <c r="AO34" s="125">
        <f>Tabela1[[#This Row],[Pós Proteína Total (g/dL)]]</f>
        <v>6.8</v>
      </c>
      <c r="AP34" s="85" t="str">
        <f>Tabela1[[#This Row],[Pré FE (ug/dL)]]</f>
        <v>-</v>
      </c>
      <c r="AQ34" s="193" t="str">
        <f>Tabela1[[#This Row],[Pós FE (ug/dL)]]</f>
        <v>-</v>
      </c>
      <c r="AR34" s="194">
        <f>Tabela1[[#This Row],[Pré calcio mg/dL]]</f>
        <v>9.3000000000000007</v>
      </c>
      <c r="AS34" s="125">
        <f>Tabela1[[#This Row],[Pós calcio mg/dL]]</f>
        <v>9.3000000000000007</v>
      </c>
      <c r="AT34" s="125">
        <f>Tabela1[[#This Row],[Pré Potássio mmol/L]]</f>
        <v>4.3</v>
      </c>
      <c r="AU34" s="125">
        <f>Tabela1[[#This Row],[Pós Potássio mmol/L]]</f>
        <v>4.2</v>
      </c>
      <c r="AV34" s="85">
        <f>Tabela1[[#This Row],[Glicose pré]]</f>
        <v>91</v>
      </c>
      <c r="AW34" s="85">
        <f>Tabela1[[#This Row],[Glicose pós]]</f>
        <v>91</v>
      </c>
      <c r="AX34" s="85">
        <f>Tabela1[[#This Row],[Pré Sódio mmol/L]]</f>
        <v>134</v>
      </c>
      <c r="AY34" s="85">
        <f>Tabela1[[#This Row],[Pós Sódio mmol/L]]</f>
        <v>132</v>
      </c>
      <c r="AZ34" s="125" t="str">
        <f>Tabela1[[#This Row],[Pré Magnésio mg/dL]]</f>
        <v>-</v>
      </c>
      <c r="BA34" s="125" t="str">
        <f>Tabela1[[#This Row],[Pós Magnésio mg/dL]]</f>
        <v>-</v>
      </c>
      <c r="BB34" s="85" t="str">
        <f>Tabela1[[#This Row],[Pré Cloro mmol/L]]</f>
        <v>-</v>
      </c>
      <c r="BC34" s="85" t="str">
        <f>Tabela1[[#This Row],[Pós Cloro mmol/L]]</f>
        <v>-</v>
      </c>
      <c r="BD3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284.71855555555561</v>
      </c>
      <c r="BE3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280.97922222222218</v>
      </c>
      <c r="BF34" s="194">
        <f>Tabela1[[#This Row],[Pré RBC 10^6/mm³]]</f>
        <v>4.25</v>
      </c>
      <c r="BG34" s="125">
        <f>Tabela1[[#This Row],[Pós RBC 10^6/mm³]]</f>
        <v>4.22</v>
      </c>
      <c r="BH34" s="125">
        <f>Tabela1[[#This Row],[Pré HGB g/dL]]</f>
        <v>12.9</v>
      </c>
      <c r="BI34" s="125">
        <f>Tabela1[[#This Row],[Pós HGB g/dL]]</f>
        <v>12.8</v>
      </c>
      <c r="BJ34" s="125">
        <f>Tabela1[[#This Row],[Pré HCT %]]</f>
        <v>39.700000000000003</v>
      </c>
      <c r="BK34" s="125">
        <f>Tabela1[[#This Row],[Pós HCT %]]</f>
        <v>38.299999999999997</v>
      </c>
      <c r="BL34" s="125">
        <f>Tabela1[[#This Row],[Pré MCV fL]]</f>
        <v>93.4</v>
      </c>
      <c r="BM34" s="125">
        <f>Tabela1[[#This Row],[Pós MCV fL]]</f>
        <v>90.8</v>
      </c>
      <c r="BN34" s="125">
        <f>Tabela1[[#This Row],[Pré MCH pg]]</f>
        <v>30.4</v>
      </c>
      <c r="BO34" s="125">
        <f>Tabela1[[#This Row],[Pós MCH pg]]</f>
        <v>30.3</v>
      </c>
      <c r="BP34" s="125">
        <f>Tabela1[[#This Row],[Pré MCHC g/dL]]</f>
        <v>32.5</v>
      </c>
      <c r="BQ34" s="125">
        <f>Tabela1[[#This Row],[Pós MCHC g/dL]]</f>
        <v>33.4</v>
      </c>
      <c r="BR34" s="85">
        <f>Tabela1[[#This Row],[Pré PLT 10³/mm³]]</f>
        <v>252</v>
      </c>
      <c r="BS34" s="85">
        <f>Tabela1[[#This Row],[Pós PLT 10³/mm³]]</f>
        <v>308</v>
      </c>
      <c r="BT34" s="125">
        <f>Tabela1[[#This Row],[Pré RDW %]]</f>
        <v>12.1</v>
      </c>
      <c r="BU34" s="125">
        <f>Tabela1[[#This Row],[Pós RDW %]]</f>
        <v>12.6</v>
      </c>
      <c r="BV34" s="179">
        <f>Tabela1[[#This Row],[Pré RET %]]</f>
        <v>1.21</v>
      </c>
      <c r="BW34" s="196">
        <f>Tabela1[[#This Row],[Pós RET %]]</f>
        <v>1.45</v>
      </c>
      <c r="BX34" s="197">
        <f>Tabela1[[#This Row],[Pré WBC 10³/mm³]]</f>
        <v>6.44</v>
      </c>
      <c r="BY34" s="179">
        <f>Tabela1[[#This Row],[Pós WBC 10³/mm³]]</f>
        <v>7.92</v>
      </c>
      <c r="BZ34" s="125">
        <f>Tabela1[[#This Row],[Pré NEUT %]]</f>
        <v>58.4</v>
      </c>
      <c r="CA34" s="125">
        <f>Tabela1[[#This Row],[Pós NEUT %]]</f>
        <v>55.7</v>
      </c>
      <c r="CB34" s="125">
        <f>Tabela1[[#This Row],[Pré LINF %]]</f>
        <v>21</v>
      </c>
      <c r="CC34" s="125">
        <f>Tabela1[[#This Row],[Pós LINF %]]</f>
        <v>20.5</v>
      </c>
      <c r="CD34" s="125">
        <f>Tabela1[[#This Row],[Pré MONO %]]</f>
        <v>13.2</v>
      </c>
      <c r="CE34" s="125">
        <f>Tabela1[[#This Row],[Pós MONO %]]</f>
        <v>18.600000000000001</v>
      </c>
      <c r="CF34" s="125">
        <f>Tabela1[[#This Row],[Pré EOS %]]</f>
        <v>6.8</v>
      </c>
      <c r="CG34" s="125">
        <f>Tabela1[[#This Row],[Pós EOS %]]</f>
        <v>4.4000000000000004</v>
      </c>
      <c r="CH34" s="125">
        <f>Tabela1[[#This Row],[Pré BASO %]]</f>
        <v>0.6</v>
      </c>
      <c r="CI34" s="198">
        <f>Tabela1[[#This Row],[Pós BASO %]]</f>
        <v>0.8</v>
      </c>
      <c r="CJ34" s="199" t="str">
        <f t="shared" si="1"/>
        <v>NÃO</v>
      </c>
      <c r="CK34" s="200" t="str">
        <f t="shared" si="2"/>
        <v>NÃO</v>
      </c>
      <c r="CL34" s="194">
        <f t="shared" si="3"/>
        <v>64.734659999999991</v>
      </c>
      <c r="CM34" s="125">
        <f>Tabela1[[#This Row],[MCT KG]]</f>
        <v>76.599999999999994</v>
      </c>
      <c r="CN34" s="85">
        <f>Tabela1[[#This Row],[ESTATURA]]</f>
        <v>177</v>
      </c>
      <c r="CO34" s="85">
        <f>Tabela1[[#This Row],[vo2max estimado]]</f>
        <v>52.21</v>
      </c>
      <c r="CP34" s="85">
        <f>Tabela1[[#This Row],[Handgrip     Dominante]]</f>
        <v>52</v>
      </c>
      <c r="CQ34" s="85">
        <f>Tabela1[[#This Row],[Handgrip Contrário]]</f>
        <v>49</v>
      </c>
      <c r="CR34" s="281">
        <f>Tabela1[[#This Row],[% gordura]]</f>
        <v>15.49</v>
      </c>
    </row>
    <row r="35" spans="1:96" ht="15.75" customHeight="1">
      <c r="A35" s="279">
        <f>Tabela1[[#This Row],[Ano]]</f>
        <v>2017</v>
      </c>
      <c r="B35" s="181" t="str">
        <f>Tabela1[[#This Row],[Missão]]</f>
        <v>Itatiaia</v>
      </c>
      <c r="C35" s="181">
        <f>Tabela1[[#This Row],[Aluno]]</f>
        <v>3092</v>
      </c>
      <c r="D35" s="181">
        <f>Tabela1[[#This Row],[Idade]]</f>
        <v>28</v>
      </c>
      <c r="E35" s="182">
        <f>Tabela1[[#This Row],[Peso Kg]]</f>
        <v>93</v>
      </c>
      <c r="F35" s="191">
        <f>Tabela1[[#This Row],[Cor da pele]]</f>
        <v>1</v>
      </c>
      <c r="G35" s="192" t="str">
        <f>Tabela1[[#This Row],[ACTN3]]</f>
        <v>RR</v>
      </c>
      <c r="H35" s="85" t="str">
        <f>Tabela1[[#This Row],[AGT]]</f>
        <v>MT</v>
      </c>
      <c r="I35" s="85" t="str">
        <f>Tabela1[[#This Row],[ECA]]</f>
        <v>DD</v>
      </c>
      <c r="J35" s="85" t="str">
        <f>Tabela1[[#This Row],[BDKRB2]]</f>
        <v>(-9, -9)</v>
      </c>
      <c r="K35" s="85">
        <f>Tabela1[[#This Row],[Score Força%]]</f>
        <v>62.5</v>
      </c>
      <c r="L35" s="193">
        <f>Tabela1[[#This Row],[Score Resistência %]]</f>
        <v>37.5</v>
      </c>
      <c r="M35" s="192">
        <f>Tabela1[[#This Row],[Pré CK (U/L)]]</f>
        <v>273</v>
      </c>
      <c r="N35" s="85">
        <f>Tabela1[[#This Row],[Pós CK (U/L)]]</f>
        <v>958</v>
      </c>
      <c r="O35" s="85">
        <f>Tabela1[[#This Row],[Pré CK MB U/L]]</f>
        <v>7</v>
      </c>
      <c r="P35" s="85">
        <f>Tabela1[[#This Row],[Pós CK MB U/L]]</f>
        <v>24</v>
      </c>
      <c r="Q35" s="85" t="str">
        <f>Tabela1[[#This Row],[Pré Lactato (mmol/L)]]</f>
        <v>-</v>
      </c>
      <c r="R35" s="85" t="str">
        <f>Tabela1[[#This Row],[Pós Lactato (mmol/L)]]</f>
        <v>-</v>
      </c>
      <c r="S35" s="85">
        <f>Tabela1[[#This Row],[Pré LDH (U/L)]]</f>
        <v>538</v>
      </c>
      <c r="T35" s="85">
        <f>Tabela1[[#This Row],[Pós LDH (U/L)]]</f>
        <v>677</v>
      </c>
      <c r="U35" s="85">
        <f>Tabela1[[#This Row],[Pré AST (U/L)]]</f>
        <v>36</v>
      </c>
      <c r="V35" s="193">
        <f>Tabela1[[#This Row],[Pós AST (U/L)]]</f>
        <v>62</v>
      </c>
      <c r="W35" s="194">
        <f>Tabela1[[#This Row],[Pré Albumina (g/dL)]]</f>
        <v>4.4000000000000004</v>
      </c>
      <c r="X35" s="125">
        <f>Tabela1[[#This Row],[Pós Albumina (g/dL)]]</f>
        <v>4.2</v>
      </c>
      <c r="Y35" s="85">
        <f>Tabela1[[#This Row],[Pré TGP (g/dL)]]</f>
        <v>40</v>
      </c>
      <c r="Z35" s="85">
        <f>Tabela1[[#This Row],[Pós TGP (g/dL)]]</f>
        <v>43</v>
      </c>
      <c r="AA35" s="85">
        <f>Tabela1[[#This Row],[Pré GGT U/L]]</f>
        <v>53</v>
      </c>
      <c r="AB35" s="193">
        <f>Tabela1[[#This Row],[Pós GGT U/L]]</f>
        <v>48</v>
      </c>
      <c r="AC35" s="194" t="str">
        <f>Tabela1[[#This Row],[Pré Ac. Úrico (mg/dL)]]</f>
        <v>-</v>
      </c>
      <c r="AD35" s="125" t="str">
        <f>Tabela1[[#This Row],[Pós Ac. Úrico (mg/dL)2]]</f>
        <v>-</v>
      </c>
      <c r="AE3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3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35" s="85">
        <f>Tabela1[[#This Row],[Pré Ureia mg/dL]]</f>
        <v>42</v>
      </c>
      <c r="AH35" s="85">
        <f>Tabela1[[#This Row],[Pós Ureia mg/dL]]</f>
        <v>49</v>
      </c>
      <c r="AI35" s="125">
        <f>Tabela1[[#This Row],[Pré creatinina mg/dL]]</f>
        <v>1</v>
      </c>
      <c r="AJ35" s="125">
        <f>Tabela1[[#This Row],[Pós creatinina mg/dL]]</f>
        <v>1</v>
      </c>
      <c r="AK35" s="180">
        <f t="shared" si="0"/>
        <v>0</v>
      </c>
      <c r="AL35" s="125">
        <f>Tabela1[[#This Row],[Pré Fósforo mg/dL]]</f>
        <v>4.5</v>
      </c>
      <c r="AM35" s="125">
        <f>Tabela1[[#This Row],[Pós Fósforo mg/dL]]</f>
        <v>4.8</v>
      </c>
      <c r="AN35" s="125">
        <f>Tabela1[[#This Row],[Pré Proteína Total (g/dL)]]</f>
        <v>7.5</v>
      </c>
      <c r="AO35" s="125">
        <f>Tabela1[[#This Row],[Pós Proteína Total (g/dL)]]</f>
        <v>7.3</v>
      </c>
      <c r="AP35" s="85" t="str">
        <f>Tabela1[[#This Row],[Pré FE (ug/dL)]]</f>
        <v>-</v>
      </c>
      <c r="AQ35" s="193" t="str">
        <f>Tabela1[[#This Row],[Pós FE (ug/dL)]]</f>
        <v>-</v>
      </c>
      <c r="AR35" s="194">
        <f>Tabela1[[#This Row],[Pré calcio mg/dL]]</f>
        <v>9.4</v>
      </c>
      <c r="AS35" s="125">
        <f>Tabela1[[#This Row],[Pós calcio mg/dL]]</f>
        <v>9.5</v>
      </c>
      <c r="AT35" s="125">
        <f>Tabela1[[#This Row],[Pré Potássio mmol/L]]</f>
        <v>5.4</v>
      </c>
      <c r="AU35" s="125">
        <f>Tabela1[[#This Row],[Pós Potássio mmol/L]]</f>
        <v>4.2</v>
      </c>
      <c r="AV35" s="85">
        <f>Tabela1[[#This Row],[Glicose pré]]</f>
        <v>96</v>
      </c>
      <c r="AW35" s="85">
        <f>Tabela1[[#This Row],[Glicose pós]]</f>
        <v>81</v>
      </c>
      <c r="AX35" s="85">
        <f>Tabela1[[#This Row],[Pré Sódio mmol/L]]</f>
        <v>135</v>
      </c>
      <c r="AY35" s="85">
        <f>Tabela1[[#This Row],[Pós Sódio mmol/L]]</f>
        <v>132</v>
      </c>
      <c r="AZ35" s="125" t="str">
        <f>Tabela1[[#This Row],[Pré Magnésio mg/dL]]</f>
        <v>-</v>
      </c>
      <c r="BA35" s="125" t="str">
        <f>Tabela1[[#This Row],[Pós Magnésio mg/dL]]</f>
        <v>-</v>
      </c>
      <c r="BB35" s="85" t="str">
        <f>Tabela1[[#This Row],[Pré Cloro mmol/L]]</f>
        <v>-</v>
      </c>
      <c r="BC35" s="85" t="str">
        <f>Tabela1[[#This Row],[Pós Cloro mmol/L]]</f>
        <v>-</v>
      </c>
      <c r="BD3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288.27733333333333</v>
      </c>
      <c r="BE3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280.67366666666669</v>
      </c>
      <c r="BF35" s="194">
        <f>Tabela1[[#This Row],[Pré RBC 10^6/mm³]]</f>
        <v>4.45</v>
      </c>
      <c r="BG35" s="125">
        <f>Tabela1[[#This Row],[Pós RBC 10^6/mm³]]</f>
        <v>4.59</v>
      </c>
      <c r="BH35" s="125">
        <f>Tabela1[[#This Row],[Pré HGB g/dL]]</f>
        <v>13.2</v>
      </c>
      <c r="BI35" s="125">
        <f>Tabela1[[#This Row],[Pós HGB g/dL]]</f>
        <v>13.8</v>
      </c>
      <c r="BJ35" s="125">
        <f>Tabela1[[#This Row],[Pré HCT %]]</f>
        <v>42.3</v>
      </c>
      <c r="BK35" s="125">
        <f>Tabela1[[#This Row],[Pós HCT %]]</f>
        <v>42</v>
      </c>
      <c r="BL35" s="125">
        <f>Tabela1[[#This Row],[Pré MCV fL]]</f>
        <v>95.1</v>
      </c>
      <c r="BM35" s="125">
        <f>Tabela1[[#This Row],[Pós MCV fL]]</f>
        <v>91.5</v>
      </c>
      <c r="BN35" s="125">
        <f>Tabela1[[#This Row],[Pré MCH pg]]</f>
        <v>30.3</v>
      </c>
      <c r="BO35" s="125">
        <f>Tabela1[[#This Row],[Pós MCH pg]]</f>
        <v>30.1</v>
      </c>
      <c r="BP35" s="125">
        <f>Tabela1[[#This Row],[Pré MCHC g/dL]]</f>
        <v>31.9</v>
      </c>
      <c r="BQ35" s="125">
        <f>Tabela1[[#This Row],[Pós MCHC g/dL]]</f>
        <v>32.9</v>
      </c>
      <c r="BR35" s="85">
        <f>Tabela1[[#This Row],[Pré PLT 10³/mm³]]</f>
        <v>257</v>
      </c>
      <c r="BS35" s="85">
        <f>Tabela1[[#This Row],[Pós PLT 10³/mm³]]</f>
        <v>295</v>
      </c>
      <c r="BT35" s="125">
        <f>Tabela1[[#This Row],[Pré RDW %]]</f>
        <v>13.3</v>
      </c>
      <c r="BU35" s="125">
        <f>Tabela1[[#This Row],[Pós RDW %]]</f>
        <v>13.9</v>
      </c>
      <c r="BV35" s="179">
        <f>Tabela1[[#This Row],[Pré RET %]]</f>
        <v>1.1000000000000001</v>
      </c>
      <c r="BW35" s="196">
        <f>Tabela1[[#This Row],[Pós RET %]]</f>
        <v>0.99</v>
      </c>
      <c r="BX35" s="197">
        <f>Tabela1[[#This Row],[Pré WBC 10³/mm³]]</f>
        <v>4.7</v>
      </c>
      <c r="BY35" s="179">
        <f>Tabela1[[#This Row],[Pós WBC 10³/mm³]]</f>
        <v>6.69</v>
      </c>
      <c r="BZ35" s="125">
        <f>Tabela1[[#This Row],[Pré NEUT %]]</f>
        <v>38.299999999999997</v>
      </c>
      <c r="CA35" s="125">
        <f>Tabela1[[#This Row],[Pós NEUT %]]</f>
        <v>35.799999999999997</v>
      </c>
      <c r="CB35" s="125">
        <f>Tabela1[[#This Row],[Pré LINF %]]</f>
        <v>43.8</v>
      </c>
      <c r="CC35" s="125">
        <f>Tabela1[[#This Row],[Pós LINF %]]</f>
        <v>47.1</v>
      </c>
      <c r="CD35" s="125">
        <f>Tabela1[[#This Row],[Pré MONO %]]</f>
        <v>11.9</v>
      </c>
      <c r="CE35" s="125">
        <f>Tabela1[[#This Row],[Pós MONO %]]</f>
        <v>12.6</v>
      </c>
      <c r="CF35" s="125">
        <f>Tabela1[[#This Row],[Pré EOS %]]</f>
        <v>4.3</v>
      </c>
      <c r="CG35" s="125">
        <f>Tabela1[[#This Row],[Pós EOS %]]</f>
        <v>3</v>
      </c>
      <c r="CH35" s="125">
        <f>Tabela1[[#This Row],[Pré BASO %]]</f>
        <v>1.7</v>
      </c>
      <c r="CI35" s="198">
        <f>Tabela1[[#This Row],[Pós BASO %]]</f>
        <v>1.5</v>
      </c>
      <c r="CJ35" s="199" t="str">
        <f t="shared" si="1"/>
        <v>NÃO</v>
      </c>
      <c r="CK35" s="200" t="str">
        <f t="shared" si="2"/>
        <v>NÃO</v>
      </c>
      <c r="CL35" s="194">
        <f t="shared" si="3"/>
        <v>82.193119999999993</v>
      </c>
      <c r="CM35" s="125">
        <f>Tabela1[[#This Row],[MCT KG]]</f>
        <v>85.6</v>
      </c>
      <c r="CN35" s="85">
        <f>Tabela1[[#This Row],[ESTATURA]]</f>
        <v>192.5</v>
      </c>
      <c r="CO35" s="85">
        <f>Tabela1[[#This Row],[vo2max estimado]]</f>
        <v>0</v>
      </c>
      <c r="CP35" s="85">
        <f>Tabela1[[#This Row],[Handgrip     Dominante]]</f>
        <v>74</v>
      </c>
      <c r="CQ35" s="85">
        <f>Tabela1[[#This Row],[Handgrip Contrário]]</f>
        <v>70</v>
      </c>
      <c r="CR35" s="281">
        <f>Tabela1[[#This Row],[% gordura]]</f>
        <v>3.98</v>
      </c>
    </row>
    <row r="36" spans="1:96" ht="15.75" customHeight="1">
      <c r="A36" s="279">
        <f>Tabela1[[#This Row],[Ano]]</f>
        <v>2017</v>
      </c>
      <c r="B36" s="181" t="str">
        <f>Tabela1[[#This Row],[Missão]]</f>
        <v>Itatiaia</v>
      </c>
      <c r="C36" s="181">
        <f>Tabela1[[#This Row],[Aluno]]</f>
        <v>3093</v>
      </c>
      <c r="D36" s="181">
        <f>Tabela1[[#This Row],[Idade]]</f>
        <v>28</v>
      </c>
      <c r="E36" s="182">
        <f>Tabela1[[#This Row],[Peso Kg]]</f>
        <v>85</v>
      </c>
      <c r="F36" s="191">
        <f>Tabela1[[#This Row],[Cor da pele]]</f>
        <v>2</v>
      </c>
      <c r="G36" s="192" t="str">
        <f>Tabela1[[#This Row],[ACTN3]]</f>
        <v xml:space="preserve">RX </v>
      </c>
      <c r="H36" s="85" t="str">
        <f>Tabela1[[#This Row],[AGT]]</f>
        <v>TT</v>
      </c>
      <c r="I36" s="85" t="str">
        <f>Tabela1[[#This Row],[ECA]]</f>
        <v>ID</v>
      </c>
      <c r="J36" s="85" t="str">
        <f>Tabela1[[#This Row],[BDKRB2]]</f>
        <v>(+9, -9)</v>
      </c>
      <c r="K36" s="85">
        <f>Tabela1[[#This Row],[Score Força%]]</f>
        <v>62.5</v>
      </c>
      <c r="L36" s="193">
        <f>Tabela1[[#This Row],[Score Resistência %]]</f>
        <v>37.5</v>
      </c>
      <c r="M36" s="192">
        <f>Tabela1[[#This Row],[Pré CK (U/L)]]</f>
        <v>270</v>
      </c>
      <c r="N36" s="85">
        <f>Tabela1[[#This Row],[Pós CK (U/L)]]</f>
        <v>890</v>
      </c>
      <c r="O36" s="85">
        <f>Tabela1[[#This Row],[Pré CK MB U/L]]</f>
        <v>3</v>
      </c>
      <c r="P36" s="85">
        <f>Tabela1[[#This Row],[Pós CK MB U/L]]</f>
        <v>10</v>
      </c>
      <c r="Q36" s="85" t="str">
        <f>Tabela1[[#This Row],[Pré Lactato (mmol/L)]]</f>
        <v>-</v>
      </c>
      <c r="R36" s="85" t="str">
        <f>Tabela1[[#This Row],[Pós Lactato (mmol/L)]]</f>
        <v>-</v>
      </c>
      <c r="S36" s="85">
        <f>Tabela1[[#This Row],[Pré LDH (U/L)]]</f>
        <v>457</v>
      </c>
      <c r="T36" s="85">
        <f>Tabela1[[#This Row],[Pós LDH (U/L)]]</f>
        <v>726</v>
      </c>
      <c r="U36" s="85">
        <f>Tabela1[[#This Row],[Pré AST (U/L)]]</f>
        <v>22</v>
      </c>
      <c r="V36" s="193">
        <f>Tabela1[[#This Row],[Pós AST (U/L)]]</f>
        <v>44</v>
      </c>
      <c r="W36" s="194">
        <f>Tabela1[[#This Row],[Pré Albumina (g/dL)]]</f>
        <v>4.0999999999999996</v>
      </c>
      <c r="X36" s="125">
        <f>Tabela1[[#This Row],[Pós Albumina (g/dL)]]</f>
        <v>4.5</v>
      </c>
      <c r="Y36" s="85">
        <f>Tabela1[[#This Row],[Pré TGP (g/dL)]]</f>
        <v>33</v>
      </c>
      <c r="Z36" s="85">
        <f>Tabela1[[#This Row],[Pós TGP (g/dL)]]</f>
        <v>45</v>
      </c>
      <c r="AA36" s="85">
        <f>Tabela1[[#This Row],[Pré GGT U/L]]</f>
        <v>25</v>
      </c>
      <c r="AB36" s="193">
        <f>Tabela1[[#This Row],[Pós GGT U/L]]</f>
        <v>25</v>
      </c>
      <c r="AC36" s="194" t="str">
        <f>Tabela1[[#This Row],[Pré Ac. Úrico (mg/dL)]]</f>
        <v>-</v>
      </c>
      <c r="AD36" s="125" t="str">
        <f>Tabela1[[#This Row],[Pós Ac. Úrico (mg/dL)2]]</f>
        <v>-</v>
      </c>
      <c r="AE3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3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36" s="85">
        <f>Tabela1[[#This Row],[Pré Ureia mg/dL]]</f>
        <v>39</v>
      </c>
      <c r="AH36" s="85">
        <f>Tabela1[[#This Row],[Pós Ureia mg/dL]]</f>
        <v>44</v>
      </c>
      <c r="AI36" s="125">
        <f>Tabela1[[#This Row],[Pré creatinina mg/dL]]</f>
        <v>1.2</v>
      </c>
      <c r="AJ36" s="125">
        <f>Tabela1[[#This Row],[Pós creatinina mg/dL]]</f>
        <v>1.3</v>
      </c>
      <c r="AK36" s="180">
        <f t="shared" si="0"/>
        <v>0.10000000000000009</v>
      </c>
      <c r="AL36" s="125">
        <f>Tabela1[[#This Row],[Pré Fósforo mg/dL]]</f>
        <v>4.5</v>
      </c>
      <c r="AM36" s="125">
        <f>Tabela1[[#This Row],[Pós Fósforo mg/dL]]</f>
        <v>5</v>
      </c>
      <c r="AN36" s="125">
        <f>Tabela1[[#This Row],[Pré Proteína Total (g/dL)]]</f>
        <v>7</v>
      </c>
      <c r="AO36" s="125">
        <f>Tabela1[[#This Row],[Pós Proteína Total (g/dL)]]</f>
        <v>7.6</v>
      </c>
      <c r="AP36" s="85" t="str">
        <f>Tabela1[[#This Row],[Pré FE (ug/dL)]]</f>
        <v>-</v>
      </c>
      <c r="AQ36" s="193" t="str">
        <f>Tabela1[[#This Row],[Pós FE (ug/dL)]]</f>
        <v>-</v>
      </c>
      <c r="AR36" s="194">
        <f>Tabela1[[#This Row],[Pré calcio mg/dL]]</f>
        <v>9.6</v>
      </c>
      <c r="AS36" s="125">
        <f>Tabela1[[#This Row],[Pós calcio mg/dL]]</f>
        <v>9.6</v>
      </c>
      <c r="AT36" s="125">
        <f>Tabela1[[#This Row],[Pré Potássio mmol/L]]</f>
        <v>5.3</v>
      </c>
      <c r="AU36" s="125">
        <f>Tabela1[[#This Row],[Pós Potássio mmol/L]]</f>
        <v>4.3</v>
      </c>
      <c r="AV36" s="85">
        <f>Tabela1[[#This Row],[Glicose pré]]</f>
        <v>101</v>
      </c>
      <c r="AW36" s="85">
        <f>Tabela1[[#This Row],[Glicose pós]]</f>
        <v>79</v>
      </c>
      <c r="AX36" s="85">
        <f>Tabela1[[#This Row],[Pré Sódio mmol/L]]</f>
        <v>135</v>
      </c>
      <c r="AY36" s="85">
        <f>Tabela1[[#This Row],[Pós Sódio mmol/L]]</f>
        <v>132</v>
      </c>
      <c r="AZ36" s="125" t="str">
        <f>Tabela1[[#This Row],[Pré Magnésio mg/dL]]</f>
        <v>-</v>
      </c>
      <c r="BA36" s="125" t="str">
        <f>Tabela1[[#This Row],[Pós Magnésio mg/dL]]</f>
        <v>-</v>
      </c>
      <c r="BB36" s="85" t="str">
        <f>Tabela1[[#This Row],[Pré Cloro mmol/L]]</f>
        <v>-</v>
      </c>
      <c r="BC36" s="85" t="str">
        <f>Tabela1[[#This Row],[Pós Cloro mmol/L]]</f>
        <v>-</v>
      </c>
      <c r="BD3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287.91077777777781</v>
      </c>
      <c r="BE3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279.89855555555556</v>
      </c>
      <c r="BF36" s="194">
        <f>Tabela1[[#This Row],[Pré RBC 10^6/mm³]]</f>
        <v>4.2699999999999996</v>
      </c>
      <c r="BG36" s="125">
        <f>Tabela1[[#This Row],[Pós RBC 10^6/mm³]]</f>
        <v>4.4000000000000004</v>
      </c>
      <c r="BH36" s="125">
        <f>Tabela1[[#This Row],[Pré HGB g/dL]]</f>
        <v>14.5</v>
      </c>
      <c r="BI36" s="125">
        <f>Tabela1[[#This Row],[Pós HGB g/dL]]</f>
        <v>14.4</v>
      </c>
      <c r="BJ36" s="125">
        <f>Tabela1[[#This Row],[Pré HCT %]]</f>
        <v>42.8</v>
      </c>
      <c r="BK36" s="125">
        <f>Tabela1[[#This Row],[Pós HCT %]]</f>
        <v>44</v>
      </c>
      <c r="BL36" s="125">
        <f>Tabela1[[#This Row],[Pré MCV fL]]</f>
        <v>100.2</v>
      </c>
      <c r="BM36" s="125">
        <f>Tabela1[[#This Row],[Pós MCV fL]]</f>
        <v>100</v>
      </c>
      <c r="BN36" s="125">
        <f>Tabela1[[#This Row],[Pré MCH pg]]</f>
        <v>34</v>
      </c>
      <c r="BO36" s="125">
        <f>Tabela1[[#This Row],[Pós MCH pg]]</f>
        <v>32.700000000000003</v>
      </c>
      <c r="BP36" s="125">
        <f>Tabela1[[#This Row],[Pré MCHC g/dL]]</f>
        <v>33.9</v>
      </c>
      <c r="BQ36" s="125">
        <f>Tabela1[[#This Row],[Pós MCHC g/dL]]</f>
        <v>32.700000000000003</v>
      </c>
      <c r="BR36" s="85">
        <f>Tabela1[[#This Row],[Pré PLT 10³/mm³]]</f>
        <v>358</v>
      </c>
      <c r="BS36" s="85">
        <f>Tabela1[[#This Row],[Pós PLT 10³/mm³]]</f>
        <v>352</v>
      </c>
      <c r="BT36" s="125">
        <f>Tabela1[[#This Row],[Pré RDW %]]</f>
        <v>12.3</v>
      </c>
      <c r="BU36" s="125">
        <f>Tabela1[[#This Row],[Pós RDW %]]</f>
        <v>12.7</v>
      </c>
      <c r="BV36" s="179">
        <f>Tabela1[[#This Row],[Pré RET %]]</f>
        <v>1.79</v>
      </c>
      <c r="BW36" s="196">
        <f>Tabela1[[#This Row],[Pós RET %]]</f>
        <v>1.34</v>
      </c>
      <c r="BX36" s="197">
        <f>Tabela1[[#This Row],[Pré WBC 10³/mm³]]</f>
        <v>5.75</v>
      </c>
      <c r="BY36" s="179">
        <f>Tabela1[[#This Row],[Pós WBC 10³/mm³]]</f>
        <v>7.7</v>
      </c>
      <c r="BZ36" s="125">
        <f>Tabela1[[#This Row],[Pré NEUT %]]</f>
        <v>53.1</v>
      </c>
      <c r="CA36" s="125">
        <f>Tabela1[[#This Row],[Pós NEUT %]]</f>
        <v>51.4</v>
      </c>
      <c r="CB36" s="125">
        <f>Tabela1[[#This Row],[Pré LINF %]]</f>
        <v>27.7</v>
      </c>
      <c r="CC36" s="125">
        <f>Tabela1[[#This Row],[Pós LINF %]]</f>
        <v>23.1</v>
      </c>
      <c r="CD36" s="125">
        <f>Tabela1[[#This Row],[Pré MONO %]]</f>
        <v>15.1</v>
      </c>
      <c r="CE36" s="125">
        <f>Tabela1[[#This Row],[Pós MONO %]]</f>
        <v>23</v>
      </c>
      <c r="CF36" s="125">
        <f>Tabela1[[#This Row],[Pré EOS %]]</f>
        <v>2.4</v>
      </c>
      <c r="CG36" s="125">
        <f>Tabela1[[#This Row],[Pós EOS %]]</f>
        <v>1.6</v>
      </c>
      <c r="CH36" s="125">
        <f>Tabela1[[#This Row],[Pré BASO %]]</f>
        <v>1.7</v>
      </c>
      <c r="CI36" s="198">
        <f>Tabela1[[#This Row],[Pós BASO %]]</f>
        <v>0.9</v>
      </c>
      <c r="CJ36" s="199" t="str">
        <f t="shared" si="1"/>
        <v>NÃO</v>
      </c>
      <c r="CK36" s="200" t="str">
        <f t="shared" si="2"/>
        <v>NÃO</v>
      </c>
      <c r="CL36" s="194">
        <f t="shared" si="3"/>
        <v>78.848640000000003</v>
      </c>
      <c r="CM36" s="125">
        <f>Tabela1[[#This Row],[MCT KG]]</f>
        <v>86.4</v>
      </c>
      <c r="CN36" s="85">
        <f>Tabela1[[#This Row],[ESTATURA]]</f>
        <v>184</v>
      </c>
      <c r="CO36" s="85">
        <f>Tabela1[[#This Row],[vo2max estimado]]</f>
        <v>50.17</v>
      </c>
      <c r="CP36" s="85">
        <f>Tabela1[[#This Row],[Handgrip     Dominante]]</f>
        <v>48</v>
      </c>
      <c r="CQ36" s="85">
        <f>Tabela1[[#This Row],[Handgrip Contrário]]</f>
        <v>42.5</v>
      </c>
      <c r="CR36" s="281">
        <f>Tabela1[[#This Row],[% gordura]]</f>
        <v>8.74</v>
      </c>
    </row>
    <row r="37" spans="1:96" ht="15.75" customHeight="1">
      <c r="A37" s="279">
        <f>Tabela1[[#This Row],[Ano]]</f>
        <v>2017</v>
      </c>
      <c r="B37" s="181" t="str">
        <f>Tabela1[[#This Row],[Missão]]</f>
        <v>Itatiaia</v>
      </c>
      <c r="C37" s="181">
        <f>Tabela1[[#This Row],[Aluno]]</f>
        <v>3094</v>
      </c>
      <c r="D37" s="181">
        <f>Tabela1[[#This Row],[Idade]]</f>
        <v>34</v>
      </c>
      <c r="E37" s="182">
        <f>Tabela1[[#This Row],[Peso Kg]]</f>
        <v>82</v>
      </c>
      <c r="F37" s="191">
        <f>Tabela1[[#This Row],[Cor da pele]]</f>
        <v>2</v>
      </c>
      <c r="G37" s="192" t="str">
        <f>Tabela1[[#This Row],[ACTN3]]</f>
        <v>XX</v>
      </c>
      <c r="H37" s="85" t="str">
        <f>Tabela1[[#This Row],[AGT]]</f>
        <v>MT</v>
      </c>
      <c r="I37" s="85" t="str">
        <f>Tabela1[[#This Row],[ECA]]</f>
        <v>ID</v>
      </c>
      <c r="J37" s="85" t="str">
        <f>Tabela1[[#This Row],[BDKRB2]]</f>
        <v>(+9, -9)</v>
      </c>
      <c r="K37" s="85">
        <f>Tabela1[[#This Row],[Score Força%]]</f>
        <v>37.5</v>
      </c>
      <c r="L37" s="193">
        <f>Tabela1[[#This Row],[Score Resistência %]]</f>
        <v>62.5</v>
      </c>
      <c r="M37" s="192">
        <f>Tabela1[[#This Row],[Pré CK (U/L)]]</f>
        <v>390</v>
      </c>
      <c r="N37" s="85">
        <f>Tabela1[[#This Row],[Pós CK (U/L)]]</f>
        <v>2605</v>
      </c>
      <c r="O37" s="85">
        <f>Tabela1[[#This Row],[Pré CK MB U/L]]</f>
        <v>3</v>
      </c>
      <c r="P37" s="85">
        <f>Tabela1[[#This Row],[Pós CK MB U/L]]</f>
        <v>37</v>
      </c>
      <c r="Q37" s="85" t="str">
        <f>Tabela1[[#This Row],[Pré Lactato (mmol/L)]]</f>
        <v>-</v>
      </c>
      <c r="R37" s="85" t="str">
        <f>Tabela1[[#This Row],[Pós Lactato (mmol/L)]]</f>
        <v>-</v>
      </c>
      <c r="S37" s="85">
        <f>Tabela1[[#This Row],[Pré LDH (U/L)]]</f>
        <v>391</v>
      </c>
      <c r="T37" s="85">
        <f>Tabela1[[#This Row],[Pós LDH (U/L)]]</f>
        <v>918</v>
      </c>
      <c r="U37" s="85">
        <f>Tabela1[[#This Row],[Pré AST (U/L)]]</f>
        <v>37</v>
      </c>
      <c r="V37" s="193">
        <f>Tabela1[[#This Row],[Pós AST (U/L)]]</f>
        <v>132</v>
      </c>
      <c r="W37" s="194">
        <f>Tabela1[[#This Row],[Pré Albumina (g/dL)]]</f>
        <v>3.8</v>
      </c>
      <c r="X37" s="125">
        <f>Tabela1[[#This Row],[Pós Albumina (g/dL)]]</f>
        <v>3.9</v>
      </c>
      <c r="Y37" s="85">
        <f>Tabela1[[#This Row],[Pré TGP (g/dL)]]</f>
        <v>51</v>
      </c>
      <c r="Z37" s="85">
        <f>Tabela1[[#This Row],[Pós TGP (g/dL)]]</f>
        <v>96</v>
      </c>
      <c r="AA37" s="85">
        <f>Tabela1[[#This Row],[Pré GGT U/L]]</f>
        <v>85</v>
      </c>
      <c r="AB37" s="193">
        <f>Tabela1[[#This Row],[Pós GGT U/L]]</f>
        <v>61</v>
      </c>
      <c r="AC37" s="194" t="str">
        <f>Tabela1[[#This Row],[Pré Ac. Úrico (mg/dL)]]</f>
        <v>-</v>
      </c>
      <c r="AD37" s="125" t="str">
        <f>Tabela1[[#This Row],[Pós Ac. Úrico (mg/dL)2]]</f>
        <v>-</v>
      </c>
      <c r="AE3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3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37" s="85">
        <f>Tabela1[[#This Row],[Pré Ureia mg/dL]]</f>
        <v>41</v>
      </c>
      <c r="AH37" s="85">
        <f>Tabela1[[#This Row],[Pós Ureia mg/dL]]</f>
        <v>46</v>
      </c>
      <c r="AI37" s="125">
        <f>Tabela1[[#This Row],[Pré creatinina mg/dL]]</f>
        <v>1</v>
      </c>
      <c r="AJ37" s="125">
        <f>Tabela1[[#This Row],[Pós creatinina mg/dL]]</f>
        <v>1.1000000000000001</v>
      </c>
      <c r="AK37" s="180">
        <f t="shared" si="0"/>
        <v>0.10000000000000009</v>
      </c>
      <c r="AL37" s="125">
        <f>Tabela1[[#This Row],[Pré Fósforo mg/dL]]</f>
        <v>3.9</v>
      </c>
      <c r="AM37" s="125">
        <f>Tabela1[[#This Row],[Pós Fósforo mg/dL]]</f>
        <v>4.2</v>
      </c>
      <c r="AN37" s="125">
        <f>Tabela1[[#This Row],[Pré Proteína Total (g/dL)]]</f>
        <v>7.1</v>
      </c>
      <c r="AO37" s="125">
        <f>Tabela1[[#This Row],[Pós Proteína Total (g/dL)]]</f>
        <v>7.2</v>
      </c>
      <c r="AP37" s="85" t="str">
        <f>Tabela1[[#This Row],[Pré FE (ug/dL)]]</f>
        <v>-</v>
      </c>
      <c r="AQ37" s="193" t="str">
        <f>Tabela1[[#This Row],[Pós FE (ug/dL)]]</f>
        <v>-</v>
      </c>
      <c r="AR37" s="194">
        <f>Tabela1[[#This Row],[Pré calcio mg/dL]]</f>
        <v>9.1</v>
      </c>
      <c r="AS37" s="125">
        <f>Tabela1[[#This Row],[Pós calcio mg/dL]]</f>
        <v>9.3000000000000007</v>
      </c>
      <c r="AT37" s="125">
        <f>Tabela1[[#This Row],[Pré Potássio mmol/L]]</f>
        <v>4.5</v>
      </c>
      <c r="AU37" s="125">
        <f>Tabela1[[#This Row],[Pós Potássio mmol/L]]</f>
        <v>4.0999999999999996</v>
      </c>
      <c r="AV37" s="85">
        <f>Tabela1[[#This Row],[Glicose pré]]</f>
        <v>95</v>
      </c>
      <c r="AW37" s="85">
        <f>Tabela1[[#This Row],[Glicose pós]]</f>
        <v>90</v>
      </c>
      <c r="AX37" s="85">
        <f>Tabela1[[#This Row],[Pré Sódio mmol/L]]</f>
        <v>133</v>
      </c>
      <c r="AY37" s="85">
        <f>Tabela1[[#This Row],[Pós Sódio mmol/L]]</f>
        <v>131</v>
      </c>
      <c r="AZ37" s="125" t="str">
        <f>Tabela1[[#This Row],[Pré Magnésio mg/dL]]</f>
        <v>-</v>
      </c>
      <c r="BA37" s="125" t="str">
        <f>Tabela1[[#This Row],[Pós Magnésio mg/dL]]</f>
        <v>-</v>
      </c>
      <c r="BB37" s="85" t="str">
        <f>Tabela1[[#This Row],[Pré Cloro mmol/L]]</f>
        <v>-</v>
      </c>
      <c r="BC37" s="85" t="str">
        <f>Tabela1[[#This Row],[Pós Cloro mmol/L]]</f>
        <v>-</v>
      </c>
      <c r="BD3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282.65277777777777</v>
      </c>
      <c r="BE3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278.70266666666669</v>
      </c>
      <c r="BF37" s="194">
        <f>Tabela1[[#This Row],[Pré RBC 10^6/mm³]]</f>
        <v>4.83</v>
      </c>
      <c r="BG37" s="125">
        <f>Tabela1[[#This Row],[Pós RBC 10^6/mm³]]</f>
        <v>4.8600000000000003</v>
      </c>
      <c r="BH37" s="125">
        <f>Tabela1[[#This Row],[Pré HGB g/dL]]</f>
        <v>14.8</v>
      </c>
      <c r="BI37" s="125">
        <f>Tabela1[[#This Row],[Pós HGB g/dL]]</f>
        <v>15</v>
      </c>
      <c r="BJ37" s="125">
        <f>Tabela1[[#This Row],[Pré HCT %]]</f>
        <v>46</v>
      </c>
      <c r="BK37" s="125">
        <f>Tabela1[[#This Row],[Pós HCT %]]</f>
        <v>44.5</v>
      </c>
      <c r="BL37" s="125">
        <f>Tabela1[[#This Row],[Pré MCV fL]]</f>
        <v>95.2</v>
      </c>
      <c r="BM37" s="125">
        <f>Tabela1[[#This Row],[Pós MCV fL]]</f>
        <v>91.6</v>
      </c>
      <c r="BN37" s="125">
        <f>Tabela1[[#This Row],[Pré MCH pg]]</f>
        <v>30.6</v>
      </c>
      <c r="BO37" s="125">
        <f>Tabela1[[#This Row],[Pós MCH pg]]</f>
        <v>30.9</v>
      </c>
      <c r="BP37" s="125">
        <f>Tabela1[[#This Row],[Pré MCHC g/dL]]</f>
        <v>32.200000000000003</v>
      </c>
      <c r="BQ37" s="125">
        <f>Tabela1[[#This Row],[Pós MCHC g/dL]]</f>
        <v>33.700000000000003</v>
      </c>
      <c r="BR37" s="85">
        <f>Tabela1[[#This Row],[Pré PLT 10³/mm³]]</f>
        <v>283</v>
      </c>
      <c r="BS37" s="85">
        <f>Tabela1[[#This Row],[Pós PLT 10³/mm³]]</f>
        <v>295</v>
      </c>
      <c r="BT37" s="125">
        <f>Tabela1[[#This Row],[Pré RDW %]]</f>
        <v>14.7</v>
      </c>
      <c r="BU37" s="125">
        <f>Tabela1[[#This Row],[Pós RDW %]]</f>
        <v>14.1</v>
      </c>
      <c r="BV37" s="179">
        <f>Tabela1[[#This Row],[Pré RET %]]</f>
        <v>1.38</v>
      </c>
      <c r="BW37" s="196">
        <f>Tabela1[[#This Row],[Pós RET %]]</f>
        <v>0.62</v>
      </c>
      <c r="BX37" s="197">
        <f>Tabela1[[#This Row],[Pré WBC 10³/mm³]]</f>
        <v>9.5299999999999994</v>
      </c>
      <c r="BY37" s="179">
        <f>Tabela1[[#This Row],[Pós WBC 10³/mm³]]</f>
        <v>10.17</v>
      </c>
      <c r="BZ37" s="125">
        <f>Tabela1[[#This Row],[Pré NEUT %]]</f>
        <v>65.7</v>
      </c>
      <c r="CA37" s="125">
        <f>Tabela1[[#This Row],[Pós NEUT %]]</f>
        <v>65.8</v>
      </c>
      <c r="CB37" s="125">
        <f>Tabela1[[#This Row],[Pré LINF %]]</f>
        <v>23</v>
      </c>
      <c r="CC37" s="125">
        <f>Tabela1[[#This Row],[Pós LINF %]]</f>
        <v>21.9</v>
      </c>
      <c r="CD37" s="125">
        <f>Tabela1[[#This Row],[Pré MONO %]]</f>
        <v>9.3000000000000007</v>
      </c>
      <c r="CE37" s="125">
        <f>Tabela1[[#This Row],[Pós MONO %]]</f>
        <v>9.9</v>
      </c>
      <c r="CF37" s="125">
        <f>Tabela1[[#This Row],[Pré EOS %]]</f>
        <v>1.3</v>
      </c>
      <c r="CG37" s="125">
        <f>Tabela1[[#This Row],[Pós EOS %]]</f>
        <v>1.9</v>
      </c>
      <c r="CH37" s="125">
        <f>Tabela1[[#This Row],[Pré BASO %]]</f>
        <v>0.7</v>
      </c>
      <c r="CI37" s="198">
        <f>Tabela1[[#This Row],[Pós BASO %]]</f>
        <v>0.5</v>
      </c>
      <c r="CJ37" s="199" t="str">
        <f t="shared" si="1"/>
        <v>NÃO</v>
      </c>
      <c r="CK37" s="200" t="str">
        <f t="shared" si="2"/>
        <v>SIM</v>
      </c>
      <c r="CL37" s="194">
        <f t="shared" si="3"/>
        <v>73.472700000000003</v>
      </c>
      <c r="CM37" s="125">
        <f>Tabela1[[#This Row],[MCT KG]]</f>
        <v>88.5</v>
      </c>
      <c r="CN37" s="85">
        <f>Tabela1[[#This Row],[ESTATURA]]</f>
        <v>187</v>
      </c>
      <c r="CO37" s="85">
        <f>Tabela1[[#This Row],[vo2max estimado]]</f>
        <v>49.59</v>
      </c>
      <c r="CP37" s="85">
        <f>Tabela1[[#This Row],[Handgrip     Dominante]]</f>
        <v>59.5</v>
      </c>
      <c r="CQ37" s="85">
        <f>Tabela1[[#This Row],[Handgrip Contrário]]</f>
        <v>0</v>
      </c>
      <c r="CR37" s="281">
        <f>Tabela1[[#This Row],[% gordura]]</f>
        <v>16.98</v>
      </c>
    </row>
    <row r="38" spans="1:96" ht="15.75" customHeight="1">
      <c r="A38" s="279">
        <f>Tabela1[[#This Row],[Ano]]</f>
        <v>2017</v>
      </c>
      <c r="B38" s="181" t="str">
        <f>Tabela1[[#This Row],[Missão]]</f>
        <v>Itatiaia</v>
      </c>
      <c r="C38" s="181">
        <f>Tabela1[[#This Row],[Aluno]]</f>
        <v>3095</v>
      </c>
      <c r="D38" s="181">
        <f>Tabela1[[#This Row],[Idade]]</f>
        <v>34</v>
      </c>
      <c r="E38" s="182">
        <f>Tabela1[[#This Row],[Peso Kg]]</f>
        <v>82</v>
      </c>
      <c r="F38" s="191">
        <f>Tabela1[[#This Row],[Cor da pele]]</f>
        <v>2</v>
      </c>
      <c r="G38" s="192" t="str">
        <f>Tabela1[[#This Row],[ACTN3]]</f>
        <v xml:space="preserve">RX </v>
      </c>
      <c r="H38" s="85" t="str">
        <f>Tabela1[[#This Row],[AGT]]</f>
        <v>MT</v>
      </c>
      <c r="I38" s="85" t="str">
        <f>Tabela1[[#This Row],[ECA]]</f>
        <v>II</v>
      </c>
      <c r="J38" s="85" t="str">
        <f>Tabela1[[#This Row],[BDKRB2]]</f>
        <v>(+9, -9)</v>
      </c>
      <c r="K38" s="85">
        <f>Tabela1[[#This Row],[Score Força%]]</f>
        <v>37.5</v>
      </c>
      <c r="L38" s="193">
        <f>Tabela1[[#This Row],[Score Resistência %]]</f>
        <v>62.5</v>
      </c>
      <c r="M38" s="192">
        <f>Tabela1[[#This Row],[Pré CK (U/L)]]</f>
        <v>145</v>
      </c>
      <c r="N38" s="85">
        <f>Tabela1[[#This Row],[Pós CK (U/L)]]</f>
        <v>457</v>
      </c>
      <c r="O38" s="85">
        <f>Tabela1[[#This Row],[Pré CK MB U/L]]</f>
        <v>8</v>
      </c>
      <c r="P38" s="85">
        <f>Tabela1[[#This Row],[Pós CK MB U/L]]</f>
        <v>14</v>
      </c>
      <c r="Q38" s="85" t="str">
        <f>Tabela1[[#This Row],[Pré Lactato (mmol/L)]]</f>
        <v>-</v>
      </c>
      <c r="R38" s="85" t="str">
        <f>Tabela1[[#This Row],[Pós Lactato (mmol/L)]]</f>
        <v>-</v>
      </c>
      <c r="S38" s="85">
        <f>Tabela1[[#This Row],[Pré LDH (U/L)]]</f>
        <v>431</v>
      </c>
      <c r="T38" s="85">
        <f>Tabela1[[#This Row],[Pós LDH (U/L)]]</f>
        <v>572</v>
      </c>
      <c r="U38" s="85">
        <f>Tabela1[[#This Row],[Pré AST (U/L)]]</f>
        <v>34</v>
      </c>
      <c r="V38" s="193">
        <f>Tabela1[[#This Row],[Pós AST (U/L)]]</f>
        <v>60</v>
      </c>
      <c r="W38" s="194">
        <f>Tabela1[[#This Row],[Pré Albumina (g/dL)]]</f>
        <v>4.2</v>
      </c>
      <c r="X38" s="125">
        <f>Tabela1[[#This Row],[Pós Albumina (g/dL)]]</f>
        <v>4.0999999999999996</v>
      </c>
      <c r="Y38" s="85">
        <f>Tabela1[[#This Row],[Pré TGP (g/dL)]]</f>
        <v>48</v>
      </c>
      <c r="Z38" s="85">
        <f>Tabela1[[#This Row],[Pós TGP (g/dL)]]</f>
        <v>60</v>
      </c>
      <c r="AA38" s="85">
        <f>Tabela1[[#This Row],[Pré GGT U/L]]</f>
        <v>31</v>
      </c>
      <c r="AB38" s="193">
        <f>Tabela1[[#This Row],[Pós GGT U/L]]</f>
        <v>32</v>
      </c>
      <c r="AC38" s="194" t="str">
        <f>Tabela1[[#This Row],[Pré Ac. Úrico (mg/dL)]]</f>
        <v>-</v>
      </c>
      <c r="AD38" s="125" t="str">
        <f>Tabela1[[#This Row],[Pós Ac. Úrico (mg/dL)2]]</f>
        <v>-</v>
      </c>
      <c r="AE3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76.739527424440993</v>
      </c>
      <c r="AF3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38" s="85">
        <f>Tabela1[[#This Row],[Pré Ureia mg/dL]]</f>
        <v>36</v>
      </c>
      <c r="AH38" s="85">
        <f>Tabela1[[#This Row],[Pós Ureia mg/dL]]</f>
        <v>44</v>
      </c>
      <c r="AI38" s="125">
        <f>Tabela1[[#This Row],[Pré creatinina mg/dL]]</f>
        <v>1.3</v>
      </c>
      <c r="AJ38" s="125">
        <f>Tabela1[[#This Row],[Pós creatinina mg/dL]]</f>
        <v>1.2</v>
      </c>
      <c r="AK38" s="180">
        <f t="shared" si="0"/>
        <v>0</v>
      </c>
      <c r="AL38" s="125">
        <f>Tabela1[[#This Row],[Pré Fósforo mg/dL]]</f>
        <v>4.4000000000000004</v>
      </c>
      <c r="AM38" s="125">
        <f>Tabela1[[#This Row],[Pós Fósforo mg/dL]]</f>
        <v>4.8</v>
      </c>
      <c r="AN38" s="125">
        <f>Tabela1[[#This Row],[Pré Proteína Total (g/dL)]]</f>
        <v>7.6</v>
      </c>
      <c r="AO38" s="125">
        <f>Tabela1[[#This Row],[Pós Proteína Total (g/dL)]]</f>
        <v>7.4</v>
      </c>
      <c r="AP38" s="85" t="str">
        <f>Tabela1[[#This Row],[Pré FE (ug/dL)]]</f>
        <v>-</v>
      </c>
      <c r="AQ38" s="193" t="str">
        <f>Tabela1[[#This Row],[Pós FE (ug/dL)]]</f>
        <v>-</v>
      </c>
      <c r="AR38" s="194">
        <f>Tabela1[[#This Row],[Pré calcio mg/dL]]</f>
        <v>9.4</v>
      </c>
      <c r="AS38" s="125">
        <f>Tabela1[[#This Row],[Pós calcio mg/dL]]</f>
        <v>9.3000000000000007</v>
      </c>
      <c r="AT38" s="125">
        <f>Tabela1[[#This Row],[Pré Potássio mmol/L]]</f>
        <v>4.8</v>
      </c>
      <c r="AU38" s="125">
        <f>Tabela1[[#This Row],[Pós Potássio mmol/L]]</f>
        <v>4.3</v>
      </c>
      <c r="AV38" s="85">
        <f>Tabela1[[#This Row],[Glicose pré]]</f>
        <v>95</v>
      </c>
      <c r="AW38" s="85">
        <f>Tabela1[[#This Row],[Glicose pós]]</f>
        <v>81</v>
      </c>
      <c r="AX38" s="85">
        <f>Tabela1[[#This Row],[Pré Sódio mmol/L]]</f>
        <v>137</v>
      </c>
      <c r="AY38" s="85">
        <f>Tabela1[[#This Row],[Pós Sódio mmol/L]]</f>
        <v>133</v>
      </c>
      <c r="AZ38" s="125" t="str">
        <f>Tabela1[[#This Row],[Pré Magnésio mg/dL]]</f>
        <v>-</v>
      </c>
      <c r="BA38" s="125" t="str">
        <f>Tabela1[[#This Row],[Pós Magnésio mg/dL]]</f>
        <v>-</v>
      </c>
      <c r="BB38" s="85" t="str">
        <f>Tabela1[[#This Row],[Pré Cloro mmol/L]]</f>
        <v>-</v>
      </c>
      <c r="BC38" s="85" t="str">
        <f>Tabela1[[#This Row],[Pós Cloro mmol/L]]</f>
        <v>-</v>
      </c>
      <c r="BD3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289.8174444444445</v>
      </c>
      <c r="BE3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281.88633333333337</v>
      </c>
      <c r="BF38" s="194">
        <f>Tabela1[[#This Row],[Pré RBC 10^6/mm³]]</f>
        <v>5.14</v>
      </c>
      <c r="BG38" s="125">
        <f>Tabela1[[#This Row],[Pós RBC 10^6/mm³]]</f>
        <v>4.91</v>
      </c>
      <c r="BH38" s="125">
        <f>Tabela1[[#This Row],[Pré HGB g/dL]]</f>
        <v>14.1</v>
      </c>
      <c r="BI38" s="125">
        <f>Tabela1[[#This Row],[Pós HGB g/dL]]</f>
        <v>13.6</v>
      </c>
      <c r="BJ38" s="125">
        <f>Tabela1[[#This Row],[Pré HCT %]]</f>
        <v>44.8</v>
      </c>
      <c r="BK38" s="125">
        <f>Tabela1[[#This Row],[Pós HCT %]]</f>
        <v>41.6</v>
      </c>
      <c r="BL38" s="125">
        <f>Tabela1[[#This Row],[Pré MCV fL]]</f>
        <v>87.2</v>
      </c>
      <c r="BM38" s="125">
        <f>Tabela1[[#This Row],[Pós MCV fL]]</f>
        <v>84.7</v>
      </c>
      <c r="BN38" s="125">
        <f>Tabela1[[#This Row],[Pré MCH pg]]</f>
        <v>27.4</v>
      </c>
      <c r="BO38" s="125">
        <f>Tabela1[[#This Row],[Pós MCH pg]]</f>
        <v>27.7</v>
      </c>
      <c r="BP38" s="125">
        <f>Tabela1[[#This Row],[Pré MCHC g/dL]]</f>
        <v>31.5</v>
      </c>
      <c r="BQ38" s="125">
        <f>Tabela1[[#This Row],[Pós MCHC g/dL]]</f>
        <v>32.700000000000003</v>
      </c>
      <c r="BR38" s="85">
        <f>Tabela1[[#This Row],[Pré PLT 10³/mm³]]</f>
        <v>158</v>
      </c>
      <c r="BS38" s="85">
        <f>Tabela1[[#This Row],[Pós PLT 10³/mm³]]</f>
        <v>177</v>
      </c>
      <c r="BT38" s="125">
        <f>Tabela1[[#This Row],[Pré RDW %]]</f>
        <v>13.2</v>
      </c>
      <c r="BU38" s="125">
        <f>Tabela1[[#This Row],[Pós RDW %]]</f>
        <v>13.7</v>
      </c>
      <c r="BV38" s="179">
        <f>Tabela1[[#This Row],[Pré RET %]]</f>
        <v>1.26</v>
      </c>
      <c r="BW38" s="196">
        <f>Tabela1[[#This Row],[Pós RET %]]</f>
        <v>1.4</v>
      </c>
      <c r="BX38" s="197">
        <f>Tabela1[[#This Row],[Pré WBC 10³/mm³]]</f>
        <v>4.83</v>
      </c>
      <c r="BY38" s="179">
        <f>Tabela1[[#This Row],[Pós WBC 10³/mm³]]</f>
        <v>7.76</v>
      </c>
      <c r="BZ38" s="125">
        <f>Tabela1[[#This Row],[Pré NEUT %]]</f>
        <v>37.5</v>
      </c>
      <c r="CA38" s="125">
        <f>Tabela1[[#This Row],[Pós NEUT %]]</f>
        <v>54.9</v>
      </c>
      <c r="CB38" s="125">
        <f>Tabela1[[#This Row],[Pré LINF %]]</f>
        <v>49.5</v>
      </c>
      <c r="CC38" s="125">
        <f>Tabela1[[#This Row],[Pós LINF %]]</f>
        <v>33</v>
      </c>
      <c r="CD38" s="125">
        <f>Tabela1[[#This Row],[Pré MONO %]]</f>
        <v>12</v>
      </c>
      <c r="CE38" s="125">
        <f>Tabela1[[#This Row],[Pós MONO %]]</f>
        <v>11.5</v>
      </c>
      <c r="CF38" s="125">
        <f>Tabela1[[#This Row],[Pré EOS %]]</f>
        <v>0.4</v>
      </c>
      <c r="CG38" s="125">
        <f>Tabela1[[#This Row],[Pós EOS %]]</f>
        <v>0.3</v>
      </c>
      <c r="CH38" s="125">
        <f>Tabela1[[#This Row],[Pré BASO %]]</f>
        <v>0.6</v>
      </c>
      <c r="CI38" s="198">
        <f>Tabela1[[#This Row],[Pós BASO %]]</f>
        <v>0.3</v>
      </c>
      <c r="CJ38" s="199" t="str">
        <f t="shared" si="1"/>
        <v>NÃO</v>
      </c>
      <c r="CK38" s="200" t="str">
        <f t="shared" si="2"/>
        <v>NÃO</v>
      </c>
      <c r="CL38" s="194">
        <f t="shared" si="3"/>
        <v>71.675339999999991</v>
      </c>
      <c r="CM38" s="125">
        <f>Tabela1[[#This Row],[MCT KG]]</f>
        <v>78.599999999999994</v>
      </c>
      <c r="CN38" s="85">
        <f>Tabela1[[#This Row],[ESTATURA]]</f>
        <v>172</v>
      </c>
      <c r="CO38" s="85">
        <f>Tabela1[[#This Row],[vo2max estimado]]</f>
        <v>51.33</v>
      </c>
      <c r="CP38" s="85">
        <f>Tabela1[[#This Row],[Handgrip     Dominante]]</f>
        <v>48</v>
      </c>
      <c r="CQ38" s="85">
        <f>Tabela1[[#This Row],[Handgrip Contrário]]</f>
        <v>49</v>
      </c>
      <c r="CR38" s="281">
        <f>Tabela1[[#This Row],[% gordura]]</f>
        <v>8.81</v>
      </c>
    </row>
    <row r="39" spans="1:96" ht="15.75" customHeight="1">
      <c r="A39" s="279">
        <f>Tabela1[[#This Row],[Ano]]</f>
        <v>2017</v>
      </c>
      <c r="B39" s="181" t="str">
        <f>Tabela1[[#This Row],[Missão]]</f>
        <v>Itatiaia</v>
      </c>
      <c r="C39" s="181">
        <f>Tabela1[[#This Row],[Aluno]]</f>
        <v>3102</v>
      </c>
      <c r="D39" s="181">
        <f>Tabela1[[#This Row],[Idade]]</f>
        <v>34</v>
      </c>
      <c r="E39" s="182">
        <f>Tabela1[[#This Row],[Peso Kg]]</f>
        <v>87</v>
      </c>
      <c r="F39" s="191">
        <f>Tabela1[[#This Row],[Cor da pele]]</f>
        <v>2</v>
      </c>
      <c r="G39" s="192" t="str">
        <f>Tabela1[[#This Row],[ACTN3]]</f>
        <v>XX</v>
      </c>
      <c r="H39" s="85" t="str">
        <f>Tabela1[[#This Row],[AGT]]</f>
        <v>MM</v>
      </c>
      <c r="I39" s="85" t="str">
        <f>Tabela1[[#This Row],[ECA]]</f>
        <v>ID</v>
      </c>
      <c r="J39" s="85" t="str">
        <f>Tabela1[[#This Row],[BDKRB2]]</f>
        <v>(+9, +9)</v>
      </c>
      <c r="K39" s="85">
        <f>Tabela1[[#This Row],[Score Força%]]</f>
        <v>37.5</v>
      </c>
      <c r="L39" s="193">
        <f>Tabela1[[#This Row],[Score Resistência %]]</f>
        <v>62.5</v>
      </c>
      <c r="M39" s="192">
        <f>Tabela1[[#This Row],[Pré CK (U/L)]]</f>
        <v>287</v>
      </c>
      <c r="N39" s="85">
        <f>Tabela1[[#This Row],[Pós CK (U/L)]]</f>
        <v>899</v>
      </c>
      <c r="O39" s="85">
        <f>Tabela1[[#This Row],[Pré CK MB U/L]]</f>
        <v>3</v>
      </c>
      <c r="P39" s="85">
        <f>Tabela1[[#This Row],[Pós CK MB U/L]]</f>
        <v>19</v>
      </c>
      <c r="Q39" s="85" t="str">
        <f>Tabela1[[#This Row],[Pré Lactato (mmol/L)]]</f>
        <v>-</v>
      </c>
      <c r="R39" s="85" t="str">
        <f>Tabela1[[#This Row],[Pós Lactato (mmol/L)]]</f>
        <v>-</v>
      </c>
      <c r="S39" s="85">
        <f>Tabela1[[#This Row],[Pré LDH (U/L)]]</f>
        <v>451</v>
      </c>
      <c r="T39" s="85">
        <f>Tabela1[[#This Row],[Pós LDH (U/L)]]</f>
        <v>632</v>
      </c>
      <c r="U39" s="85">
        <f>Tabela1[[#This Row],[Pré AST (U/L)]]</f>
        <v>32</v>
      </c>
      <c r="V39" s="193">
        <f>Tabela1[[#This Row],[Pós AST (U/L)]]</f>
        <v>57</v>
      </c>
      <c r="W39" s="194">
        <f>Tabela1[[#This Row],[Pré Albumina (g/dL)]]</f>
        <v>4.0999999999999996</v>
      </c>
      <c r="X39" s="125">
        <f>Tabela1[[#This Row],[Pós Albumina (g/dL)]]</f>
        <v>4.2</v>
      </c>
      <c r="Y39" s="85">
        <f>Tabela1[[#This Row],[Pré TGP (g/dL)]]</f>
        <v>42</v>
      </c>
      <c r="Z39" s="85">
        <f>Tabela1[[#This Row],[Pós TGP (g/dL)]]</f>
        <v>52</v>
      </c>
      <c r="AA39" s="85">
        <f>Tabela1[[#This Row],[Pré GGT U/L]]</f>
        <v>28</v>
      </c>
      <c r="AB39" s="193">
        <f>Tabela1[[#This Row],[Pós GGT U/L]]</f>
        <v>28</v>
      </c>
      <c r="AC39" s="194" t="str">
        <f>Tabela1[[#This Row],[Pré Ac. Úrico (mg/dL)]]</f>
        <v>-</v>
      </c>
      <c r="AD39" s="125" t="str">
        <f>Tabela1[[#This Row],[Pós Ac. Úrico (mg/dL)2]]</f>
        <v>-</v>
      </c>
      <c r="AE3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39" s="85">
        <f>Tabela1[[#This Row],[Pré Ureia mg/dL]]</f>
        <v>31</v>
      </c>
      <c r="AH39" s="85">
        <f>Tabela1[[#This Row],[Pós Ureia mg/dL]]</f>
        <v>29</v>
      </c>
      <c r="AI39" s="125">
        <f>Tabela1[[#This Row],[Pré creatinina mg/dL]]</f>
        <v>0.9</v>
      </c>
      <c r="AJ39" s="125">
        <f>Tabela1[[#This Row],[Pós creatinina mg/dL]]</f>
        <v>0.9</v>
      </c>
      <c r="AK39" s="180">
        <f t="shared" si="0"/>
        <v>0</v>
      </c>
      <c r="AL39" s="125">
        <f>Tabela1[[#This Row],[Pré Fósforo mg/dL]]</f>
        <v>4.5999999999999996</v>
      </c>
      <c r="AM39" s="125">
        <f>Tabela1[[#This Row],[Pós Fósforo mg/dL]]</f>
        <v>5.2</v>
      </c>
      <c r="AN39" s="125">
        <f>Tabela1[[#This Row],[Pré Proteína Total (g/dL)]]</f>
        <v>6.9</v>
      </c>
      <c r="AO39" s="125">
        <f>Tabela1[[#This Row],[Pós Proteína Total (g/dL)]]</f>
        <v>6.9</v>
      </c>
      <c r="AP39" s="85" t="str">
        <f>Tabela1[[#This Row],[Pré FE (ug/dL)]]</f>
        <v>-</v>
      </c>
      <c r="AQ39" s="193" t="str">
        <f>Tabela1[[#This Row],[Pós FE (ug/dL)]]</f>
        <v>-</v>
      </c>
      <c r="AR39" s="194">
        <f>Tabela1[[#This Row],[Pré calcio mg/dL]]</f>
        <v>9.4</v>
      </c>
      <c r="AS39" s="125">
        <f>Tabela1[[#This Row],[Pós calcio mg/dL]]</f>
        <v>9.1999999999999993</v>
      </c>
      <c r="AT39" s="125">
        <f>Tabela1[[#This Row],[Pré Potássio mmol/L]]</f>
        <v>5.3</v>
      </c>
      <c r="AU39" s="125">
        <f>Tabela1[[#This Row],[Pós Potássio mmol/L]]</f>
        <v>4.4000000000000004</v>
      </c>
      <c r="AV39" s="85">
        <f>Tabela1[[#This Row],[Glicose pré]]</f>
        <v>102</v>
      </c>
      <c r="AW39" s="85">
        <f>Tabela1[[#This Row],[Glicose pós]]</f>
        <v>89</v>
      </c>
      <c r="AX39" s="85">
        <f>Tabela1[[#This Row],[Pré Sódio mmol/L]]</f>
        <v>137</v>
      </c>
      <c r="AY39" s="85">
        <f>Tabela1[[#This Row],[Pós Sódio mmol/L]]</f>
        <v>134</v>
      </c>
      <c r="AZ39" s="125" t="str">
        <f>Tabela1[[#This Row],[Pré Magnésio mg/dL]]</f>
        <v>-</v>
      </c>
      <c r="BA39" s="125" t="str">
        <f>Tabela1[[#This Row],[Pós Magnésio mg/dL]]</f>
        <v>-</v>
      </c>
      <c r="BB39" s="85" t="str">
        <f>Tabela1[[#This Row],[Pré Cloro mmol/L]]</f>
        <v>-</v>
      </c>
      <c r="BC39" s="85" t="str">
        <f>Tabela1[[#This Row],[Pós Cloro mmol/L]]</f>
        <v>-</v>
      </c>
      <c r="BD3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290.36133333333339</v>
      </c>
      <c r="BE3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281.94344444444448</v>
      </c>
      <c r="BF39" s="194">
        <f>Tabela1[[#This Row],[Pré RBC 10^6/mm³]]</f>
        <v>4.8099999999999996</v>
      </c>
      <c r="BG39" s="125">
        <f>Tabela1[[#This Row],[Pós RBC 10^6/mm³]]</f>
        <v>4.8099999999999996</v>
      </c>
      <c r="BH39" s="125">
        <f>Tabela1[[#This Row],[Pré HGB g/dL]]</f>
        <v>13.1</v>
      </c>
      <c r="BI39" s="125">
        <f>Tabela1[[#This Row],[Pós HGB g/dL]]</f>
        <v>13.1</v>
      </c>
      <c r="BJ39" s="125">
        <f>Tabela1[[#This Row],[Pré HCT %]]</f>
        <v>41.9</v>
      </c>
      <c r="BK39" s="125">
        <f>Tabela1[[#This Row],[Pós HCT %]]</f>
        <v>40.6</v>
      </c>
      <c r="BL39" s="125">
        <f>Tabela1[[#This Row],[Pré MCV fL]]</f>
        <v>87.1</v>
      </c>
      <c r="BM39" s="125">
        <f>Tabela1[[#This Row],[Pós MCV fL]]</f>
        <v>84.4</v>
      </c>
      <c r="BN39" s="125">
        <f>Tabela1[[#This Row],[Pré MCH pg]]</f>
        <v>27.2</v>
      </c>
      <c r="BO39" s="125">
        <f>Tabela1[[#This Row],[Pós MCH pg]]</f>
        <v>27.2</v>
      </c>
      <c r="BP39" s="125">
        <f>Tabela1[[#This Row],[Pré MCHC g/dL]]</f>
        <v>31.3</v>
      </c>
      <c r="BQ39" s="125">
        <f>Tabela1[[#This Row],[Pós MCHC g/dL]]</f>
        <v>32.299999999999997</v>
      </c>
      <c r="BR39" s="85">
        <f>Tabela1[[#This Row],[Pré PLT 10³/mm³]]</f>
        <v>260</v>
      </c>
      <c r="BS39" s="85">
        <f>Tabela1[[#This Row],[Pós PLT 10³/mm³]]</f>
        <v>259</v>
      </c>
      <c r="BT39" s="125">
        <f>Tabela1[[#This Row],[Pré RDW %]]</f>
        <v>13.1</v>
      </c>
      <c r="BU39" s="125">
        <f>Tabela1[[#This Row],[Pós RDW %]]</f>
        <v>13.7</v>
      </c>
      <c r="BV39" s="179">
        <f>Tabela1[[#This Row],[Pré RET %]]</f>
        <v>1.34</v>
      </c>
      <c r="BW39" s="196">
        <f>Tabela1[[#This Row],[Pós RET %]]</f>
        <v>1.25</v>
      </c>
      <c r="BX39" s="197">
        <f>Tabela1[[#This Row],[Pré WBC 10³/mm³]]</f>
        <v>4.53</v>
      </c>
      <c r="BY39" s="179">
        <f>Tabela1[[#This Row],[Pós WBC 10³/mm³]]</f>
        <v>8.92</v>
      </c>
      <c r="BZ39" s="125">
        <f>Tabela1[[#This Row],[Pré NEUT %]]</f>
        <v>51.9</v>
      </c>
      <c r="CA39" s="125">
        <f>Tabela1[[#This Row],[Pós NEUT %]]</f>
        <v>55.1</v>
      </c>
      <c r="CB39" s="125">
        <f>Tabela1[[#This Row],[Pré LINF %]]</f>
        <v>34.200000000000003</v>
      </c>
      <c r="CC39" s="125">
        <f>Tabela1[[#This Row],[Pós LINF %]]</f>
        <v>33.299999999999997</v>
      </c>
      <c r="CD39" s="125">
        <f>Tabela1[[#This Row],[Pré MONO %]]</f>
        <v>9.5</v>
      </c>
      <c r="CE39" s="125">
        <f>Tabela1[[#This Row],[Pós MONO %]]</f>
        <v>9.3000000000000007</v>
      </c>
      <c r="CF39" s="125">
        <f>Tabela1[[#This Row],[Pré EOS %]]</f>
        <v>3.3</v>
      </c>
      <c r="CG39" s="125">
        <f>Tabela1[[#This Row],[Pós EOS %]]</f>
        <v>2</v>
      </c>
      <c r="CH39" s="125">
        <f>Tabela1[[#This Row],[Pré BASO %]]</f>
        <v>1.1000000000000001</v>
      </c>
      <c r="CI39" s="198">
        <f>Tabela1[[#This Row],[Pós BASO %]]</f>
        <v>0.3</v>
      </c>
      <c r="CJ39" s="199" t="str">
        <f t="shared" si="1"/>
        <v>NÃO</v>
      </c>
      <c r="CK39" s="200" t="str">
        <f t="shared" si="2"/>
        <v>NÃO</v>
      </c>
      <c r="CL39" s="194">
        <f t="shared" si="3"/>
        <v>75.626200000000011</v>
      </c>
      <c r="CM39" s="125">
        <f>Tabela1[[#This Row],[MCT KG]]</f>
        <v>88.4</v>
      </c>
      <c r="CN39" s="85">
        <f>Tabela1[[#This Row],[ESTATURA]]</f>
        <v>179</v>
      </c>
      <c r="CO39" s="85">
        <f>Tabela1[[#This Row],[vo2max estimado]]</f>
        <v>47.54</v>
      </c>
      <c r="CP39" s="85">
        <f>Tabela1[[#This Row],[Handgrip     Dominante]]</f>
        <v>51.5</v>
      </c>
      <c r="CQ39" s="85">
        <f>Tabela1[[#This Row],[Handgrip Contrário]]</f>
        <v>50.5</v>
      </c>
      <c r="CR39" s="281">
        <f>Tabela1[[#This Row],[% gordura]]</f>
        <v>14.45</v>
      </c>
    </row>
    <row r="40" spans="1:96" ht="15.75" customHeight="1">
      <c r="A40" s="279">
        <f>Tabela1[[#This Row],[Ano]]</f>
        <v>2017</v>
      </c>
      <c r="B40" s="181" t="str">
        <f>Tabela1[[#This Row],[Missão]]</f>
        <v>Itatiaia</v>
      </c>
      <c r="C40" s="181">
        <f>Tabela1[[#This Row],[Aluno]]</f>
        <v>3103</v>
      </c>
      <c r="D40" s="181">
        <f>Tabela1[[#This Row],[Idade]]</f>
        <v>30</v>
      </c>
      <c r="E40" s="182">
        <f>Tabela1[[#This Row],[Peso Kg]]</f>
        <v>0</v>
      </c>
      <c r="F40" s="191">
        <f>Tabela1[[#This Row],[Cor da pele]]</f>
        <v>2</v>
      </c>
      <c r="G40" s="192" t="str">
        <f>Tabela1[[#This Row],[ACTN3]]</f>
        <v>RX</v>
      </c>
      <c r="H40" s="85" t="str">
        <f>Tabela1[[#This Row],[AGT]]</f>
        <v>MM</v>
      </c>
      <c r="I40" s="85" t="str">
        <f>Tabela1[[#This Row],[ECA]]</f>
        <v>DD</v>
      </c>
      <c r="J40" s="85" t="str">
        <f>Tabela1[[#This Row],[BDKRB2]]</f>
        <v>(+9, +9)</v>
      </c>
      <c r="K40" s="85">
        <f>Tabela1[[#This Row],[Score Força%]]</f>
        <v>62.5</v>
      </c>
      <c r="L40" s="193">
        <f>Tabela1[[#This Row],[Score Resistência %]]</f>
        <v>37.5</v>
      </c>
      <c r="M40" s="192">
        <f>Tabela1[[#This Row],[Pré CK (U/L)]]</f>
        <v>302</v>
      </c>
      <c r="N40" s="85">
        <f>Tabela1[[#This Row],[Pós CK (U/L)]]</f>
        <v>1261</v>
      </c>
      <c r="O40" s="85">
        <f>Tabela1[[#This Row],[Pré CK MB U/L]]</f>
        <v>6</v>
      </c>
      <c r="P40" s="85">
        <f>Tabela1[[#This Row],[Pós CK MB U/L]]</f>
        <v>21</v>
      </c>
      <c r="Q40" s="85" t="str">
        <f>Tabela1[[#This Row],[Pré Lactato (mmol/L)]]</f>
        <v>-</v>
      </c>
      <c r="R40" s="85" t="str">
        <f>Tabela1[[#This Row],[Pós Lactato (mmol/L)]]</f>
        <v>-</v>
      </c>
      <c r="S40" s="85">
        <f>Tabela1[[#This Row],[Pré LDH (U/L)]]</f>
        <v>403</v>
      </c>
      <c r="T40" s="85">
        <f>Tabela1[[#This Row],[Pós LDH (U/L)]]</f>
        <v>636</v>
      </c>
      <c r="U40" s="85">
        <f>Tabela1[[#This Row],[Pré AST (U/L)]]</f>
        <v>41</v>
      </c>
      <c r="V40" s="193">
        <f>Tabela1[[#This Row],[Pós AST (U/L)]]</f>
        <v>75</v>
      </c>
      <c r="W40" s="194">
        <f>Tabela1[[#This Row],[Pré Albumina (g/dL)]]</f>
        <v>4.4000000000000004</v>
      </c>
      <c r="X40" s="125">
        <f>Tabela1[[#This Row],[Pós Albumina (g/dL)]]</f>
        <v>4.7</v>
      </c>
      <c r="Y40" s="85">
        <f>Tabela1[[#This Row],[Pré TGP (g/dL)]]</f>
        <v>54</v>
      </c>
      <c r="Z40" s="85">
        <f>Tabela1[[#This Row],[Pós TGP (g/dL)]]</f>
        <v>65</v>
      </c>
      <c r="AA40" s="85">
        <f>Tabela1[[#This Row],[Pré GGT U/L]]</f>
        <v>106</v>
      </c>
      <c r="AB40" s="193">
        <f>Tabela1[[#This Row],[Pós GGT U/L]]</f>
        <v>93</v>
      </c>
      <c r="AC40" s="194" t="str">
        <f>Tabela1[[#This Row],[Pré Ac. Úrico (mg/dL)]]</f>
        <v>-</v>
      </c>
      <c r="AD40" s="125" t="str">
        <f>Tabela1[[#This Row],[Pós Ac. Úrico (mg/dL)2]]</f>
        <v>-</v>
      </c>
      <c r="AE4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4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128.71280700150223</v>
      </c>
      <c r="AG40" s="85">
        <f>Tabela1[[#This Row],[Pré Ureia mg/dL]]</f>
        <v>32</v>
      </c>
      <c r="AH40" s="85">
        <f>Tabela1[[#This Row],[Pós Ureia mg/dL]]</f>
        <v>35</v>
      </c>
      <c r="AI40" s="125">
        <f>Tabela1[[#This Row],[Pré creatinina mg/dL]]</f>
        <v>0.9</v>
      </c>
      <c r="AJ40" s="125">
        <f>Tabela1[[#This Row],[Pós creatinina mg/dL]]</f>
        <v>0.7</v>
      </c>
      <c r="AK40" s="180">
        <f t="shared" si="0"/>
        <v>0</v>
      </c>
      <c r="AL40" s="125">
        <f>Tabela1[[#This Row],[Pré Fósforo mg/dL]]</f>
        <v>4.5999999999999996</v>
      </c>
      <c r="AM40" s="125">
        <f>Tabela1[[#This Row],[Pós Fósforo mg/dL]]</f>
        <v>4.9000000000000004</v>
      </c>
      <c r="AN40" s="125">
        <f>Tabela1[[#This Row],[Pré Proteína Total (g/dL)]]</f>
        <v>7.2</v>
      </c>
      <c r="AO40" s="125">
        <f>Tabela1[[#This Row],[Pós Proteína Total (g/dL)]]</f>
        <v>7.4</v>
      </c>
      <c r="AP40" s="85" t="str">
        <f>Tabela1[[#This Row],[Pré FE (ug/dL)]]</f>
        <v>-</v>
      </c>
      <c r="AQ40" s="193" t="str">
        <f>Tabela1[[#This Row],[Pós FE (ug/dL)]]</f>
        <v>-</v>
      </c>
      <c r="AR40" s="194">
        <f>Tabela1[[#This Row],[Pré calcio mg/dL]]</f>
        <v>9.5</v>
      </c>
      <c r="AS40" s="125">
        <f>Tabela1[[#This Row],[Pós calcio mg/dL]]</f>
        <v>9.5</v>
      </c>
      <c r="AT40" s="125">
        <f>Tabela1[[#This Row],[Pré Potássio mmol/L]]</f>
        <v>5.2</v>
      </c>
      <c r="AU40" s="125">
        <f>Tabela1[[#This Row],[Pós Potássio mmol/L]]</f>
        <v>4.0999999999999996</v>
      </c>
      <c r="AV40" s="85">
        <f>Tabela1[[#This Row],[Glicose pré]]</f>
        <v>98</v>
      </c>
      <c r="AW40" s="85">
        <f>Tabela1[[#This Row],[Glicose pós]]</f>
        <v>93</v>
      </c>
      <c r="AX40" s="85">
        <f>Tabela1[[#This Row],[Pré Sódio mmol/L]]</f>
        <v>134</v>
      </c>
      <c r="AY40" s="85">
        <f>Tabela1[[#This Row],[Pós Sódio mmol/L]]</f>
        <v>133</v>
      </c>
      <c r="AZ40" s="125" t="str">
        <f>Tabela1[[#This Row],[Pré Magnésio mg/dL]]</f>
        <v>-</v>
      </c>
      <c r="BA40" s="125" t="str">
        <f>Tabela1[[#This Row],[Pós Magnésio mg/dL]]</f>
        <v>-</v>
      </c>
      <c r="BB40" s="85" t="str">
        <f>Tabela1[[#This Row],[Pré Cloro mmol/L]]</f>
        <v>-</v>
      </c>
      <c r="BC40" s="85" t="str">
        <f>Tabela1[[#This Row],[Pós Cloro mmol/L]]</f>
        <v>-</v>
      </c>
      <c r="BD4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284.50644444444441</v>
      </c>
      <c r="BE4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280.78100000000001</v>
      </c>
      <c r="BF40" s="194">
        <f>Tabela1[[#This Row],[Pré RBC 10^6/mm³]]</f>
        <v>4.8600000000000003</v>
      </c>
      <c r="BG40" s="125">
        <f>Tabela1[[#This Row],[Pós RBC 10^6/mm³]]</f>
        <v>4.76</v>
      </c>
      <c r="BH40" s="125">
        <f>Tabela1[[#This Row],[Pré HGB g/dL]]</f>
        <v>15.3</v>
      </c>
      <c r="BI40" s="125">
        <f>Tabela1[[#This Row],[Pós HGB g/dL]]</f>
        <v>15.1</v>
      </c>
      <c r="BJ40" s="125">
        <f>Tabela1[[#This Row],[Pré HCT %]]</f>
        <v>47.4</v>
      </c>
      <c r="BK40" s="125">
        <f>Tabela1[[#This Row],[Pós HCT %]]</f>
        <v>45</v>
      </c>
      <c r="BL40" s="125">
        <f>Tabela1[[#This Row],[Pré MCV fL]]</f>
        <v>97.5</v>
      </c>
      <c r="BM40" s="125">
        <f>Tabela1[[#This Row],[Pós MCV fL]]</f>
        <v>94.5</v>
      </c>
      <c r="BN40" s="125">
        <f>Tabela1[[#This Row],[Pré MCH pg]]</f>
        <v>31.5</v>
      </c>
      <c r="BO40" s="125">
        <f>Tabela1[[#This Row],[Pós MCH pg]]</f>
        <v>31.7</v>
      </c>
      <c r="BP40" s="125">
        <f>Tabela1[[#This Row],[Pré MCHC g/dL]]</f>
        <v>32.299999999999997</v>
      </c>
      <c r="BQ40" s="125">
        <f>Tabela1[[#This Row],[Pós MCHC g/dL]]</f>
        <v>33.6</v>
      </c>
      <c r="BR40" s="85">
        <f>Tabela1[[#This Row],[Pré PLT 10³/mm³]]</f>
        <v>276</v>
      </c>
      <c r="BS40" s="85">
        <f>Tabela1[[#This Row],[Pós PLT 10³/mm³]]</f>
        <v>252</v>
      </c>
      <c r="BT40" s="125">
        <f>Tabela1[[#This Row],[Pré RDW %]]</f>
        <v>11.8</v>
      </c>
      <c r="BU40" s="125">
        <f>Tabela1[[#This Row],[Pós RDW %]]</f>
        <v>12.1</v>
      </c>
      <c r="BV40" s="179">
        <f>Tabela1[[#This Row],[Pré RET %]]</f>
        <v>0.94</v>
      </c>
      <c r="BW40" s="196">
        <f>Tabela1[[#This Row],[Pós RET %]]</f>
        <v>0.6</v>
      </c>
      <c r="BX40" s="197">
        <f>Tabela1[[#This Row],[Pré WBC 10³/mm³]]</f>
        <v>5.84</v>
      </c>
      <c r="BY40" s="179">
        <f>Tabela1[[#This Row],[Pós WBC 10³/mm³]]</f>
        <v>4.5999999999999996</v>
      </c>
      <c r="BZ40" s="125">
        <f>Tabela1[[#This Row],[Pré NEUT %]]</f>
        <v>50.2</v>
      </c>
      <c r="CA40" s="125">
        <f>Tabela1[[#This Row],[Pós NEUT %]]</f>
        <v>48.6</v>
      </c>
      <c r="CB40" s="125">
        <f>Tabela1[[#This Row],[Pré LINF %]]</f>
        <v>36.1</v>
      </c>
      <c r="CC40" s="125">
        <f>Tabela1[[#This Row],[Pós LINF %]]</f>
        <v>34.299999999999997</v>
      </c>
      <c r="CD40" s="125">
        <f>Tabela1[[#This Row],[Pré MONO %]]</f>
        <v>10.6</v>
      </c>
      <c r="CE40" s="125">
        <f>Tabela1[[#This Row],[Pós MONO %]]</f>
        <v>13.7</v>
      </c>
      <c r="CF40" s="125">
        <f>Tabela1[[#This Row],[Pré EOS %]]</f>
        <v>2.6</v>
      </c>
      <c r="CG40" s="125">
        <f>Tabela1[[#This Row],[Pós EOS %]]</f>
        <v>3</v>
      </c>
      <c r="CH40" s="125">
        <f>Tabela1[[#This Row],[Pré BASO %]]</f>
        <v>0.5</v>
      </c>
      <c r="CI40" s="198">
        <f>Tabela1[[#This Row],[Pós BASO %]]</f>
        <v>0.4</v>
      </c>
      <c r="CJ40" s="199" t="str">
        <f t="shared" si="1"/>
        <v>NÃO</v>
      </c>
      <c r="CK40" s="200" t="str">
        <f t="shared" si="2"/>
        <v>SIM</v>
      </c>
      <c r="CL40" s="194">
        <f t="shared" si="3"/>
        <v>60.885999999999996</v>
      </c>
      <c r="CM40" s="125">
        <f>Tabela1[[#This Row],[MCT KG]]</f>
        <v>70</v>
      </c>
      <c r="CN40" s="85">
        <f>Tabela1[[#This Row],[ESTATURA]]</f>
        <v>167</v>
      </c>
      <c r="CO40" s="85">
        <f>Tabela1[[#This Row],[vo2max estimado]]</f>
        <v>53.35</v>
      </c>
      <c r="CP40" s="85">
        <f>Tabela1[[#This Row],[Handgrip     Dominante]]</f>
        <v>42.5</v>
      </c>
      <c r="CQ40" s="85">
        <f>Tabela1[[#This Row],[Handgrip Contrário]]</f>
        <v>38</v>
      </c>
      <c r="CR40" s="281">
        <f>Tabela1[[#This Row],[% gordura]]</f>
        <v>13.02</v>
      </c>
    </row>
    <row r="41" spans="1:96" ht="15.75" customHeight="1">
      <c r="A41" s="279">
        <f>Tabela1[[#This Row],[Ano]]</f>
        <v>2017</v>
      </c>
      <c r="B41" s="181" t="str">
        <f>Tabela1[[#This Row],[Missão]]</f>
        <v>Itatiaia</v>
      </c>
      <c r="C41" s="181">
        <f>Tabela1[[#This Row],[Aluno]]</f>
        <v>3105</v>
      </c>
      <c r="D41" s="181">
        <f>Tabela1[[#This Row],[Idade]]</f>
        <v>32</v>
      </c>
      <c r="E41" s="182">
        <f>Tabela1[[#This Row],[Peso Kg]]</f>
        <v>83</v>
      </c>
      <c r="F41" s="191">
        <f>Tabela1[[#This Row],[Cor da pele]]</f>
        <v>2</v>
      </c>
      <c r="G41" s="192" t="str">
        <f>Tabela1[[#This Row],[ACTN3]]</f>
        <v>RR</v>
      </c>
      <c r="H41" s="85" t="str">
        <f>Tabela1[[#This Row],[AGT]]</f>
        <v>MM</v>
      </c>
      <c r="I41" s="85" t="str">
        <f>Tabela1[[#This Row],[ECA]]</f>
        <v>ID</v>
      </c>
      <c r="J41" s="85" t="str">
        <f>Tabela1[[#This Row],[BDKRB2]]</f>
        <v>(+9, -9)</v>
      </c>
      <c r="K41" s="85">
        <f>Tabela1[[#This Row],[Score Força%]]</f>
        <v>50</v>
      </c>
      <c r="L41" s="193">
        <f>Tabela1[[#This Row],[Score Resistência %]]</f>
        <v>50</v>
      </c>
      <c r="M41" s="192">
        <f>Tabela1[[#This Row],[Pré CK (U/L)]]</f>
        <v>1231</v>
      </c>
      <c r="N41" s="85">
        <f>Tabela1[[#This Row],[Pós CK (U/L)]]</f>
        <v>2548</v>
      </c>
      <c r="O41" s="85">
        <f>Tabela1[[#This Row],[Pré CK MB U/L]]</f>
        <v>10</v>
      </c>
      <c r="P41" s="85">
        <f>Tabela1[[#This Row],[Pós CK MB U/L]]</f>
        <v>35</v>
      </c>
      <c r="Q41" s="85" t="str">
        <f>Tabela1[[#This Row],[Pré Lactato (mmol/L)]]</f>
        <v>-</v>
      </c>
      <c r="R41" s="85" t="str">
        <f>Tabela1[[#This Row],[Pós Lactato (mmol/L)]]</f>
        <v>-</v>
      </c>
      <c r="S41" s="85">
        <f>Tabela1[[#This Row],[Pré LDH (U/L)]]</f>
        <v>538</v>
      </c>
      <c r="T41" s="85">
        <f>Tabela1[[#This Row],[Pós LDH (U/L)]]</f>
        <v>893</v>
      </c>
      <c r="U41" s="85">
        <f>Tabela1[[#This Row],[Pré AST (U/L)]]</f>
        <v>53</v>
      </c>
      <c r="V41" s="193">
        <f>Tabela1[[#This Row],[Pós AST (U/L)]]</f>
        <v>97</v>
      </c>
      <c r="W41" s="194">
        <f>Tabela1[[#This Row],[Pré Albumina (g/dL)]]</f>
        <v>4.4000000000000004</v>
      </c>
      <c r="X41" s="125">
        <f>Tabela1[[#This Row],[Pós Albumina (g/dL)]]</f>
        <v>4.2</v>
      </c>
      <c r="Y41" s="85">
        <f>Tabela1[[#This Row],[Pré TGP (g/dL)]]</f>
        <v>56</v>
      </c>
      <c r="Z41" s="85">
        <f>Tabela1[[#This Row],[Pós TGP (g/dL)]]</f>
        <v>68</v>
      </c>
      <c r="AA41" s="85">
        <f>Tabela1[[#This Row],[Pré GGT U/L]]</f>
        <v>18</v>
      </c>
      <c r="AB41" s="193">
        <f>Tabela1[[#This Row],[Pós GGT U/L]]</f>
        <v>17</v>
      </c>
      <c r="AC41" s="194" t="str">
        <f>Tabela1[[#This Row],[Pré Ac. Úrico (mg/dL)]]</f>
        <v>-</v>
      </c>
      <c r="AD41" s="125" t="str">
        <f>Tabela1[[#This Row],[Pós Ac. Úrico (mg/dL)2]]</f>
        <v>-</v>
      </c>
      <c r="AE4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4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41" s="85">
        <f>Tabela1[[#This Row],[Pré Ureia mg/dL]]</f>
        <v>42</v>
      </c>
      <c r="AH41" s="85">
        <f>Tabela1[[#This Row],[Pós Ureia mg/dL]]</f>
        <v>41</v>
      </c>
      <c r="AI41" s="125">
        <f>Tabela1[[#This Row],[Pré creatinina mg/dL]]</f>
        <v>1.1000000000000001</v>
      </c>
      <c r="AJ41" s="125">
        <f>Tabela1[[#This Row],[Pós creatinina mg/dL]]</f>
        <v>1</v>
      </c>
      <c r="AK41" s="180">
        <f t="shared" si="0"/>
        <v>0</v>
      </c>
      <c r="AL41" s="125">
        <f>Tabela1[[#This Row],[Pré Fósforo mg/dL]]</f>
        <v>4.8</v>
      </c>
      <c r="AM41" s="125">
        <f>Tabela1[[#This Row],[Pós Fósforo mg/dL]]</f>
        <v>4.9000000000000004</v>
      </c>
      <c r="AN41" s="125">
        <f>Tabela1[[#This Row],[Pré Proteína Total (g/dL)]]</f>
        <v>7.5</v>
      </c>
      <c r="AO41" s="125">
        <f>Tabela1[[#This Row],[Pós Proteína Total (g/dL)]]</f>
        <v>7.2</v>
      </c>
      <c r="AP41" s="85" t="str">
        <f>Tabela1[[#This Row],[Pré FE (ug/dL)]]</f>
        <v>-</v>
      </c>
      <c r="AQ41" s="193" t="str">
        <f>Tabela1[[#This Row],[Pós FE (ug/dL)]]</f>
        <v>-</v>
      </c>
      <c r="AR41" s="194">
        <f>Tabela1[[#This Row],[Pré calcio mg/dL]]</f>
        <v>9.3000000000000007</v>
      </c>
      <c r="AS41" s="125">
        <f>Tabela1[[#This Row],[Pós calcio mg/dL]]</f>
        <v>9.5</v>
      </c>
      <c r="AT41" s="125">
        <f>Tabela1[[#This Row],[Pré Potássio mmol/L]]</f>
        <v>5.0999999999999996</v>
      </c>
      <c r="AU41" s="125">
        <f>Tabela1[[#This Row],[Pós Potássio mmol/L]]</f>
        <v>4.4000000000000004</v>
      </c>
      <c r="AV41" s="85">
        <f>Tabela1[[#This Row],[Glicose pré]]</f>
        <v>87</v>
      </c>
      <c r="AW41" s="85">
        <f>Tabela1[[#This Row],[Glicose pós]]</f>
        <v>83</v>
      </c>
      <c r="AX41" s="85">
        <f>Tabela1[[#This Row],[Pré Sódio mmol/L]]</f>
        <v>137</v>
      </c>
      <c r="AY41" s="85">
        <f>Tabela1[[#This Row],[Pós Sódio mmol/L]]</f>
        <v>137</v>
      </c>
      <c r="AZ41" s="125" t="str">
        <f>Tabela1[[#This Row],[Pré Magnésio mg/dL]]</f>
        <v>-</v>
      </c>
      <c r="BA41" s="125" t="str">
        <f>Tabela1[[#This Row],[Pós Magnésio mg/dL]]</f>
        <v>-</v>
      </c>
      <c r="BB41" s="85" t="str">
        <f>Tabela1[[#This Row],[Pré Cloro mmol/L]]</f>
        <v>-</v>
      </c>
      <c r="BC41" s="85" t="str">
        <f>Tabela1[[#This Row],[Pós Cloro mmol/L]]</f>
        <v>-</v>
      </c>
      <c r="BD4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290.86433333333332</v>
      </c>
      <c r="BE4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289.14011111111114</v>
      </c>
      <c r="BF41" s="194">
        <f>Tabela1[[#This Row],[Pré RBC 10^6/mm³]]</f>
        <v>4.57</v>
      </c>
      <c r="BG41" s="125">
        <f>Tabela1[[#This Row],[Pós RBC 10^6/mm³]]</f>
        <v>4.4000000000000004</v>
      </c>
      <c r="BH41" s="125">
        <f>Tabela1[[#This Row],[Pré HGB g/dL]]</f>
        <v>13.6</v>
      </c>
      <c r="BI41" s="125">
        <f>Tabela1[[#This Row],[Pós HGB g/dL]]</f>
        <v>13.1</v>
      </c>
      <c r="BJ41" s="125">
        <f>Tabela1[[#This Row],[Pré HCT %]]</f>
        <v>42.7</v>
      </c>
      <c r="BK41" s="125">
        <f>Tabela1[[#This Row],[Pós HCT %]]</f>
        <v>39.9</v>
      </c>
      <c r="BL41" s="125">
        <f>Tabela1[[#This Row],[Pré MCV fL]]</f>
        <v>93.4</v>
      </c>
      <c r="BM41" s="125">
        <f>Tabela1[[#This Row],[Pós MCV fL]]</f>
        <v>90.7</v>
      </c>
      <c r="BN41" s="125">
        <f>Tabela1[[#This Row],[Pré MCH pg]]</f>
        <v>29.8</v>
      </c>
      <c r="BO41" s="125">
        <f>Tabela1[[#This Row],[Pós MCH pg]]</f>
        <v>29.8</v>
      </c>
      <c r="BP41" s="125">
        <f>Tabela1[[#This Row],[Pré MCHC g/dL]]</f>
        <v>31.9</v>
      </c>
      <c r="BQ41" s="125">
        <f>Tabela1[[#This Row],[Pós MCHC g/dL]]</f>
        <v>32.799999999999997</v>
      </c>
      <c r="BR41" s="85">
        <f>Tabela1[[#This Row],[Pré PLT 10³/mm³]]</f>
        <v>341</v>
      </c>
      <c r="BS41" s="85">
        <f>Tabela1[[#This Row],[Pós PLT 10³/mm³]]</f>
        <v>342</v>
      </c>
      <c r="BT41" s="125">
        <f>Tabela1[[#This Row],[Pré RDW %]]</f>
        <v>12.2</v>
      </c>
      <c r="BU41" s="125">
        <f>Tabela1[[#This Row],[Pós RDW %]]</f>
        <v>13.3</v>
      </c>
      <c r="BV41" s="179">
        <f>Tabela1[[#This Row],[Pré RET %]]</f>
        <v>1.1399999999999999</v>
      </c>
      <c r="BW41" s="196">
        <f>Tabela1[[#This Row],[Pós RET %]]</f>
        <v>0.85</v>
      </c>
      <c r="BX41" s="197">
        <f>Tabela1[[#This Row],[Pré WBC 10³/mm³]]</f>
        <v>6.51</v>
      </c>
      <c r="BY41" s="179">
        <f>Tabela1[[#This Row],[Pós WBC 10³/mm³]]</f>
        <v>5.64</v>
      </c>
      <c r="BZ41" s="125">
        <f>Tabela1[[#This Row],[Pré NEUT %]]</f>
        <v>43.4</v>
      </c>
      <c r="CA41" s="125">
        <f>Tabela1[[#This Row],[Pós NEUT %]]</f>
        <v>49.3</v>
      </c>
      <c r="CB41" s="125">
        <f>Tabela1[[#This Row],[Pré LINF %]]</f>
        <v>30.1</v>
      </c>
      <c r="CC41" s="125">
        <f>Tabela1[[#This Row],[Pós LINF %]]</f>
        <v>25.7</v>
      </c>
      <c r="CD41" s="125">
        <f>Tabela1[[#This Row],[Pré MONO %]]</f>
        <v>8.4</v>
      </c>
      <c r="CE41" s="125">
        <f>Tabela1[[#This Row],[Pós MONO %]]</f>
        <v>10.1</v>
      </c>
      <c r="CF41" s="125">
        <f>Tabela1[[#This Row],[Pré EOS %]]</f>
        <v>17.8</v>
      </c>
      <c r="CG41" s="125">
        <f>Tabela1[[#This Row],[Pós EOS %]]</f>
        <v>14.7</v>
      </c>
      <c r="CH41" s="125">
        <f>Tabela1[[#This Row],[Pré BASO %]]</f>
        <v>0.3</v>
      </c>
      <c r="CI41" s="198">
        <f>Tabela1[[#This Row],[Pós BASO %]]</f>
        <v>0.2</v>
      </c>
      <c r="CJ41" s="199" t="str">
        <f t="shared" si="1"/>
        <v>NÃO</v>
      </c>
      <c r="CK41" s="200" t="str">
        <f t="shared" si="2"/>
        <v>SIM</v>
      </c>
      <c r="CL41" s="194">
        <f t="shared" si="3"/>
        <v>71.683920000000001</v>
      </c>
      <c r="CM41" s="125">
        <f>Tabela1[[#This Row],[MCT KG]]</f>
        <v>79.2</v>
      </c>
      <c r="CN41" s="85">
        <f>Tabela1[[#This Row],[ESTATURA]]</f>
        <v>172.6</v>
      </c>
      <c r="CO41" s="85">
        <f>Tabela1[[#This Row],[vo2max estimado]]</f>
        <v>51.6</v>
      </c>
      <c r="CP41" s="85">
        <f>Tabela1[[#This Row],[Handgrip     Dominante]]</f>
        <v>60</v>
      </c>
      <c r="CQ41" s="85">
        <f>Tabela1[[#This Row],[Handgrip Contrário]]</f>
        <v>54</v>
      </c>
      <c r="CR41" s="281">
        <f>Tabela1[[#This Row],[% gordura]]</f>
        <v>9.49</v>
      </c>
    </row>
    <row r="42" spans="1:96" ht="15.75" customHeight="1">
      <c r="A42" s="279">
        <f>Tabela1[[#This Row],[Ano]]</f>
        <v>2017</v>
      </c>
      <c r="B42" s="181" t="str">
        <f>Tabela1[[#This Row],[Missão]]</f>
        <v>Itatiaia</v>
      </c>
      <c r="C42" s="181">
        <f>Tabela1[[#This Row],[Aluno]]</f>
        <v>3106</v>
      </c>
      <c r="D42" s="181">
        <f>Tabela1[[#This Row],[Idade]]</f>
        <v>31</v>
      </c>
      <c r="E42" s="182">
        <f>Tabela1[[#This Row],[Peso Kg]]</f>
        <v>85</v>
      </c>
      <c r="F42" s="191">
        <f>Tabela1[[#This Row],[Cor da pele]]</f>
        <v>2</v>
      </c>
      <c r="G42" s="192" t="str">
        <f>Tabela1[[#This Row],[ACTN3]]</f>
        <v>XX</v>
      </c>
      <c r="H42" s="85" t="str">
        <f>Tabela1[[#This Row],[AGT]]</f>
        <v>MT</v>
      </c>
      <c r="I42" s="85" t="str">
        <f>Tabela1[[#This Row],[ECA]]</f>
        <v>DD</v>
      </c>
      <c r="J42" s="85" t="str">
        <f>Tabela1[[#This Row],[BDKRB2]]</f>
        <v>(+9, -9)</v>
      </c>
      <c r="K42" s="85">
        <f>Tabela1[[#This Row],[Score Força%]]</f>
        <v>50</v>
      </c>
      <c r="L42" s="193">
        <f>Tabela1[[#This Row],[Score Resistência %]]</f>
        <v>50</v>
      </c>
      <c r="M42" s="192">
        <f>Tabela1[[#This Row],[Pré CK (U/L)]]</f>
        <v>220</v>
      </c>
      <c r="N42" s="85">
        <f>Tabela1[[#This Row],[Pós CK (U/L)]]</f>
        <v>584</v>
      </c>
      <c r="O42" s="85">
        <f>Tabela1[[#This Row],[Pré CK MB U/L]]</f>
        <v>5</v>
      </c>
      <c r="P42" s="85">
        <f>Tabela1[[#This Row],[Pós CK MB U/L]]</f>
        <v>14</v>
      </c>
      <c r="Q42" s="85" t="str">
        <f>Tabela1[[#This Row],[Pré Lactato (mmol/L)]]</f>
        <v>-</v>
      </c>
      <c r="R42" s="85" t="str">
        <f>Tabela1[[#This Row],[Pós Lactato (mmol/L)]]</f>
        <v>-</v>
      </c>
      <c r="S42" s="85">
        <f>Tabela1[[#This Row],[Pré LDH (U/L)]]</f>
        <v>388</v>
      </c>
      <c r="T42" s="85">
        <f>Tabela1[[#This Row],[Pós LDH (U/L)]]</f>
        <v>558</v>
      </c>
      <c r="U42" s="85">
        <f>Tabela1[[#This Row],[Pré AST (U/L)]]</f>
        <v>39</v>
      </c>
      <c r="V42" s="193">
        <f>Tabela1[[#This Row],[Pós AST (U/L)]]</f>
        <v>60</v>
      </c>
      <c r="W42" s="194">
        <f>Tabela1[[#This Row],[Pré Albumina (g/dL)]]</f>
        <v>4.2</v>
      </c>
      <c r="X42" s="125">
        <f>Tabela1[[#This Row],[Pós Albumina (g/dL)]]</f>
        <v>4.5</v>
      </c>
      <c r="Y42" s="85">
        <f>Tabela1[[#This Row],[Pré TGP (g/dL)]]</f>
        <v>56</v>
      </c>
      <c r="Z42" s="85">
        <f>Tabela1[[#This Row],[Pós TGP (g/dL)]]</f>
        <v>54</v>
      </c>
      <c r="AA42" s="85">
        <f>Tabela1[[#This Row],[Pré GGT U/L]]</f>
        <v>20</v>
      </c>
      <c r="AB42" s="193">
        <f>Tabela1[[#This Row],[Pós GGT U/L]]</f>
        <v>19</v>
      </c>
      <c r="AC42" s="194" t="str">
        <f>Tabela1[[#This Row],[Pré Ac. Úrico (mg/dL)]]</f>
        <v>-</v>
      </c>
      <c r="AD42" s="125" t="str">
        <f>Tabela1[[#This Row],[Pós Ac. Úrico (mg/dL)2]]</f>
        <v>-</v>
      </c>
      <c r="AE4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4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42" s="85">
        <f>Tabela1[[#This Row],[Pré Ureia mg/dL]]</f>
        <v>38</v>
      </c>
      <c r="AH42" s="85">
        <f>Tabela1[[#This Row],[Pós Ureia mg/dL]]</f>
        <v>38</v>
      </c>
      <c r="AI42" s="125">
        <f>Tabela1[[#This Row],[Pré creatinina mg/dL]]</f>
        <v>1.1000000000000001</v>
      </c>
      <c r="AJ42" s="125">
        <f>Tabela1[[#This Row],[Pós creatinina mg/dL]]</f>
        <v>1.1000000000000001</v>
      </c>
      <c r="AK42" s="180">
        <f t="shared" si="0"/>
        <v>0</v>
      </c>
      <c r="AL42" s="125">
        <f>Tabela1[[#This Row],[Pré Fósforo mg/dL]]</f>
        <v>4.5</v>
      </c>
      <c r="AM42" s="125">
        <f>Tabela1[[#This Row],[Pós Fósforo mg/dL]]</f>
        <v>5.3</v>
      </c>
      <c r="AN42" s="125">
        <f>Tabela1[[#This Row],[Pré Proteína Total (g/dL)]]</f>
        <v>7.2</v>
      </c>
      <c r="AO42" s="125">
        <f>Tabela1[[#This Row],[Pós Proteína Total (g/dL)]]</f>
        <v>7.5</v>
      </c>
      <c r="AP42" s="85" t="str">
        <f>Tabela1[[#This Row],[Pré FE (ug/dL)]]</f>
        <v>-</v>
      </c>
      <c r="AQ42" s="193" t="str">
        <f>Tabela1[[#This Row],[Pós FE (ug/dL)]]</f>
        <v>-</v>
      </c>
      <c r="AR42" s="194">
        <f>Tabela1[[#This Row],[Pré calcio mg/dL]]</f>
        <v>9.6</v>
      </c>
      <c r="AS42" s="125">
        <f>Tabela1[[#This Row],[Pós calcio mg/dL]]</f>
        <v>10.1</v>
      </c>
      <c r="AT42" s="125">
        <f>Tabela1[[#This Row],[Pré Potássio mmol/L]]</f>
        <v>5.6</v>
      </c>
      <c r="AU42" s="125">
        <f>Tabela1[[#This Row],[Pós Potássio mmol/L]]</f>
        <v>4.9000000000000004</v>
      </c>
      <c r="AV42" s="85">
        <f>Tabela1[[#This Row],[Glicose pré]]</f>
        <v>104</v>
      </c>
      <c r="AW42" s="85">
        <f>Tabela1[[#This Row],[Glicose pós]]</f>
        <v>93</v>
      </c>
      <c r="AX42" s="85">
        <f>Tabela1[[#This Row],[Pré Sódio mmol/L]]</f>
        <v>135</v>
      </c>
      <c r="AY42" s="85">
        <f>Tabela1[[#This Row],[Pós Sódio mmol/L]]</f>
        <v>135</v>
      </c>
      <c r="AZ42" s="125" t="str">
        <f>Tabela1[[#This Row],[Pré Magnésio mg/dL]]</f>
        <v>-</v>
      </c>
      <c r="BA42" s="125" t="str">
        <f>Tabela1[[#This Row],[Pós Magnésio mg/dL]]</f>
        <v>-</v>
      </c>
      <c r="BB42" s="85" t="str">
        <f>Tabela1[[#This Row],[Pré Cloro mmol/L]]</f>
        <v>-</v>
      </c>
      <c r="BC42" s="85" t="str">
        <f>Tabela1[[#This Row],[Pós Cloro mmol/L]]</f>
        <v>-</v>
      </c>
      <c r="BD4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288.49377777777778</v>
      </c>
      <c r="BE4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286.48899999999998</v>
      </c>
      <c r="BF42" s="194">
        <f>Tabela1[[#This Row],[Pré RBC 10^6/mm³]]</f>
        <v>5.26</v>
      </c>
      <c r="BG42" s="125">
        <f>Tabela1[[#This Row],[Pós RBC 10^6/mm³]]</f>
        <v>5.29</v>
      </c>
      <c r="BH42" s="125">
        <f>Tabela1[[#This Row],[Pré HGB g/dL]]</f>
        <v>14.6</v>
      </c>
      <c r="BI42" s="125">
        <f>Tabela1[[#This Row],[Pós HGB g/dL]]</f>
        <v>14.7</v>
      </c>
      <c r="BJ42" s="125">
        <f>Tabela1[[#This Row],[Pré HCT %]]</f>
        <v>43</v>
      </c>
      <c r="BK42" s="125">
        <f>Tabela1[[#This Row],[Pós HCT %]]</f>
        <v>42.1</v>
      </c>
      <c r="BL42" s="125">
        <f>Tabela1[[#This Row],[Pré MCV fL]]</f>
        <v>81.7</v>
      </c>
      <c r="BM42" s="125">
        <f>Tabela1[[#This Row],[Pós MCV fL]]</f>
        <v>79.599999999999994</v>
      </c>
      <c r="BN42" s="125">
        <f>Tabela1[[#This Row],[Pré MCH pg]]</f>
        <v>27.8</v>
      </c>
      <c r="BO42" s="125">
        <f>Tabela1[[#This Row],[Pós MCH pg]]</f>
        <v>27.8</v>
      </c>
      <c r="BP42" s="125">
        <f>Tabela1[[#This Row],[Pré MCHC g/dL]]</f>
        <v>34</v>
      </c>
      <c r="BQ42" s="125">
        <f>Tabela1[[#This Row],[Pós MCHC g/dL]]</f>
        <v>34.9</v>
      </c>
      <c r="BR42" s="85">
        <f>Tabela1[[#This Row],[Pré PLT 10³/mm³]]</f>
        <v>258</v>
      </c>
      <c r="BS42" s="85">
        <f>Tabela1[[#This Row],[Pós PLT 10³/mm³]]</f>
        <v>327</v>
      </c>
      <c r="BT42" s="125">
        <f>Tabela1[[#This Row],[Pré RDW %]]</f>
        <v>12.9</v>
      </c>
      <c r="BU42" s="125">
        <f>Tabela1[[#This Row],[Pós RDW %]]</f>
        <v>12.8</v>
      </c>
      <c r="BV42" s="179">
        <f>Tabela1[[#This Row],[Pré RET %]]</f>
        <v>1.27</v>
      </c>
      <c r="BW42" s="196">
        <f>Tabela1[[#This Row],[Pós RET %]]</f>
        <v>1.08</v>
      </c>
      <c r="BX42" s="197">
        <f>Tabela1[[#This Row],[Pré WBC 10³/mm³]]</f>
        <v>6.35</v>
      </c>
      <c r="BY42" s="179">
        <f>Tabela1[[#This Row],[Pós WBC 10³/mm³]]</f>
        <v>7.62</v>
      </c>
      <c r="BZ42" s="125">
        <f>Tabela1[[#This Row],[Pré NEUT %]]</f>
        <v>43.8</v>
      </c>
      <c r="CA42" s="125">
        <f>Tabela1[[#This Row],[Pós NEUT %]]</f>
        <v>52.2</v>
      </c>
      <c r="CB42" s="125">
        <f>Tabela1[[#This Row],[Pré LINF %]]</f>
        <v>38.1</v>
      </c>
      <c r="CC42" s="125">
        <f>Tabela1[[#This Row],[Pós LINF %]]</f>
        <v>31.5</v>
      </c>
      <c r="CD42" s="125">
        <f>Tabela1[[#This Row],[Pré MONO %]]</f>
        <v>13.2</v>
      </c>
      <c r="CE42" s="125">
        <f>Tabela1[[#This Row],[Pós MONO %]]</f>
        <v>13.3</v>
      </c>
      <c r="CF42" s="125">
        <f>Tabela1[[#This Row],[Pré EOS %]]</f>
        <v>3.8</v>
      </c>
      <c r="CG42" s="125">
        <f>Tabela1[[#This Row],[Pós EOS %]]</f>
        <v>2.5</v>
      </c>
      <c r="CH42" s="125">
        <f>Tabela1[[#This Row],[Pré BASO %]]</f>
        <v>1.1000000000000001</v>
      </c>
      <c r="CI42" s="198">
        <f>Tabela1[[#This Row],[Pós BASO %]]</f>
        <v>0.9</v>
      </c>
      <c r="CJ42" s="199" t="str">
        <f t="shared" si="1"/>
        <v>NÃO</v>
      </c>
      <c r="CK42" s="200" t="str">
        <f t="shared" si="2"/>
        <v>NÃO</v>
      </c>
      <c r="CL42" s="194">
        <f t="shared" si="3"/>
        <v>76.33</v>
      </c>
      <c r="CM42" s="125">
        <f>Tabela1[[#This Row],[MCT KG]]</f>
        <v>85</v>
      </c>
      <c r="CN42" s="85">
        <f>Tabela1[[#This Row],[ESTATURA]]</f>
        <v>181</v>
      </c>
      <c r="CO42" s="85">
        <f>Tabela1[[#This Row],[vo2max estimado]]</f>
        <v>50.68</v>
      </c>
      <c r="CP42" s="85">
        <f>Tabela1[[#This Row],[Handgrip     Dominante]]</f>
        <v>52</v>
      </c>
      <c r="CQ42" s="85">
        <f>Tabela1[[#This Row],[Handgrip Contrário]]</f>
        <v>55</v>
      </c>
      <c r="CR42" s="281">
        <f>Tabela1[[#This Row],[% gordura]]</f>
        <v>10.199999999999999</v>
      </c>
    </row>
    <row r="43" spans="1:96" ht="15.75" customHeight="1">
      <c r="A43" s="279">
        <f>Tabela1[[#This Row],[Ano]]</f>
        <v>2017</v>
      </c>
      <c r="B43" s="181" t="str">
        <f>Tabela1[[#This Row],[Missão]]</f>
        <v>Itatiaia</v>
      </c>
      <c r="C43" s="181">
        <f>Tabela1[[#This Row],[Aluno]]</f>
        <v>3108</v>
      </c>
      <c r="D43" s="181">
        <f>Tabela1[[#This Row],[Idade]]</f>
        <v>31</v>
      </c>
      <c r="E43" s="182">
        <f>Tabela1[[#This Row],[Peso Kg]]</f>
        <v>80</v>
      </c>
      <c r="F43" s="191">
        <f>Tabela1[[#This Row],[Cor da pele]]</f>
        <v>2</v>
      </c>
      <c r="G43" s="192" t="str">
        <f>Tabela1[[#This Row],[ACTN3]]</f>
        <v>RR</v>
      </c>
      <c r="H43" s="85" t="str">
        <f>Tabela1[[#This Row],[AGT]]</f>
        <v>MT</v>
      </c>
      <c r="I43" s="85" t="str">
        <f>Tabela1[[#This Row],[ECA]]</f>
        <v>DD</v>
      </c>
      <c r="J43" s="85" t="str">
        <f>Tabela1[[#This Row],[BDKRB2]]</f>
        <v>(-9, -9)</v>
      </c>
      <c r="K43" s="85">
        <f>Tabela1[[#This Row],[Score Força%]]</f>
        <v>62.5</v>
      </c>
      <c r="L43" s="193">
        <f>Tabela1[[#This Row],[Score Resistência %]]</f>
        <v>37.5</v>
      </c>
      <c r="M43" s="192">
        <f>Tabela1[[#This Row],[Pré CK (U/L)]]</f>
        <v>418</v>
      </c>
      <c r="N43" s="85">
        <f>Tabela1[[#This Row],[Pós CK (U/L)]]</f>
        <v>932</v>
      </c>
      <c r="O43" s="85">
        <f>Tabela1[[#This Row],[Pré CK MB U/L]]</f>
        <v>63</v>
      </c>
      <c r="P43" s="85">
        <f>Tabela1[[#This Row],[Pós CK MB U/L]]</f>
        <v>42</v>
      </c>
      <c r="Q43" s="85" t="str">
        <f>Tabela1[[#This Row],[Pré Lactato (mmol/L)]]</f>
        <v>-</v>
      </c>
      <c r="R43" s="85" t="str">
        <f>Tabela1[[#This Row],[Pós Lactato (mmol/L)]]</f>
        <v>-</v>
      </c>
      <c r="S43" s="85">
        <f>Tabela1[[#This Row],[Pré LDH (U/L)]]</f>
        <v>494</v>
      </c>
      <c r="T43" s="85">
        <f>Tabela1[[#This Row],[Pós LDH (U/L)]]</f>
        <v>600</v>
      </c>
      <c r="U43" s="85">
        <f>Tabela1[[#This Row],[Pré AST (U/L)]]</f>
        <v>93</v>
      </c>
      <c r="V43" s="193">
        <f>Tabela1[[#This Row],[Pós AST (U/L)]]</f>
        <v>55</v>
      </c>
      <c r="W43" s="194">
        <f>Tabela1[[#This Row],[Pré Albumina (g/dL)]]</f>
        <v>4.5999999999999996</v>
      </c>
      <c r="X43" s="125">
        <f>Tabela1[[#This Row],[Pós Albumina (g/dL)]]</f>
        <v>4.2</v>
      </c>
      <c r="Y43" s="85">
        <f>Tabela1[[#This Row],[Pré TGP (g/dL)]]</f>
        <v>55</v>
      </c>
      <c r="Z43" s="85">
        <f>Tabela1[[#This Row],[Pós TGP (g/dL)]]</f>
        <v>48</v>
      </c>
      <c r="AA43" s="85">
        <f>Tabela1[[#This Row],[Pré GGT U/L]]</f>
        <v>22</v>
      </c>
      <c r="AB43" s="193">
        <f>Tabela1[[#This Row],[Pós GGT U/L]]</f>
        <v>21</v>
      </c>
      <c r="AC43" s="194" t="str">
        <f>Tabela1[[#This Row],[Pré Ac. Úrico (mg/dL)]]</f>
        <v>-</v>
      </c>
      <c r="AD43" s="125" t="str">
        <f>Tabela1[[#This Row],[Pós Ac. Úrico (mg/dL)2]]</f>
        <v>-</v>
      </c>
      <c r="AE4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4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43" s="85">
        <f>Tabela1[[#This Row],[Pré Ureia mg/dL]]</f>
        <v>33</v>
      </c>
      <c r="AH43" s="85">
        <f>Tabela1[[#This Row],[Pós Ureia mg/dL]]</f>
        <v>33</v>
      </c>
      <c r="AI43" s="125">
        <f>Tabela1[[#This Row],[Pré creatinina mg/dL]]</f>
        <v>1</v>
      </c>
      <c r="AJ43" s="125">
        <f>Tabela1[[#This Row],[Pós creatinina mg/dL]]</f>
        <v>0.9</v>
      </c>
      <c r="AK43" s="180">
        <f t="shared" si="0"/>
        <v>0</v>
      </c>
      <c r="AL43" s="125">
        <f>Tabela1[[#This Row],[Pré Fósforo mg/dL]]</f>
        <v>3.8</v>
      </c>
      <c r="AM43" s="125">
        <f>Tabela1[[#This Row],[Pós Fósforo mg/dL]]</f>
        <v>4.5999999999999996</v>
      </c>
      <c r="AN43" s="125">
        <f>Tabela1[[#This Row],[Pré Proteína Total (g/dL)]]</f>
        <v>7.7</v>
      </c>
      <c r="AO43" s="125">
        <f>Tabela1[[#This Row],[Pós Proteína Total (g/dL)]]</f>
        <v>7.4</v>
      </c>
      <c r="AP43" s="85" t="str">
        <f>Tabela1[[#This Row],[Pré FE (ug/dL)]]</f>
        <v>-</v>
      </c>
      <c r="AQ43" s="193" t="str">
        <f>Tabela1[[#This Row],[Pós FE (ug/dL)]]</f>
        <v>-</v>
      </c>
      <c r="AR43" s="194">
        <f>Tabela1[[#This Row],[Pré calcio mg/dL]]</f>
        <v>9.5</v>
      </c>
      <c r="AS43" s="125">
        <f>Tabela1[[#This Row],[Pós calcio mg/dL]]</f>
        <v>9.5</v>
      </c>
      <c r="AT43" s="125">
        <f>Tabela1[[#This Row],[Pré Potássio mmol/L]]</f>
        <v>4.3</v>
      </c>
      <c r="AU43" s="125">
        <f>Tabela1[[#This Row],[Pós Potássio mmol/L]]</f>
        <v>4.4000000000000004</v>
      </c>
      <c r="AV43" s="85">
        <f>Tabela1[[#This Row],[Glicose pré]]</f>
        <v>88</v>
      </c>
      <c r="AW43" s="85">
        <f>Tabela1[[#This Row],[Glicose pós]]</f>
        <v>85</v>
      </c>
      <c r="AX43" s="85">
        <f>Tabela1[[#This Row],[Pré Sódio mmol/L]]</f>
        <v>135</v>
      </c>
      <c r="AY43" s="85">
        <f>Tabela1[[#This Row],[Pós Sódio mmol/L]]</f>
        <v>135</v>
      </c>
      <c r="AZ43" s="125" t="str">
        <f>Tabela1[[#This Row],[Pré Magnésio mg/dL]]</f>
        <v>-</v>
      </c>
      <c r="BA43" s="125" t="str">
        <f>Tabela1[[#This Row],[Pós Magnésio mg/dL]]</f>
        <v>-</v>
      </c>
      <c r="BB43" s="85" t="str">
        <f>Tabela1[[#This Row],[Pré Cloro mmol/L]]</f>
        <v>-</v>
      </c>
      <c r="BC43" s="85" t="str">
        <f>Tabela1[[#This Row],[Pós Cloro mmol/L]]</f>
        <v>-</v>
      </c>
      <c r="BD4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284.22022222222222</v>
      </c>
      <c r="BE4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284.21455555555559</v>
      </c>
      <c r="BF43" s="194">
        <f>Tabela1[[#This Row],[Pré RBC 10^6/mm³]]</f>
        <v>5.13</v>
      </c>
      <c r="BG43" s="125">
        <f>Tabela1[[#This Row],[Pós RBC 10^6/mm³]]</f>
        <v>5.0199999999999996</v>
      </c>
      <c r="BH43" s="125">
        <f>Tabela1[[#This Row],[Pré HGB g/dL]]</f>
        <v>15.3</v>
      </c>
      <c r="BI43" s="125">
        <f>Tabela1[[#This Row],[Pós HGB g/dL]]</f>
        <v>15.1</v>
      </c>
      <c r="BJ43" s="125">
        <f>Tabela1[[#This Row],[Pré HCT %]]</f>
        <v>46.9</v>
      </c>
      <c r="BK43" s="125">
        <f>Tabela1[[#This Row],[Pós HCT %]]</f>
        <v>44.5</v>
      </c>
      <c r="BL43" s="125">
        <f>Tabela1[[#This Row],[Pré MCV fL]]</f>
        <v>91.4</v>
      </c>
      <c r="BM43" s="125">
        <f>Tabela1[[#This Row],[Pós MCV fL]]</f>
        <v>88.6</v>
      </c>
      <c r="BN43" s="125">
        <f>Tabela1[[#This Row],[Pré MCH pg]]</f>
        <v>29.8</v>
      </c>
      <c r="BO43" s="125">
        <f>Tabela1[[#This Row],[Pós MCH pg]]</f>
        <v>30.1</v>
      </c>
      <c r="BP43" s="125">
        <f>Tabela1[[#This Row],[Pré MCHC g/dL]]</f>
        <v>32.6</v>
      </c>
      <c r="BQ43" s="125">
        <f>Tabela1[[#This Row],[Pós MCHC g/dL]]</f>
        <v>33.9</v>
      </c>
      <c r="BR43" s="85">
        <f>Tabela1[[#This Row],[Pré PLT 10³/mm³]]</f>
        <v>192</v>
      </c>
      <c r="BS43" s="85">
        <f>Tabela1[[#This Row],[Pós PLT 10³/mm³]]</f>
        <v>207</v>
      </c>
      <c r="BT43" s="125">
        <f>Tabela1[[#This Row],[Pré RDW %]]</f>
        <v>11.9</v>
      </c>
      <c r="BU43" s="125">
        <f>Tabela1[[#This Row],[Pós RDW %]]</f>
        <v>12.5</v>
      </c>
      <c r="BV43" s="179">
        <f>Tabela1[[#This Row],[Pré RET %]]</f>
        <v>1.02</v>
      </c>
      <c r="BW43" s="196">
        <f>Tabela1[[#This Row],[Pós RET %]]</f>
        <v>1.2</v>
      </c>
      <c r="BX43" s="197">
        <f>Tabela1[[#This Row],[Pré WBC 10³/mm³]]</f>
        <v>5.68</v>
      </c>
      <c r="BY43" s="179">
        <f>Tabela1[[#This Row],[Pós WBC 10³/mm³]]</f>
        <v>7.22</v>
      </c>
      <c r="BZ43" s="125">
        <f>Tabela1[[#This Row],[Pré NEUT %]]</f>
        <v>42.4</v>
      </c>
      <c r="CA43" s="125">
        <f>Tabela1[[#This Row],[Pós NEUT %]]</f>
        <v>51.8</v>
      </c>
      <c r="CB43" s="125">
        <f>Tabela1[[#This Row],[Pré LINF %]]</f>
        <v>46.5</v>
      </c>
      <c r="CC43" s="125">
        <f>Tabela1[[#This Row],[Pós LINF %]]</f>
        <v>34.799999999999997</v>
      </c>
      <c r="CD43" s="125">
        <f>Tabela1[[#This Row],[Pré MONO %]]</f>
        <v>9.5</v>
      </c>
      <c r="CE43" s="125">
        <f>Tabela1[[#This Row],[Pós MONO %]]</f>
        <v>10.7</v>
      </c>
      <c r="CF43" s="125">
        <f>Tabela1[[#This Row],[Pré EOS %]]</f>
        <v>1.2</v>
      </c>
      <c r="CG43" s="125">
        <f>Tabela1[[#This Row],[Pós EOS %]]</f>
        <v>2.4</v>
      </c>
      <c r="CH43" s="125">
        <f>Tabela1[[#This Row],[Pré BASO %]]</f>
        <v>0.4</v>
      </c>
      <c r="CI43" s="198">
        <f>Tabela1[[#This Row],[Pós BASO %]]</f>
        <v>0.3</v>
      </c>
      <c r="CJ43" s="199" t="str">
        <f t="shared" si="1"/>
        <v>NÃO</v>
      </c>
      <c r="CK43" s="200" t="str">
        <f t="shared" si="2"/>
        <v>NÃO</v>
      </c>
      <c r="CL43" s="194">
        <f t="shared" si="3"/>
        <v>71.280989999999989</v>
      </c>
      <c r="CM43" s="125">
        <f>Tabela1[[#This Row],[MCT KG]]</f>
        <v>80.099999999999994</v>
      </c>
      <c r="CN43" s="85">
        <f>Tabela1[[#This Row],[ESTATURA]]</f>
        <v>184</v>
      </c>
      <c r="CO43" s="85">
        <f>Tabela1[[#This Row],[vo2max estimado]]</f>
        <v>51.35</v>
      </c>
      <c r="CP43" s="85">
        <f>Tabela1[[#This Row],[Handgrip     Dominante]]</f>
        <v>57</v>
      </c>
      <c r="CQ43" s="85">
        <f>Tabela1[[#This Row],[Handgrip Contrário]]</f>
        <v>55</v>
      </c>
      <c r="CR43" s="281">
        <f>Tabela1[[#This Row],[% gordura]]</f>
        <v>11.01</v>
      </c>
    </row>
    <row r="44" spans="1:96" ht="15.75" customHeight="1">
      <c r="A44" s="279">
        <f>Tabela1[[#This Row],[Ano]]</f>
        <v>2017</v>
      </c>
      <c r="B44" s="181" t="str">
        <f>Tabela1[[#This Row],[Missão]]</f>
        <v>Itatiaia</v>
      </c>
      <c r="C44" s="181">
        <f>Tabela1[[#This Row],[Aluno]]</f>
        <v>3114</v>
      </c>
      <c r="D44" s="181">
        <f>Tabela1[[#This Row],[Idade]]</f>
        <v>30</v>
      </c>
      <c r="E44" s="182">
        <f>Tabela1[[#This Row],[Peso Kg]]</f>
        <v>72</v>
      </c>
      <c r="F44" s="191">
        <f>Tabela1[[#This Row],[Cor da pele]]</f>
        <v>1</v>
      </c>
      <c r="G44" s="192" t="str">
        <f>Tabela1[[#This Row],[ACTN3]]</f>
        <v>RX</v>
      </c>
      <c r="H44" s="85" t="str">
        <f>Tabela1[[#This Row],[AGT]]</f>
        <v>MM</v>
      </c>
      <c r="I44" s="85" t="str">
        <f>Tabela1[[#This Row],[ECA]]</f>
        <v>DD</v>
      </c>
      <c r="J44" s="85" t="str">
        <f>Tabela1[[#This Row],[BDKRB2]]</f>
        <v>(+9, -9)</v>
      </c>
      <c r="K44" s="85">
        <f>Tabela1[[#This Row],[Score Força%]]</f>
        <v>50</v>
      </c>
      <c r="L44" s="193">
        <f>Tabela1[[#This Row],[Score Resistência %]]</f>
        <v>50</v>
      </c>
      <c r="M44" s="192">
        <f>Tabela1[[#This Row],[Pré CK (U/L)]]</f>
        <v>1040</v>
      </c>
      <c r="N44" s="85">
        <f>Tabela1[[#This Row],[Pós CK (U/L)]]</f>
        <v>1254</v>
      </c>
      <c r="O44" s="85">
        <f>Tabela1[[#This Row],[Pré CK MB U/L]]</f>
        <v>13</v>
      </c>
      <c r="P44" s="85">
        <f>Tabela1[[#This Row],[Pós CK MB U/L]]</f>
        <v>23</v>
      </c>
      <c r="Q44" s="85" t="str">
        <f>Tabela1[[#This Row],[Pré Lactato (mmol/L)]]</f>
        <v>-</v>
      </c>
      <c r="R44" s="85" t="str">
        <f>Tabela1[[#This Row],[Pós Lactato (mmol/L)]]</f>
        <v>-</v>
      </c>
      <c r="S44" s="85">
        <f>Tabela1[[#This Row],[Pré LDH (U/L)]]</f>
        <v>516</v>
      </c>
      <c r="T44" s="85">
        <f>Tabela1[[#This Row],[Pós LDH (U/L)]]</f>
        <v>657</v>
      </c>
      <c r="U44" s="85">
        <f>Tabela1[[#This Row],[Pré AST (U/L)]]</f>
        <v>53</v>
      </c>
      <c r="V44" s="193">
        <f>Tabela1[[#This Row],[Pós AST (U/L)]]</f>
        <v>61</v>
      </c>
      <c r="W44" s="194">
        <f>Tabela1[[#This Row],[Pré Albumina (g/dL)]]</f>
        <v>4.5999999999999996</v>
      </c>
      <c r="X44" s="125">
        <f>Tabela1[[#This Row],[Pós Albumina (g/dL)]]</f>
        <v>4.4000000000000004</v>
      </c>
      <c r="Y44" s="85">
        <f>Tabela1[[#This Row],[Pré TGP (g/dL)]]</f>
        <v>45</v>
      </c>
      <c r="Z44" s="85">
        <f>Tabela1[[#This Row],[Pós TGP (g/dL)]]</f>
        <v>45</v>
      </c>
      <c r="AA44" s="85">
        <f>Tabela1[[#This Row],[Pré GGT U/L]]</f>
        <v>11</v>
      </c>
      <c r="AB44" s="193">
        <f>Tabela1[[#This Row],[Pós GGT U/L]]</f>
        <v>10</v>
      </c>
      <c r="AC44" s="194" t="str">
        <f>Tabela1[[#This Row],[Pré Ac. Úrico (mg/dL)]]</f>
        <v>-</v>
      </c>
      <c r="AD44" s="125" t="str">
        <f>Tabela1[[#This Row],[Pós Ac. Úrico (mg/dL)2]]</f>
        <v>-</v>
      </c>
      <c r="AE4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4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44" s="85">
        <f>Tabela1[[#This Row],[Pré Ureia mg/dL]]</f>
        <v>55</v>
      </c>
      <c r="AH44" s="85">
        <f>Tabela1[[#This Row],[Pós Ureia mg/dL]]</f>
        <v>53</v>
      </c>
      <c r="AI44" s="125">
        <f>Tabela1[[#This Row],[Pré creatinina mg/dL]]</f>
        <v>1</v>
      </c>
      <c r="AJ44" s="125">
        <f>Tabela1[[#This Row],[Pós creatinina mg/dL]]</f>
        <v>1</v>
      </c>
      <c r="AK44" s="180">
        <f t="shared" si="0"/>
        <v>0</v>
      </c>
      <c r="AL44" s="125">
        <f>Tabela1[[#This Row],[Pré Fósforo mg/dL]]</f>
        <v>4.2</v>
      </c>
      <c r="AM44" s="125">
        <f>Tabela1[[#This Row],[Pós Fósforo mg/dL]]</f>
        <v>4.2</v>
      </c>
      <c r="AN44" s="125">
        <f>Tabela1[[#This Row],[Pré Proteína Total (g/dL)]]</f>
        <v>7.8</v>
      </c>
      <c r="AO44" s="125">
        <f>Tabela1[[#This Row],[Pós Proteína Total (g/dL)]]</f>
        <v>7.5</v>
      </c>
      <c r="AP44" s="85" t="str">
        <f>Tabela1[[#This Row],[Pré FE (ug/dL)]]</f>
        <v>-</v>
      </c>
      <c r="AQ44" s="193" t="str">
        <f>Tabela1[[#This Row],[Pós FE (ug/dL)]]</f>
        <v>-</v>
      </c>
      <c r="AR44" s="194">
        <f>Tabela1[[#This Row],[Pré calcio mg/dL]]</f>
        <v>9.6999999999999993</v>
      </c>
      <c r="AS44" s="125">
        <f>Tabela1[[#This Row],[Pós calcio mg/dL]]</f>
        <v>9.6999999999999993</v>
      </c>
      <c r="AT44" s="125">
        <f>Tabela1[[#This Row],[Pré Potássio mmol/L]]</f>
        <v>5.3</v>
      </c>
      <c r="AU44" s="125">
        <f>Tabela1[[#This Row],[Pós Potássio mmol/L]]</f>
        <v>4.5999999999999996</v>
      </c>
      <c r="AV44" s="85">
        <f>Tabela1[[#This Row],[Glicose pré]]</f>
        <v>88</v>
      </c>
      <c r="AW44" s="85">
        <f>Tabela1[[#This Row],[Glicose pós]]</f>
        <v>91</v>
      </c>
      <c r="AX44" s="85">
        <f>Tabela1[[#This Row],[Pré Sódio mmol/L]]</f>
        <v>136</v>
      </c>
      <c r="AY44" s="85">
        <f>Tabela1[[#This Row],[Pós Sódio mmol/L]]</f>
        <v>134</v>
      </c>
      <c r="AZ44" s="125" t="str">
        <f>Tabela1[[#This Row],[Pré Magnésio mg/dL]]</f>
        <v>-</v>
      </c>
      <c r="BA44" s="125" t="str">
        <f>Tabela1[[#This Row],[Pós Magnésio mg/dL]]</f>
        <v>-</v>
      </c>
      <c r="BB44" s="85" t="str">
        <f>Tabela1[[#This Row],[Pré Cloro mmol/L]]</f>
        <v>-</v>
      </c>
      <c r="BC44" s="85" t="str">
        <f>Tabela1[[#This Row],[Pós Cloro mmol/L]]</f>
        <v>-</v>
      </c>
      <c r="BD4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291.60688888888893</v>
      </c>
      <c r="BE4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286.44322222222218</v>
      </c>
      <c r="BF44" s="194">
        <f>Tabela1[[#This Row],[Pré RBC 10^6/mm³]]</f>
        <v>5.16</v>
      </c>
      <c r="BG44" s="125">
        <f>Tabela1[[#This Row],[Pós RBC 10^6/mm³]]</f>
        <v>5.0599999999999996</v>
      </c>
      <c r="BH44" s="125">
        <f>Tabela1[[#This Row],[Pré HGB g/dL]]</f>
        <v>15.1</v>
      </c>
      <c r="BI44" s="125">
        <f>Tabela1[[#This Row],[Pós HGB g/dL]]</f>
        <v>14.7</v>
      </c>
      <c r="BJ44" s="125">
        <f>Tabela1[[#This Row],[Pré HCT %]]</f>
        <v>49.2</v>
      </c>
      <c r="BK44" s="125">
        <f>Tabela1[[#This Row],[Pós HCT %]]</f>
        <v>45.2</v>
      </c>
      <c r="BL44" s="125">
        <f>Tabela1[[#This Row],[Pré MCV fL]]</f>
        <v>95.3</v>
      </c>
      <c r="BM44" s="125">
        <f>Tabela1[[#This Row],[Pós MCV fL]]</f>
        <v>89.3</v>
      </c>
      <c r="BN44" s="125">
        <f>Tabela1[[#This Row],[Pré MCH pg]]</f>
        <v>29.3</v>
      </c>
      <c r="BO44" s="125">
        <f>Tabela1[[#This Row],[Pós MCH pg]]</f>
        <v>29.1</v>
      </c>
      <c r="BP44" s="125">
        <f>Tabela1[[#This Row],[Pré MCHC g/dL]]</f>
        <v>30.7</v>
      </c>
      <c r="BQ44" s="125">
        <f>Tabela1[[#This Row],[Pós MCHC g/dL]]</f>
        <v>32.5</v>
      </c>
      <c r="BR44" s="85">
        <f>Tabela1[[#This Row],[Pré PLT 10³/mm³]]</f>
        <v>288</v>
      </c>
      <c r="BS44" s="85">
        <f>Tabela1[[#This Row],[Pós PLT 10³/mm³]]</f>
        <v>335</v>
      </c>
      <c r="BT44" s="125">
        <f>Tabela1[[#This Row],[Pré RDW %]]</f>
        <v>12.7</v>
      </c>
      <c r="BU44" s="125">
        <f>Tabela1[[#This Row],[Pós RDW %]]</f>
        <v>13</v>
      </c>
      <c r="BV44" s="179">
        <f>Tabela1[[#This Row],[Pré RET %]]</f>
        <v>1.1599999999999999</v>
      </c>
      <c r="BW44" s="196">
        <f>Tabela1[[#This Row],[Pós RET %]]</f>
        <v>1.03</v>
      </c>
      <c r="BX44" s="197">
        <f>Tabela1[[#This Row],[Pré WBC 10³/mm³]]</f>
        <v>5.18</v>
      </c>
      <c r="BY44" s="179">
        <f>Tabela1[[#This Row],[Pós WBC 10³/mm³]]</f>
        <v>8.48</v>
      </c>
      <c r="BZ44" s="125">
        <f>Tabela1[[#This Row],[Pré NEUT %]]</f>
        <v>55.4</v>
      </c>
      <c r="CA44" s="125">
        <f>Tabela1[[#This Row],[Pós NEUT %]]</f>
        <v>64</v>
      </c>
      <c r="CB44" s="125">
        <f>Tabela1[[#This Row],[Pré LINF %]]</f>
        <v>29.3</v>
      </c>
      <c r="CC44" s="125">
        <f>Tabela1[[#This Row],[Pós LINF %]]</f>
        <v>19.2</v>
      </c>
      <c r="CD44" s="125">
        <f>Tabela1[[#This Row],[Pré MONO %]]</f>
        <v>11.8</v>
      </c>
      <c r="CE44" s="125">
        <f>Tabela1[[#This Row],[Pós MONO %]]</f>
        <v>11</v>
      </c>
      <c r="CF44" s="125">
        <f>Tabela1[[#This Row],[Pré EOS %]]</f>
        <v>2.7</v>
      </c>
      <c r="CG44" s="125">
        <f>Tabela1[[#This Row],[Pós EOS %]]</f>
        <v>5.2</v>
      </c>
      <c r="CH44" s="125">
        <f>Tabela1[[#This Row],[Pré BASO %]]</f>
        <v>0.8</v>
      </c>
      <c r="CI44" s="198">
        <f>Tabela1[[#This Row],[Pós BASO %]]</f>
        <v>0.6</v>
      </c>
      <c r="CJ44" s="199" t="str">
        <f t="shared" si="1"/>
        <v>NÃO</v>
      </c>
      <c r="CK44" s="200" t="str">
        <f t="shared" si="2"/>
        <v>SIM</v>
      </c>
      <c r="CL44" s="194">
        <f t="shared" si="3"/>
        <v>66.363659999999996</v>
      </c>
      <c r="CM44" s="125">
        <f>Tabela1[[#This Row],[MCT KG]]</f>
        <v>72.599999999999994</v>
      </c>
      <c r="CN44" s="85">
        <f>Tabela1[[#This Row],[ESTATURA]]</f>
        <v>180</v>
      </c>
      <c r="CO44" s="85">
        <f>Tabela1[[#This Row],[vo2max estimado]]</f>
        <v>52.5</v>
      </c>
      <c r="CP44" s="85">
        <f>Tabela1[[#This Row],[Handgrip     Dominante]]</f>
        <v>45</v>
      </c>
      <c r="CQ44" s="85">
        <f>Tabela1[[#This Row],[Handgrip Contrário]]</f>
        <v>42</v>
      </c>
      <c r="CR44" s="281">
        <f>Tabela1[[#This Row],[% gordura]]</f>
        <v>8.59</v>
      </c>
    </row>
    <row r="45" spans="1:96" ht="15.75" customHeight="1">
      <c r="A45" s="279">
        <f>Tabela1[[#This Row],[Ano]]</f>
        <v>2017</v>
      </c>
      <c r="B45" s="181" t="str">
        <f>Tabela1[[#This Row],[Missão]]</f>
        <v>Itatiaia</v>
      </c>
      <c r="C45" s="181">
        <f>Tabela1[[#This Row],[Aluno]]</f>
        <v>3116</v>
      </c>
      <c r="D45" s="181">
        <f>Tabela1[[#This Row],[Idade]]</f>
        <v>29</v>
      </c>
      <c r="E45" s="182">
        <f>Tabela1[[#This Row],[Peso Kg]]</f>
        <v>70</v>
      </c>
      <c r="F45" s="191">
        <f>Tabela1[[#This Row],[Cor da pele]]</f>
        <v>2</v>
      </c>
      <c r="G45" s="192" t="str">
        <f>Tabela1[[#This Row],[ACTN3]]</f>
        <v>RX</v>
      </c>
      <c r="H45" s="85" t="str">
        <f>Tabela1[[#This Row],[AGT]]</f>
        <v>MT</v>
      </c>
      <c r="I45" s="85" t="str">
        <f>Tabela1[[#This Row],[ECA]]</f>
        <v>DD</v>
      </c>
      <c r="J45" s="85" t="str">
        <f>Tabela1[[#This Row],[BDKRB2]]</f>
        <v>(+9, -9)</v>
      </c>
      <c r="K45" s="85">
        <f>Tabela1[[#This Row],[Score Força%]]</f>
        <v>62.5</v>
      </c>
      <c r="L45" s="193">
        <f>Tabela1[[#This Row],[Score Resistência %]]</f>
        <v>37.5</v>
      </c>
      <c r="M45" s="192">
        <f>Tabela1[[#This Row],[Pré CK (U/L)]]</f>
        <v>108</v>
      </c>
      <c r="N45" s="85">
        <f>Tabela1[[#This Row],[Pós CK (U/L)]]</f>
        <v>490</v>
      </c>
      <c r="O45" s="85">
        <f>Tabela1[[#This Row],[Pré CK MB U/L]]</f>
        <v>3</v>
      </c>
      <c r="P45" s="85">
        <f>Tabela1[[#This Row],[Pós CK MB U/L]]</f>
        <v>9</v>
      </c>
      <c r="Q45" s="85" t="str">
        <f>Tabela1[[#This Row],[Pré Lactato (mmol/L)]]</f>
        <v>-</v>
      </c>
      <c r="R45" s="85" t="str">
        <f>Tabela1[[#This Row],[Pós Lactato (mmol/L)]]</f>
        <v>-</v>
      </c>
      <c r="S45" s="85">
        <f>Tabela1[[#This Row],[Pré LDH (U/L)]]</f>
        <v>445</v>
      </c>
      <c r="T45" s="85">
        <f>Tabela1[[#This Row],[Pós LDH (U/L)]]</f>
        <v>670</v>
      </c>
      <c r="U45" s="85">
        <f>Tabela1[[#This Row],[Pré AST (U/L)]]</f>
        <v>29</v>
      </c>
      <c r="V45" s="193">
        <f>Tabela1[[#This Row],[Pós AST (U/L)]]</f>
        <v>66</v>
      </c>
      <c r="W45" s="194">
        <f>Tabela1[[#This Row],[Pré Albumina (g/dL)]]</f>
        <v>4.4000000000000004</v>
      </c>
      <c r="X45" s="125">
        <f>Tabela1[[#This Row],[Pós Albumina (g/dL)]]</f>
        <v>4.5</v>
      </c>
      <c r="Y45" s="85">
        <f>Tabela1[[#This Row],[Pré TGP (g/dL)]]</f>
        <v>36</v>
      </c>
      <c r="Z45" s="85">
        <f>Tabela1[[#This Row],[Pós TGP (g/dL)]]</f>
        <v>58</v>
      </c>
      <c r="AA45" s="85">
        <f>Tabela1[[#This Row],[Pré GGT U/L]]</f>
        <v>14</v>
      </c>
      <c r="AB45" s="193">
        <f>Tabela1[[#This Row],[Pós GGT U/L]]</f>
        <v>15</v>
      </c>
      <c r="AC45" s="194" t="str">
        <f>Tabela1[[#This Row],[Pré Ac. Úrico (mg/dL)]]</f>
        <v>-</v>
      </c>
      <c r="AD45" s="125" t="str">
        <f>Tabela1[[#This Row],[Pós Ac. Úrico (mg/dL)2]]</f>
        <v>-</v>
      </c>
      <c r="AE4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4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45" s="85">
        <f>Tabela1[[#This Row],[Pré Ureia mg/dL]]</f>
        <v>43</v>
      </c>
      <c r="AH45" s="85">
        <f>Tabela1[[#This Row],[Pós Ureia mg/dL]]</f>
        <v>38</v>
      </c>
      <c r="AI45" s="125">
        <f>Tabela1[[#This Row],[Pré creatinina mg/dL]]</f>
        <v>1.1000000000000001</v>
      </c>
      <c r="AJ45" s="125">
        <f>Tabela1[[#This Row],[Pós creatinina mg/dL]]</f>
        <v>1</v>
      </c>
      <c r="AK45" s="180">
        <f t="shared" si="0"/>
        <v>0</v>
      </c>
      <c r="AL45" s="125">
        <f>Tabela1[[#This Row],[Pré Fósforo mg/dL]]</f>
        <v>4</v>
      </c>
      <c r="AM45" s="125">
        <f>Tabela1[[#This Row],[Pós Fósforo mg/dL]]</f>
        <v>5.4</v>
      </c>
      <c r="AN45" s="125">
        <f>Tabela1[[#This Row],[Pré Proteína Total (g/dL)]]</f>
        <v>6.9</v>
      </c>
      <c r="AO45" s="125">
        <f>Tabela1[[#This Row],[Pós Proteína Total (g/dL)]]</f>
        <v>7</v>
      </c>
      <c r="AP45" s="85" t="str">
        <f>Tabela1[[#This Row],[Pré FE (ug/dL)]]</f>
        <v>-</v>
      </c>
      <c r="AQ45" s="193" t="str">
        <f>Tabela1[[#This Row],[Pós FE (ug/dL)]]</f>
        <v>-</v>
      </c>
      <c r="AR45" s="194">
        <f>Tabela1[[#This Row],[Pré calcio mg/dL]]</f>
        <v>9.6999999999999993</v>
      </c>
      <c r="AS45" s="125">
        <f>Tabela1[[#This Row],[Pós calcio mg/dL]]</f>
        <v>10</v>
      </c>
      <c r="AT45" s="125">
        <f>Tabela1[[#This Row],[Pré Potássio mmol/L]]</f>
        <v>4.9000000000000004</v>
      </c>
      <c r="AU45" s="125">
        <f>Tabela1[[#This Row],[Pós Potássio mmol/L]]</f>
        <v>4.9000000000000004</v>
      </c>
      <c r="AV45" s="85">
        <f>Tabela1[[#This Row],[Glicose pré]]</f>
        <v>84</v>
      </c>
      <c r="AW45" s="85">
        <f>Tabela1[[#This Row],[Glicose pós]]</f>
        <v>83</v>
      </c>
      <c r="AX45" s="85">
        <f>Tabela1[[#This Row],[Pré Sódio mmol/L]]</f>
        <v>138</v>
      </c>
      <c r="AY45" s="85">
        <f>Tabela1[[#This Row],[Pós Sódio mmol/L]]</f>
        <v>137</v>
      </c>
      <c r="AZ45" s="125" t="str">
        <f>Tabela1[[#This Row],[Pré Magnésio mg/dL]]</f>
        <v>-</v>
      </c>
      <c r="BA45" s="125" t="str">
        <f>Tabela1[[#This Row],[Pós Magnésio mg/dL]]</f>
        <v>-</v>
      </c>
      <c r="BB45" s="85" t="str">
        <f>Tabela1[[#This Row],[Pré Cloro mmol/L]]</f>
        <v>-</v>
      </c>
      <c r="BC45" s="85" t="str">
        <f>Tabela1[[#This Row],[Pós Cloro mmol/L]]</f>
        <v>-</v>
      </c>
      <c r="BD4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292.3273333333334</v>
      </c>
      <c r="BE4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289.57011111111109</v>
      </c>
      <c r="BF45" s="194">
        <f>Tabela1[[#This Row],[Pré RBC 10^6/mm³]]</f>
        <v>4.9000000000000004</v>
      </c>
      <c r="BG45" s="125">
        <f>Tabela1[[#This Row],[Pós RBC 10^6/mm³]]</f>
        <v>5.04</v>
      </c>
      <c r="BH45" s="125">
        <f>Tabela1[[#This Row],[Pré HGB g/dL]]</f>
        <v>14.4</v>
      </c>
      <c r="BI45" s="125">
        <f>Tabela1[[#This Row],[Pós HGB g/dL]]</f>
        <v>14.8</v>
      </c>
      <c r="BJ45" s="125">
        <f>Tabela1[[#This Row],[Pré HCT %]]</f>
        <v>43.4</v>
      </c>
      <c r="BK45" s="125">
        <f>Tabela1[[#This Row],[Pós HCT %]]</f>
        <v>43.2</v>
      </c>
      <c r="BL45" s="125">
        <f>Tabela1[[#This Row],[Pré MCV fL]]</f>
        <v>88.6</v>
      </c>
      <c r="BM45" s="125">
        <f>Tabela1[[#This Row],[Pós MCV fL]]</f>
        <v>85.7</v>
      </c>
      <c r="BN45" s="125">
        <f>Tabela1[[#This Row],[Pré MCH pg]]</f>
        <v>29.4</v>
      </c>
      <c r="BO45" s="125">
        <f>Tabela1[[#This Row],[Pós MCH pg]]</f>
        <v>29.4</v>
      </c>
      <c r="BP45" s="125">
        <f>Tabela1[[#This Row],[Pré MCHC g/dL]]</f>
        <v>33.200000000000003</v>
      </c>
      <c r="BQ45" s="125">
        <f>Tabela1[[#This Row],[Pós MCHC g/dL]]</f>
        <v>34.299999999999997</v>
      </c>
      <c r="BR45" s="85">
        <f>Tabela1[[#This Row],[Pré PLT 10³/mm³]]</f>
        <v>172</v>
      </c>
      <c r="BS45" s="85">
        <f>Tabela1[[#This Row],[Pós PLT 10³/mm³]]</f>
        <v>216</v>
      </c>
      <c r="BT45" s="125">
        <f>Tabela1[[#This Row],[Pré RDW %]]</f>
        <v>12.3</v>
      </c>
      <c r="BU45" s="125">
        <f>Tabela1[[#This Row],[Pós RDW %]]</f>
        <v>12.9</v>
      </c>
      <c r="BV45" s="179">
        <f>Tabela1[[#This Row],[Pré RET %]]</f>
        <v>1.76</v>
      </c>
      <c r="BW45" s="196">
        <f>Tabela1[[#This Row],[Pós RET %]]</f>
        <v>1.58</v>
      </c>
      <c r="BX45" s="197">
        <f>Tabela1[[#This Row],[Pré WBC 10³/mm³]]</f>
        <v>5.12</v>
      </c>
      <c r="BY45" s="179">
        <f>Tabela1[[#This Row],[Pós WBC 10³/mm³]]</f>
        <v>5.49</v>
      </c>
      <c r="BZ45" s="125">
        <f>Tabela1[[#This Row],[Pré NEUT %]]</f>
        <v>42.2</v>
      </c>
      <c r="CA45" s="125">
        <f>Tabela1[[#This Row],[Pós NEUT %]]</f>
        <v>37</v>
      </c>
      <c r="CB45" s="125">
        <f>Tabela1[[#This Row],[Pré LINF %]]</f>
        <v>35</v>
      </c>
      <c r="CC45" s="125">
        <f>Tabela1[[#This Row],[Pós LINF %]]</f>
        <v>44.6</v>
      </c>
      <c r="CD45" s="125">
        <f>Tabela1[[#This Row],[Pré MONO %]]</f>
        <v>11.9</v>
      </c>
      <c r="CE45" s="125">
        <f>Tabela1[[#This Row],[Pós MONO %]]</f>
        <v>10.7</v>
      </c>
      <c r="CF45" s="125">
        <f>Tabela1[[#This Row],[Pré EOS %]]</f>
        <v>10.5</v>
      </c>
      <c r="CG45" s="125">
        <f>Tabela1[[#This Row],[Pós EOS %]]</f>
        <v>7.3</v>
      </c>
      <c r="CH45" s="125">
        <f>Tabela1[[#This Row],[Pré BASO %]]</f>
        <v>0.4</v>
      </c>
      <c r="CI45" s="198">
        <f>Tabela1[[#This Row],[Pós BASO %]]</f>
        <v>0.4</v>
      </c>
      <c r="CJ45" s="199" t="str">
        <f t="shared" si="1"/>
        <v>NÃO</v>
      </c>
      <c r="CK45" s="200" t="str">
        <f t="shared" si="2"/>
        <v>NÃO</v>
      </c>
      <c r="CL45" s="194">
        <f t="shared" si="3"/>
        <v>0</v>
      </c>
      <c r="CM45" s="125">
        <f>Tabela1[[#This Row],[MCT KG]]</f>
        <v>0</v>
      </c>
      <c r="CN45" s="85">
        <f>Tabela1[[#This Row],[ESTATURA]]</f>
        <v>0</v>
      </c>
      <c r="CO45" s="85">
        <f>Tabela1[[#This Row],[vo2max estimado]]</f>
        <v>0</v>
      </c>
      <c r="CP45" s="85">
        <f>Tabela1[[#This Row],[Handgrip     Dominante]]</f>
        <v>0</v>
      </c>
      <c r="CQ45" s="85">
        <f>Tabela1[[#This Row],[Handgrip Contrário]]</f>
        <v>0</v>
      </c>
      <c r="CR45" s="281">
        <f>Tabela1[[#This Row],[% gordura]]</f>
        <v>0</v>
      </c>
    </row>
    <row r="46" spans="1:96" ht="15.75" customHeight="1">
      <c r="A46" s="279">
        <f>Tabela1[[#This Row],[Ano]]</f>
        <v>2017</v>
      </c>
      <c r="B46" s="181" t="str">
        <f>Tabela1[[#This Row],[Missão]]</f>
        <v>Itatiaia</v>
      </c>
      <c r="C46" s="181">
        <f>Tabela1[[#This Row],[Aluno]]</f>
        <v>3119</v>
      </c>
      <c r="D46" s="181">
        <f>Tabela1[[#This Row],[Idade]]</f>
        <v>28</v>
      </c>
      <c r="E46" s="182">
        <f>Tabela1[[#This Row],[Peso Kg]]</f>
        <v>75</v>
      </c>
      <c r="F46" s="191">
        <f>Tabela1[[#This Row],[Cor da pele]]</f>
        <v>1</v>
      </c>
      <c r="G46" s="192" t="str">
        <f>Tabela1[[#This Row],[ACTN3]]</f>
        <v>RX</v>
      </c>
      <c r="H46" s="85" t="str">
        <f>Tabela1[[#This Row],[AGT]]</f>
        <v>TT</v>
      </c>
      <c r="I46" s="85" t="str">
        <f>Tabela1[[#This Row],[ECA]]</f>
        <v>DD</v>
      </c>
      <c r="J46" s="85" t="str">
        <f>Tabela1[[#This Row],[BDKRB2]]</f>
        <v>(-9, -9)</v>
      </c>
      <c r="K46" s="85">
        <f>Tabela1[[#This Row],[Score Força%]]</f>
        <v>62.5</v>
      </c>
      <c r="L46" s="193">
        <f>Tabela1[[#This Row],[Score Resistência %]]</f>
        <v>37.5</v>
      </c>
      <c r="M46" s="192">
        <f>Tabela1[[#This Row],[Pré CK (U/L)]]</f>
        <v>446</v>
      </c>
      <c r="N46" s="85">
        <f>Tabela1[[#This Row],[Pós CK (U/L)]]</f>
        <v>626</v>
      </c>
      <c r="O46" s="85">
        <f>Tabela1[[#This Row],[Pré CK MB U/L]]</f>
        <v>11</v>
      </c>
      <c r="P46" s="85">
        <f>Tabela1[[#This Row],[Pós CK MB U/L]]</f>
        <v>21</v>
      </c>
      <c r="Q46" s="85" t="str">
        <f>Tabela1[[#This Row],[Pré Lactato (mmol/L)]]</f>
        <v>-</v>
      </c>
      <c r="R46" s="85" t="str">
        <f>Tabela1[[#This Row],[Pós Lactato (mmol/L)]]</f>
        <v>-</v>
      </c>
      <c r="S46" s="85">
        <f>Tabela1[[#This Row],[Pré LDH (U/L)]]</f>
        <v>559</v>
      </c>
      <c r="T46" s="85">
        <f>Tabela1[[#This Row],[Pós LDH (U/L)]]</f>
        <v>668</v>
      </c>
      <c r="U46" s="85">
        <f>Tabela1[[#This Row],[Pré AST (U/L)]]</f>
        <v>36</v>
      </c>
      <c r="V46" s="193">
        <f>Tabela1[[#This Row],[Pós AST (U/L)]]</f>
        <v>50</v>
      </c>
      <c r="W46" s="194">
        <f>Tabela1[[#This Row],[Pré Albumina (g/dL)]]</f>
        <v>4.4000000000000004</v>
      </c>
      <c r="X46" s="125">
        <f>Tabela1[[#This Row],[Pós Albumina (g/dL)]]</f>
        <v>4.4000000000000004</v>
      </c>
      <c r="Y46" s="85">
        <f>Tabela1[[#This Row],[Pré TGP (g/dL)]]</f>
        <v>47</v>
      </c>
      <c r="Z46" s="85">
        <f>Tabela1[[#This Row],[Pós TGP (g/dL)]]</f>
        <v>51</v>
      </c>
      <c r="AA46" s="85">
        <f>Tabela1[[#This Row],[Pré GGT U/L]]</f>
        <v>31</v>
      </c>
      <c r="AB46" s="193">
        <f>Tabela1[[#This Row],[Pós GGT U/L]]</f>
        <v>35</v>
      </c>
      <c r="AC46" s="194" t="str">
        <f>Tabela1[[#This Row],[Pré Ac. Úrico (mg/dL)]]</f>
        <v>-</v>
      </c>
      <c r="AD46" s="125" t="str">
        <f>Tabela1[[#This Row],[Pós Ac. Úrico (mg/dL)2]]</f>
        <v>-</v>
      </c>
      <c r="AE4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4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46" s="85">
        <f>Tabela1[[#This Row],[Pré Ureia mg/dL]]</f>
        <v>29</v>
      </c>
      <c r="AH46" s="85">
        <f>Tabela1[[#This Row],[Pós Ureia mg/dL]]</f>
        <v>35</v>
      </c>
      <c r="AI46" s="125">
        <f>Tabela1[[#This Row],[Pré creatinina mg/dL]]</f>
        <v>1</v>
      </c>
      <c r="AJ46" s="125">
        <f>Tabela1[[#This Row],[Pós creatinina mg/dL]]</f>
        <v>1.1000000000000001</v>
      </c>
      <c r="AK46" s="180">
        <f t="shared" si="0"/>
        <v>0.10000000000000009</v>
      </c>
      <c r="AL46" s="125">
        <f>Tabela1[[#This Row],[Pré Fósforo mg/dL]]</f>
        <v>4.0999999999999996</v>
      </c>
      <c r="AM46" s="125">
        <f>Tabela1[[#This Row],[Pós Fósforo mg/dL]]</f>
        <v>4.0999999999999996</v>
      </c>
      <c r="AN46" s="125">
        <f>Tabela1[[#This Row],[Pré Proteína Total (g/dL)]]</f>
        <v>7.2</v>
      </c>
      <c r="AO46" s="125">
        <f>Tabela1[[#This Row],[Pós Proteína Total (g/dL)]]</f>
        <v>7.2</v>
      </c>
      <c r="AP46" s="85" t="str">
        <f>Tabela1[[#This Row],[Pré FE (ug/dL)]]</f>
        <v>-</v>
      </c>
      <c r="AQ46" s="193" t="str">
        <f>Tabela1[[#This Row],[Pós FE (ug/dL)]]</f>
        <v>-</v>
      </c>
      <c r="AR46" s="194">
        <f>Tabela1[[#This Row],[Pré calcio mg/dL]]</f>
        <v>9.5</v>
      </c>
      <c r="AS46" s="125">
        <f>Tabela1[[#This Row],[Pós calcio mg/dL]]</f>
        <v>9.3000000000000007</v>
      </c>
      <c r="AT46" s="125">
        <f>Tabela1[[#This Row],[Pré Potássio mmol/L]]</f>
        <v>4.5</v>
      </c>
      <c r="AU46" s="125">
        <f>Tabela1[[#This Row],[Pós Potássio mmol/L]]</f>
        <v>4.2</v>
      </c>
      <c r="AV46" s="85">
        <f>Tabela1[[#This Row],[Glicose pré]]</f>
        <v>107</v>
      </c>
      <c r="AW46" s="85">
        <f>Tabela1[[#This Row],[Glicose pós]]</f>
        <v>91</v>
      </c>
      <c r="AX46" s="85">
        <f>Tabela1[[#This Row],[Pré Sódio mmol/L]]</f>
        <v>136</v>
      </c>
      <c r="AY46" s="85">
        <f>Tabela1[[#This Row],[Pós Sódio mmol/L]]</f>
        <v>133</v>
      </c>
      <c r="AZ46" s="125" t="str">
        <f>Tabela1[[#This Row],[Pré Magnésio mg/dL]]</f>
        <v>-</v>
      </c>
      <c r="BA46" s="125" t="str">
        <f>Tabela1[[#This Row],[Pós Magnésio mg/dL]]</f>
        <v>-</v>
      </c>
      <c r="BB46" s="85" t="str">
        <f>Tabela1[[#This Row],[Pré Cloro mmol/L]]</f>
        <v>-</v>
      </c>
      <c r="BC46" s="85" t="str">
        <f>Tabela1[[#This Row],[Pós Cloro mmol/L]]</f>
        <v>-</v>
      </c>
      <c r="BD4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286.99944444444446</v>
      </c>
      <c r="BE4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280.83922222222219</v>
      </c>
      <c r="BF46" s="194">
        <f>Tabela1[[#This Row],[Pré RBC 10^6/mm³]]</f>
        <v>4.9000000000000004</v>
      </c>
      <c r="BG46" s="125">
        <f>Tabela1[[#This Row],[Pós RBC 10^6/mm³]]</f>
        <v>4.83</v>
      </c>
      <c r="BH46" s="125">
        <f>Tabela1[[#This Row],[Pré HGB g/dL]]</f>
        <v>14.4</v>
      </c>
      <c r="BI46" s="125">
        <f>Tabela1[[#This Row],[Pós HGB g/dL]]</f>
        <v>14.2</v>
      </c>
      <c r="BJ46" s="125">
        <f>Tabela1[[#This Row],[Pré HCT %]]</f>
        <v>44.4</v>
      </c>
      <c r="BK46" s="125">
        <f>Tabela1[[#This Row],[Pós HCT %]]</f>
        <v>42.1</v>
      </c>
      <c r="BL46" s="125">
        <f>Tabela1[[#This Row],[Pré MCV fL]]</f>
        <v>90.6</v>
      </c>
      <c r="BM46" s="125">
        <f>Tabela1[[#This Row],[Pós MCV fL]]</f>
        <v>87.2</v>
      </c>
      <c r="BN46" s="125">
        <f>Tabela1[[#This Row],[Pré MCH pg]]</f>
        <v>29.4</v>
      </c>
      <c r="BO46" s="125">
        <f>Tabela1[[#This Row],[Pós MCH pg]]</f>
        <v>29.4</v>
      </c>
      <c r="BP46" s="125">
        <f>Tabela1[[#This Row],[Pré MCHC g/dL]]</f>
        <v>32.4</v>
      </c>
      <c r="BQ46" s="125">
        <f>Tabela1[[#This Row],[Pós MCHC g/dL]]</f>
        <v>33.700000000000003</v>
      </c>
      <c r="BR46" s="85">
        <f>Tabela1[[#This Row],[Pré PLT 10³/mm³]]</f>
        <v>186</v>
      </c>
      <c r="BS46" s="85">
        <f>Tabela1[[#This Row],[Pós PLT 10³/mm³]]</f>
        <v>253</v>
      </c>
      <c r="BT46" s="125">
        <f>Tabela1[[#This Row],[Pré RDW %]]</f>
        <v>12.9</v>
      </c>
      <c r="BU46" s="125">
        <f>Tabela1[[#This Row],[Pós RDW %]]</f>
        <v>13.3</v>
      </c>
      <c r="BV46" s="179">
        <f>Tabela1[[#This Row],[Pré RET %]]</f>
        <v>1.1499999999999999</v>
      </c>
      <c r="BW46" s="196">
        <f>Tabela1[[#This Row],[Pós RET %]]</f>
        <v>1.04</v>
      </c>
      <c r="BX46" s="197">
        <f>Tabela1[[#This Row],[Pré WBC 10³/mm³]]</f>
        <v>3.6</v>
      </c>
      <c r="BY46" s="179">
        <f>Tabela1[[#This Row],[Pós WBC 10³/mm³]]</f>
        <v>6.98</v>
      </c>
      <c r="BZ46" s="125">
        <f>Tabela1[[#This Row],[Pré NEUT %]]</f>
        <v>46.9</v>
      </c>
      <c r="CA46" s="125">
        <f>Tabela1[[#This Row],[Pós NEUT %]]</f>
        <v>54</v>
      </c>
      <c r="CB46" s="125">
        <f>Tabela1[[#This Row],[Pré LINF %]]</f>
        <v>33.1</v>
      </c>
      <c r="CC46" s="125">
        <f>Tabela1[[#This Row],[Pós LINF %]]</f>
        <v>27.7</v>
      </c>
      <c r="CD46" s="125">
        <f>Tabela1[[#This Row],[Pré MONO %]]</f>
        <v>14.2</v>
      </c>
      <c r="CE46" s="125">
        <f>Tabela1[[#This Row],[Pós MONO %]]</f>
        <v>14.9</v>
      </c>
      <c r="CF46" s="125">
        <f>Tabela1[[#This Row],[Pré EOS %]]</f>
        <v>4.7</v>
      </c>
      <c r="CG46" s="125">
        <f>Tabela1[[#This Row],[Pós EOS %]]</f>
        <v>3</v>
      </c>
      <c r="CH46" s="125">
        <f>Tabela1[[#This Row],[Pré BASO %]]</f>
        <v>1.1000000000000001</v>
      </c>
      <c r="CI46" s="198">
        <f>Tabela1[[#This Row],[Pós BASO %]]</f>
        <v>0.4</v>
      </c>
      <c r="CJ46" s="199" t="str">
        <f t="shared" si="1"/>
        <v>NÃO</v>
      </c>
      <c r="CK46" s="200" t="str">
        <f t="shared" si="2"/>
        <v>NÃO</v>
      </c>
      <c r="CL46" s="194">
        <f t="shared" si="3"/>
        <v>69.236999999999995</v>
      </c>
      <c r="CM46" s="125">
        <f>Tabela1[[#This Row],[MCT KG]]</f>
        <v>73.5</v>
      </c>
      <c r="CN46" s="85">
        <f>Tabela1[[#This Row],[ESTATURA]]</f>
        <v>177</v>
      </c>
      <c r="CO46" s="85">
        <f>Tabela1[[#This Row],[vo2max estimado]]</f>
        <v>53.28</v>
      </c>
      <c r="CP46" s="85">
        <f>Tabela1[[#This Row],[Handgrip     Dominante]]</f>
        <v>52.5</v>
      </c>
      <c r="CQ46" s="85">
        <f>Tabela1[[#This Row],[Handgrip Contrário]]</f>
        <v>50</v>
      </c>
      <c r="CR46" s="281">
        <f>Tabela1[[#This Row],[% gordura]]</f>
        <v>5.8</v>
      </c>
    </row>
    <row r="47" spans="1:96" ht="15.75" customHeight="1">
      <c r="A47" s="279">
        <f>Tabela1[[#This Row],[Ano]]</f>
        <v>2017</v>
      </c>
      <c r="B47" s="181" t="str">
        <f>Tabela1[[#This Row],[Missão]]</f>
        <v>Itatiaia</v>
      </c>
      <c r="C47" s="181">
        <f>Tabela1[[#This Row],[Aluno]]</f>
        <v>3123</v>
      </c>
      <c r="D47" s="181">
        <f>Tabela1[[#This Row],[Idade]]</f>
        <v>27</v>
      </c>
      <c r="E47" s="182">
        <f>Tabela1[[#This Row],[Peso Kg]]</f>
        <v>86</v>
      </c>
      <c r="F47" s="191">
        <f>Tabela1[[#This Row],[Cor da pele]]</f>
        <v>1</v>
      </c>
      <c r="G47" s="192" t="str">
        <f>Tabela1[[#This Row],[ACTN3]]</f>
        <v>RX</v>
      </c>
      <c r="H47" s="85" t="str">
        <f>Tabela1[[#This Row],[AGT]]</f>
        <v>TT</v>
      </c>
      <c r="I47" s="85" t="str">
        <f>Tabela1[[#This Row],[ECA]]</f>
        <v>ID</v>
      </c>
      <c r="J47" s="85" t="str">
        <f>Tabela1[[#This Row],[BDKRB2]]</f>
        <v>(+9, +9)</v>
      </c>
      <c r="K47" s="85">
        <f>Tabela1[[#This Row],[Score Força%]]</f>
        <v>75</v>
      </c>
      <c r="L47" s="193">
        <f>Tabela1[[#This Row],[Score Resistência %]]</f>
        <v>25</v>
      </c>
      <c r="M47" s="192">
        <f>Tabela1[[#This Row],[Pré CK (U/L)]]</f>
        <v>264</v>
      </c>
      <c r="N47" s="85">
        <f>Tabela1[[#This Row],[Pós CK (U/L)]]</f>
        <v>631</v>
      </c>
      <c r="O47" s="85">
        <f>Tabela1[[#This Row],[Pré CK MB U/L]]</f>
        <v>3</v>
      </c>
      <c r="P47" s="85">
        <f>Tabela1[[#This Row],[Pós CK MB U/L]]</f>
        <v>12</v>
      </c>
      <c r="Q47" s="85" t="str">
        <f>Tabela1[[#This Row],[Pré Lactato (mmol/L)]]</f>
        <v>-</v>
      </c>
      <c r="R47" s="85" t="str">
        <f>Tabela1[[#This Row],[Pós Lactato (mmol/L)]]</f>
        <v>-</v>
      </c>
      <c r="S47" s="85">
        <f>Tabela1[[#This Row],[Pré LDH (U/L)]]</f>
        <v>462</v>
      </c>
      <c r="T47" s="85">
        <f>Tabela1[[#This Row],[Pós LDH (U/L)]]</f>
        <v>557</v>
      </c>
      <c r="U47" s="85">
        <f>Tabela1[[#This Row],[Pré AST (U/L)]]</f>
        <v>39</v>
      </c>
      <c r="V47" s="193">
        <f>Tabela1[[#This Row],[Pós AST (U/L)]]</f>
        <v>54</v>
      </c>
      <c r="W47" s="194">
        <f>Tabela1[[#This Row],[Pré Albumina (g/dL)]]</f>
        <v>4.4000000000000004</v>
      </c>
      <c r="X47" s="125">
        <f>Tabela1[[#This Row],[Pós Albumina (g/dL)]]</f>
        <v>4.3</v>
      </c>
      <c r="Y47" s="85">
        <f>Tabela1[[#This Row],[Pré TGP (g/dL)]]</f>
        <v>45</v>
      </c>
      <c r="Z47" s="85">
        <f>Tabela1[[#This Row],[Pós TGP (g/dL)]]</f>
        <v>47</v>
      </c>
      <c r="AA47" s="85">
        <f>Tabela1[[#This Row],[Pré GGT U/L]]</f>
        <v>26</v>
      </c>
      <c r="AB47" s="193">
        <f>Tabela1[[#This Row],[Pós GGT U/L]]</f>
        <v>24</v>
      </c>
      <c r="AC47" s="194" t="str">
        <f>Tabela1[[#This Row],[Pré Ac. Úrico (mg/dL)]]</f>
        <v>-</v>
      </c>
      <c r="AD47" s="125" t="str">
        <f>Tabela1[[#This Row],[Pós Ac. Úrico (mg/dL)2]]</f>
        <v>-</v>
      </c>
      <c r="AE4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4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47" s="85">
        <f>Tabela1[[#This Row],[Pré Ureia mg/dL]]</f>
        <v>33</v>
      </c>
      <c r="AH47" s="85">
        <f>Tabela1[[#This Row],[Pós Ureia mg/dL]]</f>
        <v>41</v>
      </c>
      <c r="AI47" s="125">
        <f>Tabela1[[#This Row],[Pré creatinina mg/dL]]</f>
        <v>0.9</v>
      </c>
      <c r="AJ47" s="125">
        <f>Tabela1[[#This Row],[Pós creatinina mg/dL]]</f>
        <v>1</v>
      </c>
      <c r="AK47" s="180">
        <f t="shared" si="0"/>
        <v>9.9999999999999978E-2</v>
      </c>
      <c r="AL47" s="125">
        <f>Tabela1[[#This Row],[Pré Fósforo mg/dL]]</f>
        <v>4.4000000000000004</v>
      </c>
      <c r="AM47" s="125">
        <f>Tabela1[[#This Row],[Pós Fósforo mg/dL]]</f>
        <v>4.7</v>
      </c>
      <c r="AN47" s="125">
        <f>Tabela1[[#This Row],[Pré Proteína Total (g/dL)]]</f>
        <v>8.1</v>
      </c>
      <c r="AO47" s="125">
        <f>Tabela1[[#This Row],[Pós Proteína Total (g/dL)]]</f>
        <v>7.9</v>
      </c>
      <c r="AP47" s="85" t="str">
        <f>Tabela1[[#This Row],[Pré FE (ug/dL)]]</f>
        <v>-</v>
      </c>
      <c r="AQ47" s="193" t="str">
        <f>Tabela1[[#This Row],[Pós FE (ug/dL)]]</f>
        <v>-</v>
      </c>
      <c r="AR47" s="194">
        <f>Tabela1[[#This Row],[Pré calcio mg/dL]]</f>
        <v>9.3000000000000007</v>
      </c>
      <c r="AS47" s="125">
        <f>Tabela1[[#This Row],[Pós calcio mg/dL]]</f>
        <v>9.1999999999999993</v>
      </c>
      <c r="AT47" s="125">
        <f>Tabela1[[#This Row],[Pré Potássio mmol/L]]</f>
        <v>4.8</v>
      </c>
      <c r="AU47" s="125">
        <f>Tabela1[[#This Row],[Pós Potássio mmol/L]]</f>
        <v>4.7</v>
      </c>
      <c r="AV47" s="85">
        <f>Tabela1[[#This Row],[Glicose pré]]</f>
        <v>87</v>
      </c>
      <c r="AW47" s="85">
        <f>Tabela1[[#This Row],[Glicose pós]]</f>
        <v>98</v>
      </c>
      <c r="AX47" s="85">
        <f>Tabela1[[#This Row],[Pré Sódio mmol/L]]</f>
        <v>136</v>
      </c>
      <c r="AY47" s="85">
        <f>Tabela1[[#This Row],[Pós Sódio mmol/L]]</f>
        <v>133</v>
      </c>
      <c r="AZ47" s="125" t="str">
        <f>Tabela1[[#This Row],[Pré Magnésio mg/dL]]</f>
        <v>-</v>
      </c>
      <c r="BA47" s="125" t="str">
        <f>Tabela1[[#This Row],[Pós Magnésio mg/dL]]</f>
        <v>-</v>
      </c>
      <c r="BB47" s="85" t="str">
        <f>Tabela1[[#This Row],[Pré Cloro mmol/L]]</f>
        <v>-</v>
      </c>
      <c r="BC47" s="85" t="str">
        <f>Tabela1[[#This Row],[Pós Cloro mmol/L]]</f>
        <v>-</v>
      </c>
      <c r="BD4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286.94633333333337</v>
      </c>
      <c r="BE4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283.21644444444445</v>
      </c>
      <c r="BF47" s="194">
        <f>Tabela1[[#This Row],[Pré RBC 10^6/mm³]]</f>
        <v>4.8099999999999996</v>
      </c>
      <c r="BG47" s="125">
        <f>Tabela1[[#This Row],[Pós RBC 10^6/mm³]]</f>
        <v>4.7</v>
      </c>
      <c r="BH47" s="125">
        <f>Tabela1[[#This Row],[Pré HGB g/dL]]</f>
        <v>12.7</v>
      </c>
      <c r="BI47" s="125">
        <f>Tabela1[[#This Row],[Pós HGB g/dL]]</f>
        <v>12.5</v>
      </c>
      <c r="BJ47" s="125">
        <f>Tabela1[[#This Row],[Pré HCT %]]</f>
        <v>41.1</v>
      </c>
      <c r="BK47" s="125">
        <f>Tabela1[[#This Row],[Pós HCT %]]</f>
        <v>38.1</v>
      </c>
      <c r="BL47" s="125">
        <f>Tabela1[[#This Row],[Pré MCV fL]]</f>
        <v>85.4</v>
      </c>
      <c r="BM47" s="125">
        <f>Tabela1[[#This Row],[Pós MCV fL]]</f>
        <v>81.099999999999994</v>
      </c>
      <c r="BN47" s="125">
        <f>Tabela1[[#This Row],[Pré MCH pg]]</f>
        <v>26.4</v>
      </c>
      <c r="BO47" s="125">
        <f>Tabela1[[#This Row],[Pós MCH pg]]</f>
        <v>26.6</v>
      </c>
      <c r="BP47" s="125">
        <f>Tabela1[[#This Row],[Pré MCHC g/dL]]</f>
        <v>30.9</v>
      </c>
      <c r="BQ47" s="125">
        <f>Tabela1[[#This Row],[Pós MCHC g/dL]]</f>
        <v>32.799999999999997</v>
      </c>
      <c r="BR47" s="85">
        <f>Tabela1[[#This Row],[Pré PLT 10³/mm³]]</f>
        <v>298</v>
      </c>
      <c r="BS47" s="85">
        <f>Tabela1[[#This Row],[Pós PLT 10³/mm³]]</f>
        <v>301</v>
      </c>
      <c r="BT47" s="125">
        <f>Tabela1[[#This Row],[Pré RDW %]]</f>
        <v>13</v>
      </c>
      <c r="BU47" s="125">
        <f>Tabela1[[#This Row],[Pós RDW %]]</f>
        <v>13.4</v>
      </c>
      <c r="BV47" s="179">
        <f>Tabela1[[#This Row],[Pré RET %]]</f>
        <v>0.94</v>
      </c>
      <c r="BW47" s="196">
        <f>Tabela1[[#This Row],[Pós RET %]]</f>
        <v>0.99</v>
      </c>
      <c r="BX47" s="197">
        <f>Tabela1[[#This Row],[Pré WBC 10³/mm³]]</f>
        <v>8.48</v>
      </c>
      <c r="BY47" s="179">
        <f>Tabela1[[#This Row],[Pós WBC 10³/mm³]]</f>
        <v>7.4</v>
      </c>
      <c r="BZ47" s="125">
        <f>Tabela1[[#This Row],[Pré NEUT %]]</f>
        <v>53.9</v>
      </c>
      <c r="CA47" s="125">
        <f>Tabela1[[#This Row],[Pós NEUT %]]</f>
        <v>37.299999999999997</v>
      </c>
      <c r="CB47" s="125">
        <f>Tabela1[[#This Row],[Pré LINF %]]</f>
        <v>32.700000000000003</v>
      </c>
      <c r="CC47" s="125">
        <f>Tabela1[[#This Row],[Pós LINF %]]</f>
        <v>39.1</v>
      </c>
      <c r="CD47" s="125">
        <f>Tabela1[[#This Row],[Pré MONO %]]</f>
        <v>10.6</v>
      </c>
      <c r="CE47" s="125">
        <f>Tabela1[[#This Row],[Pós MONO %]]</f>
        <v>13.9</v>
      </c>
      <c r="CF47" s="125">
        <f>Tabela1[[#This Row],[Pré EOS %]]</f>
        <v>2.6</v>
      </c>
      <c r="CG47" s="125">
        <f>Tabela1[[#This Row],[Pós EOS %]]</f>
        <v>9.1999999999999993</v>
      </c>
      <c r="CH47" s="125">
        <f>Tabela1[[#This Row],[Pré BASO %]]</f>
        <v>0.2</v>
      </c>
      <c r="CI47" s="198">
        <f>Tabela1[[#This Row],[Pós BASO %]]</f>
        <v>0.5</v>
      </c>
      <c r="CJ47" s="199" t="str">
        <f t="shared" si="1"/>
        <v>NÃO</v>
      </c>
      <c r="CK47" s="200" t="str">
        <f t="shared" si="2"/>
        <v>NÃO</v>
      </c>
      <c r="CL47" s="194">
        <f t="shared" si="3"/>
        <v>74.045439999999999</v>
      </c>
      <c r="CM47" s="125">
        <f>Tabela1[[#This Row],[MCT KG]]</f>
        <v>89.6</v>
      </c>
      <c r="CN47" s="85">
        <f>Tabela1[[#This Row],[ESTATURA]]</f>
        <v>176</v>
      </c>
      <c r="CO47" s="85">
        <f>Tabela1[[#This Row],[vo2max estimado]]</f>
        <v>45.45</v>
      </c>
      <c r="CP47" s="85">
        <f>Tabela1[[#This Row],[Handgrip     Dominante]]</f>
        <v>46.5</v>
      </c>
      <c r="CQ47" s="85">
        <f>Tabela1[[#This Row],[Handgrip Contrário]]</f>
        <v>42</v>
      </c>
      <c r="CR47" s="281">
        <f>Tabela1[[#This Row],[% gordura]]</f>
        <v>17.36</v>
      </c>
    </row>
    <row r="48" spans="1:96" ht="15.75" customHeight="1">
      <c r="A48" s="279">
        <f>Tabela1[[#This Row],[Ano]]</f>
        <v>2017</v>
      </c>
      <c r="B48" s="181" t="str">
        <f>Tabela1[[#This Row],[Missão]]</f>
        <v>Itatiaia</v>
      </c>
      <c r="C48" s="181">
        <f>Tabela1[[#This Row],[Aluno]]</f>
        <v>3125</v>
      </c>
      <c r="D48" s="181">
        <f>Tabela1[[#This Row],[Idade]]</f>
        <v>29</v>
      </c>
      <c r="E48" s="182">
        <f>Tabela1[[#This Row],[Peso Kg]]</f>
        <v>70</v>
      </c>
      <c r="F48" s="191">
        <f>Tabela1[[#This Row],[Cor da pele]]</f>
        <v>1</v>
      </c>
      <c r="G48" s="192" t="str">
        <f>Tabela1[[#This Row],[ACTN3]]</f>
        <v>XX</v>
      </c>
      <c r="H48" s="85" t="str">
        <f>Tabela1[[#This Row],[AGT]]</f>
        <v>MT</v>
      </c>
      <c r="I48" s="85" t="str">
        <f>Tabela1[[#This Row],[ECA]]</f>
        <v>DD</v>
      </c>
      <c r="J48" s="85" t="str">
        <f>Tabela1[[#This Row],[BDKRB2]]</f>
        <v>(+9, -9)</v>
      </c>
      <c r="K48" s="85">
        <f>Tabela1[[#This Row],[Score Força%]]</f>
        <v>50</v>
      </c>
      <c r="L48" s="193">
        <f>Tabela1[[#This Row],[Score Resistência %]]</f>
        <v>50</v>
      </c>
      <c r="M48" s="192">
        <f>Tabela1[[#This Row],[Pré CK (U/L)]]</f>
        <v>161</v>
      </c>
      <c r="N48" s="85">
        <f>Tabela1[[#This Row],[Pós CK (U/L)]]</f>
        <v>444</v>
      </c>
      <c r="O48" s="85">
        <f>Tabela1[[#This Row],[Pré CK MB U/L]]</f>
        <v>4</v>
      </c>
      <c r="P48" s="85">
        <f>Tabela1[[#This Row],[Pós CK MB U/L]]</f>
        <v>6</v>
      </c>
      <c r="Q48" s="85" t="str">
        <f>Tabela1[[#This Row],[Pré Lactato (mmol/L)]]</f>
        <v>-</v>
      </c>
      <c r="R48" s="85" t="str">
        <f>Tabela1[[#This Row],[Pós Lactato (mmol/L)]]</f>
        <v>-</v>
      </c>
      <c r="S48" s="85">
        <f>Tabela1[[#This Row],[Pré LDH (U/L)]]</f>
        <v>377</v>
      </c>
      <c r="T48" s="85">
        <f>Tabela1[[#This Row],[Pós LDH (U/L)]]</f>
        <v>535</v>
      </c>
      <c r="U48" s="85">
        <f>Tabela1[[#This Row],[Pré AST (U/L)]]</f>
        <v>38</v>
      </c>
      <c r="V48" s="193">
        <f>Tabela1[[#This Row],[Pós AST (U/L)]]</f>
        <v>58</v>
      </c>
      <c r="W48" s="194">
        <f>Tabela1[[#This Row],[Pré Albumina (g/dL)]]</f>
        <v>4.5999999999999996</v>
      </c>
      <c r="X48" s="125">
        <f>Tabela1[[#This Row],[Pós Albumina (g/dL)]]</f>
        <v>4.8</v>
      </c>
      <c r="Y48" s="85">
        <f>Tabela1[[#This Row],[Pré TGP (g/dL)]]</f>
        <v>32</v>
      </c>
      <c r="Z48" s="85">
        <f>Tabela1[[#This Row],[Pós TGP (g/dL)]]</f>
        <v>42</v>
      </c>
      <c r="AA48" s="85">
        <f>Tabela1[[#This Row],[Pré GGT U/L]]</f>
        <v>17</v>
      </c>
      <c r="AB48" s="193">
        <f>Tabela1[[#This Row],[Pós GGT U/L]]</f>
        <v>18</v>
      </c>
      <c r="AC48" s="194" t="str">
        <f>Tabela1[[#This Row],[Pré Ac. Úrico (mg/dL)]]</f>
        <v>-</v>
      </c>
      <c r="AD48" s="125" t="str">
        <f>Tabela1[[#This Row],[Pós Ac. Úrico (mg/dL)2]]</f>
        <v>-</v>
      </c>
      <c r="AE4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4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48" s="85">
        <f>Tabela1[[#This Row],[Pré Ureia mg/dL]]</f>
        <v>32</v>
      </c>
      <c r="AH48" s="85">
        <f>Tabela1[[#This Row],[Pós Ureia mg/dL]]</f>
        <v>41</v>
      </c>
      <c r="AI48" s="125">
        <f>Tabela1[[#This Row],[Pré creatinina mg/dL]]</f>
        <v>0.9</v>
      </c>
      <c r="AJ48" s="125">
        <f>Tabela1[[#This Row],[Pós creatinina mg/dL]]</f>
        <v>0.9</v>
      </c>
      <c r="AK48" s="180">
        <f t="shared" si="0"/>
        <v>0</v>
      </c>
      <c r="AL48" s="125">
        <f>Tabela1[[#This Row],[Pré Fósforo mg/dL]]</f>
        <v>4.3</v>
      </c>
      <c r="AM48" s="125">
        <f>Tabela1[[#This Row],[Pós Fósforo mg/dL]]</f>
        <v>4.8</v>
      </c>
      <c r="AN48" s="125">
        <f>Tabela1[[#This Row],[Pré Proteína Total (g/dL)]]</f>
        <v>7.6</v>
      </c>
      <c r="AO48" s="125">
        <f>Tabela1[[#This Row],[Pós Proteína Total (g/dL)]]</f>
        <v>7.7</v>
      </c>
      <c r="AP48" s="85" t="str">
        <f>Tabela1[[#This Row],[Pré FE (ug/dL)]]</f>
        <v>-</v>
      </c>
      <c r="AQ48" s="193" t="str">
        <f>Tabela1[[#This Row],[Pós FE (ug/dL)]]</f>
        <v>-</v>
      </c>
      <c r="AR48" s="194">
        <f>Tabela1[[#This Row],[Pré calcio mg/dL]]</f>
        <v>9.1</v>
      </c>
      <c r="AS48" s="125">
        <f>Tabela1[[#This Row],[Pós calcio mg/dL]]</f>
        <v>9.8000000000000007</v>
      </c>
      <c r="AT48" s="125">
        <f>Tabela1[[#This Row],[Pré Potássio mmol/L]]</f>
        <v>5</v>
      </c>
      <c r="AU48" s="125">
        <f>Tabela1[[#This Row],[Pós Potássio mmol/L]]</f>
        <v>4.5</v>
      </c>
      <c r="AV48" s="85">
        <f>Tabela1[[#This Row],[Glicose pré]]</f>
        <v>105</v>
      </c>
      <c r="AW48" s="85">
        <f>Tabela1[[#This Row],[Glicose pós]]</f>
        <v>88</v>
      </c>
      <c r="AX48" s="85">
        <f>Tabela1[[#This Row],[Pré Sódio mmol/L]]</f>
        <v>134</v>
      </c>
      <c r="AY48" s="85">
        <f>Tabela1[[#This Row],[Pós Sódio mmol/L]]</f>
        <v>134</v>
      </c>
      <c r="AZ48" s="125" t="str">
        <f>Tabela1[[#This Row],[Pré Magnésio mg/dL]]</f>
        <v>-</v>
      </c>
      <c r="BA48" s="125" t="str">
        <f>Tabela1[[#This Row],[Pós Magnésio mg/dL]]</f>
        <v>-</v>
      </c>
      <c r="BB48" s="85" t="str">
        <f>Tabela1[[#This Row],[Pré Cloro mmol/L]]</f>
        <v>-</v>
      </c>
      <c r="BC48" s="85" t="str">
        <f>Tabela1[[#This Row],[Pós Cloro mmol/L]]</f>
        <v>-</v>
      </c>
      <c r="BD4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284.58166666666665</v>
      </c>
      <c r="BE4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284.06555555555553</v>
      </c>
      <c r="BF48" s="194">
        <f>Tabela1[[#This Row],[Pré RBC 10^6/mm³]]</f>
        <v>5.22</v>
      </c>
      <c r="BG48" s="125">
        <f>Tabela1[[#This Row],[Pós RBC 10^6/mm³]]</f>
        <v>5.24</v>
      </c>
      <c r="BH48" s="125">
        <f>Tabela1[[#This Row],[Pré HGB g/dL]]</f>
        <v>14.9</v>
      </c>
      <c r="BI48" s="125">
        <f>Tabela1[[#This Row],[Pós HGB g/dL]]</f>
        <v>15.2</v>
      </c>
      <c r="BJ48" s="125">
        <f>Tabela1[[#This Row],[Pré HCT %]]</f>
        <v>46.2</v>
      </c>
      <c r="BK48" s="125">
        <f>Tabela1[[#This Row],[Pós HCT %]]</f>
        <v>45</v>
      </c>
      <c r="BL48" s="125">
        <f>Tabela1[[#This Row],[Pré MCV fL]]</f>
        <v>88.5</v>
      </c>
      <c r="BM48" s="125">
        <f>Tabela1[[#This Row],[Pós MCV fL]]</f>
        <v>85.9</v>
      </c>
      <c r="BN48" s="125">
        <f>Tabela1[[#This Row],[Pré MCH pg]]</f>
        <v>28.5</v>
      </c>
      <c r="BO48" s="125">
        <f>Tabela1[[#This Row],[Pós MCH pg]]</f>
        <v>29</v>
      </c>
      <c r="BP48" s="125">
        <f>Tabela1[[#This Row],[Pré MCHC g/dL]]</f>
        <v>32.299999999999997</v>
      </c>
      <c r="BQ48" s="125">
        <f>Tabela1[[#This Row],[Pós MCHC g/dL]]</f>
        <v>33.799999999999997</v>
      </c>
      <c r="BR48" s="85">
        <f>Tabela1[[#This Row],[Pré PLT 10³/mm³]]</f>
        <v>231</v>
      </c>
      <c r="BS48" s="85">
        <f>Tabela1[[#This Row],[Pós PLT 10³/mm³]]</f>
        <v>256</v>
      </c>
      <c r="BT48" s="125">
        <f>Tabela1[[#This Row],[Pré RDW %]]</f>
        <v>12.6</v>
      </c>
      <c r="BU48" s="125">
        <f>Tabela1[[#This Row],[Pós RDW %]]</f>
        <v>13.1</v>
      </c>
      <c r="BV48" s="179">
        <f>Tabela1[[#This Row],[Pré RET %]]</f>
        <v>1.1599999999999999</v>
      </c>
      <c r="BW48" s="196">
        <f>Tabela1[[#This Row],[Pós RET %]]</f>
        <v>1.19</v>
      </c>
      <c r="BX48" s="197">
        <f>Tabela1[[#This Row],[Pré WBC 10³/mm³]]</f>
        <v>4.21</v>
      </c>
      <c r="BY48" s="179">
        <f>Tabela1[[#This Row],[Pós WBC 10³/mm³]]</f>
        <v>7.62</v>
      </c>
      <c r="BZ48" s="125">
        <f>Tabela1[[#This Row],[Pré NEUT %]]</f>
        <v>53.2</v>
      </c>
      <c r="CA48" s="125">
        <f>Tabela1[[#This Row],[Pós NEUT %]]</f>
        <v>69.400000000000006</v>
      </c>
      <c r="CB48" s="125">
        <f>Tabela1[[#This Row],[Pré LINF %]]</f>
        <v>31.8</v>
      </c>
      <c r="CC48" s="125">
        <f>Tabela1[[#This Row],[Pós LINF %]]</f>
        <v>18.100000000000001</v>
      </c>
      <c r="CD48" s="125">
        <f>Tabela1[[#This Row],[Pré MONO %]]</f>
        <v>12.1</v>
      </c>
      <c r="CE48" s="125">
        <f>Tabela1[[#This Row],[Pós MONO %]]</f>
        <v>10.6</v>
      </c>
      <c r="CF48" s="125">
        <f>Tabela1[[#This Row],[Pré EOS %]]</f>
        <v>1.9</v>
      </c>
      <c r="CG48" s="125">
        <f>Tabela1[[#This Row],[Pós EOS %]]</f>
        <v>1.2</v>
      </c>
      <c r="CH48" s="125">
        <f>Tabela1[[#This Row],[Pré BASO %]]</f>
        <v>1</v>
      </c>
      <c r="CI48" s="198">
        <f>Tabela1[[#This Row],[Pós BASO %]]</f>
        <v>0.7</v>
      </c>
      <c r="CJ48" s="199" t="str">
        <f t="shared" si="1"/>
        <v>NÃO</v>
      </c>
      <c r="CK48" s="200" t="str">
        <f t="shared" si="2"/>
        <v>NÃO</v>
      </c>
      <c r="CL48" s="194">
        <f t="shared" si="3"/>
        <v>63.743760000000002</v>
      </c>
      <c r="CM48" s="125">
        <f>Tabela1[[#This Row],[MCT KG]]</f>
        <v>72.900000000000006</v>
      </c>
      <c r="CN48" s="85">
        <f>Tabela1[[#This Row],[ESTATURA]]</f>
        <v>168.6</v>
      </c>
      <c r="CO48" s="85">
        <f>Tabela1[[#This Row],[vo2max estimado]]</f>
        <v>48.54</v>
      </c>
      <c r="CP48" s="85">
        <f>Tabela1[[#This Row],[Handgrip     Dominante]]</f>
        <v>50</v>
      </c>
      <c r="CQ48" s="85">
        <f>Tabela1[[#This Row],[Handgrip Contrário]]</f>
        <v>47</v>
      </c>
      <c r="CR48" s="281">
        <f>Tabela1[[#This Row],[% gordura]]</f>
        <v>12.56</v>
      </c>
    </row>
    <row r="49" spans="1:96" ht="15.75" customHeight="1">
      <c r="A49" s="279">
        <f>Tabela1[[#This Row],[Ano]]</f>
        <v>2017</v>
      </c>
      <c r="B49" s="181" t="str">
        <f>Tabela1[[#This Row],[Missão]]</f>
        <v>Itatiaia</v>
      </c>
      <c r="C49" s="181">
        <f>Tabela1[[#This Row],[Aluno]]</f>
        <v>3136</v>
      </c>
      <c r="D49" s="181">
        <f>Tabela1[[#This Row],[Idade]]</f>
        <v>28</v>
      </c>
      <c r="E49" s="182">
        <f>Tabela1[[#This Row],[Peso Kg]]</f>
        <v>82</v>
      </c>
      <c r="F49" s="191">
        <f>Tabela1[[#This Row],[Cor da pele]]</f>
        <v>1</v>
      </c>
      <c r="G49" s="192" t="str">
        <f>Tabela1[[#This Row],[ACTN3]]</f>
        <v>RX</v>
      </c>
      <c r="H49" s="85" t="str">
        <f>Tabela1[[#This Row],[AGT]]</f>
        <v>MM</v>
      </c>
      <c r="I49" s="85" t="str">
        <f>Tabela1[[#This Row],[ECA]]</f>
        <v>DD</v>
      </c>
      <c r="J49" s="85" t="str">
        <f>Tabela1[[#This Row],[BDKRB2]]</f>
        <v>(-9, -9)</v>
      </c>
      <c r="K49" s="85">
        <f>Tabela1[[#This Row],[Score Força%]]</f>
        <v>37.5</v>
      </c>
      <c r="L49" s="193">
        <f>Tabela1[[#This Row],[Score Resistência %]]</f>
        <v>62.5</v>
      </c>
      <c r="M49" s="192">
        <f>Tabela1[[#This Row],[Pré CK (U/L)]]</f>
        <v>200</v>
      </c>
      <c r="N49" s="85">
        <f>Tabela1[[#This Row],[Pós CK (U/L)]]</f>
        <v>466</v>
      </c>
      <c r="O49" s="85">
        <f>Tabela1[[#This Row],[Pré CK MB U/L]]</f>
        <v>4</v>
      </c>
      <c r="P49" s="85">
        <f>Tabela1[[#This Row],[Pós CK MB U/L]]</f>
        <v>12</v>
      </c>
      <c r="Q49" s="85" t="str">
        <f>Tabela1[[#This Row],[Pré Lactato (mmol/L)]]</f>
        <v>-</v>
      </c>
      <c r="R49" s="85" t="str">
        <f>Tabela1[[#This Row],[Pós Lactato (mmol/L)]]</f>
        <v>-</v>
      </c>
      <c r="S49" s="85">
        <f>Tabela1[[#This Row],[Pré LDH (U/L)]]</f>
        <v>414</v>
      </c>
      <c r="T49" s="85">
        <f>Tabela1[[#This Row],[Pós LDH (U/L)]]</f>
        <v>538</v>
      </c>
      <c r="U49" s="85">
        <f>Tabela1[[#This Row],[Pré AST (U/L)]]</f>
        <v>46</v>
      </c>
      <c r="V49" s="193">
        <f>Tabela1[[#This Row],[Pós AST (U/L)]]</f>
        <v>48</v>
      </c>
      <c r="W49" s="194">
        <f>Tabela1[[#This Row],[Pré Albumina (g/dL)]]</f>
        <v>4.5999999999999996</v>
      </c>
      <c r="X49" s="125">
        <f>Tabela1[[#This Row],[Pós Albumina (g/dL)]]</f>
        <v>4.5</v>
      </c>
      <c r="Y49" s="85">
        <f>Tabela1[[#This Row],[Pré TGP (g/dL)]]</f>
        <v>73</v>
      </c>
      <c r="Z49" s="85">
        <f>Tabela1[[#This Row],[Pós TGP (g/dL)]]</f>
        <v>58</v>
      </c>
      <c r="AA49" s="85">
        <f>Tabela1[[#This Row],[Pré GGT U/L]]</f>
        <v>20</v>
      </c>
      <c r="AB49" s="193">
        <f>Tabela1[[#This Row],[Pós GGT U/L]]</f>
        <v>19</v>
      </c>
      <c r="AC49" s="194" t="str">
        <f>Tabela1[[#This Row],[Pré Ac. Úrico (mg/dL)]]</f>
        <v>-</v>
      </c>
      <c r="AD49" s="125" t="str">
        <f>Tabela1[[#This Row],[Pós Ac. Úrico (mg/dL)2]]</f>
        <v>-</v>
      </c>
      <c r="AE4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4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49" s="85">
        <f>Tabela1[[#This Row],[Pré Ureia mg/dL]]</f>
        <v>33</v>
      </c>
      <c r="AH49" s="85">
        <f>Tabela1[[#This Row],[Pós Ureia mg/dL]]</f>
        <v>41</v>
      </c>
      <c r="AI49" s="125">
        <f>Tabela1[[#This Row],[Pré creatinina mg/dL]]</f>
        <v>0.9</v>
      </c>
      <c r="AJ49" s="125">
        <f>Tabela1[[#This Row],[Pós creatinina mg/dL]]</f>
        <v>1</v>
      </c>
      <c r="AK49" s="180">
        <f t="shared" si="0"/>
        <v>9.9999999999999978E-2</v>
      </c>
      <c r="AL49" s="125">
        <f>Tabela1[[#This Row],[Pré Fósforo mg/dL]]</f>
        <v>4.3</v>
      </c>
      <c r="AM49" s="125">
        <f>Tabela1[[#This Row],[Pós Fósforo mg/dL]]</f>
        <v>5.4</v>
      </c>
      <c r="AN49" s="125">
        <f>Tabela1[[#This Row],[Pré Proteína Total (g/dL)]]</f>
        <v>7.8</v>
      </c>
      <c r="AO49" s="125">
        <f>Tabela1[[#This Row],[Pós Proteína Total (g/dL)]]</f>
        <v>7.5</v>
      </c>
      <c r="AP49" s="85" t="str">
        <f>Tabela1[[#This Row],[Pré FE (ug/dL)]]</f>
        <v>-</v>
      </c>
      <c r="AQ49" s="193" t="str">
        <f>Tabela1[[#This Row],[Pós FE (ug/dL)]]</f>
        <v>-</v>
      </c>
      <c r="AR49" s="194">
        <f>Tabela1[[#This Row],[Pré calcio mg/dL]]</f>
        <v>9.6999999999999993</v>
      </c>
      <c r="AS49" s="125">
        <f>Tabela1[[#This Row],[Pós calcio mg/dL]]</f>
        <v>9.4</v>
      </c>
      <c r="AT49" s="125">
        <f>Tabela1[[#This Row],[Pré Potássio mmol/L]]</f>
        <v>5.2</v>
      </c>
      <c r="AU49" s="125">
        <f>Tabela1[[#This Row],[Pós Potássio mmol/L]]</f>
        <v>4.7</v>
      </c>
      <c r="AV49" s="85">
        <f>Tabela1[[#This Row],[Glicose pré]]</f>
        <v>89</v>
      </c>
      <c r="AW49" s="85">
        <f>Tabela1[[#This Row],[Glicose pós]]</f>
        <v>79</v>
      </c>
      <c r="AX49" s="85">
        <f>Tabela1[[#This Row],[Pré Sódio mmol/L]]</f>
        <v>135</v>
      </c>
      <c r="AY49" s="85">
        <f>Tabela1[[#This Row],[Pós Sódio mmol/L]]</f>
        <v>134</v>
      </c>
      <c r="AZ49" s="125" t="str">
        <f>Tabela1[[#This Row],[Pré Magnésio mg/dL]]</f>
        <v>-</v>
      </c>
      <c r="BA49" s="125" t="str">
        <f>Tabela1[[#This Row],[Pós Magnésio mg/dL]]</f>
        <v>-</v>
      </c>
      <c r="BB49" s="85" t="str">
        <f>Tabela1[[#This Row],[Pré Cloro mmol/L]]</f>
        <v>-</v>
      </c>
      <c r="BC49" s="85" t="str">
        <f>Tabela1[[#This Row],[Pós Cloro mmol/L]]</f>
        <v>-</v>
      </c>
      <c r="BD4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285.95811111111112</v>
      </c>
      <c r="BE4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283.8625555555555</v>
      </c>
      <c r="BF49" s="194">
        <f>Tabela1[[#This Row],[Pré RBC 10^6/mm³]]</f>
        <v>5.0199999999999996</v>
      </c>
      <c r="BG49" s="125">
        <f>Tabela1[[#This Row],[Pós RBC 10^6/mm³]]</f>
        <v>5.09</v>
      </c>
      <c r="BH49" s="125">
        <f>Tabela1[[#This Row],[Pré HGB g/dL]]</f>
        <v>14.1</v>
      </c>
      <c r="BI49" s="125">
        <f>Tabela1[[#This Row],[Pós HGB g/dL]]</f>
        <v>14.2</v>
      </c>
      <c r="BJ49" s="125">
        <f>Tabela1[[#This Row],[Pré HCT %]]</f>
        <v>43.5</v>
      </c>
      <c r="BK49" s="125">
        <f>Tabela1[[#This Row],[Pós HCT %]]</f>
        <v>43.2</v>
      </c>
      <c r="BL49" s="125">
        <f>Tabela1[[#This Row],[Pré MCV fL]]</f>
        <v>86.7</v>
      </c>
      <c r="BM49" s="125">
        <f>Tabela1[[#This Row],[Pós MCV fL]]</f>
        <v>84.9</v>
      </c>
      <c r="BN49" s="125">
        <f>Tabela1[[#This Row],[Pré MCH pg]]</f>
        <v>28.1</v>
      </c>
      <c r="BO49" s="125">
        <f>Tabela1[[#This Row],[Pós MCH pg]]</f>
        <v>27.9</v>
      </c>
      <c r="BP49" s="125">
        <f>Tabela1[[#This Row],[Pré MCHC g/dL]]</f>
        <v>32.4</v>
      </c>
      <c r="BQ49" s="125">
        <f>Tabela1[[#This Row],[Pós MCHC g/dL]]</f>
        <v>32.9</v>
      </c>
      <c r="BR49" s="85">
        <f>Tabela1[[#This Row],[Pré PLT 10³/mm³]]</f>
        <v>223</v>
      </c>
      <c r="BS49" s="85">
        <f>Tabela1[[#This Row],[Pós PLT 10³/mm³]]</f>
        <v>270</v>
      </c>
      <c r="BT49" s="125">
        <f>Tabela1[[#This Row],[Pré RDW %]]</f>
        <v>12.5</v>
      </c>
      <c r="BU49" s="125">
        <f>Tabela1[[#This Row],[Pós RDW %]]</f>
        <v>12.8</v>
      </c>
      <c r="BV49" s="179">
        <f>Tabela1[[#This Row],[Pré RET %]]</f>
        <v>1.22</v>
      </c>
      <c r="BW49" s="196">
        <f>Tabela1[[#This Row],[Pós RET %]]</f>
        <v>1.24</v>
      </c>
      <c r="BX49" s="197">
        <f>Tabela1[[#This Row],[Pré WBC 10³/mm³]]</f>
        <v>4.9400000000000004</v>
      </c>
      <c r="BY49" s="179">
        <f>Tabela1[[#This Row],[Pós WBC 10³/mm³]]</f>
        <v>5.7</v>
      </c>
      <c r="BZ49" s="125">
        <f>Tabela1[[#This Row],[Pré NEUT %]]</f>
        <v>48.8</v>
      </c>
      <c r="CA49" s="125">
        <f>Tabela1[[#This Row],[Pós NEUT %]]</f>
        <v>41</v>
      </c>
      <c r="CB49" s="125">
        <f>Tabela1[[#This Row],[Pré LINF %]]</f>
        <v>36</v>
      </c>
      <c r="CC49" s="125">
        <f>Tabela1[[#This Row],[Pós LINF %]]</f>
        <v>40.4</v>
      </c>
      <c r="CD49" s="125">
        <f>Tabela1[[#This Row],[Pré MONO %]]</f>
        <v>8.5</v>
      </c>
      <c r="CE49" s="125">
        <f>Tabela1[[#This Row],[Pós MONO %]]</f>
        <v>10.9</v>
      </c>
      <c r="CF49" s="125">
        <f>Tabela1[[#This Row],[Pré EOS %]]</f>
        <v>5.0999999999999996</v>
      </c>
      <c r="CG49" s="125">
        <f>Tabela1[[#This Row],[Pós EOS %]]</f>
        <v>6.1</v>
      </c>
      <c r="CH49" s="125">
        <f>Tabela1[[#This Row],[Pré BASO %]]</f>
        <v>1.6</v>
      </c>
      <c r="CI49" s="198">
        <f>Tabela1[[#This Row],[Pós BASO %]]</f>
        <v>1.6</v>
      </c>
      <c r="CJ49" s="199" t="str">
        <f t="shared" si="1"/>
        <v>NÃO</v>
      </c>
      <c r="CK49" s="200" t="str">
        <f t="shared" si="2"/>
        <v>NÃO</v>
      </c>
      <c r="CL49" s="194">
        <f t="shared" si="3"/>
        <v>70.596360000000004</v>
      </c>
      <c r="CM49" s="125">
        <f>Tabela1[[#This Row],[MCT KG]]</f>
        <v>80.7</v>
      </c>
      <c r="CN49" s="85">
        <f>Tabela1[[#This Row],[ESTATURA]]</f>
        <v>182.1</v>
      </c>
      <c r="CO49" s="85">
        <f>Tabela1[[#This Row],[vo2max estimado]]</f>
        <v>50.93</v>
      </c>
      <c r="CP49" s="85">
        <f>Tabela1[[#This Row],[Handgrip     Dominante]]</f>
        <v>56</v>
      </c>
      <c r="CQ49" s="85">
        <f>Tabela1[[#This Row],[Handgrip Contrário]]</f>
        <v>58</v>
      </c>
      <c r="CR49" s="281">
        <f>Tabela1[[#This Row],[% gordura]]</f>
        <v>12.52</v>
      </c>
    </row>
    <row r="50" spans="1:96" ht="15.75" customHeight="1">
      <c r="A50" s="279">
        <f>Tabela1[[#This Row],[Ano]]</f>
        <v>2017</v>
      </c>
      <c r="B50" s="181" t="str">
        <f>Tabela1[[#This Row],[Missão]]</f>
        <v>Itatiaia</v>
      </c>
      <c r="C50" s="181">
        <f>Tabela1[[#This Row],[Aluno]]</f>
        <v>3143</v>
      </c>
      <c r="D50" s="181">
        <f>Tabela1[[#This Row],[Idade]]</f>
        <v>28</v>
      </c>
      <c r="E50" s="182">
        <f>Tabela1[[#This Row],[Peso Kg]]</f>
        <v>79</v>
      </c>
      <c r="F50" s="191">
        <f>Tabela1[[#This Row],[Cor da pele]]</f>
        <v>1</v>
      </c>
      <c r="G50" s="192" t="str">
        <f>Tabela1[[#This Row],[ACTN3]]</f>
        <v>RR</v>
      </c>
      <c r="H50" s="85" t="str">
        <f>Tabela1[[#This Row],[AGT]]</f>
        <v>TT</v>
      </c>
      <c r="I50" s="85" t="str">
        <f>Tabela1[[#This Row],[ECA]]</f>
        <v>DD</v>
      </c>
      <c r="J50" s="85" t="str">
        <f>Tabela1[[#This Row],[BDKRB2]]</f>
        <v>(+9, -9)</v>
      </c>
      <c r="K50" s="85">
        <f>Tabela1[[#This Row],[Score Força%]]</f>
        <v>87.5</v>
      </c>
      <c r="L50" s="193">
        <f>Tabela1[[#This Row],[Score Resistência %]]</f>
        <v>12.5</v>
      </c>
      <c r="M50" s="192">
        <f>Tabela1[[#This Row],[Pré CK (U/L)]]</f>
        <v>70</v>
      </c>
      <c r="N50" s="85">
        <f>Tabela1[[#This Row],[Pós CK (U/L)]]</f>
        <v>429</v>
      </c>
      <c r="O50" s="85">
        <f>Tabela1[[#This Row],[Pré CK MB U/L]]</f>
        <v>3</v>
      </c>
      <c r="P50" s="85">
        <f>Tabela1[[#This Row],[Pós CK MB U/L]]</f>
        <v>11</v>
      </c>
      <c r="Q50" s="85" t="str">
        <f>Tabela1[[#This Row],[Pré Lactato (mmol/L)]]</f>
        <v>-</v>
      </c>
      <c r="R50" s="85" t="str">
        <f>Tabela1[[#This Row],[Pós Lactato (mmol/L)]]</f>
        <v>-</v>
      </c>
      <c r="S50" s="85">
        <f>Tabela1[[#This Row],[Pré LDH (U/L)]]</f>
        <v>347</v>
      </c>
      <c r="T50" s="85">
        <f>Tabela1[[#This Row],[Pós LDH (U/L)]]</f>
        <v>583</v>
      </c>
      <c r="U50" s="85">
        <f>Tabela1[[#This Row],[Pré AST (U/L)]]</f>
        <v>21</v>
      </c>
      <c r="V50" s="193">
        <f>Tabela1[[#This Row],[Pós AST (U/L)]]</f>
        <v>52</v>
      </c>
      <c r="W50" s="194">
        <f>Tabela1[[#This Row],[Pré Albumina (g/dL)]]</f>
        <v>4.4000000000000004</v>
      </c>
      <c r="X50" s="125">
        <f>Tabela1[[#This Row],[Pós Albumina (g/dL)]]</f>
        <v>4.7</v>
      </c>
      <c r="Y50" s="85">
        <f>Tabela1[[#This Row],[Pré TGP (g/dL)]]</f>
        <v>39</v>
      </c>
      <c r="Z50" s="85">
        <f>Tabela1[[#This Row],[Pós TGP (g/dL)]]</f>
        <v>64</v>
      </c>
      <c r="AA50" s="85">
        <f>Tabela1[[#This Row],[Pré GGT U/L]]</f>
        <v>46</v>
      </c>
      <c r="AB50" s="193">
        <f>Tabela1[[#This Row],[Pós GGT U/L]]</f>
        <v>50</v>
      </c>
      <c r="AC50" s="194" t="str">
        <f>Tabela1[[#This Row],[Pré Ac. Úrico (mg/dL)]]</f>
        <v>-</v>
      </c>
      <c r="AD50" s="125" t="str">
        <f>Tabela1[[#This Row],[Pós Ac. Úrico (mg/dL)2]]</f>
        <v>-</v>
      </c>
      <c r="AE5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5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50" s="85">
        <f>Tabela1[[#This Row],[Pré Ureia mg/dL]]</f>
        <v>33</v>
      </c>
      <c r="AH50" s="85">
        <f>Tabela1[[#This Row],[Pós Ureia mg/dL]]</f>
        <v>36</v>
      </c>
      <c r="AI50" s="125">
        <f>Tabela1[[#This Row],[Pré creatinina mg/dL]]</f>
        <v>1</v>
      </c>
      <c r="AJ50" s="125">
        <f>Tabela1[[#This Row],[Pós creatinina mg/dL]]</f>
        <v>0.8</v>
      </c>
      <c r="AK50" s="180">
        <f t="shared" si="0"/>
        <v>0</v>
      </c>
      <c r="AL50" s="125">
        <f>Tabela1[[#This Row],[Pré Fósforo mg/dL]]</f>
        <v>3.9</v>
      </c>
      <c r="AM50" s="125">
        <f>Tabela1[[#This Row],[Pós Fósforo mg/dL]]</f>
        <v>4.8</v>
      </c>
      <c r="AN50" s="125">
        <f>Tabela1[[#This Row],[Pré Proteína Total (g/dL)]]</f>
        <v>7.3</v>
      </c>
      <c r="AO50" s="125">
        <f>Tabela1[[#This Row],[Pós Proteína Total (g/dL)]]</f>
        <v>7.8</v>
      </c>
      <c r="AP50" s="85" t="str">
        <f>Tabela1[[#This Row],[Pré FE (ug/dL)]]</f>
        <v>-</v>
      </c>
      <c r="AQ50" s="193" t="str">
        <f>Tabela1[[#This Row],[Pós FE (ug/dL)]]</f>
        <v>-</v>
      </c>
      <c r="AR50" s="194">
        <f>Tabela1[[#This Row],[Pré calcio mg/dL]]</f>
        <v>9.3000000000000007</v>
      </c>
      <c r="AS50" s="125">
        <f>Tabela1[[#This Row],[Pós calcio mg/dL]]</f>
        <v>9.6</v>
      </c>
      <c r="AT50" s="125">
        <f>Tabela1[[#This Row],[Pré Potássio mmol/L]]</f>
        <v>5.8</v>
      </c>
      <c r="AU50" s="125">
        <f>Tabela1[[#This Row],[Pós Potássio mmol/L]]</f>
        <v>4.0999999999999996</v>
      </c>
      <c r="AV50" s="85">
        <f>Tabela1[[#This Row],[Glicose pré]]</f>
        <v>113</v>
      </c>
      <c r="AW50" s="85">
        <f>Tabela1[[#This Row],[Glicose pós]]</f>
        <v>90</v>
      </c>
      <c r="AX50" s="85">
        <f>Tabela1[[#This Row],[Pré Sódio mmol/L]]</f>
        <v>135</v>
      </c>
      <c r="AY50" s="85">
        <f>Tabela1[[#This Row],[Pós Sódio mmol/L]]</f>
        <v>134</v>
      </c>
      <c r="AZ50" s="125" t="str">
        <f>Tabela1[[#This Row],[Pré Magnésio mg/dL]]</f>
        <v>-</v>
      </c>
      <c r="BA50" s="125" t="str">
        <f>Tabela1[[#This Row],[Pós Magnésio mg/dL]]</f>
        <v>-</v>
      </c>
      <c r="BB50" s="85" t="str">
        <f>Tabela1[[#This Row],[Pré Cloro mmol/L]]</f>
        <v>-</v>
      </c>
      <c r="BC50" s="85" t="str">
        <f>Tabela1[[#This Row],[Pós Cloro mmol/L]]</f>
        <v>-</v>
      </c>
      <c r="BD5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288.60744444444447</v>
      </c>
      <c r="BE5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282.61599999999999</v>
      </c>
      <c r="BF50" s="194">
        <f>Tabela1[[#This Row],[Pré RBC 10^6/mm³]]</f>
        <v>4.57</v>
      </c>
      <c r="BG50" s="125">
        <f>Tabela1[[#This Row],[Pós RBC 10^6/mm³]]</f>
        <v>4.84</v>
      </c>
      <c r="BH50" s="125">
        <f>Tabela1[[#This Row],[Pré HGB g/dL]]</f>
        <v>13.3</v>
      </c>
      <c r="BI50" s="125">
        <f>Tabela1[[#This Row],[Pós HGB g/dL]]</f>
        <v>14</v>
      </c>
      <c r="BJ50" s="125">
        <f>Tabela1[[#This Row],[Pré HCT %]]</f>
        <v>42.1</v>
      </c>
      <c r="BK50" s="125">
        <f>Tabela1[[#This Row],[Pós HCT %]]</f>
        <v>43</v>
      </c>
      <c r="BL50" s="125">
        <f>Tabela1[[#This Row],[Pré MCV fL]]</f>
        <v>92.1</v>
      </c>
      <c r="BM50" s="125">
        <f>Tabela1[[#This Row],[Pós MCV fL]]</f>
        <v>88.8</v>
      </c>
      <c r="BN50" s="125">
        <f>Tabela1[[#This Row],[Pré MCH pg]]</f>
        <v>29.1</v>
      </c>
      <c r="BO50" s="125">
        <f>Tabela1[[#This Row],[Pós MCH pg]]</f>
        <v>28.9</v>
      </c>
      <c r="BP50" s="125">
        <f>Tabela1[[#This Row],[Pré MCHC g/dL]]</f>
        <v>31.6</v>
      </c>
      <c r="BQ50" s="125">
        <f>Tabela1[[#This Row],[Pós MCHC g/dL]]</f>
        <v>32.6</v>
      </c>
      <c r="BR50" s="85">
        <f>Tabela1[[#This Row],[Pré PLT 10³/mm³]]</f>
        <v>209</v>
      </c>
      <c r="BS50" s="85">
        <f>Tabela1[[#This Row],[Pós PLT 10³/mm³]]</f>
        <v>235</v>
      </c>
      <c r="BT50" s="125">
        <f>Tabela1[[#This Row],[Pré RDW %]]</f>
        <v>13</v>
      </c>
      <c r="BU50" s="125">
        <f>Tabela1[[#This Row],[Pós RDW %]]</f>
        <v>13.6</v>
      </c>
      <c r="BV50" s="179">
        <f>Tabela1[[#This Row],[Pré RET %]]</f>
        <v>1.01</v>
      </c>
      <c r="BW50" s="196">
        <f>Tabela1[[#This Row],[Pós RET %]]</f>
        <v>1.26</v>
      </c>
      <c r="BX50" s="197">
        <f>Tabela1[[#This Row],[Pré WBC 10³/mm³]]</f>
        <v>8.67</v>
      </c>
      <c r="BY50" s="179">
        <f>Tabela1[[#This Row],[Pós WBC 10³/mm³]]</f>
        <v>9.56</v>
      </c>
      <c r="BZ50" s="125">
        <f>Tabela1[[#This Row],[Pré NEUT %]]</f>
        <v>57.6</v>
      </c>
      <c r="CA50" s="125">
        <f>Tabela1[[#This Row],[Pós NEUT %]]</f>
        <v>55.1</v>
      </c>
      <c r="CB50" s="125">
        <f>Tabela1[[#This Row],[Pré LINF %]]</f>
        <v>27.3</v>
      </c>
      <c r="CC50" s="125">
        <f>Tabela1[[#This Row],[Pós LINF %]]</f>
        <v>33.4</v>
      </c>
      <c r="CD50" s="125">
        <f>Tabela1[[#This Row],[Pré MONO %]]</f>
        <v>8.3000000000000007</v>
      </c>
      <c r="CE50" s="125">
        <f>Tabela1[[#This Row],[Pós MONO %]]</f>
        <v>10.3</v>
      </c>
      <c r="CF50" s="125">
        <f>Tabela1[[#This Row],[Pré EOS %]]</f>
        <v>6.3</v>
      </c>
      <c r="CG50" s="125">
        <f>Tabela1[[#This Row],[Pós EOS %]]</f>
        <v>0.9</v>
      </c>
      <c r="CH50" s="125">
        <f>Tabela1[[#This Row],[Pré BASO %]]</f>
        <v>0.5</v>
      </c>
      <c r="CI50" s="198">
        <f>Tabela1[[#This Row],[Pós BASO %]]</f>
        <v>0.3</v>
      </c>
      <c r="CJ50" s="199" t="str">
        <f t="shared" si="1"/>
        <v>NÃO</v>
      </c>
      <c r="CK50" s="200" t="str">
        <f t="shared" si="2"/>
        <v>NÃO</v>
      </c>
      <c r="CL50" s="194">
        <f t="shared" si="3"/>
        <v>70.250040000000013</v>
      </c>
      <c r="CM50" s="125">
        <f>Tabela1[[#This Row],[MCT KG]]</f>
        <v>85.4</v>
      </c>
      <c r="CN50" s="85">
        <f>Tabela1[[#This Row],[ESTATURA]]</f>
        <v>179.3</v>
      </c>
      <c r="CO50" s="85">
        <f>Tabela1[[#This Row],[vo2max estimado]]</f>
        <v>49.65</v>
      </c>
      <c r="CP50" s="85">
        <f>Tabela1[[#This Row],[Handgrip     Dominante]]</f>
        <v>44</v>
      </c>
      <c r="CQ50" s="85">
        <f>Tabela1[[#This Row],[Handgrip Contrário]]</f>
        <v>35</v>
      </c>
      <c r="CR50" s="281">
        <f>Tabela1[[#This Row],[% gordura]]</f>
        <v>17.739999999999998</v>
      </c>
    </row>
    <row r="51" spans="1:96" ht="15.75" customHeight="1">
      <c r="A51" s="279">
        <f>Tabela1[[#This Row],[Ano]]</f>
        <v>2017</v>
      </c>
      <c r="B51" s="181" t="str">
        <f>Tabela1[[#This Row],[Missão]]</f>
        <v>Manaus</v>
      </c>
      <c r="C51" s="181">
        <f>Tabela1[[#This Row],[Aluno]]</f>
        <v>3090</v>
      </c>
      <c r="D51" s="181">
        <f>Tabela1[[#This Row],[Idade]]</f>
        <v>29</v>
      </c>
      <c r="E51" s="182">
        <f>Tabela1[[#This Row],[Peso Kg]]</f>
        <v>74</v>
      </c>
      <c r="F51" s="191">
        <f>Tabela1[[#This Row],[Cor da pele]]</f>
        <v>2</v>
      </c>
      <c r="G51" s="192" t="str">
        <f>Tabela1[[#This Row],[ACTN3]]</f>
        <v xml:space="preserve">RX </v>
      </c>
      <c r="H51" s="85" t="str">
        <f>Tabela1[[#This Row],[AGT]]</f>
        <v>MT</v>
      </c>
      <c r="I51" s="85" t="str">
        <f>Tabela1[[#This Row],[ECA]]</f>
        <v>II</v>
      </c>
      <c r="J51" s="85" t="str">
        <f>Tabela1[[#This Row],[BDKRB2]]</f>
        <v>(+9, -9)</v>
      </c>
      <c r="K51" s="85">
        <f>Tabela1[[#This Row],[Score Força%]]</f>
        <v>37.5</v>
      </c>
      <c r="L51" s="193">
        <f>Tabela1[[#This Row],[Score Resistência %]]</f>
        <v>62.5</v>
      </c>
      <c r="M51" s="192">
        <f>Tabela1[[#This Row],[Pré CK (U/L)]]</f>
        <v>1600</v>
      </c>
      <c r="N51" s="85">
        <f>Tabela1[[#This Row],[Pós CK (U/L)]]</f>
        <v>2243</v>
      </c>
      <c r="O51" s="85" t="str">
        <f>Tabela1[[#This Row],[Pré CK MB U/L]]</f>
        <v>-</v>
      </c>
      <c r="P51" s="85">
        <f>Tabela1[[#This Row],[Pós CK MB U/L]]</f>
        <v>25</v>
      </c>
      <c r="Q51" s="85" t="str">
        <f>Tabela1[[#This Row],[Pré Lactato (mmol/L)]]</f>
        <v>-</v>
      </c>
      <c r="R51" s="85" t="str">
        <f>Tabela1[[#This Row],[Pós Lactato (mmol/L)]]</f>
        <v>-</v>
      </c>
      <c r="S51" s="85">
        <f>Tabela1[[#This Row],[Pré LDH (U/L)]]</f>
        <v>805</v>
      </c>
      <c r="T51" s="85">
        <f>Tabela1[[#This Row],[Pós LDH (U/L)]]</f>
        <v>858</v>
      </c>
      <c r="U51" s="85">
        <f>Tabela1[[#This Row],[Pré AST (U/L)]]</f>
        <v>73</v>
      </c>
      <c r="V51" s="193">
        <f>Tabela1[[#This Row],[Pós AST (U/L)]]</f>
        <v>56</v>
      </c>
      <c r="W51" s="194">
        <f>Tabela1[[#This Row],[Pré Albumina (g/dL)]]</f>
        <v>4.4000000000000004</v>
      </c>
      <c r="X51" s="125">
        <f>Tabela1[[#This Row],[Pós Albumina (g/dL)]]</f>
        <v>4.9000000000000004</v>
      </c>
      <c r="Y51" s="85">
        <f>Tabela1[[#This Row],[Pré TGP (g/dL)]]</f>
        <v>75</v>
      </c>
      <c r="Z51" s="85">
        <f>Tabela1[[#This Row],[Pós TGP (g/dL)]]</f>
        <v>54</v>
      </c>
      <c r="AA51" s="85">
        <f>Tabela1[[#This Row],[Pré GGT U/L]]</f>
        <v>28</v>
      </c>
      <c r="AB51" s="193">
        <f>Tabela1[[#This Row],[Pós GGT U/L]]</f>
        <v>25</v>
      </c>
      <c r="AC51" s="194" t="str">
        <f>Tabela1[[#This Row],[Pré Ac. Úrico (mg/dL)]]</f>
        <v>-</v>
      </c>
      <c r="AD51" s="125" t="str">
        <f>Tabela1[[#This Row],[Pós Ac. Úrico (mg/dL)2]]</f>
        <v>-</v>
      </c>
      <c r="AE5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5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51" s="85">
        <f>Tabela1[[#This Row],[Pré Ureia mg/dL]]</f>
        <v>42</v>
      </c>
      <c r="AH51" s="85">
        <f>Tabela1[[#This Row],[Pós Ureia mg/dL]]</f>
        <v>41</v>
      </c>
      <c r="AI51" s="125">
        <f>Tabela1[[#This Row],[Pré creatinina mg/dL]]</f>
        <v>1</v>
      </c>
      <c r="AJ51" s="125">
        <f>Tabela1[[#This Row],[Pós creatinina mg/dL]]</f>
        <v>1.1000000000000001</v>
      </c>
      <c r="AK51" s="180">
        <f t="shared" si="0"/>
        <v>0.10000000000000009</v>
      </c>
      <c r="AL51" s="125">
        <f>Tabela1[[#This Row],[Pré Fósforo mg/dL]]</f>
        <v>5</v>
      </c>
      <c r="AM51" s="125">
        <f>Tabela1[[#This Row],[Pós Fósforo mg/dL]]</f>
        <v>5.0999999999999996</v>
      </c>
      <c r="AN51" s="125">
        <f>Tabela1[[#This Row],[Pré Proteína Total (g/dL)]]</f>
        <v>7.3</v>
      </c>
      <c r="AO51" s="125">
        <f>Tabela1[[#This Row],[Pós Proteína Total (g/dL)]]</f>
        <v>7.8</v>
      </c>
      <c r="AP51" s="85" t="str">
        <f>Tabela1[[#This Row],[Pré FE (ug/dL)]]</f>
        <v>-</v>
      </c>
      <c r="AQ51" s="193" t="str">
        <f>Tabela1[[#This Row],[Pós FE (ug/dL)]]</f>
        <v>-</v>
      </c>
      <c r="AR51" s="194">
        <f>Tabela1[[#This Row],[Pré calcio mg/dL]]</f>
        <v>9.4</v>
      </c>
      <c r="AS51" s="125">
        <f>Tabela1[[#This Row],[Pós calcio mg/dL]]</f>
        <v>9.8000000000000007</v>
      </c>
      <c r="AT51" s="125">
        <f>Tabela1[[#This Row],[Pré Potássio mmol/L]]</f>
        <v>4.5</v>
      </c>
      <c r="AU51" s="125">
        <f>Tabela1[[#This Row],[Pós Potássio mmol/L]]</f>
        <v>4.3</v>
      </c>
      <c r="AV51" s="85">
        <f>Tabela1[[#This Row],[Glicose pré]]</f>
        <v>83</v>
      </c>
      <c r="AW51" s="85">
        <f>Tabela1[[#This Row],[Glicose pós]]</f>
        <v>111</v>
      </c>
      <c r="AX51" s="85">
        <f>Tabela1[[#This Row],[Pré Sódio mmol/L]]</f>
        <v>140</v>
      </c>
      <c r="AY51" s="85">
        <f>Tabela1[[#This Row],[Pós Sódio mmol/L]]</f>
        <v>143</v>
      </c>
      <c r="AZ51" s="125" t="str">
        <f>Tabela1[[#This Row],[Pré Magnésio mg/dL]]</f>
        <v>-</v>
      </c>
      <c r="BA51" s="125" t="str">
        <f>Tabela1[[#This Row],[Pós Magnésio mg/dL]]</f>
        <v>-</v>
      </c>
      <c r="BB51" s="85" t="str">
        <f>Tabela1[[#This Row],[Pré Cloro mmol/L]]</f>
        <v>-</v>
      </c>
      <c r="BC51" s="85" t="str">
        <f>Tabela1[[#This Row],[Pós Cloro mmol/L]]</f>
        <v>-</v>
      </c>
      <c r="BD5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295.07277777777779</v>
      </c>
      <c r="BE5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301.90299999999996</v>
      </c>
      <c r="BF51" s="194">
        <f>Tabela1[[#This Row],[Pré RBC 10^6/mm³]]</f>
        <v>5.52</v>
      </c>
      <c r="BG51" s="125">
        <f>Tabela1[[#This Row],[Pós RBC 10^6/mm³]]</f>
        <v>5.45</v>
      </c>
      <c r="BH51" s="125">
        <f>Tabela1[[#This Row],[Pré HGB g/dL]]</f>
        <v>16</v>
      </c>
      <c r="BI51" s="125">
        <f>Tabela1[[#This Row],[Pós HGB g/dL]]</f>
        <v>16.100000000000001</v>
      </c>
      <c r="BJ51" s="125">
        <f>Tabela1[[#This Row],[Pré HCT %]]</f>
        <v>47.1</v>
      </c>
      <c r="BK51" s="125">
        <f>Tabela1[[#This Row],[Pós HCT %]]</f>
        <v>45.9</v>
      </c>
      <c r="BL51" s="125">
        <f>Tabela1[[#This Row],[Pré MCV fL]]</f>
        <v>85.3</v>
      </c>
      <c r="BM51" s="125">
        <f>Tabela1[[#This Row],[Pós MCV fL]]</f>
        <v>84.2</v>
      </c>
      <c r="BN51" s="125">
        <f>Tabela1[[#This Row],[Pré MCH pg]]</f>
        <v>29</v>
      </c>
      <c r="BO51" s="125">
        <f>Tabela1[[#This Row],[Pós MCH pg]]</f>
        <v>29.5</v>
      </c>
      <c r="BP51" s="125">
        <f>Tabela1[[#This Row],[Pré MCHC g/dL]]</f>
        <v>34</v>
      </c>
      <c r="BQ51" s="125">
        <f>Tabela1[[#This Row],[Pós MCHC g/dL]]</f>
        <v>35.1</v>
      </c>
      <c r="BR51" s="85">
        <f>Tabela1[[#This Row],[Pré PLT 10³/mm³]]</f>
        <v>296</v>
      </c>
      <c r="BS51" s="85">
        <f>Tabela1[[#This Row],[Pós PLT 10³/mm³]]</f>
        <v>337</v>
      </c>
      <c r="BT51" s="125">
        <f>Tabela1[[#This Row],[Pré RDW %]]</f>
        <v>12.1</v>
      </c>
      <c r="BU51" s="125">
        <f>Tabela1[[#This Row],[Pós RDW %]]</f>
        <v>11.8</v>
      </c>
      <c r="BV51" s="179">
        <f>Tabela1[[#This Row],[Pré RET %]]</f>
        <v>0.6</v>
      </c>
      <c r="BW51" s="196">
        <f>Tabela1[[#This Row],[Pós RET %]]</f>
        <v>0.62</v>
      </c>
      <c r="BX51" s="197">
        <f>Tabela1[[#This Row],[Pré WBC 10³/mm³]]</f>
        <v>10.24</v>
      </c>
      <c r="BY51" s="179">
        <f>Tabela1[[#This Row],[Pós WBC 10³/mm³]]</f>
        <v>10.53</v>
      </c>
      <c r="BZ51" s="125">
        <f>Tabela1[[#This Row],[Pré NEUT %]]</f>
        <v>54.7</v>
      </c>
      <c r="CA51" s="125">
        <f>Tabela1[[#This Row],[Pós NEUT %]]</f>
        <v>50.4</v>
      </c>
      <c r="CB51" s="125">
        <f>Tabela1[[#This Row],[Pré LINF %]]</f>
        <v>26.6</v>
      </c>
      <c r="CC51" s="125">
        <f>Tabela1[[#This Row],[Pós LINF %]]</f>
        <v>30.7</v>
      </c>
      <c r="CD51" s="125">
        <f>Tabela1[[#This Row],[Pré MONO %]]</f>
        <v>9</v>
      </c>
      <c r="CE51" s="125">
        <f>Tabela1[[#This Row],[Pós MONO %]]</f>
        <v>11.8</v>
      </c>
      <c r="CF51" s="125">
        <f>Tabela1[[#This Row],[Pré EOS %]]</f>
        <v>8.5</v>
      </c>
      <c r="CG51" s="125">
        <f>Tabela1[[#This Row],[Pós EOS %]]</f>
        <v>6.1</v>
      </c>
      <c r="CH51" s="125">
        <f>Tabela1[[#This Row],[Pré BASO %]]</f>
        <v>1.2</v>
      </c>
      <c r="CI51" s="198">
        <f>Tabela1[[#This Row],[Pós BASO %]]</f>
        <v>1</v>
      </c>
      <c r="CJ51" s="199" t="str">
        <f t="shared" si="1"/>
        <v>NÃO</v>
      </c>
      <c r="CK51" s="200" t="str">
        <f t="shared" si="2"/>
        <v>SIM</v>
      </c>
      <c r="CL51" s="194">
        <f t="shared" si="3"/>
        <v>64.758570000000006</v>
      </c>
      <c r="CM51" s="125">
        <f>Tabela1[[#This Row],[MCT KG]]</f>
        <v>73.900000000000006</v>
      </c>
      <c r="CN51" s="85">
        <f>Tabela1[[#This Row],[ESTATURA]]</f>
        <v>172.6</v>
      </c>
      <c r="CO51" s="85">
        <f>Tabela1[[#This Row],[vo2max estimado]]</f>
        <v>52.06</v>
      </c>
      <c r="CP51" s="85">
        <f>Tabela1[[#This Row],[Handgrip     Dominante]]</f>
        <v>42</v>
      </c>
      <c r="CQ51" s="85">
        <f>Tabela1[[#This Row],[Handgrip Contrário]]</f>
        <v>36.5</v>
      </c>
      <c r="CR51" s="281">
        <f>Tabela1[[#This Row],[% gordura]]</f>
        <v>12.37</v>
      </c>
    </row>
    <row r="52" spans="1:96" ht="15.75" customHeight="1">
      <c r="A52" s="279">
        <f>Tabela1[[#This Row],[Ano]]</f>
        <v>2017</v>
      </c>
      <c r="B52" s="181" t="str">
        <f>Tabela1[[#This Row],[Missão]]</f>
        <v>Manaus</v>
      </c>
      <c r="C52" s="181">
        <f>Tabela1[[#This Row],[Aluno]]</f>
        <v>3091</v>
      </c>
      <c r="D52" s="181">
        <f>Tabela1[[#This Row],[Idade]]</f>
        <v>28</v>
      </c>
      <c r="E52" s="182">
        <f>Tabela1[[#This Row],[Peso Kg]]</f>
        <v>77</v>
      </c>
      <c r="F52" s="191">
        <f>Tabela1[[#This Row],[Cor da pele]]</f>
        <v>0</v>
      </c>
      <c r="G52" s="192" t="str">
        <f>Tabela1[[#This Row],[ACTN3]]</f>
        <v>XX</v>
      </c>
      <c r="H52" s="85" t="str">
        <f>Tabela1[[#This Row],[AGT]]</f>
        <v>MT</v>
      </c>
      <c r="I52" s="85" t="str">
        <f>Tabela1[[#This Row],[ECA]]</f>
        <v>II</v>
      </c>
      <c r="J52" s="85" t="str">
        <f>Tabela1[[#This Row],[BDKRB2]]</f>
        <v>(+9, +9)</v>
      </c>
      <c r="K52" s="85">
        <f>Tabela1[[#This Row],[Score Força%]]</f>
        <v>37.5</v>
      </c>
      <c r="L52" s="193">
        <f>Tabela1[[#This Row],[Score Resistência %]]</f>
        <v>62.5</v>
      </c>
      <c r="M52" s="192">
        <f>Tabela1[[#This Row],[Pré CK (U/L)]]</f>
        <v>540</v>
      </c>
      <c r="N52" s="85">
        <f>Tabela1[[#This Row],[Pós CK (U/L)]]</f>
        <v>546</v>
      </c>
      <c r="O52" s="85">
        <f>Tabela1[[#This Row],[Pré CK MB U/L]]</f>
        <v>10</v>
      </c>
      <c r="P52" s="85">
        <f>Tabela1[[#This Row],[Pós CK MB U/L]]</f>
        <v>13</v>
      </c>
      <c r="Q52" s="85" t="str">
        <f>Tabela1[[#This Row],[Pré Lactato (mmol/L)]]</f>
        <v>-</v>
      </c>
      <c r="R52" s="85" t="str">
        <f>Tabela1[[#This Row],[Pós Lactato (mmol/L)]]</f>
        <v>-</v>
      </c>
      <c r="S52" s="85">
        <f>Tabela1[[#This Row],[Pré LDH (U/L)]]</f>
        <v>516</v>
      </c>
      <c r="T52" s="85">
        <f>Tabela1[[#This Row],[Pós LDH (U/L)]]</f>
        <v>638</v>
      </c>
      <c r="U52" s="85">
        <f>Tabela1[[#This Row],[Pré AST (U/L)]]</f>
        <v>43</v>
      </c>
      <c r="V52" s="193">
        <f>Tabela1[[#This Row],[Pós AST (U/L)]]</f>
        <v>36</v>
      </c>
      <c r="W52" s="194">
        <f>Tabela1[[#This Row],[Pré Albumina (g/dL)]]</f>
        <v>4.5999999999999996</v>
      </c>
      <c r="X52" s="125">
        <f>Tabela1[[#This Row],[Pós Albumina (g/dL)]]</f>
        <v>4.7</v>
      </c>
      <c r="Y52" s="85">
        <f>Tabela1[[#This Row],[Pré TGP (g/dL)]]</f>
        <v>34</v>
      </c>
      <c r="Z52" s="85">
        <f>Tabela1[[#This Row],[Pós TGP (g/dL)]]</f>
        <v>28</v>
      </c>
      <c r="AA52" s="85">
        <f>Tabela1[[#This Row],[Pré GGT U/L]]</f>
        <v>20</v>
      </c>
      <c r="AB52" s="193">
        <f>Tabela1[[#This Row],[Pós GGT U/L]]</f>
        <v>15</v>
      </c>
      <c r="AC52" s="194" t="str">
        <f>Tabela1[[#This Row],[Pré Ac. Úrico (mg/dL)]]</f>
        <v>-</v>
      </c>
      <c r="AD52" s="125" t="str">
        <f>Tabela1[[#This Row],[Pós Ac. Úrico (mg/dL)2]]</f>
        <v>-</v>
      </c>
      <c r="AE5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5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52" s="85">
        <f>Tabela1[[#This Row],[Pré Ureia mg/dL]]</f>
        <v>46</v>
      </c>
      <c r="AH52" s="85">
        <f>Tabela1[[#This Row],[Pós Ureia mg/dL]]</f>
        <v>54</v>
      </c>
      <c r="AI52" s="125">
        <f>Tabela1[[#This Row],[Pré creatinina mg/dL]]</f>
        <v>1.1000000000000001</v>
      </c>
      <c r="AJ52" s="125">
        <f>Tabela1[[#This Row],[Pós creatinina mg/dL]]</f>
        <v>1.2</v>
      </c>
      <c r="AK52" s="180">
        <f t="shared" si="0"/>
        <v>9.9999999999999867E-2</v>
      </c>
      <c r="AL52" s="125">
        <f>Tabela1[[#This Row],[Pré Fósforo mg/dL]]</f>
        <v>5.6</v>
      </c>
      <c r="AM52" s="125">
        <f>Tabela1[[#This Row],[Pós Fósforo mg/dL]]</f>
        <v>5.2</v>
      </c>
      <c r="AN52" s="125">
        <f>Tabela1[[#This Row],[Pré Proteína Total (g/dL)]]</f>
        <v>7.5</v>
      </c>
      <c r="AO52" s="125">
        <f>Tabela1[[#This Row],[Pós Proteína Total (g/dL)]]</f>
        <v>7.2</v>
      </c>
      <c r="AP52" s="85" t="str">
        <f>Tabela1[[#This Row],[Pré FE (ug/dL)]]</f>
        <v>-</v>
      </c>
      <c r="AQ52" s="193" t="str">
        <f>Tabela1[[#This Row],[Pós FE (ug/dL)]]</f>
        <v>-</v>
      </c>
      <c r="AR52" s="194">
        <f>Tabela1[[#This Row],[Pré calcio mg/dL]]</f>
        <v>9.6999999999999993</v>
      </c>
      <c r="AS52" s="125">
        <f>Tabela1[[#This Row],[Pós calcio mg/dL]]</f>
        <v>10.199999999999999</v>
      </c>
      <c r="AT52" s="125">
        <f>Tabela1[[#This Row],[Pré Potássio mmol/L]]</f>
        <v>4.4000000000000004</v>
      </c>
      <c r="AU52" s="125">
        <f>Tabela1[[#This Row],[Pós Potássio mmol/L]]</f>
        <v>4.8</v>
      </c>
      <c r="AV52" s="85">
        <f>Tabela1[[#This Row],[Glicose pré]]</f>
        <v>88</v>
      </c>
      <c r="AW52" s="85">
        <f>Tabela1[[#This Row],[Glicose pós]]</f>
        <v>89</v>
      </c>
      <c r="AX52" s="85">
        <f>Tabela1[[#This Row],[Pré Sódio mmol/L]]</f>
        <v>143</v>
      </c>
      <c r="AY52" s="85">
        <f>Tabela1[[#This Row],[Pós Sódio mmol/L]]</f>
        <v>149</v>
      </c>
      <c r="AZ52" s="125" t="str">
        <f>Tabela1[[#This Row],[Pré Magnésio mg/dL]]</f>
        <v>-</v>
      </c>
      <c r="BA52" s="125" t="str">
        <f>Tabela1[[#This Row],[Pós Magnésio mg/dL]]</f>
        <v>-</v>
      </c>
      <c r="BB52" s="85" t="str">
        <f>Tabela1[[#This Row],[Pré Cloro mmol/L]]</f>
        <v>-</v>
      </c>
      <c r="BC52" s="85" t="str">
        <f>Tabela1[[#This Row],[Pós Cloro mmol/L]]</f>
        <v>-</v>
      </c>
      <c r="BD5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301.45288888888894</v>
      </c>
      <c r="BE5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314.75411111111117</v>
      </c>
      <c r="BF52" s="194">
        <f>Tabela1[[#This Row],[Pré RBC 10^6/mm³]]</f>
        <v>4.67</v>
      </c>
      <c r="BG52" s="125">
        <f>Tabela1[[#This Row],[Pós RBC 10^6/mm³]]</f>
        <v>4.63</v>
      </c>
      <c r="BH52" s="125">
        <f>Tabela1[[#This Row],[Pré HGB g/dL]]</f>
        <v>14.1</v>
      </c>
      <c r="BI52" s="125">
        <f>Tabela1[[#This Row],[Pós HGB g/dL]]</f>
        <v>13.9</v>
      </c>
      <c r="BJ52" s="125">
        <f>Tabela1[[#This Row],[Pré HCT %]]</f>
        <v>42.6</v>
      </c>
      <c r="BK52" s="125">
        <f>Tabela1[[#This Row],[Pós HCT %]]</f>
        <v>41.3</v>
      </c>
      <c r="BL52" s="125">
        <f>Tabela1[[#This Row],[Pré MCV fL]]</f>
        <v>91.2</v>
      </c>
      <c r="BM52" s="125">
        <f>Tabela1[[#This Row],[Pós MCV fL]]</f>
        <v>89.2</v>
      </c>
      <c r="BN52" s="125">
        <f>Tabela1[[#This Row],[Pré MCH pg]]</f>
        <v>30.2</v>
      </c>
      <c r="BO52" s="125">
        <f>Tabela1[[#This Row],[Pós MCH pg]]</f>
        <v>30</v>
      </c>
      <c r="BP52" s="125">
        <f>Tabela1[[#This Row],[Pré MCHC g/dL]]</f>
        <v>33.1</v>
      </c>
      <c r="BQ52" s="125">
        <f>Tabela1[[#This Row],[Pós MCHC g/dL]]</f>
        <v>33.700000000000003</v>
      </c>
      <c r="BR52" s="85">
        <f>Tabela1[[#This Row],[Pré PLT 10³/mm³]]</f>
        <v>302</v>
      </c>
      <c r="BS52" s="85">
        <f>Tabela1[[#This Row],[Pós PLT 10³/mm³]]</f>
        <v>300</v>
      </c>
      <c r="BT52" s="125">
        <f>Tabela1[[#This Row],[Pré RDW %]]</f>
        <v>12.3</v>
      </c>
      <c r="BU52" s="125">
        <f>Tabela1[[#This Row],[Pós RDW %]]</f>
        <v>11.9</v>
      </c>
      <c r="BV52" s="179">
        <f>Tabela1[[#This Row],[Pré RET %]]</f>
        <v>1.01</v>
      </c>
      <c r="BW52" s="196">
        <f>Tabela1[[#This Row],[Pós RET %]]</f>
        <v>0.66</v>
      </c>
      <c r="BX52" s="197">
        <f>Tabela1[[#This Row],[Pré WBC 10³/mm³]]</f>
        <v>12.93</v>
      </c>
      <c r="BY52" s="179">
        <f>Tabela1[[#This Row],[Pós WBC 10³/mm³]]</f>
        <v>9.52</v>
      </c>
      <c r="BZ52" s="125">
        <f>Tabela1[[#This Row],[Pré NEUT %]]</f>
        <v>67</v>
      </c>
      <c r="CA52" s="125">
        <f>Tabela1[[#This Row],[Pós NEUT %]]</f>
        <v>64.7</v>
      </c>
      <c r="CB52" s="125">
        <f>Tabela1[[#This Row],[Pré LINF %]]</f>
        <v>15</v>
      </c>
      <c r="CC52" s="125">
        <f>Tabela1[[#This Row],[Pós LINF %]]</f>
        <v>20.6</v>
      </c>
      <c r="CD52" s="125">
        <f>Tabela1[[#This Row],[Pré MONO %]]</f>
        <v>11.4</v>
      </c>
      <c r="CE52" s="125">
        <f>Tabela1[[#This Row],[Pós MONO %]]</f>
        <v>11.1</v>
      </c>
      <c r="CF52" s="125">
        <f>Tabela1[[#This Row],[Pré EOS %]]</f>
        <v>6.1</v>
      </c>
      <c r="CG52" s="125">
        <f>Tabela1[[#This Row],[Pós EOS %]]</f>
        <v>2.8</v>
      </c>
      <c r="CH52" s="125">
        <f>Tabela1[[#This Row],[Pré BASO %]]</f>
        <v>0.5</v>
      </c>
      <c r="CI52" s="198">
        <f>Tabela1[[#This Row],[Pós BASO %]]</f>
        <v>0.8</v>
      </c>
      <c r="CJ52" s="199" t="str">
        <f t="shared" si="1"/>
        <v>NÃO</v>
      </c>
      <c r="CK52" s="200" t="str">
        <f t="shared" si="2"/>
        <v>NÃO</v>
      </c>
      <c r="CL52" s="194">
        <f t="shared" si="3"/>
        <v>64.734659999999991</v>
      </c>
      <c r="CM52" s="125">
        <f>Tabela1[[#This Row],[MCT KG]]</f>
        <v>76.599999999999994</v>
      </c>
      <c r="CN52" s="85">
        <f>Tabela1[[#This Row],[ESTATURA]]</f>
        <v>177</v>
      </c>
      <c r="CO52" s="85">
        <f>Tabela1[[#This Row],[vo2max estimado]]</f>
        <v>52.21</v>
      </c>
      <c r="CP52" s="85">
        <f>Tabela1[[#This Row],[Handgrip     Dominante]]</f>
        <v>52</v>
      </c>
      <c r="CQ52" s="85">
        <f>Tabela1[[#This Row],[Handgrip Contrário]]</f>
        <v>49</v>
      </c>
      <c r="CR52" s="281">
        <f>Tabela1[[#This Row],[% gordura]]</f>
        <v>15.49</v>
      </c>
    </row>
    <row r="53" spans="1:96" ht="15.75" customHeight="1">
      <c r="A53" s="279">
        <f>Tabela1[[#This Row],[Ano]]</f>
        <v>2017</v>
      </c>
      <c r="B53" s="181" t="str">
        <f>Tabela1[[#This Row],[Missão]]</f>
        <v>Manaus</v>
      </c>
      <c r="C53" s="181">
        <f>Tabela1[[#This Row],[Aluno]]</f>
        <v>3092</v>
      </c>
      <c r="D53" s="181">
        <f>Tabela1[[#This Row],[Idade]]</f>
        <v>28</v>
      </c>
      <c r="E53" s="182">
        <f>Tabela1[[#This Row],[Peso Kg]]</f>
        <v>92</v>
      </c>
      <c r="F53" s="191">
        <f>Tabela1[[#This Row],[Cor da pele]]</f>
        <v>1</v>
      </c>
      <c r="G53" s="192" t="str">
        <f>Tabela1[[#This Row],[ACTN3]]</f>
        <v>RR</v>
      </c>
      <c r="H53" s="85" t="str">
        <f>Tabela1[[#This Row],[AGT]]</f>
        <v>MT</v>
      </c>
      <c r="I53" s="85" t="str">
        <f>Tabela1[[#This Row],[ECA]]</f>
        <v>DD</v>
      </c>
      <c r="J53" s="85" t="str">
        <f>Tabela1[[#This Row],[BDKRB2]]</f>
        <v>(-9, -9)</v>
      </c>
      <c r="K53" s="85">
        <f>Tabela1[[#This Row],[Score Força%]]</f>
        <v>62.5</v>
      </c>
      <c r="L53" s="193">
        <f>Tabela1[[#This Row],[Score Resistência %]]</f>
        <v>37.5</v>
      </c>
      <c r="M53" s="192">
        <f>Tabela1[[#This Row],[Pré CK (U/L)]]</f>
        <v>1473</v>
      </c>
      <c r="N53" s="85">
        <f>Tabela1[[#This Row],[Pós CK (U/L)]]</f>
        <v>571</v>
      </c>
      <c r="O53" s="85">
        <f>Tabela1[[#This Row],[Pré CK MB U/L]]</f>
        <v>40</v>
      </c>
      <c r="P53" s="85">
        <f>Tabela1[[#This Row],[Pós CK MB U/L]]</f>
        <v>19</v>
      </c>
      <c r="Q53" s="85" t="str">
        <f>Tabela1[[#This Row],[Pré Lactato (mmol/L)]]</f>
        <v>-</v>
      </c>
      <c r="R53" s="85" t="str">
        <f>Tabela1[[#This Row],[Pós Lactato (mmol/L)]]</f>
        <v>-</v>
      </c>
      <c r="S53" s="85">
        <f>Tabela1[[#This Row],[Pré LDH (U/L)]]</f>
        <v>651</v>
      </c>
      <c r="T53" s="85">
        <f>Tabela1[[#This Row],[Pós LDH (U/L)]]</f>
        <v>656</v>
      </c>
      <c r="U53" s="85">
        <f>Tabela1[[#This Row],[Pré AST (U/L)]]</f>
        <v>77</v>
      </c>
      <c r="V53" s="193">
        <f>Tabela1[[#This Row],[Pós AST (U/L)]]</f>
        <v>34</v>
      </c>
      <c r="W53" s="194">
        <f>Tabela1[[#This Row],[Pré Albumina (g/dL)]]</f>
        <v>4.4000000000000004</v>
      </c>
      <c r="X53" s="125">
        <f>Tabela1[[#This Row],[Pós Albumina (g/dL)]]</f>
        <v>4.9000000000000004</v>
      </c>
      <c r="Y53" s="85">
        <f>Tabela1[[#This Row],[Pré TGP (g/dL)]]</f>
        <v>40</v>
      </c>
      <c r="Z53" s="85">
        <f>Tabela1[[#This Row],[Pós TGP (g/dL)]]</f>
        <v>36</v>
      </c>
      <c r="AA53" s="85">
        <f>Tabela1[[#This Row],[Pré GGT U/L]]</f>
        <v>43</v>
      </c>
      <c r="AB53" s="193">
        <f>Tabela1[[#This Row],[Pós GGT U/L]]</f>
        <v>55</v>
      </c>
      <c r="AC53" s="194" t="str">
        <f>Tabela1[[#This Row],[Pré Ac. Úrico (mg/dL)]]</f>
        <v>-</v>
      </c>
      <c r="AD53" s="125" t="str">
        <f>Tabela1[[#This Row],[Pós Ac. Úrico (mg/dL)2]]</f>
        <v>-</v>
      </c>
      <c r="AE5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5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53" s="85">
        <f>Tabela1[[#This Row],[Pré Ureia mg/dL]]</f>
        <v>48</v>
      </c>
      <c r="AH53" s="85">
        <f>Tabela1[[#This Row],[Pós Ureia mg/dL]]</f>
        <v>49</v>
      </c>
      <c r="AI53" s="125">
        <f>Tabela1[[#This Row],[Pré creatinina mg/dL]]</f>
        <v>1</v>
      </c>
      <c r="AJ53" s="125">
        <f>Tabela1[[#This Row],[Pós creatinina mg/dL]]</f>
        <v>1.2</v>
      </c>
      <c r="AK53" s="180">
        <f t="shared" si="0"/>
        <v>0.19999999999999996</v>
      </c>
      <c r="AL53" s="125">
        <f>Tabela1[[#This Row],[Pré Fósforo mg/dL]]</f>
        <v>4.9000000000000004</v>
      </c>
      <c r="AM53" s="125">
        <f>Tabela1[[#This Row],[Pós Fósforo mg/dL]]</f>
        <v>5.5</v>
      </c>
      <c r="AN53" s="125">
        <f>Tabela1[[#This Row],[Pré Proteína Total (g/dL)]]</f>
        <v>7.7</v>
      </c>
      <c r="AO53" s="125">
        <f>Tabela1[[#This Row],[Pós Proteína Total (g/dL)]]</f>
        <v>8</v>
      </c>
      <c r="AP53" s="85" t="str">
        <f>Tabela1[[#This Row],[Pré FE (ug/dL)]]</f>
        <v>-</v>
      </c>
      <c r="AQ53" s="193" t="str">
        <f>Tabela1[[#This Row],[Pós FE (ug/dL)]]</f>
        <v>-</v>
      </c>
      <c r="AR53" s="194">
        <f>Tabela1[[#This Row],[Pré calcio mg/dL]]</f>
        <v>9.8000000000000007</v>
      </c>
      <c r="AS53" s="125">
        <f>Tabela1[[#This Row],[Pós calcio mg/dL]]</f>
        <v>10.9</v>
      </c>
      <c r="AT53" s="125">
        <f>Tabela1[[#This Row],[Pré Potássio mmol/L]]</f>
        <v>4.8</v>
      </c>
      <c r="AU53" s="125" t="str">
        <f>Tabela1[[#This Row],[Pós Potássio mmol/L]]</f>
        <v>-</v>
      </c>
      <c r="AV53" s="85">
        <f>Tabela1[[#This Row],[Glicose pré]]</f>
        <v>90</v>
      </c>
      <c r="AW53" s="85">
        <f>Tabela1[[#This Row],[Glicose pós]]</f>
        <v>91</v>
      </c>
      <c r="AX53" s="85">
        <f>Tabela1[[#This Row],[Pré Sódio mmol/L]]</f>
        <v>143</v>
      </c>
      <c r="AY53" s="85">
        <f>Tabela1[[#This Row],[Pós Sódio mmol/L]]</f>
        <v>151</v>
      </c>
      <c r="AZ53" s="125" t="str">
        <f>Tabela1[[#This Row],[Pré Magnésio mg/dL]]</f>
        <v>-</v>
      </c>
      <c r="BA53" s="125" t="str">
        <f>Tabela1[[#This Row],[Pós Magnésio mg/dL]]</f>
        <v>-</v>
      </c>
      <c r="BB53" s="85" t="str">
        <f>Tabela1[[#This Row],[Pré Cloro mmol/L]]</f>
        <v>-</v>
      </c>
      <c r="BC53" s="85" t="str">
        <f>Tabela1[[#This Row],[Pós Cloro mmol/L]]</f>
        <v>-</v>
      </c>
      <c r="BD5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302.65800000000002</v>
      </c>
      <c r="BE53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53" s="194">
        <f>Tabela1[[#This Row],[Pré RBC 10^6/mm³]]</f>
        <v>4.59</v>
      </c>
      <c r="BG53" s="125">
        <f>Tabela1[[#This Row],[Pós RBC 10^6/mm³]]</f>
        <v>4.62</v>
      </c>
      <c r="BH53" s="125">
        <f>Tabela1[[#This Row],[Pré HGB g/dL]]</f>
        <v>13.8</v>
      </c>
      <c r="BI53" s="125">
        <f>Tabela1[[#This Row],[Pós HGB g/dL]]</f>
        <v>13.7</v>
      </c>
      <c r="BJ53" s="125">
        <f>Tabela1[[#This Row],[Pré HCT %]]</f>
        <v>42.3</v>
      </c>
      <c r="BK53" s="125">
        <f>Tabela1[[#This Row],[Pós HCT %]]</f>
        <v>41.9</v>
      </c>
      <c r="BL53" s="125">
        <f>Tabela1[[#This Row],[Pré MCV fL]]</f>
        <v>92.2</v>
      </c>
      <c r="BM53" s="125">
        <f>Tabela1[[#This Row],[Pós MCV fL]]</f>
        <v>90.7</v>
      </c>
      <c r="BN53" s="125">
        <f>Tabela1[[#This Row],[Pré MCH pg]]</f>
        <v>30.1</v>
      </c>
      <c r="BO53" s="125">
        <f>Tabela1[[#This Row],[Pós MCH pg]]</f>
        <v>29.7</v>
      </c>
      <c r="BP53" s="125">
        <f>Tabela1[[#This Row],[Pré MCHC g/dL]]</f>
        <v>32.6</v>
      </c>
      <c r="BQ53" s="125">
        <f>Tabela1[[#This Row],[Pós MCHC g/dL]]</f>
        <v>32.700000000000003</v>
      </c>
      <c r="BR53" s="85">
        <f>Tabela1[[#This Row],[Pré PLT 10³/mm³]]</f>
        <v>314</v>
      </c>
      <c r="BS53" s="85">
        <f>Tabela1[[#This Row],[Pós PLT 10³/mm³]]</f>
        <v>315</v>
      </c>
      <c r="BT53" s="125">
        <f>Tabela1[[#This Row],[Pré RDW %]]</f>
        <v>13.7</v>
      </c>
      <c r="BU53" s="125">
        <f>Tabela1[[#This Row],[Pós RDW %]]</f>
        <v>13.3</v>
      </c>
      <c r="BV53" s="179">
        <f>Tabela1[[#This Row],[Pré RET %]]</f>
        <v>0.66</v>
      </c>
      <c r="BW53" s="196">
        <f>Tabela1[[#This Row],[Pós RET %]]</f>
        <v>0.57999999999999996</v>
      </c>
      <c r="BX53" s="197">
        <f>Tabela1[[#This Row],[Pré WBC 10³/mm³]]</f>
        <v>7.73</v>
      </c>
      <c r="BY53" s="179">
        <f>Tabela1[[#This Row],[Pós WBC 10³/mm³]]</f>
        <v>7.64</v>
      </c>
      <c r="BZ53" s="125">
        <f>Tabela1[[#This Row],[Pré NEUT %]]</f>
        <v>44.8</v>
      </c>
      <c r="CA53" s="125">
        <f>Tabela1[[#This Row],[Pós NEUT %]]</f>
        <v>42.7</v>
      </c>
      <c r="CB53" s="125">
        <f>Tabela1[[#This Row],[Pré LINF %]]</f>
        <v>41.8</v>
      </c>
      <c r="CC53" s="125">
        <f>Tabela1[[#This Row],[Pós LINF %]]</f>
        <v>37.799999999999997</v>
      </c>
      <c r="CD53" s="125">
        <f>Tabela1[[#This Row],[Pré MONO %]]</f>
        <v>7.8</v>
      </c>
      <c r="CE53" s="125">
        <f>Tabela1[[#This Row],[Pós MONO %]]</f>
        <v>11.4</v>
      </c>
      <c r="CF53" s="125">
        <f>Tabela1[[#This Row],[Pré EOS %]]</f>
        <v>4.4000000000000004</v>
      </c>
      <c r="CG53" s="125">
        <f>Tabela1[[#This Row],[Pós EOS %]]</f>
        <v>6.5</v>
      </c>
      <c r="CH53" s="125">
        <f>Tabela1[[#This Row],[Pré BASO %]]</f>
        <v>1.2</v>
      </c>
      <c r="CI53" s="198">
        <f>Tabela1[[#This Row],[Pós BASO %]]</f>
        <v>1.6</v>
      </c>
      <c r="CJ53" s="199" t="str">
        <f t="shared" si="1"/>
        <v>NÃO</v>
      </c>
      <c r="CK53" s="200" t="str">
        <f t="shared" si="2"/>
        <v>SIM</v>
      </c>
      <c r="CL53" s="194">
        <f t="shared" si="3"/>
        <v>82.193119999999993</v>
      </c>
      <c r="CM53" s="125">
        <f>Tabela1[[#This Row],[MCT KG]]</f>
        <v>85.6</v>
      </c>
      <c r="CN53" s="85">
        <f>Tabela1[[#This Row],[ESTATURA]]</f>
        <v>192.5</v>
      </c>
      <c r="CO53" s="85">
        <f>Tabela1[[#This Row],[vo2max estimado]]</f>
        <v>0</v>
      </c>
      <c r="CP53" s="85">
        <f>Tabela1[[#This Row],[Handgrip     Dominante]]</f>
        <v>74</v>
      </c>
      <c r="CQ53" s="85">
        <f>Tabela1[[#This Row],[Handgrip Contrário]]</f>
        <v>70</v>
      </c>
      <c r="CR53" s="281">
        <f>Tabela1[[#This Row],[% gordura]]</f>
        <v>3.98</v>
      </c>
    </row>
    <row r="54" spans="1:96" ht="15.75" customHeight="1">
      <c r="A54" s="279">
        <f>Tabela1[[#This Row],[Ano]]</f>
        <v>2017</v>
      </c>
      <c r="B54" s="181" t="str">
        <f>Tabela1[[#This Row],[Missão]]</f>
        <v>Manaus</v>
      </c>
      <c r="C54" s="181">
        <f>Tabela1[[#This Row],[Aluno]]</f>
        <v>3093</v>
      </c>
      <c r="D54" s="181">
        <f>Tabela1[[#This Row],[Idade]]</f>
        <v>28</v>
      </c>
      <c r="E54" s="182">
        <f>Tabela1[[#This Row],[Peso Kg]]</f>
        <v>85</v>
      </c>
      <c r="F54" s="191">
        <f>Tabela1[[#This Row],[Cor da pele]]</f>
        <v>2</v>
      </c>
      <c r="G54" s="192" t="str">
        <f>Tabela1[[#This Row],[ACTN3]]</f>
        <v xml:space="preserve">RX </v>
      </c>
      <c r="H54" s="85" t="str">
        <f>Tabela1[[#This Row],[AGT]]</f>
        <v>TT</v>
      </c>
      <c r="I54" s="85" t="str">
        <f>Tabela1[[#This Row],[ECA]]</f>
        <v>ID</v>
      </c>
      <c r="J54" s="85" t="str">
        <f>Tabela1[[#This Row],[BDKRB2]]</f>
        <v>(+9, -9)</v>
      </c>
      <c r="K54" s="85">
        <f>Tabela1[[#This Row],[Score Força%]]</f>
        <v>62.5</v>
      </c>
      <c r="L54" s="193">
        <f>Tabela1[[#This Row],[Score Resistência %]]</f>
        <v>37.5</v>
      </c>
      <c r="M54" s="192">
        <f>Tabela1[[#This Row],[Pré CK (U/L)]]</f>
        <v>957</v>
      </c>
      <c r="N54" s="85">
        <f>Tabela1[[#This Row],[Pós CK (U/L)]]</f>
        <v>739</v>
      </c>
      <c r="O54" s="85">
        <f>Tabela1[[#This Row],[Pré CK MB U/L]]</f>
        <v>18</v>
      </c>
      <c r="P54" s="85">
        <f>Tabela1[[#This Row],[Pós CK MB U/L]]</f>
        <v>20</v>
      </c>
      <c r="Q54" s="85" t="str">
        <f>Tabela1[[#This Row],[Pré Lactato (mmol/L)]]</f>
        <v>-</v>
      </c>
      <c r="R54" s="85" t="str">
        <f>Tabela1[[#This Row],[Pós Lactato (mmol/L)]]</f>
        <v>-</v>
      </c>
      <c r="S54" s="85">
        <f>Tabela1[[#This Row],[Pré LDH (U/L)]]</f>
        <v>648</v>
      </c>
      <c r="T54" s="85">
        <f>Tabela1[[#This Row],[Pós LDH (U/L)]]</f>
        <v>900</v>
      </c>
      <c r="U54" s="85">
        <f>Tabela1[[#This Row],[Pré AST (U/L)]]</f>
        <v>35</v>
      </c>
      <c r="V54" s="193">
        <f>Tabela1[[#This Row],[Pós AST (U/L)]]</f>
        <v>30</v>
      </c>
      <c r="W54" s="194">
        <f>Tabela1[[#This Row],[Pré Albumina (g/dL)]]</f>
        <v>4.4000000000000004</v>
      </c>
      <c r="X54" s="125">
        <f>Tabela1[[#This Row],[Pós Albumina (g/dL)]]</f>
        <v>5.0999999999999996</v>
      </c>
      <c r="Y54" s="85">
        <f>Tabela1[[#This Row],[Pré TGP (g/dL)]]</f>
        <v>41</v>
      </c>
      <c r="Z54" s="85">
        <f>Tabela1[[#This Row],[Pós TGP (g/dL)]]</f>
        <v>29</v>
      </c>
      <c r="AA54" s="85">
        <f>Tabela1[[#This Row],[Pré GGT U/L]]</f>
        <v>26</v>
      </c>
      <c r="AB54" s="193">
        <f>Tabela1[[#This Row],[Pós GGT U/L]]</f>
        <v>23</v>
      </c>
      <c r="AC54" s="194" t="str">
        <f>Tabela1[[#This Row],[Pré Ac. Úrico (mg/dL)]]</f>
        <v>-</v>
      </c>
      <c r="AD54" s="125" t="str">
        <f>Tabela1[[#This Row],[Pós Ac. Úrico (mg/dL)2]]</f>
        <v>-</v>
      </c>
      <c r="AE5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5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64.63111261616406</v>
      </c>
      <c r="AG54" s="85">
        <f>Tabela1[[#This Row],[Pré Ureia mg/dL]]</f>
        <v>45</v>
      </c>
      <c r="AH54" s="85">
        <f>Tabela1[[#This Row],[Pós Ureia mg/dL]]</f>
        <v>48</v>
      </c>
      <c r="AI54" s="125">
        <f>Tabela1[[#This Row],[Pré creatinina mg/dL]]</f>
        <v>1.2</v>
      </c>
      <c r="AJ54" s="125">
        <f>Tabela1[[#This Row],[Pós creatinina mg/dL]]</f>
        <v>1.5</v>
      </c>
      <c r="AK54" s="180">
        <f t="shared" si="0"/>
        <v>0.30000000000000004</v>
      </c>
      <c r="AL54" s="125">
        <f>Tabela1[[#This Row],[Pré Fósforo mg/dL]]</f>
        <v>5.0999999999999996</v>
      </c>
      <c r="AM54" s="125">
        <f>Tabela1[[#This Row],[Pós Fósforo mg/dL]]</f>
        <v>5.3</v>
      </c>
      <c r="AN54" s="125">
        <f>Tabela1[[#This Row],[Pré Proteína Total (g/dL)]]</f>
        <v>7.4</v>
      </c>
      <c r="AO54" s="125">
        <f>Tabela1[[#This Row],[Pós Proteína Total (g/dL)]]</f>
        <v>8.1999999999999993</v>
      </c>
      <c r="AP54" s="85" t="str">
        <f>Tabela1[[#This Row],[Pré FE (ug/dL)]]</f>
        <v>-</v>
      </c>
      <c r="AQ54" s="193" t="str">
        <f>Tabela1[[#This Row],[Pós FE (ug/dL)]]</f>
        <v>-</v>
      </c>
      <c r="AR54" s="194">
        <f>Tabela1[[#This Row],[Pré calcio mg/dL]]</f>
        <v>9.5</v>
      </c>
      <c r="AS54" s="125">
        <f>Tabela1[[#This Row],[Pós calcio mg/dL]]</f>
        <v>10.9</v>
      </c>
      <c r="AT54" s="125">
        <f>Tabela1[[#This Row],[Pré Potássio mmol/L]]</f>
        <v>4.7</v>
      </c>
      <c r="AU54" s="125">
        <f>Tabela1[[#This Row],[Pós Potássio mmol/L]]</f>
        <v>4.9000000000000004</v>
      </c>
      <c r="AV54" s="85">
        <f>Tabela1[[#This Row],[Glicose pré]]</f>
        <v>78</v>
      </c>
      <c r="AW54" s="85">
        <f>Tabela1[[#This Row],[Glicose pós]]</f>
        <v>87</v>
      </c>
      <c r="AX54" s="85">
        <f>Tabela1[[#This Row],[Pré Sódio mmol/L]]</f>
        <v>141</v>
      </c>
      <c r="AY54" s="85">
        <f>Tabela1[[#This Row],[Pós Sódio mmol/L]]</f>
        <v>156</v>
      </c>
      <c r="AZ54" s="125" t="str">
        <f>Tabela1[[#This Row],[Pré Magnésio mg/dL]]</f>
        <v>-</v>
      </c>
      <c r="BA54" s="125" t="str">
        <f>Tabela1[[#This Row],[Pós Magnésio mg/dL]]</f>
        <v>-</v>
      </c>
      <c r="BB54" s="85" t="str">
        <f>Tabela1[[#This Row],[Pré Cloro mmol/L]]</f>
        <v>-</v>
      </c>
      <c r="BC54" s="85" t="str">
        <f>Tabela1[[#This Row],[Pós Cloro mmol/L]]</f>
        <v>-</v>
      </c>
      <c r="BD5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297.48533333333336</v>
      </c>
      <c r="BE5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326.83233333333334</v>
      </c>
      <c r="BF54" s="194">
        <f>Tabela1[[#This Row],[Pré RBC 10^6/mm³]]</f>
        <v>4.74</v>
      </c>
      <c r="BG54" s="125">
        <f>Tabela1[[#This Row],[Pós RBC 10^6/mm³]]</f>
        <v>4.72</v>
      </c>
      <c r="BH54" s="125">
        <f>Tabela1[[#This Row],[Pré HGB g/dL]]</f>
        <v>15.5</v>
      </c>
      <c r="BI54" s="125">
        <f>Tabela1[[#This Row],[Pós HGB g/dL]]</f>
        <v>15.2</v>
      </c>
      <c r="BJ54" s="125">
        <f>Tabela1[[#This Row],[Pré HCT %]]</f>
        <v>47.3</v>
      </c>
      <c r="BK54" s="125">
        <f>Tabela1[[#This Row],[Pós HCT %]]</f>
        <v>46.5</v>
      </c>
      <c r="BL54" s="125">
        <f>Tabela1[[#This Row],[Pré MCV fL]]</f>
        <v>99.8</v>
      </c>
      <c r="BM54" s="125">
        <f>Tabela1[[#This Row],[Pós MCV fL]]</f>
        <v>98.5</v>
      </c>
      <c r="BN54" s="125">
        <f>Tabela1[[#This Row],[Pré MCH pg]]</f>
        <v>32.700000000000003</v>
      </c>
      <c r="BO54" s="125">
        <f>Tabela1[[#This Row],[Pós MCH pg]]</f>
        <v>32.200000000000003</v>
      </c>
      <c r="BP54" s="125">
        <f>Tabela1[[#This Row],[Pré MCHC g/dL]]</f>
        <v>32.799999999999997</v>
      </c>
      <c r="BQ54" s="125">
        <f>Tabela1[[#This Row],[Pós MCHC g/dL]]</f>
        <v>32.700000000000003</v>
      </c>
      <c r="BR54" s="85">
        <f>Tabela1[[#This Row],[Pré PLT 10³/mm³]]</f>
        <v>374</v>
      </c>
      <c r="BS54" s="85">
        <f>Tabela1[[#This Row],[Pós PLT 10³/mm³]]</f>
        <v>364</v>
      </c>
      <c r="BT54" s="125">
        <f>Tabela1[[#This Row],[Pré RDW %]]</f>
        <v>12.4</v>
      </c>
      <c r="BU54" s="125">
        <f>Tabela1[[#This Row],[Pós RDW %]]</f>
        <v>12.2</v>
      </c>
      <c r="BV54" s="179">
        <f>Tabela1[[#This Row],[Pré RET %]]</f>
        <v>1.42</v>
      </c>
      <c r="BW54" s="196">
        <f>Tabela1[[#This Row],[Pós RET %]]</f>
        <v>1.2</v>
      </c>
      <c r="BX54" s="197">
        <f>Tabela1[[#This Row],[Pré WBC 10³/mm³]]</f>
        <v>5.73</v>
      </c>
      <c r="BY54" s="179">
        <f>Tabela1[[#This Row],[Pós WBC 10³/mm³]]</f>
        <v>8.02</v>
      </c>
      <c r="BZ54" s="125">
        <f>Tabela1[[#This Row],[Pré NEUT %]]</f>
        <v>45.7</v>
      </c>
      <c r="CA54" s="125">
        <f>Tabela1[[#This Row],[Pós NEUT %]]</f>
        <v>50.7</v>
      </c>
      <c r="CB54" s="125">
        <f>Tabela1[[#This Row],[Pré LINF %]]</f>
        <v>34.4</v>
      </c>
      <c r="CC54" s="125">
        <f>Tabela1[[#This Row],[Pós LINF %]]</f>
        <v>34.4</v>
      </c>
      <c r="CD54" s="125">
        <f>Tabela1[[#This Row],[Pré MONO %]]</f>
        <v>15.9</v>
      </c>
      <c r="CE54" s="125">
        <f>Tabela1[[#This Row],[Pós MONO %]]</f>
        <v>12.5</v>
      </c>
      <c r="CF54" s="125">
        <f>Tabela1[[#This Row],[Pré EOS %]]</f>
        <v>2.6</v>
      </c>
      <c r="CG54" s="125">
        <f>Tabela1[[#This Row],[Pós EOS %]]</f>
        <v>1.7</v>
      </c>
      <c r="CH54" s="125">
        <f>Tabela1[[#This Row],[Pré BASO %]]</f>
        <v>1.4</v>
      </c>
      <c r="CI54" s="198">
        <f>Tabela1[[#This Row],[Pós BASO %]]</f>
        <v>0.7</v>
      </c>
      <c r="CJ54" s="199" t="str">
        <f t="shared" si="1"/>
        <v>SIM</v>
      </c>
      <c r="CK54" s="200" t="str">
        <f t="shared" si="2"/>
        <v>NÃO</v>
      </c>
      <c r="CL54" s="194">
        <f t="shared" si="3"/>
        <v>78.848640000000003</v>
      </c>
      <c r="CM54" s="125">
        <f>Tabela1[[#This Row],[MCT KG]]</f>
        <v>86.4</v>
      </c>
      <c r="CN54" s="85">
        <f>Tabela1[[#This Row],[ESTATURA]]</f>
        <v>184</v>
      </c>
      <c r="CO54" s="85">
        <f>Tabela1[[#This Row],[vo2max estimado]]</f>
        <v>50.17</v>
      </c>
      <c r="CP54" s="85">
        <f>Tabela1[[#This Row],[Handgrip     Dominante]]</f>
        <v>48</v>
      </c>
      <c r="CQ54" s="85">
        <f>Tabela1[[#This Row],[Handgrip Contrário]]</f>
        <v>42.5</v>
      </c>
      <c r="CR54" s="281">
        <f>Tabela1[[#This Row],[% gordura]]</f>
        <v>8.74</v>
      </c>
    </row>
    <row r="55" spans="1:96" ht="15.75" customHeight="1">
      <c r="A55" s="279">
        <f>Tabela1[[#This Row],[Ano]]</f>
        <v>2017</v>
      </c>
      <c r="B55" s="181" t="str">
        <f>Tabela1[[#This Row],[Missão]]</f>
        <v>Manaus</v>
      </c>
      <c r="C55" s="181">
        <f>Tabela1[[#This Row],[Aluno]]</f>
        <v>3094</v>
      </c>
      <c r="D55" s="181">
        <f>Tabela1[[#This Row],[Idade]]</f>
        <v>34</v>
      </c>
      <c r="E55" s="182">
        <f>Tabela1[[#This Row],[Peso Kg]]</f>
        <v>0</v>
      </c>
      <c r="F55" s="191">
        <f>Tabela1[[#This Row],[Cor da pele]]</f>
        <v>2</v>
      </c>
      <c r="G55" s="192" t="str">
        <f>Tabela1[[#This Row],[ACTN3]]</f>
        <v>XX</v>
      </c>
      <c r="H55" s="85" t="str">
        <f>Tabela1[[#This Row],[AGT]]</f>
        <v>MT</v>
      </c>
      <c r="I55" s="85" t="str">
        <f>Tabela1[[#This Row],[ECA]]</f>
        <v>ID</v>
      </c>
      <c r="J55" s="85" t="str">
        <f>Tabela1[[#This Row],[BDKRB2]]</f>
        <v>(+9, -9)</v>
      </c>
      <c r="K55" s="85">
        <f>Tabela1[[#This Row],[Score Força%]]</f>
        <v>37.5</v>
      </c>
      <c r="L55" s="193">
        <f>Tabela1[[#This Row],[Score Resistência %]]</f>
        <v>62.5</v>
      </c>
      <c r="M55" s="192">
        <f>Tabela1[[#This Row],[Pré CK (U/L)]]</f>
        <v>819</v>
      </c>
      <c r="N55" s="85">
        <f>Tabela1[[#This Row],[Pós CK (U/L)]]</f>
        <v>1233</v>
      </c>
      <c r="O55" s="85">
        <f>Tabela1[[#This Row],[Pré CK MB U/L]]</f>
        <v>17</v>
      </c>
      <c r="P55" s="85">
        <f>Tabela1[[#This Row],[Pós CK MB U/L]]</f>
        <v>18</v>
      </c>
      <c r="Q55" s="85" t="str">
        <f>Tabela1[[#This Row],[Pré Lactato (mmol/L)]]</f>
        <v>-</v>
      </c>
      <c r="R55" s="85" t="str">
        <f>Tabela1[[#This Row],[Pós Lactato (mmol/L)]]</f>
        <v>-</v>
      </c>
      <c r="S55" s="85">
        <f>Tabela1[[#This Row],[Pré LDH (U/L)]]</f>
        <v>523</v>
      </c>
      <c r="T55" s="85">
        <f>Tabela1[[#This Row],[Pós LDH (U/L)]]</f>
        <v>674</v>
      </c>
      <c r="U55" s="85">
        <f>Tabela1[[#This Row],[Pré AST (U/L)]]</f>
        <v>58</v>
      </c>
      <c r="V55" s="193">
        <f>Tabela1[[#This Row],[Pós AST (U/L)]]</f>
        <v>52</v>
      </c>
      <c r="W55" s="194">
        <f>Tabela1[[#This Row],[Pré Albumina (g/dL)]]</f>
        <v>4.4000000000000004</v>
      </c>
      <c r="X55" s="125">
        <f>Tabela1[[#This Row],[Pós Albumina (g/dL)]]</f>
        <v>4</v>
      </c>
      <c r="Y55" s="85">
        <f>Tabela1[[#This Row],[Pré TGP (g/dL)]]</f>
        <v>59</v>
      </c>
      <c r="Z55" s="85">
        <f>Tabela1[[#This Row],[Pós TGP (g/dL)]]</f>
        <v>47</v>
      </c>
      <c r="AA55" s="85">
        <f>Tabela1[[#This Row],[Pré GGT U/L]]</f>
        <v>63</v>
      </c>
      <c r="AB55" s="193">
        <f>Tabela1[[#This Row],[Pós GGT U/L]]</f>
        <v>50</v>
      </c>
      <c r="AC55" s="194" t="str">
        <f>Tabela1[[#This Row],[Pré Ac. Úrico (mg/dL)]]</f>
        <v>-</v>
      </c>
      <c r="AD55" s="125" t="str">
        <f>Tabela1[[#This Row],[Pós Ac. Úrico (mg/dL)2]]</f>
        <v>-</v>
      </c>
      <c r="AE5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5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55" s="85">
        <f>Tabela1[[#This Row],[Pré Ureia mg/dL]]</f>
        <v>48</v>
      </c>
      <c r="AH55" s="85">
        <f>Tabela1[[#This Row],[Pós Ureia mg/dL]]</f>
        <v>55</v>
      </c>
      <c r="AI55" s="125">
        <f>Tabela1[[#This Row],[Pré creatinina mg/dL]]</f>
        <v>1</v>
      </c>
      <c r="AJ55" s="125">
        <f>Tabela1[[#This Row],[Pós creatinina mg/dL]]</f>
        <v>1.2</v>
      </c>
      <c r="AK55" s="180">
        <f t="shared" si="0"/>
        <v>0.19999999999999996</v>
      </c>
      <c r="AL55" s="125">
        <f>Tabela1[[#This Row],[Pré Fósforo mg/dL]]</f>
        <v>4.5999999999999996</v>
      </c>
      <c r="AM55" s="125">
        <f>Tabela1[[#This Row],[Pós Fósforo mg/dL]]</f>
        <v>5</v>
      </c>
      <c r="AN55" s="125">
        <f>Tabela1[[#This Row],[Pré Proteína Total (g/dL)]]</f>
        <v>7.8</v>
      </c>
      <c r="AO55" s="125">
        <f>Tabela1[[#This Row],[Pós Proteína Total (g/dL)]]</f>
        <v>7.9</v>
      </c>
      <c r="AP55" s="85" t="str">
        <f>Tabela1[[#This Row],[Pré FE (ug/dL)]]</f>
        <v>-</v>
      </c>
      <c r="AQ55" s="193" t="str">
        <f>Tabela1[[#This Row],[Pós FE (ug/dL)]]</f>
        <v>-</v>
      </c>
      <c r="AR55" s="194">
        <f>Tabela1[[#This Row],[Pré calcio mg/dL]]</f>
        <v>9.4</v>
      </c>
      <c r="AS55" s="125">
        <f>Tabela1[[#This Row],[Pós calcio mg/dL]]</f>
        <v>9.9</v>
      </c>
      <c r="AT55" s="125">
        <f>Tabela1[[#This Row],[Pré Potássio mmol/L]]</f>
        <v>5.0999999999999996</v>
      </c>
      <c r="AU55" s="125">
        <f>Tabela1[[#This Row],[Pós Potássio mmol/L]]</f>
        <v>4.5</v>
      </c>
      <c r="AV55" s="85">
        <f>Tabela1[[#This Row],[Glicose pré]]</f>
        <v>96</v>
      </c>
      <c r="AW55" s="85">
        <f>Tabela1[[#This Row],[Glicose pós]]</f>
        <v>101</v>
      </c>
      <c r="AX55" s="85">
        <f>Tabela1[[#This Row],[Pré Sódio mmol/L]]</f>
        <v>142</v>
      </c>
      <c r="AY55" s="85">
        <f>Tabela1[[#This Row],[Pós Sódio mmol/L]]</f>
        <v>149</v>
      </c>
      <c r="AZ55" s="125" t="str">
        <f>Tabela1[[#This Row],[Pré Magnésio mg/dL]]</f>
        <v>-</v>
      </c>
      <c r="BA55" s="125" t="str">
        <f>Tabela1[[#This Row],[Pós Magnésio mg/dL]]</f>
        <v>-</v>
      </c>
      <c r="BB55" s="85" t="str">
        <f>Tabela1[[#This Row],[Pré Cloro mmol/L]]</f>
        <v>-</v>
      </c>
      <c r="BC55" s="85" t="str">
        <f>Tabela1[[#This Row],[Pós Cloro mmol/L]]</f>
        <v>-</v>
      </c>
      <c r="BD5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301.73933333333332</v>
      </c>
      <c r="BE5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315.12944444444446</v>
      </c>
      <c r="BF55" s="194">
        <f>Tabela1[[#This Row],[Pré RBC 10^6/mm³]]</f>
        <v>5.34</v>
      </c>
      <c r="BG55" s="125">
        <f>Tabela1[[#This Row],[Pós RBC 10^6/mm³]]</f>
        <v>5.14</v>
      </c>
      <c r="BH55" s="125">
        <f>Tabela1[[#This Row],[Pré HGB g/dL]]</f>
        <v>16.2</v>
      </c>
      <c r="BI55" s="125">
        <f>Tabela1[[#This Row],[Pós HGB g/dL]]</f>
        <v>15.7</v>
      </c>
      <c r="BJ55" s="125">
        <f>Tabela1[[#This Row],[Pré HCT %]]</f>
        <v>49.3</v>
      </c>
      <c r="BK55" s="125">
        <f>Tabela1[[#This Row],[Pós HCT %]]</f>
        <v>46.5</v>
      </c>
      <c r="BL55" s="125">
        <f>Tabela1[[#This Row],[Pré MCV fL]]</f>
        <v>92.3</v>
      </c>
      <c r="BM55" s="125">
        <f>Tabela1[[#This Row],[Pós MCV fL]]</f>
        <v>90.5</v>
      </c>
      <c r="BN55" s="125">
        <f>Tabela1[[#This Row],[Pré MCH pg]]</f>
        <v>30.3</v>
      </c>
      <c r="BO55" s="125">
        <f>Tabela1[[#This Row],[Pós MCH pg]]</f>
        <v>30.5</v>
      </c>
      <c r="BP55" s="125">
        <f>Tabela1[[#This Row],[Pré MCHC g/dL]]</f>
        <v>32.9</v>
      </c>
      <c r="BQ55" s="125">
        <f>Tabela1[[#This Row],[Pós MCHC g/dL]]</f>
        <v>33.799999999999997</v>
      </c>
      <c r="BR55" s="85">
        <f>Tabela1[[#This Row],[Pré PLT 10³/mm³]]</f>
        <v>273</v>
      </c>
      <c r="BS55" s="85">
        <f>Tabela1[[#This Row],[Pós PLT 10³/mm³]]</f>
        <v>267</v>
      </c>
      <c r="BT55" s="125">
        <f>Tabela1[[#This Row],[Pré RDW %]]</f>
        <v>14.1</v>
      </c>
      <c r="BU55" s="125">
        <f>Tabela1[[#This Row],[Pós RDW %]]</f>
        <v>13.6</v>
      </c>
      <c r="BV55" s="179">
        <f>Tabela1[[#This Row],[Pré RET %]]</f>
        <v>0.63</v>
      </c>
      <c r="BW55" s="196">
        <f>Tabela1[[#This Row],[Pós RET %]]</f>
        <v>0.54</v>
      </c>
      <c r="BX55" s="197">
        <f>Tabela1[[#This Row],[Pré WBC 10³/mm³]]</f>
        <v>8.14</v>
      </c>
      <c r="BY55" s="179">
        <f>Tabela1[[#This Row],[Pós WBC 10³/mm³]]</f>
        <v>10.54</v>
      </c>
      <c r="BZ55" s="125">
        <f>Tabela1[[#This Row],[Pré NEUT %]]</f>
        <v>59.7</v>
      </c>
      <c r="CA55" s="125">
        <f>Tabela1[[#This Row],[Pós NEUT %]]</f>
        <v>62.8</v>
      </c>
      <c r="CB55" s="125">
        <f>Tabela1[[#This Row],[Pré LINF %]]</f>
        <v>29.9</v>
      </c>
      <c r="CC55" s="125">
        <f>Tabela1[[#This Row],[Pós LINF %]]</f>
        <v>26.3</v>
      </c>
      <c r="CD55" s="125">
        <f>Tabela1[[#This Row],[Pré MONO %]]</f>
        <v>7.9</v>
      </c>
      <c r="CE55" s="125">
        <f>Tabela1[[#This Row],[Pós MONO %]]</f>
        <v>8.9</v>
      </c>
      <c r="CF55" s="125">
        <f>Tabela1[[#This Row],[Pré EOS %]]</f>
        <v>2</v>
      </c>
      <c r="CG55" s="125">
        <f>Tabela1[[#This Row],[Pós EOS %]]</f>
        <v>1.5</v>
      </c>
      <c r="CH55" s="125">
        <f>Tabela1[[#This Row],[Pré BASO %]]</f>
        <v>0.5</v>
      </c>
      <c r="CI55" s="198">
        <f>Tabela1[[#This Row],[Pós BASO %]]</f>
        <v>0.5</v>
      </c>
      <c r="CJ55" s="199" t="str">
        <f t="shared" si="1"/>
        <v>NÃO</v>
      </c>
      <c r="CK55" s="200" t="str">
        <f t="shared" si="2"/>
        <v>SIM</v>
      </c>
      <c r="CL55" s="194">
        <f t="shared" si="3"/>
        <v>73.472700000000003</v>
      </c>
      <c r="CM55" s="125">
        <f>Tabela1[[#This Row],[MCT KG]]</f>
        <v>88.5</v>
      </c>
      <c r="CN55" s="85">
        <f>Tabela1[[#This Row],[ESTATURA]]</f>
        <v>187</v>
      </c>
      <c r="CO55" s="85">
        <f>Tabela1[[#This Row],[vo2max estimado]]</f>
        <v>49.59</v>
      </c>
      <c r="CP55" s="85">
        <f>Tabela1[[#This Row],[Handgrip     Dominante]]</f>
        <v>59.5</v>
      </c>
      <c r="CQ55" s="85">
        <f>Tabela1[[#This Row],[Handgrip Contrário]]</f>
        <v>0</v>
      </c>
      <c r="CR55" s="281">
        <f>Tabela1[[#This Row],[% gordura]]</f>
        <v>16.98</v>
      </c>
    </row>
    <row r="56" spans="1:96" ht="15.75" customHeight="1">
      <c r="A56" s="279">
        <f>Tabela1[[#This Row],[Ano]]</f>
        <v>2017</v>
      </c>
      <c r="B56" s="181" t="str">
        <f>Tabela1[[#This Row],[Missão]]</f>
        <v>Manaus</v>
      </c>
      <c r="C56" s="181">
        <f>Tabela1[[#This Row],[Aluno]]</f>
        <v>3095</v>
      </c>
      <c r="D56" s="181">
        <f>Tabela1[[#This Row],[Idade]]</f>
        <v>34</v>
      </c>
      <c r="E56" s="182">
        <f>Tabela1[[#This Row],[Peso Kg]]</f>
        <v>80</v>
      </c>
      <c r="F56" s="191">
        <f>Tabela1[[#This Row],[Cor da pele]]</f>
        <v>2</v>
      </c>
      <c r="G56" s="192" t="str">
        <f>Tabela1[[#This Row],[ACTN3]]</f>
        <v xml:space="preserve">RX </v>
      </c>
      <c r="H56" s="85" t="str">
        <f>Tabela1[[#This Row],[AGT]]</f>
        <v>MT</v>
      </c>
      <c r="I56" s="85" t="str">
        <f>Tabela1[[#This Row],[ECA]]</f>
        <v>II</v>
      </c>
      <c r="J56" s="85" t="str">
        <f>Tabela1[[#This Row],[BDKRB2]]</f>
        <v>(+9, -9)</v>
      </c>
      <c r="K56" s="85">
        <f>Tabela1[[#This Row],[Score Força%]]</f>
        <v>37.5</v>
      </c>
      <c r="L56" s="193">
        <f>Tabela1[[#This Row],[Score Resistência %]]</f>
        <v>62.5</v>
      </c>
      <c r="M56" s="192">
        <f>Tabela1[[#This Row],[Pré CK (U/L)]]</f>
        <v>994</v>
      </c>
      <c r="N56" s="85">
        <f>Tabela1[[#This Row],[Pós CK (U/L)]]</f>
        <v>587</v>
      </c>
      <c r="O56" s="85">
        <f>Tabela1[[#This Row],[Pré CK MB U/L]]</f>
        <v>31</v>
      </c>
      <c r="P56" s="85">
        <f>Tabela1[[#This Row],[Pós CK MB U/L]]</f>
        <v>14</v>
      </c>
      <c r="Q56" s="85" t="str">
        <f>Tabela1[[#This Row],[Pré Lactato (mmol/L)]]</f>
        <v>-</v>
      </c>
      <c r="R56" s="85" t="str">
        <f>Tabela1[[#This Row],[Pós Lactato (mmol/L)]]</f>
        <v>-</v>
      </c>
      <c r="S56" s="85">
        <f>Tabela1[[#This Row],[Pré LDH (U/L)]]</f>
        <v>607</v>
      </c>
      <c r="T56" s="85">
        <f>Tabela1[[#This Row],[Pós LDH (U/L)]]</f>
        <v>501</v>
      </c>
      <c r="U56" s="85">
        <f>Tabela1[[#This Row],[Pré AST (U/L)]]</f>
        <v>78</v>
      </c>
      <c r="V56" s="193">
        <f>Tabela1[[#This Row],[Pós AST (U/L)]]</f>
        <v>28</v>
      </c>
      <c r="W56" s="194">
        <f>Tabela1[[#This Row],[Pré Albumina (g/dL)]]</f>
        <v>4.2</v>
      </c>
      <c r="X56" s="125">
        <f>Tabela1[[#This Row],[Pós Albumina (g/dL)]]</f>
        <v>3.3</v>
      </c>
      <c r="Y56" s="85">
        <f>Tabela1[[#This Row],[Pré TGP (g/dL)]]</f>
        <v>52</v>
      </c>
      <c r="Z56" s="85">
        <f>Tabela1[[#This Row],[Pós TGP (g/dL)]]</f>
        <v>35</v>
      </c>
      <c r="AA56" s="85">
        <f>Tabela1[[#This Row],[Pré GGT U/L]]</f>
        <v>28</v>
      </c>
      <c r="AB56" s="193">
        <f>Tabela1[[#This Row],[Pós GGT U/L]]</f>
        <v>20</v>
      </c>
      <c r="AC56" s="194" t="str">
        <f>Tabela1[[#This Row],[Pré Ac. Úrico (mg/dL)]]</f>
        <v>-</v>
      </c>
      <c r="AD56" s="125" t="str">
        <f>Tabela1[[#This Row],[Pós Ac. Úrico (mg/dL)2]]</f>
        <v>-</v>
      </c>
      <c r="AE5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5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56" s="85">
        <f>Tabela1[[#This Row],[Pré Ureia mg/dL]]</f>
        <v>39</v>
      </c>
      <c r="AH56" s="85">
        <f>Tabela1[[#This Row],[Pós Ureia mg/dL]]</f>
        <v>34</v>
      </c>
      <c r="AI56" s="125">
        <f>Tabela1[[#This Row],[Pré creatinina mg/dL]]</f>
        <v>1.2</v>
      </c>
      <c r="AJ56" s="125">
        <f>Tabela1[[#This Row],[Pós creatinina mg/dL]]</f>
        <v>1</v>
      </c>
      <c r="AK56" s="180">
        <f t="shared" si="0"/>
        <v>0</v>
      </c>
      <c r="AL56" s="125">
        <f>Tabela1[[#This Row],[Pré Fósforo mg/dL]]</f>
        <v>5</v>
      </c>
      <c r="AM56" s="125">
        <f>Tabela1[[#This Row],[Pós Fósforo mg/dL]]</f>
        <v>4</v>
      </c>
      <c r="AN56" s="125">
        <f>Tabela1[[#This Row],[Pré Proteína Total (g/dL)]]</f>
        <v>7.3</v>
      </c>
      <c r="AO56" s="125">
        <f>Tabela1[[#This Row],[Pós Proteína Total (g/dL)]]</f>
        <v>5.6</v>
      </c>
      <c r="AP56" s="85" t="str">
        <f>Tabela1[[#This Row],[Pré FE (ug/dL)]]</f>
        <v>-</v>
      </c>
      <c r="AQ56" s="193" t="str">
        <f>Tabela1[[#This Row],[Pós FE (ug/dL)]]</f>
        <v>-</v>
      </c>
      <c r="AR56" s="194">
        <f>Tabela1[[#This Row],[Pré calcio mg/dL]]</f>
        <v>9.5</v>
      </c>
      <c r="AS56" s="125">
        <f>Tabela1[[#This Row],[Pós calcio mg/dL]]</f>
        <v>7.6</v>
      </c>
      <c r="AT56" s="125">
        <f>Tabela1[[#This Row],[Pré Potássio mmol/L]]</f>
        <v>4.8</v>
      </c>
      <c r="AU56" s="125">
        <f>Tabela1[[#This Row],[Pós Potássio mmol/L]]</f>
        <v>3.9</v>
      </c>
      <c r="AV56" s="85">
        <f>Tabela1[[#This Row],[Glicose pré]]</f>
        <v>94</v>
      </c>
      <c r="AW56" s="85">
        <f>Tabela1[[#This Row],[Glicose pós]]</f>
        <v>69</v>
      </c>
      <c r="AX56" s="85">
        <f>Tabela1[[#This Row],[Pré Sódio mmol/L]]</f>
        <v>141</v>
      </c>
      <c r="AY56" s="85">
        <f>Tabela1[[#This Row],[Pós Sódio mmol/L]]</f>
        <v>120</v>
      </c>
      <c r="AZ56" s="125" t="str">
        <f>Tabela1[[#This Row],[Pré Magnésio mg/dL]]</f>
        <v>-</v>
      </c>
      <c r="BA56" s="125" t="str">
        <f>Tabela1[[#This Row],[Pós Magnésio mg/dL]]</f>
        <v>-</v>
      </c>
      <c r="BB56" s="85" t="str">
        <f>Tabela1[[#This Row],[Pré Cloro mmol/L]]</f>
        <v>-</v>
      </c>
      <c r="BC56" s="85" t="str">
        <f>Tabela1[[#This Row],[Pós Cloro mmol/L]]</f>
        <v>-</v>
      </c>
      <c r="BD5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297.69355555555558</v>
      </c>
      <c r="BE5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254.52900000000002</v>
      </c>
      <c r="BF56" s="194">
        <f>Tabela1[[#This Row],[Pré RBC 10^6/mm³]]</f>
        <v>5.13</v>
      </c>
      <c r="BG56" s="125">
        <f>Tabela1[[#This Row],[Pós RBC 10^6/mm³]]</f>
        <v>5.86</v>
      </c>
      <c r="BH56" s="125">
        <f>Tabela1[[#This Row],[Pré HGB g/dL]]</f>
        <v>14.1</v>
      </c>
      <c r="BI56" s="125">
        <f>Tabela1[[#This Row],[Pós HGB g/dL]]</f>
        <v>16.399999999999999</v>
      </c>
      <c r="BJ56" s="125">
        <f>Tabela1[[#This Row],[Pré HCT %]]</f>
        <v>43.4</v>
      </c>
      <c r="BK56" s="125">
        <f>Tabela1[[#This Row],[Pós HCT %]]</f>
        <v>48.9</v>
      </c>
      <c r="BL56" s="125">
        <f>Tabela1[[#This Row],[Pré MCV fL]]</f>
        <v>84.6</v>
      </c>
      <c r="BM56" s="125">
        <f>Tabela1[[#This Row],[Pós MCV fL]]</f>
        <v>83.4</v>
      </c>
      <c r="BN56" s="125">
        <f>Tabela1[[#This Row],[Pré MCH pg]]</f>
        <v>27.5</v>
      </c>
      <c r="BO56" s="125">
        <f>Tabela1[[#This Row],[Pós MCH pg]]</f>
        <v>28</v>
      </c>
      <c r="BP56" s="125">
        <f>Tabela1[[#This Row],[Pré MCHC g/dL]]</f>
        <v>32.5</v>
      </c>
      <c r="BQ56" s="125">
        <f>Tabela1[[#This Row],[Pós MCHC g/dL]]</f>
        <v>33.5</v>
      </c>
      <c r="BR56" s="85">
        <f>Tabela1[[#This Row],[Pré PLT 10³/mm³]]</f>
        <v>165</v>
      </c>
      <c r="BS56" s="85">
        <f>Tabela1[[#This Row],[Pós PLT 10³/mm³]]</f>
        <v>190</v>
      </c>
      <c r="BT56" s="125">
        <f>Tabela1[[#This Row],[Pré RDW %]]</f>
        <v>13.4</v>
      </c>
      <c r="BU56" s="125">
        <f>Tabela1[[#This Row],[Pós RDW %]]</f>
        <v>13.1</v>
      </c>
      <c r="BV56" s="179">
        <f>Tabela1[[#This Row],[Pré RET %]]</f>
        <v>0.92</v>
      </c>
      <c r="BW56" s="196">
        <f>Tabela1[[#This Row],[Pós RET %]]</f>
        <v>0.73</v>
      </c>
      <c r="BX56" s="197">
        <f>Tabela1[[#This Row],[Pré WBC 10³/mm³]]</f>
        <v>5.93</v>
      </c>
      <c r="BY56" s="179">
        <f>Tabela1[[#This Row],[Pós WBC 10³/mm³]]</f>
        <v>7.17</v>
      </c>
      <c r="BZ56" s="125">
        <f>Tabela1[[#This Row],[Pré NEUT %]]</f>
        <v>41.7</v>
      </c>
      <c r="CA56" s="125">
        <f>Tabela1[[#This Row],[Pós NEUT %]]</f>
        <v>50.8</v>
      </c>
      <c r="CB56" s="125">
        <f>Tabela1[[#This Row],[Pré LINF %]]</f>
        <v>43.7</v>
      </c>
      <c r="CC56" s="125">
        <f>Tabela1[[#This Row],[Pós LINF %]]</f>
        <v>37.799999999999997</v>
      </c>
      <c r="CD56" s="125">
        <f>Tabela1[[#This Row],[Pré MONO %]]</f>
        <v>13.8</v>
      </c>
      <c r="CE56" s="125">
        <f>Tabela1[[#This Row],[Pós MONO %]]</f>
        <v>10.6</v>
      </c>
      <c r="CF56" s="125">
        <f>Tabela1[[#This Row],[Pré EOS %]]</f>
        <v>0.5</v>
      </c>
      <c r="CG56" s="125">
        <f>Tabela1[[#This Row],[Pós EOS %]]</f>
        <v>0.7</v>
      </c>
      <c r="CH56" s="125">
        <f>Tabela1[[#This Row],[Pré BASO %]]</f>
        <v>0.3</v>
      </c>
      <c r="CI56" s="198">
        <f>Tabela1[[#This Row],[Pós BASO %]]</f>
        <v>0.1</v>
      </c>
      <c r="CJ56" s="199" t="str">
        <f t="shared" si="1"/>
        <v>NÃO</v>
      </c>
      <c r="CK56" s="200" t="str">
        <f t="shared" si="2"/>
        <v>NÃO</v>
      </c>
      <c r="CL56" s="194">
        <f t="shared" si="3"/>
        <v>71.675339999999991</v>
      </c>
      <c r="CM56" s="125">
        <f>Tabela1[[#This Row],[MCT KG]]</f>
        <v>78.599999999999994</v>
      </c>
      <c r="CN56" s="85">
        <f>Tabela1[[#This Row],[ESTATURA]]</f>
        <v>172</v>
      </c>
      <c r="CO56" s="85">
        <f>Tabela1[[#This Row],[vo2max estimado]]</f>
        <v>51.33</v>
      </c>
      <c r="CP56" s="85">
        <f>Tabela1[[#This Row],[Handgrip     Dominante]]</f>
        <v>48</v>
      </c>
      <c r="CQ56" s="85">
        <f>Tabela1[[#This Row],[Handgrip Contrário]]</f>
        <v>49</v>
      </c>
      <c r="CR56" s="281">
        <f>Tabela1[[#This Row],[% gordura]]</f>
        <v>8.81</v>
      </c>
    </row>
    <row r="57" spans="1:96" ht="15.75" customHeight="1">
      <c r="A57" s="279">
        <f>Tabela1[[#This Row],[Ano]]</f>
        <v>2017</v>
      </c>
      <c r="B57" s="181" t="str">
        <f>Tabela1[[#This Row],[Missão]]</f>
        <v>Manaus</v>
      </c>
      <c r="C57" s="181">
        <f>Tabela1[[#This Row],[Aluno]]</f>
        <v>3102</v>
      </c>
      <c r="D57" s="181">
        <f>Tabela1[[#This Row],[Idade]]</f>
        <v>34</v>
      </c>
      <c r="E57" s="182">
        <f>Tabela1[[#This Row],[Peso Kg]]</f>
        <v>87</v>
      </c>
      <c r="F57" s="191">
        <f>Tabela1[[#This Row],[Cor da pele]]</f>
        <v>2</v>
      </c>
      <c r="G57" s="192" t="str">
        <f>Tabela1[[#This Row],[ACTN3]]</f>
        <v>XX</v>
      </c>
      <c r="H57" s="85" t="str">
        <f>Tabela1[[#This Row],[AGT]]</f>
        <v>MM</v>
      </c>
      <c r="I57" s="85" t="str">
        <f>Tabela1[[#This Row],[ECA]]</f>
        <v>ID</v>
      </c>
      <c r="J57" s="85" t="str">
        <f>Tabela1[[#This Row],[BDKRB2]]</f>
        <v>(+9, +9)</v>
      </c>
      <c r="K57" s="85">
        <f>Tabela1[[#This Row],[Score Força%]]</f>
        <v>37.5</v>
      </c>
      <c r="L57" s="193">
        <f>Tabela1[[#This Row],[Score Resistência %]]</f>
        <v>62.5</v>
      </c>
      <c r="M57" s="192">
        <f>Tabela1[[#This Row],[Pré CK (U/L)]]</f>
        <v>1515</v>
      </c>
      <c r="N57" s="85">
        <f>Tabela1[[#This Row],[Pós CK (U/L)]]</f>
        <v>1344</v>
      </c>
      <c r="O57" s="85">
        <f>Tabela1[[#This Row],[Pré CK MB U/L]]</f>
        <v>34</v>
      </c>
      <c r="P57" s="85">
        <f>Tabela1[[#This Row],[Pós CK MB U/L]]</f>
        <v>19</v>
      </c>
      <c r="Q57" s="85" t="str">
        <f>Tabela1[[#This Row],[Pré Lactato (mmol/L)]]</f>
        <v>-</v>
      </c>
      <c r="R57" s="85" t="str">
        <f>Tabela1[[#This Row],[Pós Lactato (mmol/L)]]</f>
        <v>-</v>
      </c>
      <c r="S57" s="85">
        <f>Tabela1[[#This Row],[Pré LDH (U/L)]]</f>
        <v>670</v>
      </c>
      <c r="T57" s="85">
        <f>Tabela1[[#This Row],[Pós LDH (U/L)]]</f>
        <v>644</v>
      </c>
      <c r="U57" s="85">
        <f>Tabela1[[#This Row],[Pré AST (U/L)]]</f>
        <v>77</v>
      </c>
      <c r="V57" s="193">
        <f>Tabela1[[#This Row],[Pós AST (U/L)]]</f>
        <v>60</v>
      </c>
      <c r="W57" s="194">
        <f>Tabela1[[#This Row],[Pré Albumina (g/dL)]]</f>
        <v>4.4000000000000004</v>
      </c>
      <c r="X57" s="125">
        <f>Tabela1[[#This Row],[Pós Albumina (g/dL)]]</f>
        <v>4.8</v>
      </c>
      <c r="Y57" s="85">
        <f>Tabela1[[#This Row],[Pré TGP (g/dL)]]</f>
        <v>58</v>
      </c>
      <c r="Z57" s="85">
        <f>Tabela1[[#This Row],[Pós TGP (g/dL)]]</f>
        <v>35</v>
      </c>
      <c r="AA57" s="85">
        <f>Tabela1[[#This Row],[Pré GGT U/L]]</f>
        <v>32</v>
      </c>
      <c r="AB57" s="193">
        <f>Tabela1[[#This Row],[Pós GGT U/L]]</f>
        <v>22</v>
      </c>
      <c r="AC57" s="194" t="str">
        <f>Tabela1[[#This Row],[Pré Ac. Úrico (mg/dL)]]</f>
        <v>-</v>
      </c>
      <c r="AD57" s="125" t="str">
        <f>Tabela1[[#This Row],[Pós Ac. Úrico (mg/dL)2]]</f>
        <v>-</v>
      </c>
      <c r="AE5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5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57" s="85">
        <f>Tabela1[[#This Row],[Pré Ureia mg/dL]]</f>
        <v>30</v>
      </c>
      <c r="AH57" s="85">
        <f>Tabela1[[#This Row],[Pós Ureia mg/dL]]</f>
        <v>34</v>
      </c>
      <c r="AI57" s="125">
        <f>Tabela1[[#This Row],[Pré creatinina mg/dL]]</f>
        <v>0.9</v>
      </c>
      <c r="AJ57" s="125">
        <f>Tabela1[[#This Row],[Pós creatinina mg/dL]]</f>
        <v>1</v>
      </c>
      <c r="AK57" s="180">
        <f t="shared" si="0"/>
        <v>9.9999999999999978E-2</v>
      </c>
      <c r="AL57" s="125">
        <f>Tabela1[[#This Row],[Pré Fósforo mg/dL]]</f>
        <v>5</v>
      </c>
      <c r="AM57" s="125">
        <f>Tabela1[[#This Row],[Pós Fósforo mg/dL]]</f>
        <v>4.9000000000000004</v>
      </c>
      <c r="AN57" s="125">
        <f>Tabela1[[#This Row],[Pré Proteína Total (g/dL)]]</f>
        <v>7.4</v>
      </c>
      <c r="AO57" s="125">
        <f>Tabela1[[#This Row],[Pós Proteína Total (g/dL)]]</f>
        <v>7.6</v>
      </c>
      <c r="AP57" s="85" t="str">
        <f>Tabela1[[#This Row],[Pré FE (ug/dL)]]</f>
        <v>-</v>
      </c>
      <c r="AQ57" s="193" t="str">
        <f>Tabela1[[#This Row],[Pós FE (ug/dL)]]</f>
        <v>-</v>
      </c>
      <c r="AR57" s="194">
        <f>Tabela1[[#This Row],[Pré calcio mg/dL]]</f>
        <v>9.6</v>
      </c>
      <c r="AS57" s="125">
        <f>Tabela1[[#This Row],[Pós calcio mg/dL]]</f>
        <v>10.1</v>
      </c>
      <c r="AT57" s="125">
        <f>Tabela1[[#This Row],[Pré Potássio mmol/L]]</f>
        <v>5</v>
      </c>
      <c r="AU57" s="125">
        <f>Tabela1[[#This Row],[Pós Potássio mmol/L]]</f>
        <v>5.3</v>
      </c>
      <c r="AV57" s="85">
        <f>Tabela1[[#This Row],[Glicose pré]]</f>
        <v>94</v>
      </c>
      <c r="AW57" s="85">
        <f>Tabela1[[#This Row],[Glicose pós]]</f>
        <v>89</v>
      </c>
      <c r="AX57" s="85">
        <f>Tabela1[[#This Row],[Pré Sódio mmol/L]]</f>
        <v>145</v>
      </c>
      <c r="AY57" s="85">
        <f>Tabela1[[#This Row],[Pós Sódio mmol/L]]</f>
        <v>146</v>
      </c>
      <c r="AZ57" s="125" t="str">
        <f>Tabela1[[#This Row],[Pré Magnésio mg/dL]]</f>
        <v>-</v>
      </c>
      <c r="BA57" s="125" t="str">
        <f>Tabela1[[#This Row],[Pós Magnésio mg/dL]]</f>
        <v>-</v>
      </c>
      <c r="BB57" s="85" t="str">
        <f>Tabela1[[#This Row],[Pré Cloro mmol/L]]</f>
        <v>-</v>
      </c>
      <c r="BC57" s="85" t="str">
        <f>Tabela1[[#This Row],[Pós Cloro mmol/L]]</f>
        <v>-</v>
      </c>
      <c r="BD5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304.00555555555553</v>
      </c>
      <c r="BE5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306.77077777777788</v>
      </c>
      <c r="BF57" s="194">
        <f>Tabela1[[#This Row],[Pré RBC 10^6/mm³]]</f>
        <v>5.36</v>
      </c>
      <c r="BG57" s="125">
        <f>Tabela1[[#This Row],[Pós RBC 10^6/mm³]]</f>
        <v>5.01</v>
      </c>
      <c r="BH57" s="125">
        <f>Tabela1[[#This Row],[Pré HGB g/dL]]</f>
        <v>14.6</v>
      </c>
      <c r="BI57" s="125">
        <f>Tabela1[[#This Row],[Pós HGB g/dL]]</f>
        <v>13.7</v>
      </c>
      <c r="BJ57" s="125">
        <f>Tabela1[[#This Row],[Pré HCT %]]</f>
        <v>44.9</v>
      </c>
      <c r="BK57" s="125">
        <f>Tabela1[[#This Row],[Pós HCT %]]</f>
        <v>42</v>
      </c>
      <c r="BL57" s="125">
        <f>Tabela1[[#This Row],[Pré MCV fL]]</f>
        <v>83.8</v>
      </c>
      <c r="BM57" s="125">
        <f>Tabela1[[#This Row],[Pós MCV fL]]</f>
        <v>83.8</v>
      </c>
      <c r="BN57" s="125">
        <f>Tabela1[[#This Row],[Pré MCH pg]]</f>
        <v>27.2</v>
      </c>
      <c r="BO57" s="125">
        <f>Tabela1[[#This Row],[Pós MCH pg]]</f>
        <v>27.3</v>
      </c>
      <c r="BP57" s="125">
        <f>Tabela1[[#This Row],[Pré MCHC g/dL]]</f>
        <v>32.5</v>
      </c>
      <c r="BQ57" s="125">
        <f>Tabela1[[#This Row],[Pós MCHC g/dL]]</f>
        <v>32.6</v>
      </c>
      <c r="BR57" s="85">
        <f>Tabela1[[#This Row],[Pré PLT 10³/mm³]]</f>
        <v>259</v>
      </c>
      <c r="BS57" s="85">
        <f>Tabela1[[#This Row],[Pós PLT 10³/mm³]]</f>
        <v>245</v>
      </c>
      <c r="BT57" s="125">
        <f>Tabela1[[#This Row],[Pré RDW %]]</f>
        <v>13.2</v>
      </c>
      <c r="BU57" s="125">
        <f>Tabela1[[#This Row],[Pós RDW %]]</f>
        <v>12.8</v>
      </c>
      <c r="BV57" s="179">
        <f>Tabela1[[#This Row],[Pré RET %]]</f>
        <v>0.8</v>
      </c>
      <c r="BW57" s="196">
        <f>Tabela1[[#This Row],[Pós RET %]]</f>
        <v>0.73</v>
      </c>
      <c r="BX57" s="197">
        <f>Tabela1[[#This Row],[Pré WBC 10³/mm³]]</f>
        <v>9.49</v>
      </c>
      <c r="BY57" s="179">
        <f>Tabela1[[#This Row],[Pós WBC 10³/mm³]]</f>
        <v>8.4600000000000009</v>
      </c>
      <c r="BZ57" s="125">
        <f>Tabela1[[#This Row],[Pré NEUT %]]</f>
        <v>57.7</v>
      </c>
      <c r="CA57" s="125">
        <f>Tabela1[[#This Row],[Pós NEUT %]]</f>
        <v>56.9</v>
      </c>
      <c r="CB57" s="125">
        <f>Tabela1[[#This Row],[Pré LINF %]]</f>
        <v>31</v>
      </c>
      <c r="CC57" s="125">
        <f>Tabela1[[#This Row],[Pós LINF %]]</f>
        <v>31.6</v>
      </c>
      <c r="CD57" s="125">
        <f>Tabela1[[#This Row],[Pré MONO %]]</f>
        <v>8.6</v>
      </c>
      <c r="CE57" s="125">
        <f>Tabela1[[#This Row],[Pós MONO %]]</f>
        <v>8.5</v>
      </c>
      <c r="CF57" s="125">
        <f>Tabela1[[#This Row],[Pré EOS %]]</f>
        <v>2.2000000000000002</v>
      </c>
      <c r="CG57" s="125">
        <f>Tabela1[[#This Row],[Pós EOS %]]</f>
        <v>2.4</v>
      </c>
      <c r="CH57" s="125">
        <f>Tabela1[[#This Row],[Pré BASO %]]</f>
        <v>0.5</v>
      </c>
      <c r="CI57" s="198">
        <f>Tabela1[[#This Row],[Pós BASO %]]</f>
        <v>0.6</v>
      </c>
      <c r="CJ57" s="199" t="str">
        <f t="shared" si="1"/>
        <v>NÃO</v>
      </c>
      <c r="CK57" s="200" t="str">
        <f t="shared" si="2"/>
        <v>SIM</v>
      </c>
      <c r="CL57" s="194">
        <f t="shared" si="3"/>
        <v>75.626200000000011</v>
      </c>
      <c r="CM57" s="125">
        <f>Tabela1[[#This Row],[MCT KG]]</f>
        <v>88.4</v>
      </c>
      <c r="CN57" s="85">
        <f>Tabela1[[#This Row],[ESTATURA]]</f>
        <v>179</v>
      </c>
      <c r="CO57" s="85">
        <f>Tabela1[[#This Row],[vo2max estimado]]</f>
        <v>47.54</v>
      </c>
      <c r="CP57" s="85">
        <f>Tabela1[[#This Row],[Handgrip     Dominante]]</f>
        <v>51.5</v>
      </c>
      <c r="CQ57" s="85">
        <f>Tabela1[[#This Row],[Handgrip Contrário]]</f>
        <v>50.5</v>
      </c>
      <c r="CR57" s="281">
        <f>Tabela1[[#This Row],[% gordura]]</f>
        <v>14.45</v>
      </c>
    </row>
    <row r="58" spans="1:96" ht="15.75" customHeight="1">
      <c r="A58" s="279">
        <f>Tabela1[[#This Row],[Ano]]</f>
        <v>2017</v>
      </c>
      <c r="B58" s="181" t="str">
        <f>Tabela1[[#This Row],[Missão]]</f>
        <v>Manaus</v>
      </c>
      <c r="C58" s="181">
        <f>Tabela1[[#This Row],[Aluno]]</f>
        <v>3105</v>
      </c>
      <c r="D58" s="181">
        <f>Tabela1[[#This Row],[Idade]]</f>
        <v>32</v>
      </c>
      <c r="E58" s="182">
        <f>Tabela1[[#This Row],[Peso Kg]]</f>
        <v>83</v>
      </c>
      <c r="F58" s="191">
        <f>Tabela1[[#This Row],[Cor da pele]]</f>
        <v>2</v>
      </c>
      <c r="G58" s="192" t="str">
        <f>Tabela1[[#This Row],[ACTN3]]</f>
        <v>RR</v>
      </c>
      <c r="H58" s="85" t="str">
        <f>Tabela1[[#This Row],[AGT]]</f>
        <v>MM</v>
      </c>
      <c r="I58" s="85" t="str">
        <f>Tabela1[[#This Row],[ECA]]</f>
        <v>ID</v>
      </c>
      <c r="J58" s="85" t="str">
        <f>Tabela1[[#This Row],[BDKRB2]]</f>
        <v>(+9, -9)</v>
      </c>
      <c r="K58" s="85">
        <f>Tabela1[[#This Row],[Score Força%]]</f>
        <v>50</v>
      </c>
      <c r="L58" s="193">
        <f>Tabela1[[#This Row],[Score Resistência %]]</f>
        <v>50</v>
      </c>
      <c r="M58" s="192">
        <f>Tabela1[[#This Row],[Pré CK (U/L)]]</f>
        <v>4687</v>
      </c>
      <c r="N58" s="85">
        <f>Tabela1[[#This Row],[Pós CK (U/L)]]</f>
        <v>1451</v>
      </c>
      <c r="O58" s="85">
        <f>Tabela1[[#This Row],[Pré CK MB U/L]]</f>
        <v>47</v>
      </c>
      <c r="P58" s="85">
        <f>Tabela1[[#This Row],[Pós CK MB U/L]]</f>
        <v>15</v>
      </c>
      <c r="Q58" s="85" t="str">
        <f>Tabela1[[#This Row],[Pré Lactato (mmol/L)]]</f>
        <v>-</v>
      </c>
      <c r="R58" s="85" t="str">
        <f>Tabela1[[#This Row],[Pós Lactato (mmol/L)]]</f>
        <v>-</v>
      </c>
      <c r="S58" s="85">
        <f>Tabela1[[#This Row],[Pré LDH (U/L)]]</f>
        <v>743</v>
      </c>
      <c r="T58" s="85">
        <f>Tabela1[[#This Row],[Pós LDH (U/L)]]</f>
        <v>591</v>
      </c>
      <c r="U58" s="85">
        <f>Tabela1[[#This Row],[Pré AST (U/L)]]</f>
        <v>90</v>
      </c>
      <c r="V58" s="193">
        <f>Tabela1[[#This Row],[Pós AST (U/L)]]</f>
        <v>34</v>
      </c>
      <c r="W58" s="194">
        <f>Tabela1[[#This Row],[Pré Albumina (g/dL)]]</f>
        <v>4.2</v>
      </c>
      <c r="X58" s="125">
        <f>Tabela1[[#This Row],[Pós Albumina (g/dL)]]</f>
        <v>3.4</v>
      </c>
      <c r="Y58" s="85">
        <f>Tabela1[[#This Row],[Pré TGP (g/dL)]]</f>
        <v>52</v>
      </c>
      <c r="Z58" s="85">
        <f>Tabela1[[#This Row],[Pós TGP (g/dL)]]</f>
        <v>34</v>
      </c>
      <c r="AA58" s="85">
        <f>Tabela1[[#This Row],[Pré GGT U/L]]</f>
        <v>17</v>
      </c>
      <c r="AB58" s="193">
        <f>Tabela1[[#This Row],[Pós GGT U/L]]</f>
        <v>10</v>
      </c>
      <c r="AC58" s="194" t="str">
        <f>Tabela1[[#This Row],[Pré Ac. Úrico (mg/dL)]]</f>
        <v>-</v>
      </c>
      <c r="AD58" s="125" t="str">
        <f>Tabela1[[#This Row],[Pós Ac. Úrico (mg/dL)2]]</f>
        <v>-</v>
      </c>
      <c r="AE5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5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58" s="85">
        <f>Tabela1[[#This Row],[Pré Ureia mg/dL]]</f>
        <v>44</v>
      </c>
      <c r="AH58" s="85">
        <f>Tabela1[[#This Row],[Pós Ureia mg/dL]]</f>
        <v>41</v>
      </c>
      <c r="AI58" s="125">
        <f>Tabela1[[#This Row],[Pré creatinina mg/dL]]</f>
        <v>0.9</v>
      </c>
      <c r="AJ58" s="125">
        <f>Tabela1[[#This Row],[Pós creatinina mg/dL]]</f>
        <v>1</v>
      </c>
      <c r="AK58" s="180">
        <f t="shared" si="0"/>
        <v>9.9999999999999978E-2</v>
      </c>
      <c r="AL58" s="125">
        <f>Tabela1[[#This Row],[Pré Fósforo mg/dL]]</f>
        <v>4.7</v>
      </c>
      <c r="AM58" s="125">
        <f>Tabela1[[#This Row],[Pós Fósforo mg/dL]]</f>
        <v>4.3</v>
      </c>
      <c r="AN58" s="125">
        <f>Tabela1[[#This Row],[Pré Proteína Total (g/dL)]]</f>
        <v>7.3</v>
      </c>
      <c r="AO58" s="125">
        <f>Tabela1[[#This Row],[Pós Proteína Total (g/dL)]]</f>
        <v>5.7</v>
      </c>
      <c r="AP58" s="85" t="str">
        <f>Tabela1[[#This Row],[Pré FE (ug/dL)]]</f>
        <v>-</v>
      </c>
      <c r="AQ58" s="193" t="str">
        <f>Tabela1[[#This Row],[Pós FE (ug/dL)]]</f>
        <v>-</v>
      </c>
      <c r="AR58" s="194">
        <f>Tabela1[[#This Row],[Pré calcio mg/dL]]</f>
        <v>9.1</v>
      </c>
      <c r="AS58" s="125">
        <f>Tabela1[[#This Row],[Pós calcio mg/dL]]</f>
        <v>8</v>
      </c>
      <c r="AT58" s="125">
        <f>Tabela1[[#This Row],[Pré Potássio mmol/L]]</f>
        <v>4.7</v>
      </c>
      <c r="AU58" s="125">
        <f>Tabela1[[#This Row],[Pós Potássio mmol/L]]</f>
        <v>4.0999999999999996</v>
      </c>
      <c r="AV58" s="85">
        <f>Tabela1[[#This Row],[Glicose pré]]</f>
        <v>85</v>
      </c>
      <c r="AW58" s="85">
        <f>Tabela1[[#This Row],[Glicose pós]]</f>
        <v>68</v>
      </c>
      <c r="AX58" s="85">
        <f>Tabela1[[#This Row],[Pré Sódio mmol/L]]</f>
        <v>140</v>
      </c>
      <c r="AY58" s="85">
        <f>Tabela1[[#This Row],[Pós Sódio mmol/L]]</f>
        <v>129</v>
      </c>
      <c r="AZ58" s="125" t="str">
        <f>Tabela1[[#This Row],[Pré Magnésio mg/dL]]</f>
        <v>-</v>
      </c>
      <c r="BA58" s="125" t="str">
        <f>Tabela1[[#This Row],[Pós Magnésio mg/dL]]</f>
        <v>-</v>
      </c>
      <c r="BB58" s="85" t="str">
        <f>Tabela1[[#This Row],[Pré Cloro mmol/L]]</f>
        <v>-</v>
      </c>
      <c r="BC58" s="85" t="str">
        <f>Tabela1[[#This Row],[Pós Cloro mmol/L]]</f>
        <v>-</v>
      </c>
      <c r="BD5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295.90588888888885</v>
      </c>
      <c r="BE5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272.74377777777778</v>
      </c>
      <c r="BF58" s="194">
        <f>Tabela1[[#This Row],[Pré RBC 10^6/mm³]]</f>
        <v>4.45</v>
      </c>
      <c r="BG58" s="125">
        <f>Tabela1[[#This Row],[Pós RBC 10^6/mm³]]</f>
        <v>4.28</v>
      </c>
      <c r="BH58" s="125">
        <f>Tabela1[[#This Row],[Pré HGB g/dL]]</f>
        <v>13.3</v>
      </c>
      <c r="BI58" s="125">
        <f>Tabela1[[#This Row],[Pós HGB g/dL]]</f>
        <v>12.9</v>
      </c>
      <c r="BJ58" s="125">
        <f>Tabela1[[#This Row],[Pré HCT %]]</f>
        <v>40.200000000000003</v>
      </c>
      <c r="BK58" s="125">
        <f>Tabela1[[#This Row],[Pós HCT %]]</f>
        <v>38.5</v>
      </c>
      <c r="BL58" s="125">
        <f>Tabela1[[#This Row],[Pré MCV fL]]</f>
        <v>90.3</v>
      </c>
      <c r="BM58" s="125">
        <f>Tabela1[[#This Row],[Pós MCV fL]]</f>
        <v>90</v>
      </c>
      <c r="BN58" s="125">
        <f>Tabela1[[#This Row],[Pré MCH pg]]</f>
        <v>29.9</v>
      </c>
      <c r="BO58" s="125">
        <f>Tabela1[[#This Row],[Pós MCH pg]]</f>
        <v>30.1</v>
      </c>
      <c r="BP58" s="125">
        <f>Tabela1[[#This Row],[Pré MCHC g/dL]]</f>
        <v>33.1</v>
      </c>
      <c r="BQ58" s="125">
        <f>Tabela1[[#This Row],[Pós MCHC g/dL]]</f>
        <v>33.5</v>
      </c>
      <c r="BR58" s="85">
        <f>Tabela1[[#This Row],[Pré PLT 10³/mm³]]</f>
        <v>290</v>
      </c>
      <c r="BS58" s="85">
        <f>Tabela1[[#This Row],[Pós PLT 10³/mm³]]</f>
        <v>325</v>
      </c>
      <c r="BT58" s="125">
        <f>Tabela1[[#This Row],[Pré RDW %]]</f>
        <v>12.9</v>
      </c>
      <c r="BU58" s="125">
        <f>Tabela1[[#This Row],[Pós RDW %]]</f>
        <v>12.5</v>
      </c>
      <c r="BV58" s="179">
        <f>Tabela1[[#This Row],[Pré RET %]]</f>
        <v>0.8</v>
      </c>
      <c r="BW58" s="196">
        <f>Tabela1[[#This Row],[Pós RET %]]</f>
        <v>0.83</v>
      </c>
      <c r="BX58" s="197">
        <f>Tabela1[[#This Row],[Pré WBC 10³/mm³]]</f>
        <v>5.68</v>
      </c>
      <c r="BY58" s="179">
        <f>Tabela1[[#This Row],[Pós WBC 10³/mm³]]</f>
        <v>6.46</v>
      </c>
      <c r="BZ58" s="125">
        <f>Tabela1[[#This Row],[Pré NEUT %]]</f>
        <v>44.9</v>
      </c>
      <c r="CA58" s="125">
        <f>Tabela1[[#This Row],[Pós NEUT %]]</f>
        <v>47.5</v>
      </c>
      <c r="CB58" s="125">
        <f>Tabela1[[#This Row],[Pré LINF %]]</f>
        <v>26.2</v>
      </c>
      <c r="CC58" s="125">
        <f>Tabela1[[#This Row],[Pós LINF %]]</f>
        <v>27.6</v>
      </c>
      <c r="CD58" s="125">
        <f>Tabela1[[#This Row],[Pré MONO %]]</f>
        <v>8.5</v>
      </c>
      <c r="CE58" s="125">
        <f>Tabela1[[#This Row],[Pós MONO %]]</f>
        <v>10.199999999999999</v>
      </c>
      <c r="CF58" s="125">
        <f>Tabela1[[#This Row],[Pré EOS %]]</f>
        <v>20.2</v>
      </c>
      <c r="CG58" s="125">
        <f>Tabela1[[#This Row],[Pós EOS %]]</f>
        <v>14.4</v>
      </c>
      <c r="CH58" s="125">
        <f>Tabela1[[#This Row],[Pré BASO %]]</f>
        <v>0.2</v>
      </c>
      <c r="CI58" s="198">
        <f>Tabela1[[#This Row],[Pós BASO %]]</f>
        <v>0.3</v>
      </c>
      <c r="CJ58" s="199" t="str">
        <f t="shared" si="1"/>
        <v>NÃO</v>
      </c>
      <c r="CK58" s="200" t="str">
        <f t="shared" si="2"/>
        <v>SIM</v>
      </c>
      <c r="CL58" s="194">
        <f t="shared" si="3"/>
        <v>71.683920000000001</v>
      </c>
      <c r="CM58" s="125">
        <f>Tabela1[[#This Row],[MCT KG]]</f>
        <v>79.2</v>
      </c>
      <c r="CN58" s="85">
        <f>Tabela1[[#This Row],[ESTATURA]]</f>
        <v>172.6</v>
      </c>
      <c r="CO58" s="85">
        <f>Tabela1[[#This Row],[vo2max estimado]]</f>
        <v>51.6</v>
      </c>
      <c r="CP58" s="85">
        <f>Tabela1[[#This Row],[Handgrip     Dominante]]</f>
        <v>60</v>
      </c>
      <c r="CQ58" s="85">
        <f>Tabela1[[#This Row],[Handgrip Contrário]]</f>
        <v>54</v>
      </c>
      <c r="CR58" s="281">
        <f>Tabela1[[#This Row],[% gordura]]</f>
        <v>9.49</v>
      </c>
    </row>
    <row r="59" spans="1:96" ht="15.75" customHeight="1">
      <c r="A59" s="279">
        <f>Tabela1[[#This Row],[Ano]]</f>
        <v>2017</v>
      </c>
      <c r="B59" s="181" t="str">
        <f>Tabela1[[#This Row],[Missão]]</f>
        <v>Manaus</v>
      </c>
      <c r="C59" s="181">
        <f>Tabela1[[#This Row],[Aluno]]</f>
        <v>3106</v>
      </c>
      <c r="D59" s="181">
        <f>Tabela1[[#This Row],[Idade]]</f>
        <v>31</v>
      </c>
      <c r="E59" s="182">
        <f>Tabela1[[#This Row],[Peso Kg]]</f>
        <v>85</v>
      </c>
      <c r="F59" s="191">
        <f>Tabela1[[#This Row],[Cor da pele]]</f>
        <v>2</v>
      </c>
      <c r="G59" s="192" t="str">
        <f>Tabela1[[#This Row],[ACTN3]]</f>
        <v>XX</v>
      </c>
      <c r="H59" s="85" t="str">
        <f>Tabela1[[#This Row],[AGT]]</f>
        <v>MT</v>
      </c>
      <c r="I59" s="85" t="str">
        <f>Tabela1[[#This Row],[ECA]]</f>
        <v>DD</v>
      </c>
      <c r="J59" s="85" t="str">
        <f>Tabela1[[#This Row],[BDKRB2]]</f>
        <v>(+9, -9)</v>
      </c>
      <c r="K59" s="85">
        <f>Tabela1[[#This Row],[Score Força%]]</f>
        <v>50</v>
      </c>
      <c r="L59" s="193">
        <f>Tabela1[[#This Row],[Score Resistência %]]</f>
        <v>50</v>
      </c>
      <c r="M59" s="192">
        <f>Tabela1[[#This Row],[Pré CK (U/L)]]</f>
        <v>378</v>
      </c>
      <c r="N59" s="85">
        <f>Tabela1[[#This Row],[Pós CK (U/L)]]</f>
        <v>592</v>
      </c>
      <c r="O59" s="85">
        <f>Tabela1[[#This Row],[Pré CK MB U/L]]</f>
        <v>17</v>
      </c>
      <c r="P59" s="85">
        <f>Tabela1[[#This Row],[Pós CK MB U/L]]</f>
        <v>21</v>
      </c>
      <c r="Q59" s="85" t="str">
        <f>Tabela1[[#This Row],[Pré Lactato (mmol/L)]]</f>
        <v>-</v>
      </c>
      <c r="R59" s="85" t="str">
        <f>Tabela1[[#This Row],[Pós Lactato (mmol/L)]]</f>
        <v>-</v>
      </c>
      <c r="S59" s="85">
        <f>Tabela1[[#This Row],[Pré LDH (U/L)]]</f>
        <v>426</v>
      </c>
      <c r="T59" s="85">
        <f>Tabela1[[#This Row],[Pós LDH (U/L)]]</f>
        <v>484</v>
      </c>
      <c r="U59" s="85">
        <f>Tabela1[[#This Row],[Pré AST (U/L)]]</f>
        <v>36</v>
      </c>
      <c r="V59" s="193">
        <f>Tabela1[[#This Row],[Pós AST (U/L)]]</f>
        <v>44</v>
      </c>
      <c r="W59" s="194">
        <f>Tabela1[[#This Row],[Pré Albumina (g/dL)]]</f>
        <v>4.3</v>
      </c>
      <c r="X59" s="125">
        <f>Tabela1[[#This Row],[Pós Albumina (g/dL)]]</f>
        <v>5</v>
      </c>
      <c r="Y59" s="85">
        <f>Tabela1[[#This Row],[Pré TGP (g/dL)]]</f>
        <v>42</v>
      </c>
      <c r="Z59" s="85">
        <f>Tabela1[[#This Row],[Pós TGP (g/dL)]]</f>
        <v>44</v>
      </c>
      <c r="AA59" s="85">
        <f>Tabela1[[#This Row],[Pré GGT U/L]]</f>
        <v>17</v>
      </c>
      <c r="AB59" s="193">
        <f>Tabela1[[#This Row],[Pós GGT U/L]]</f>
        <v>16</v>
      </c>
      <c r="AC59" s="194" t="str">
        <f>Tabela1[[#This Row],[Pré Ac. Úrico (mg/dL)]]</f>
        <v>-</v>
      </c>
      <c r="AD59" s="125" t="str">
        <f>Tabela1[[#This Row],[Pós Ac. Úrico (mg/dL)2]]</f>
        <v>-</v>
      </c>
      <c r="AE5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5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59" s="85">
        <f>Tabela1[[#This Row],[Pré Ureia mg/dL]]</f>
        <v>39</v>
      </c>
      <c r="AH59" s="85">
        <f>Tabela1[[#This Row],[Pós Ureia mg/dL]]</f>
        <v>53</v>
      </c>
      <c r="AI59" s="125">
        <f>Tabela1[[#This Row],[Pré creatinina mg/dL]]</f>
        <v>1</v>
      </c>
      <c r="AJ59" s="125">
        <f>Tabela1[[#This Row],[Pós creatinina mg/dL]]</f>
        <v>1.2</v>
      </c>
      <c r="AK59" s="180">
        <f t="shared" si="0"/>
        <v>0.19999999999999996</v>
      </c>
      <c r="AL59" s="125">
        <f>Tabela1[[#This Row],[Pré Fósforo mg/dL]]</f>
        <v>5.3</v>
      </c>
      <c r="AM59" s="125">
        <f>Tabela1[[#This Row],[Pós Fósforo mg/dL]]</f>
        <v>5.7</v>
      </c>
      <c r="AN59" s="125">
        <f>Tabela1[[#This Row],[Pré Proteína Total (g/dL)]]</f>
        <v>7.2</v>
      </c>
      <c r="AO59" s="125">
        <f>Tabela1[[#This Row],[Pós Proteína Total (g/dL)]]</f>
        <v>8</v>
      </c>
      <c r="AP59" s="85" t="str">
        <f>Tabela1[[#This Row],[Pré FE (ug/dL)]]</f>
        <v>-</v>
      </c>
      <c r="AQ59" s="193" t="str">
        <f>Tabela1[[#This Row],[Pós FE (ug/dL)]]</f>
        <v>-</v>
      </c>
      <c r="AR59" s="194">
        <f>Tabela1[[#This Row],[Pré calcio mg/dL]]</f>
        <v>9.4</v>
      </c>
      <c r="AS59" s="125">
        <f>Tabela1[[#This Row],[Pós calcio mg/dL]]</f>
        <v>11.2</v>
      </c>
      <c r="AT59" s="125">
        <f>Tabela1[[#This Row],[Pré Potássio mmol/L]]</f>
        <v>6.2</v>
      </c>
      <c r="AU59" s="125">
        <f>Tabela1[[#This Row],[Pós Potássio mmol/L]]</f>
        <v>5.3</v>
      </c>
      <c r="AV59" s="85">
        <f>Tabela1[[#This Row],[Glicose pré]]</f>
        <v>92</v>
      </c>
      <c r="AW59" s="85">
        <f>Tabela1[[#This Row],[Glicose pós]]</f>
        <v>95</v>
      </c>
      <c r="AX59" s="85">
        <f>Tabela1[[#This Row],[Pré Sódio mmol/L]]</f>
        <v>142</v>
      </c>
      <c r="AY59" s="85">
        <f>Tabela1[[#This Row],[Pós Sódio mmol/L]]</f>
        <v>154</v>
      </c>
      <c r="AZ59" s="125" t="str">
        <f>Tabela1[[#This Row],[Pré Magnésio mg/dL]]</f>
        <v>-</v>
      </c>
      <c r="BA59" s="125" t="str">
        <f>Tabela1[[#This Row],[Pós Magnésio mg/dL]]</f>
        <v>-</v>
      </c>
      <c r="BB59" s="85" t="str">
        <f>Tabela1[[#This Row],[Pré Cloro mmol/L]]</f>
        <v>-</v>
      </c>
      <c r="BC59" s="85" t="str">
        <f>Tabela1[[#This Row],[Pós Cloro mmol/L]]</f>
        <v>-</v>
      </c>
      <c r="BD5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302.02977777777778</v>
      </c>
      <c r="BE5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325.20077777777783</v>
      </c>
      <c r="BF59" s="194">
        <f>Tabela1[[#This Row],[Pré RBC 10^6/mm³]]</f>
        <v>5.15</v>
      </c>
      <c r="BG59" s="125">
        <f>Tabela1[[#This Row],[Pós RBC 10^6/mm³]]</f>
        <v>4.99</v>
      </c>
      <c r="BH59" s="125">
        <f>Tabela1[[#This Row],[Pré HGB g/dL]]</f>
        <v>14.2</v>
      </c>
      <c r="BI59" s="125">
        <f>Tabela1[[#This Row],[Pós HGB g/dL]]</f>
        <v>13.9</v>
      </c>
      <c r="BJ59" s="125">
        <f>Tabela1[[#This Row],[Pré HCT %]]</f>
        <v>41.4</v>
      </c>
      <c r="BK59" s="125">
        <f>Tabela1[[#This Row],[Pós HCT %]]</f>
        <v>40</v>
      </c>
      <c r="BL59" s="125">
        <f>Tabela1[[#This Row],[Pré MCV fL]]</f>
        <v>80.400000000000006</v>
      </c>
      <c r="BM59" s="125">
        <f>Tabela1[[#This Row],[Pós MCV fL]]</f>
        <v>80.2</v>
      </c>
      <c r="BN59" s="125">
        <f>Tabela1[[#This Row],[Pré MCH pg]]</f>
        <v>27.6</v>
      </c>
      <c r="BO59" s="125">
        <f>Tabela1[[#This Row],[Pós MCH pg]]</f>
        <v>27.9</v>
      </c>
      <c r="BP59" s="125">
        <f>Tabela1[[#This Row],[Pré MCHC g/dL]]</f>
        <v>34.299999999999997</v>
      </c>
      <c r="BQ59" s="125">
        <f>Tabela1[[#This Row],[Pós MCHC g/dL]]</f>
        <v>34.799999999999997</v>
      </c>
      <c r="BR59" s="85">
        <f>Tabela1[[#This Row],[Pré PLT 10³/mm³]]</f>
        <v>301</v>
      </c>
      <c r="BS59" s="85">
        <f>Tabela1[[#This Row],[Pós PLT 10³/mm³]]</f>
        <v>295</v>
      </c>
      <c r="BT59" s="125">
        <f>Tabela1[[#This Row],[Pré RDW %]]</f>
        <v>12.6</v>
      </c>
      <c r="BU59" s="125">
        <f>Tabela1[[#This Row],[Pós RDW %]]</f>
        <v>12.7</v>
      </c>
      <c r="BV59" s="179">
        <f>Tabela1[[#This Row],[Pré RET %]]</f>
        <v>1.05</v>
      </c>
      <c r="BW59" s="196">
        <f>Tabela1[[#This Row],[Pós RET %]]</f>
        <v>0.77</v>
      </c>
      <c r="BX59" s="197">
        <f>Tabela1[[#This Row],[Pré WBC 10³/mm³]]</f>
        <v>7.68</v>
      </c>
      <c r="BY59" s="179">
        <f>Tabela1[[#This Row],[Pós WBC 10³/mm³]]</f>
        <v>9.26</v>
      </c>
      <c r="BZ59" s="125">
        <f>Tabela1[[#This Row],[Pré NEUT %]]</f>
        <v>47.6</v>
      </c>
      <c r="CA59" s="125">
        <f>Tabela1[[#This Row],[Pós NEUT %]]</f>
        <v>51.5</v>
      </c>
      <c r="CB59" s="125">
        <f>Tabela1[[#This Row],[Pré LINF %]]</f>
        <v>37.1</v>
      </c>
      <c r="CC59" s="125">
        <f>Tabela1[[#This Row],[Pós LINF %]]</f>
        <v>32.299999999999997</v>
      </c>
      <c r="CD59" s="125">
        <f>Tabela1[[#This Row],[Pré MONO %]]</f>
        <v>11.1</v>
      </c>
      <c r="CE59" s="125">
        <f>Tabela1[[#This Row],[Pós MONO %]]</f>
        <v>12.3</v>
      </c>
      <c r="CF59" s="125">
        <f>Tabela1[[#This Row],[Pré EOS %]]</f>
        <v>3.5</v>
      </c>
      <c r="CG59" s="125">
        <f>Tabela1[[#This Row],[Pós EOS %]]</f>
        <v>3.3</v>
      </c>
      <c r="CH59" s="125">
        <f>Tabela1[[#This Row],[Pré BASO %]]</f>
        <v>0.7</v>
      </c>
      <c r="CI59" s="198">
        <f>Tabela1[[#This Row],[Pós BASO %]]</f>
        <v>0.6</v>
      </c>
      <c r="CJ59" s="199" t="str">
        <f t="shared" si="1"/>
        <v>NÃO</v>
      </c>
      <c r="CK59" s="200" t="str">
        <f t="shared" si="2"/>
        <v>NÃO</v>
      </c>
      <c r="CL59" s="194">
        <f t="shared" si="3"/>
        <v>76.33</v>
      </c>
      <c r="CM59" s="125">
        <f>Tabela1[[#This Row],[MCT KG]]</f>
        <v>85</v>
      </c>
      <c r="CN59" s="85">
        <f>Tabela1[[#This Row],[ESTATURA]]</f>
        <v>181</v>
      </c>
      <c r="CO59" s="85">
        <f>Tabela1[[#This Row],[vo2max estimado]]</f>
        <v>50.68</v>
      </c>
      <c r="CP59" s="85">
        <f>Tabela1[[#This Row],[Handgrip     Dominante]]</f>
        <v>52</v>
      </c>
      <c r="CQ59" s="85">
        <f>Tabela1[[#This Row],[Handgrip Contrário]]</f>
        <v>55</v>
      </c>
      <c r="CR59" s="281">
        <f>Tabela1[[#This Row],[% gordura]]</f>
        <v>10.199999999999999</v>
      </c>
    </row>
    <row r="60" spans="1:96" ht="15.75" customHeight="1">
      <c r="A60" s="279">
        <f>Tabela1[[#This Row],[Ano]]</f>
        <v>2017</v>
      </c>
      <c r="B60" s="181" t="str">
        <f>Tabela1[[#This Row],[Missão]]</f>
        <v>Manaus</v>
      </c>
      <c r="C60" s="181">
        <f>Tabela1[[#This Row],[Aluno]]</f>
        <v>3108</v>
      </c>
      <c r="D60" s="181">
        <f>Tabela1[[#This Row],[Idade]]</f>
        <v>31</v>
      </c>
      <c r="E60" s="182">
        <f>Tabela1[[#This Row],[Peso Kg]]</f>
        <v>81</v>
      </c>
      <c r="F60" s="191">
        <f>Tabela1[[#This Row],[Cor da pele]]</f>
        <v>2</v>
      </c>
      <c r="G60" s="192" t="str">
        <f>Tabela1[[#This Row],[ACTN3]]</f>
        <v>RR</v>
      </c>
      <c r="H60" s="85" t="str">
        <f>Tabela1[[#This Row],[AGT]]</f>
        <v>MT</v>
      </c>
      <c r="I60" s="85" t="str">
        <f>Tabela1[[#This Row],[ECA]]</f>
        <v>DD</v>
      </c>
      <c r="J60" s="85" t="str">
        <f>Tabela1[[#This Row],[BDKRB2]]</f>
        <v>(-9, -9)</v>
      </c>
      <c r="K60" s="85">
        <f>Tabela1[[#This Row],[Score Força%]]</f>
        <v>62.5</v>
      </c>
      <c r="L60" s="193">
        <f>Tabela1[[#This Row],[Score Resistência %]]</f>
        <v>37.5</v>
      </c>
      <c r="M60" s="192">
        <f>Tabela1[[#This Row],[Pré CK (U/L)]]</f>
        <v>1142</v>
      </c>
      <c r="N60" s="85">
        <f>Tabela1[[#This Row],[Pós CK (U/L)]]</f>
        <v>949</v>
      </c>
      <c r="O60" s="85">
        <f>Tabela1[[#This Row],[Pré CK MB U/L]]</f>
        <v>27</v>
      </c>
      <c r="P60" s="85">
        <f>Tabela1[[#This Row],[Pós CK MB U/L]]</f>
        <v>24</v>
      </c>
      <c r="Q60" s="85" t="str">
        <f>Tabela1[[#This Row],[Pré Lactato (mmol/L)]]</f>
        <v>-</v>
      </c>
      <c r="R60" s="85" t="str">
        <f>Tabela1[[#This Row],[Pós Lactato (mmol/L)]]</f>
        <v>-</v>
      </c>
      <c r="S60" s="85">
        <f>Tabela1[[#This Row],[Pré LDH (U/L)]]</f>
        <v>608</v>
      </c>
      <c r="T60" s="85">
        <f>Tabela1[[#This Row],[Pós LDH (U/L)]]</f>
        <v>692</v>
      </c>
      <c r="U60" s="85">
        <f>Tabela1[[#This Row],[Pré AST (U/L)]]</f>
        <v>56</v>
      </c>
      <c r="V60" s="193">
        <f>Tabela1[[#This Row],[Pós AST (U/L)]]</f>
        <v>36</v>
      </c>
      <c r="W60" s="194">
        <f>Tabela1[[#This Row],[Pré Albumina (g/dL)]]</f>
        <v>4.5</v>
      </c>
      <c r="X60" s="125">
        <f>Tabela1[[#This Row],[Pós Albumina (g/dL)]]</f>
        <v>4.7</v>
      </c>
      <c r="Y60" s="85">
        <f>Tabela1[[#This Row],[Pré TGP (g/dL)]]</f>
        <v>59</v>
      </c>
      <c r="Z60" s="85">
        <f>Tabela1[[#This Row],[Pós TGP (g/dL)]]</f>
        <v>36</v>
      </c>
      <c r="AA60" s="85">
        <f>Tabela1[[#This Row],[Pré GGT U/L]]</f>
        <v>23</v>
      </c>
      <c r="AB60" s="193">
        <f>Tabela1[[#This Row],[Pós GGT U/L]]</f>
        <v>16</v>
      </c>
      <c r="AC60" s="194" t="str">
        <f>Tabela1[[#This Row],[Pré Ac. Úrico (mg/dL)]]</f>
        <v>-</v>
      </c>
      <c r="AD60" s="125" t="str">
        <f>Tabela1[[#This Row],[Pós Ac. Úrico (mg/dL)2]]</f>
        <v>-</v>
      </c>
      <c r="AE6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6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60" s="85">
        <f>Tabela1[[#This Row],[Pré Ureia mg/dL]]</f>
        <v>45</v>
      </c>
      <c r="AH60" s="85">
        <f>Tabela1[[#This Row],[Pós Ureia mg/dL]]</f>
        <v>50</v>
      </c>
      <c r="AI60" s="125">
        <f>Tabela1[[#This Row],[Pré creatinina mg/dL]]</f>
        <v>0.9</v>
      </c>
      <c r="AJ60" s="125">
        <f>Tabela1[[#This Row],[Pós creatinina mg/dL]]</f>
        <v>1.1000000000000001</v>
      </c>
      <c r="AK60" s="180">
        <f t="shared" si="0"/>
        <v>0.20000000000000007</v>
      </c>
      <c r="AL60" s="125">
        <f>Tabela1[[#This Row],[Pré Fósforo mg/dL]]</f>
        <v>4.4000000000000004</v>
      </c>
      <c r="AM60" s="125">
        <f>Tabela1[[#This Row],[Pós Fósforo mg/dL]]</f>
        <v>4.5</v>
      </c>
      <c r="AN60" s="125">
        <f>Tabela1[[#This Row],[Pré Proteína Total (g/dL)]]</f>
        <v>7.6</v>
      </c>
      <c r="AO60" s="125">
        <f>Tabela1[[#This Row],[Pós Proteína Total (g/dL)]]</f>
        <v>7.2</v>
      </c>
      <c r="AP60" s="85" t="str">
        <f>Tabela1[[#This Row],[Pré FE (ug/dL)]]</f>
        <v>-</v>
      </c>
      <c r="AQ60" s="193" t="str">
        <f>Tabela1[[#This Row],[Pós FE (ug/dL)]]</f>
        <v>-</v>
      </c>
      <c r="AR60" s="194">
        <f>Tabela1[[#This Row],[Pré calcio mg/dL]]</f>
        <v>9.1</v>
      </c>
      <c r="AS60" s="125">
        <f>Tabela1[[#This Row],[Pós calcio mg/dL]]</f>
        <v>9.4</v>
      </c>
      <c r="AT60" s="125">
        <f>Tabela1[[#This Row],[Pré Potássio mmol/L]]</f>
        <v>4.7</v>
      </c>
      <c r="AU60" s="125">
        <f>Tabela1[[#This Row],[Pós Potássio mmol/L]]</f>
        <v>4.2</v>
      </c>
      <c r="AV60" s="85">
        <f>Tabela1[[#This Row],[Glicose pré]]</f>
        <v>87</v>
      </c>
      <c r="AW60" s="85">
        <f>Tabela1[[#This Row],[Glicose pós]]</f>
        <v>88</v>
      </c>
      <c r="AX60" s="85">
        <f>Tabela1[[#This Row],[Pré Sódio mmol/L]]</f>
        <v>141</v>
      </c>
      <c r="AY60" s="85">
        <f>Tabela1[[#This Row],[Pós Sódio mmol/L]]</f>
        <v>141</v>
      </c>
      <c r="AZ60" s="125" t="str">
        <f>Tabela1[[#This Row],[Pré Magnésio mg/dL]]</f>
        <v>-</v>
      </c>
      <c r="BA60" s="125" t="str">
        <f>Tabela1[[#This Row],[Pós Magnésio mg/dL]]</f>
        <v>-</v>
      </c>
      <c r="BB60" s="85" t="str">
        <f>Tabela1[[#This Row],[Pré Cloro mmol/L]]</f>
        <v>-</v>
      </c>
      <c r="BC60" s="85" t="str">
        <f>Tabela1[[#This Row],[Pós Cloro mmol/L]]</f>
        <v>-</v>
      </c>
      <c r="BD6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298.06033333333335</v>
      </c>
      <c r="BE6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298.02755555555552</v>
      </c>
      <c r="BF60" s="194">
        <f>Tabela1[[#This Row],[Pré RBC 10^6/mm³]]</f>
        <v>4.97</v>
      </c>
      <c r="BG60" s="125">
        <f>Tabela1[[#This Row],[Pós RBC 10^6/mm³]]</f>
        <v>4.8600000000000003</v>
      </c>
      <c r="BH60" s="125">
        <f>Tabela1[[#This Row],[Pré HGB g/dL]]</f>
        <v>14.8</v>
      </c>
      <c r="BI60" s="125">
        <f>Tabela1[[#This Row],[Pós HGB g/dL]]</f>
        <v>14.6</v>
      </c>
      <c r="BJ60" s="125">
        <f>Tabela1[[#This Row],[Pré HCT %]]</f>
        <v>44.2</v>
      </c>
      <c r="BK60" s="125">
        <f>Tabela1[[#This Row],[Pós HCT %]]</f>
        <v>42.7</v>
      </c>
      <c r="BL60" s="125">
        <f>Tabela1[[#This Row],[Pré MCV fL]]</f>
        <v>88.9</v>
      </c>
      <c r="BM60" s="125">
        <f>Tabela1[[#This Row],[Pós MCV fL]]</f>
        <v>87.9</v>
      </c>
      <c r="BN60" s="125">
        <f>Tabela1[[#This Row],[Pré MCH pg]]</f>
        <v>29.8</v>
      </c>
      <c r="BO60" s="125">
        <f>Tabela1[[#This Row],[Pós MCH pg]]</f>
        <v>30</v>
      </c>
      <c r="BP60" s="125">
        <f>Tabela1[[#This Row],[Pré MCHC g/dL]]</f>
        <v>33.5</v>
      </c>
      <c r="BQ60" s="125">
        <f>Tabela1[[#This Row],[Pós MCHC g/dL]]</f>
        <v>34.200000000000003</v>
      </c>
      <c r="BR60" s="85">
        <f>Tabela1[[#This Row],[Pré PLT 10³/mm³]]</f>
        <v>175</v>
      </c>
      <c r="BS60" s="85">
        <f>Tabela1[[#This Row],[Pós PLT 10³/mm³]]</f>
        <v>204</v>
      </c>
      <c r="BT60" s="125">
        <f>Tabela1[[#This Row],[Pré RDW %]]</f>
        <v>12.4</v>
      </c>
      <c r="BU60" s="125">
        <f>Tabela1[[#This Row],[Pós RDW %]]</f>
        <v>12.1</v>
      </c>
      <c r="BV60" s="179">
        <f>Tabela1[[#This Row],[Pré RET %]]</f>
        <v>0.82</v>
      </c>
      <c r="BW60" s="196">
        <f>Tabela1[[#This Row],[Pós RET %]]</f>
        <v>0.82</v>
      </c>
      <c r="BX60" s="197">
        <f>Tabela1[[#This Row],[Pré WBC 10³/mm³]]</f>
        <v>7.28</v>
      </c>
      <c r="BY60" s="179">
        <f>Tabela1[[#This Row],[Pós WBC 10³/mm³]]</f>
        <v>8.34</v>
      </c>
      <c r="BZ60" s="125">
        <f>Tabela1[[#This Row],[Pré NEUT %]]</f>
        <v>57</v>
      </c>
      <c r="CA60" s="125">
        <f>Tabela1[[#This Row],[Pós NEUT %]]</f>
        <v>56.8</v>
      </c>
      <c r="CB60" s="125">
        <f>Tabela1[[#This Row],[Pré LINF %]]</f>
        <v>33.200000000000003</v>
      </c>
      <c r="CC60" s="125">
        <f>Tabela1[[#This Row],[Pós LINF %]]</f>
        <v>29.9</v>
      </c>
      <c r="CD60" s="125">
        <f>Tabela1[[#This Row],[Pré MONO %]]</f>
        <v>8.5</v>
      </c>
      <c r="CE60" s="125">
        <f>Tabela1[[#This Row],[Pós MONO %]]</f>
        <v>12.2</v>
      </c>
      <c r="CF60" s="125">
        <f>Tabela1[[#This Row],[Pré EOS %]]</f>
        <v>1.2</v>
      </c>
      <c r="CG60" s="125">
        <f>Tabela1[[#This Row],[Pós EOS %]]</f>
        <v>1</v>
      </c>
      <c r="CH60" s="125">
        <f>Tabela1[[#This Row],[Pré BASO %]]</f>
        <v>0.1</v>
      </c>
      <c r="CI60" s="198">
        <f>Tabela1[[#This Row],[Pós BASO %]]</f>
        <v>0.1</v>
      </c>
      <c r="CJ60" s="199" t="str">
        <f t="shared" si="1"/>
        <v>NÃO</v>
      </c>
      <c r="CK60" s="200" t="str">
        <f t="shared" si="2"/>
        <v>SIM</v>
      </c>
      <c r="CL60" s="194">
        <f t="shared" si="3"/>
        <v>71.280989999999989</v>
      </c>
      <c r="CM60" s="125">
        <f>Tabela1[[#This Row],[MCT KG]]</f>
        <v>80.099999999999994</v>
      </c>
      <c r="CN60" s="85">
        <f>Tabela1[[#This Row],[ESTATURA]]</f>
        <v>184</v>
      </c>
      <c r="CO60" s="85">
        <f>Tabela1[[#This Row],[vo2max estimado]]</f>
        <v>51.35</v>
      </c>
      <c r="CP60" s="85">
        <f>Tabela1[[#This Row],[Handgrip     Dominante]]</f>
        <v>57</v>
      </c>
      <c r="CQ60" s="85">
        <f>Tabela1[[#This Row],[Handgrip Contrário]]</f>
        <v>55</v>
      </c>
      <c r="CR60" s="281">
        <f>Tabela1[[#This Row],[% gordura]]</f>
        <v>11.01</v>
      </c>
    </row>
    <row r="61" spans="1:96" ht="15.75" customHeight="1">
      <c r="A61" s="279">
        <f>Tabela1[[#This Row],[Ano]]</f>
        <v>2017</v>
      </c>
      <c r="B61" s="181" t="str">
        <f>Tabela1[[#This Row],[Missão]]</f>
        <v>Manaus</v>
      </c>
      <c r="C61" s="181">
        <f>Tabela1[[#This Row],[Aluno]]</f>
        <v>3114</v>
      </c>
      <c r="D61" s="181">
        <f>Tabela1[[#This Row],[Idade]]</f>
        <v>30</v>
      </c>
      <c r="E61" s="182">
        <f>Tabela1[[#This Row],[Peso Kg]]</f>
        <v>72</v>
      </c>
      <c r="F61" s="191">
        <f>Tabela1[[#This Row],[Cor da pele]]</f>
        <v>1</v>
      </c>
      <c r="G61" s="192" t="str">
        <f>Tabela1[[#This Row],[ACTN3]]</f>
        <v>RX</v>
      </c>
      <c r="H61" s="85" t="str">
        <f>Tabela1[[#This Row],[AGT]]</f>
        <v>MM</v>
      </c>
      <c r="I61" s="85" t="str">
        <f>Tabela1[[#This Row],[ECA]]</f>
        <v>DD</v>
      </c>
      <c r="J61" s="85" t="str">
        <f>Tabela1[[#This Row],[BDKRB2]]</f>
        <v>(+9, -9)</v>
      </c>
      <c r="K61" s="85">
        <f>Tabela1[[#This Row],[Score Força%]]</f>
        <v>50</v>
      </c>
      <c r="L61" s="193">
        <f>Tabela1[[#This Row],[Score Resistência %]]</f>
        <v>50</v>
      </c>
      <c r="M61" s="192">
        <f>Tabela1[[#This Row],[Pré CK (U/L)]]</f>
        <v>1531</v>
      </c>
      <c r="N61" s="85">
        <f>Tabela1[[#This Row],[Pós CK (U/L)]]</f>
        <v>1139</v>
      </c>
      <c r="O61" s="85">
        <f>Tabela1[[#This Row],[Pré CK MB U/L]]</f>
        <v>28</v>
      </c>
      <c r="P61" s="85">
        <f>Tabela1[[#This Row],[Pós CK MB U/L]]</f>
        <v>17</v>
      </c>
      <c r="Q61" s="85" t="str">
        <f>Tabela1[[#This Row],[Pré Lactato (mmol/L)]]</f>
        <v>-</v>
      </c>
      <c r="R61" s="85" t="str">
        <f>Tabela1[[#This Row],[Pós Lactato (mmol/L)]]</f>
        <v>-</v>
      </c>
      <c r="S61" s="85">
        <f>Tabela1[[#This Row],[Pré LDH (U/L)]]</f>
        <v>538</v>
      </c>
      <c r="T61" s="85">
        <f>Tabela1[[#This Row],[Pós LDH (U/L)]]</f>
        <v>461</v>
      </c>
      <c r="U61" s="85">
        <f>Tabela1[[#This Row],[Pré AST (U/L)]]</f>
        <v>49</v>
      </c>
      <c r="V61" s="193">
        <f>Tabela1[[#This Row],[Pós AST (U/L)]]</f>
        <v>27</v>
      </c>
      <c r="W61" s="194">
        <f>Tabela1[[#This Row],[Pré Albumina (g/dL)]]</f>
        <v>4.3</v>
      </c>
      <c r="X61" s="125">
        <f>Tabela1[[#This Row],[Pós Albumina (g/dL)]]</f>
        <v>3.8</v>
      </c>
      <c r="Y61" s="85">
        <f>Tabela1[[#This Row],[Pré TGP (g/dL)]]</f>
        <v>35</v>
      </c>
      <c r="Z61" s="85">
        <f>Tabela1[[#This Row],[Pós TGP (g/dL)]]</f>
        <v>26</v>
      </c>
      <c r="AA61" s="85">
        <f>Tabela1[[#This Row],[Pré GGT U/L]]</f>
        <v>10</v>
      </c>
      <c r="AB61" s="193">
        <f>Tabela1[[#This Row],[Pós GGT U/L]]</f>
        <v>10</v>
      </c>
      <c r="AC61" s="194" t="str">
        <f>Tabela1[[#This Row],[Pré Ac. Úrico (mg/dL)]]</f>
        <v>-</v>
      </c>
      <c r="AD61" s="125" t="str">
        <f>Tabela1[[#This Row],[Pós Ac. Úrico (mg/dL)2]]</f>
        <v>-</v>
      </c>
      <c r="AE6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6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61" s="85">
        <f>Tabela1[[#This Row],[Pré Ureia mg/dL]]</f>
        <v>47</v>
      </c>
      <c r="AH61" s="85">
        <f>Tabela1[[#This Row],[Pós Ureia mg/dL]]</f>
        <v>41</v>
      </c>
      <c r="AI61" s="125">
        <f>Tabela1[[#This Row],[Pré creatinina mg/dL]]</f>
        <v>0.8</v>
      </c>
      <c r="AJ61" s="125">
        <f>Tabela1[[#This Row],[Pós creatinina mg/dL]]</f>
        <v>0.9</v>
      </c>
      <c r="AK61" s="180">
        <f t="shared" si="0"/>
        <v>9.9999999999999978E-2</v>
      </c>
      <c r="AL61" s="125">
        <f>Tabela1[[#This Row],[Pré Fósforo mg/dL]]</f>
        <v>4.5999999999999996</v>
      </c>
      <c r="AM61" s="125">
        <f>Tabela1[[#This Row],[Pós Fósforo mg/dL]]</f>
        <v>3.7</v>
      </c>
      <c r="AN61" s="125">
        <f>Tabela1[[#This Row],[Pré Proteína Total (g/dL)]]</f>
        <v>7.2</v>
      </c>
      <c r="AO61" s="125">
        <f>Tabela1[[#This Row],[Pós Proteína Total (g/dL)]]</f>
        <v>6</v>
      </c>
      <c r="AP61" s="85" t="str">
        <f>Tabela1[[#This Row],[Pré FE (ug/dL)]]</f>
        <v>-</v>
      </c>
      <c r="AQ61" s="193" t="str">
        <f>Tabela1[[#This Row],[Pós FE (ug/dL)]]</f>
        <v>-</v>
      </c>
      <c r="AR61" s="194">
        <f>Tabela1[[#This Row],[Pré calcio mg/dL]]</f>
        <v>9.6</v>
      </c>
      <c r="AS61" s="125">
        <f>Tabela1[[#This Row],[Pós calcio mg/dL]]</f>
        <v>8.8000000000000007</v>
      </c>
      <c r="AT61" s="125">
        <f>Tabela1[[#This Row],[Pré Potássio mmol/L]]</f>
        <v>6.1</v>
      </c>
      <c r="AU61" s="125">
        <f>Tabela1[[#This Row],[Pós Potássio mmol/L]]</f>
        <v>3.8</v>
      </c>
      <c r="AV61" s="85">
        <f>Tabela1[[#This Row],[Glicose pré]]</f>
        <v>82</v>
      </c>
      <c r="AW61" s="85">
        <f>Tabela1[[#This Row],[Glicose pós]]</f>
        <v>70</v>
      </c>
      <c r="AX61" s="85">
        <f>Tabela1[[#This Row],[Pré Sódio mmol/L]]</f>
        <v>142</v>
      </c>
      <c r="AY61" s="85">
        <f>Tabela1[[#This Row],[Pós Sódio mmol/L]]</f>
        <v>124</v>
      </c>
      <c r="AZ61" s="125" t="str">
        <f>Tabela1[[#This Row],[Pré Magnésio mg/dL]]</f>
        <v>-</v>
      </c>
      <c r="BA61" s="125" t="str">
        <f>Tabela1[[#This Row],[Pós Magnésio mg/dL]]</f>
        <v>-</v>
      </c>
      <c r="BB61" s="85" t="str">
        <f>Tabela1[[#This Row],[Pré Cloro mmol/L]]</f>
        <v>-</v>
      </c>
      <c r="BC61" s="85" t="str">
        <f>Tabela1[[#This Row],[Pós Cloro mmol/L]]</f>
        <v>-</v>
      </c>
      <c r="BD6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302.5382222222222</v>
      </c>
      <c r="BE6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263.01355555555557</v>
      </c>
      <c r="BF61" s="194">
        <f>Tabela1[[#This Row],[Pré RBC 10^6/mm³]]</f>
        <v>5.08</v>
      </c>
      <c r="BG61" s="125">
        <f>Tabela1[[#This Row],[Pós RBC 10^6/mm³]]</f>
        <v>4.99</v>
      </c>
      <c r="BH61" s="125">
        <f>Tabela1[[#This Row],[Pré HGB g/dL]]</f>
        <v>14.7</v>
      </c>
      <c r="BI61" s="125">
        <f>Tabela1[[#This Row],[Pós HGB g/dL]]</f>
        <v>14.5</v>
      </c>
      <c r="BJ61" s="125">
        <f>Tabela1[[#This Row],[Pré HCT %]]</f>
        <v>45.8</v>
      </c>
      <c r="BK61" s="125">
        <f>Tabela1[[#This Row],[Pós HCT %]]</f>
        <v>44.5</v>
      </c>
      <c r="BL61" s="125">
        <f>Tabela1[[#This Row],[Pré MCV fL]]</f>
        <v>90.2</v>
      </c>
      <c r="BM61" s="125">
        <f>Tabela1[[#This Row],[Pós MCV fL]]</f>
        <v>89.2</v>
      </c>
      <c r="BN61" s="125">
        <f>Tabela1[[#This Row],[Pré MCH pg]]</f>
        <v>28.9</v>
      </c>
      <c r="BO61" s="125">
        <f>Tabela1[[#This Row],[Pós MCH pg]]</f>
        <v>29.1</v>
      </c>
      <c r="BP61" s="125">
        <f>Tabela1[[#This Row],[Pré MCHC g/dL]]</f>
        <v>32.1</v>
      </c>
      <c r="BQ61" s="125">
        <f>Tabela1[[#This Row],[Pós MCHC g/dL]]</f>
        <v>32.6</v>
      </c>
      <c r="BR61" s="85">
        <f>Tabela1[[#This Row],[Pré PLT 10³/mm³]]</f>
        <v>293</v>
      </c>
      <c r="BS61" s="85">
        <f>Tabela1[[#This Row],[Pós PLT 10³/mm³]]</f>
        <v>315</v>
      </c>
      <c r="BT61" s="125">
        <f>Tabela1[[#This Row],[Pré RDW %]]</f>
        <v>13</v>
      </c>
      <c r="BU61" s="125">
        <f>Tabela1[[#This Row],[Pós RDW %]]</f>
        <v>12.3</v>
      </c>
      <c r="BV61" s="179">
        <f>Tabela1[[#This Row],[Pré RET %]]</f>
        <v>0.92</v>
      </c>
      <c r="BW61" s="196">
        <f>Tabela1[[#This Row],[Pós RET %]]</f>
        <v>0.84</v>
      </c>
      <c r="BX61" s="197">
        <f>Tabela1[[#This Row],[Pré WBC 10³/mm³]]</f>
        <v>6.12</v>
      </c>
      <c r="BY61" s="179">
        <f>Tabela1[[#This Row],[Pós WBC 10³/mm³]]</f>
        <v>8.68</v>
      </c>
      <c r="BZ61" s="125">
        <f>Tabela1[[#This Row],[Pré NEUT %]]</f>
        <v>55.9</v>
      </c>
      <c r="CA61" s="125">
        <f>Tabela1[[#This Row],[Pós NEUT %]]</f>
        <v>58.6</v>
      </c>
      <c r="CB61" s="125">
        <f>Tabela1[[#This Row],[Pré LINF %]]</f>
        <v>30.9</v>
      </c>
      <c r="CC61" s="125">
        <f>Tabela1[[#This Row],[Pós LINF %]]</f>
        <v>30.4</v>
      </c>
      <c r="CD61" s="125">
        <f>Tabela1[[#This Row],[Pré MONO %]]</f>
        <v>9.8000000000000007</v>
      </c>
      <c r="CE61" s="125">
        <f>Tabela1[[#This Row],[Pós MONO %]]</f>
        <v>8.1999999999999993</v>
      </c>
      <c r="CF61" s="125">
        <f>Tabela1[[#This Row],[Pré EOS %]]</f>
        <v>3.1</v>
      </c>
      <c r="CG61" s="125">
        <f>Tabela1[[#This Row],[Pós EOS %]]</f>
        <v>2.2000000000000002</v>
      </c>
      <c r="CH61" s="125">
        <f>Tabela1[[#This Row],[Pré BASO %]]</f>
        <v>0.3</v>
      </c>
      <c r="CI61" s="198">
        <f>Tabela1[[#This Row],[Pós BASO %]]</f>
        <v>0.6</v>
      </c>
      <c r="CJ61" s="199" t="str">
        <f t="shared" si="1"/>
        <v>NÃO</v>
      </c>
      <c r="CK61" s="200" t="str">
        <f t="shared" si="2"/>
        <v>SIM</v>
      </c>
      <c r="CL61" s="194">
        <f t="shared" si="3"/>
        <v>66.363659999999996</v>
      </c>
      <c r="CM61" s="125">
        <f>Tabela1[[#This Row],[MCT KG]]</f>
        <v>72.599999999999994</v>
      </c>
      <c r="CN61" s="85">
        <f>Tabela1[[#This Row],[ESTATURA]]</f>
        <v>180</v>
      </c>
      <c r="CO61" s="85">
        <f>Tabela1[[#This Row],[vo2max estimado]]</f>
        <v>52.5</v>
      </c>
      <c r="CP61" s="85">
        <f>Tabela1[[#This Row],[Handgrip     Dominante]]</f>
        <v>45</v>
      </c>
      <c r="CQ61" s="85">
        <f>Tabela1[[#This Row],[Handgrip Contrário]]</f>
        <v>42</v>
      </c>
      <c r="CR61" s="281">
        <f>Tabela1[[#This Row],[% gordura]]</f>
        <v>8.59</v>
      </c>
    </row>
    <row r="62" spans="1:96" ht="15.75" customHeight="1">
      <c r="A62" s="279">
        <f>Tabela1[[#This Row],[Ano]]</f>
        <v>2017</v>
      </c>
      <c r="B62" s="181" t="str">
        <f>Tabela1[[#This Row],[Missão]]</f>
        <v>Manaus</v>
      </c>
      <c r="C62" s="181">
        <f>Tabela1[[#This Row],[Aluno]]</f>
        <v>3116</v>
      </c>
      <c r="D62" s="181">
        <f>Tabela1[[#This Row],[Idade]]</f>
        <v>29</v>
      </c>
      <c r="E62" s="182">
        <f>Tabela1[[#This Row],[Peso Kg]]</f>
        <v>70</v>
      </c>
      <c r="F62" s="191">
        <f>Tabela1[[#This Row],[Cor da pele]]</f>
        <v>2</v>
      </c>
      <c r="G62" s="192" t="str">
        <f>Tabela1[[#This Row],[ACTN3]]</f>
        <v>RX</v>
      </c>
      <c r="H62" s="85" t="str">
        <f>Tabela1[[#This Row],[AGT]]</f>
        <v>MT</v>
      </c>
      <c r="I62" s="85" t="str">
        <f>Tabela1[[#This Row],[ECA]]</f>
        <v>DD</v>
      </c>
      <c r="J62" s="85" t="str">
        <f>Tabela1[[#This Row],[BDKRB2]]</f>
        <v>(+9, -9)</v>
      </c>
      <c r="K62" s="85">
        <f>Tabela1[[#This Row],[Score Força%]]</f>
        <v>62.5</v>
      </c>
      <c r="L62" s="193">
        <f>Tabela1[[#This Row],[Score Resistência %]]</f>
        <v>37.5</v>
      </c>
      <c r="M62" s="192">
        <f>Tabela1[[#This Row],[Pré CK (U/L)]]</f>
        <v>307</v>
      </c>
      <c r="N62" s="85">
        <f>Tabela1[[#This Row],[Pós CK (U/L)]]</f>
        <v>320</v>
      </c>
      <c r="O62" s="85">
        <f>Tabela1[[#This Row],[Pré CK MB U/L]]</f>
        <v>17</v>
      </c>
      <c r="P62" s="85">
        <f>Tabela1[[#This Row],[Pós CK MB U/L]]</f>
        <v>15</v>
      </c>
      <c r="Q62" s="85" t="str">
        <f>Tabela1[[#This Row],[Pré Lactato (mmol/L)]]</f>
        <v>-</v>
      </c>
      <c r="R62" s="85" t="str">
        <f>Tabela1[[#This Row],[Pós Lactato (mmol/L)]]</f>
        <v>-</v>
      </c>
      <c r="S62" s="85">
        <f>Tabela1[[#This Row],[Pré LDH (U/L)]]</f>
        <v>529</v>
      </c>
      <c r="T62" s="85">
        <f>Tabela1[[#This Row],[Pós LDH (U/L)]]</f>
        <v>514</v>
      </c>
      <c r="U62" s="85">
        <f>Tabela1[[#This Row],[Pré AST (U/L)]]</f>
        <v>35</v>
      </c>
      <c r="V62" s="193">
        <f>Tabela1[[#This Row],[Pós AST (U/L)]]</f>
        <v>30</v>
      </c>
      <c r="W62" s="194">
        <f>Tabela1[[#This Row],[Pré Albumina (g/dL)]]</f>
        <v>4.5999999999999996</v>
      </c>
      <c r="X62" s="125">
        <f>Tabela1[[#This Row],[Pós Albumina (g/dL)]]</f>
        <v>4.8</v>
      </c>
      <c r="Y62" s="85">
        <f>Tabela1[[#This Row],[Pré TGP (g/dL)]]</f>
        <v>35</v>
      </c>
      <c r="Z62" s="85">
        <f>Tabela1[[#This Row],[Pós TGP (g/dL)]]</f>
        <v>24</v>
      </c>
      <c r="AA62" s="85">
        <f>Tabela1[[#This Row],[Pré GGT U/L]]</f>
        <v>15</v>
      </c>
      <c r="AB62" s="193">
        <f>Tabela1[[#This Row],[Pós GGT U/L]]</f>
        <v>11</v>
      </c>
      <c r="AC62" s="194" t="str">
        <f>Tabela1[[#This Row],[Pré Ac. Úrico (mg/dL)]]</f>
        <v>-</v>
      </c>
      <c r="AD62" s="125" t="str">
        <f>Tabela1[[#This Row],[Pós Ac. Úrico (mg/dL)2]]</f>
        <v>-</v>
      </c>
      <c r="AE6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6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62" s="85">
        <f>Tabela1[[#This Row],[Pré Ureia mg/dL]]</f>
        <v>52</v>
      </c>
      <c r="AH62" s="85">
        <f>Tabela1[[#This Row],[Pós Ureia mg/dL]]</f>
        <v>40</v>
      </c>
      <c r="AI62" s="125">
        <f>Tabela1[[#This Row],[Pré creatinina mg/dL]]</f>
        <v>0.9</v>
      </c>
      <c r="AJ62" s="125">
        <f>Tabela1[[#This Row],[Pós creatinina mg/dL]]</f>
        <v>1.1000000000000001</v>
      </c>
      <c r="AK62" s="180">
        <f t="shared" si="0"/>
        <v>0.20000000000000007</v>
      </c>
      <c r="AL62" s="125">
        <f>Tabela1[[#This Row],[Pré Fósforo mg/dL]]</f>
        <v>5.4</v>
      </c>
      <c r="AM62" s="125">
        <f>Tabela1[[#This Row],[Pós Fósforo mg/dL]]</f>
        <v>5</v>
      </c>
      <c r="AN62" s="125">
        <f>Tabela1[[#This Row],[Pré Proteína Total (g/dL)]]</f>
        <v>7.2</v>
      </c>
      <c r="AO62" s="125">
        <f>Tabela1[[#This Row],[Pós Proteína Total (g/dL)]]</f>
        <v>7.2</v>
      </c>
      <c r="AP62" s="85" t="str">
        <f>Tabela1[[#This Row],[Pré FE (ug/dL)]]</f>
        <v>-</v>
      </c>
      <c r="AQ62" s="193" t="str">
        <f>Tabela1[[#This Row],[Pós FE (ug/dL)]]</f>
        <v>-</v>
      </c>
      <c r="AR62" s="194">
        <f>Tabela1[[#This Row],[Pré calcio mg/dL]]</f>
        <v>9.6</v>
      </c>
      <c r="AS62" s="125">
        <f>Tabela1[[#This Row],[Pós calcio mg/dL]]</f>
        <v>10.3</v>
      </c>
      <c r="AT62" s="125">
        <f>Tabela1[[#This Row],[Pré Potássio mmol/L]]</f>
        <v>5.5</v>
      </c>
      <c r="AU62" s="125">
        <f>Tabela1[[#This Row],[Pós Potássio mmol/L]]</f>
        <v>4.9000000000000004</v>
      </c>
      <c r="AV62" s="85">
        <f>Tabela1[[#This Row],[Glicose pré]]</f>
        <v>92</v>
      </c>
      <c r="AW62" s="85">
        <f>Tabela1[[#This Row],[Glicose pós]]</f>
        <v>107</v>
      </c>
      <c r="AX62" s="85">
        <f>Tabela1[[#This Row],[Pré Sódio mmol/L]]</f>
        <v>143</v>
      </c>
      <c r="AY62" s="85">
        <f>Tabela1[[#This Row],[Pós Sódio mmol/L]]</f>
        <v>140</v>
      </c>
      <c r="AZ62" s="125" t="str">
        <f>Tabela1[[#This Row],[Pré Magnésio mg/dL]]</f>
        <v>-</v>
      </c>
      <c r="BA62" s="125" t="str">
        <f>Tabela1[[#This Row],[Pós Magnésio mg/dL]]</f>
        <v>-</v>
      </c>
      <c r="BB62" s="85" t="str">
        <f>Tabela1[[#This Row],[Pré Cloro mmol/L]]</f>
        <v>-</v>
      </c>
      <c r="BC62" s="85" t="str">
        <f>Tabela1[[#This Row],[Pós Cloro mmol/L]]</f>
        <v>-</v>
      </c>
      <c r="BD6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304.75444444444452</v>
      </c>
      <c r="BE6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297.0167777777778</v>
      </c>
      <c r="BF62" s="194">
        <f>Tabela1[[#This Row],[Pré RBC 10^6/mm³]]</f>
        <v>4.93</v>
      </c>
      <c r="BG62" s="125">
        <f>Tabela1[[#This Row],[Pós RBC 10^6/mm³]]</f>
        <v>5.13</v>
      </c>
      <c r="BH62" s="125">
        <f>Tabela1[[#This Row],[Pré HGB g/dL]]</f>
        <v>14.8</v>
      </c>
      <c r="BI62" s="125">
        <f>Tabela1[[#This Row],[Pós HGB g/dL]]</f>
        <v>15.1</v>
      </c>
      <c r="BJ62" s="125">
        <f>Tabela1[[#This Row],[Pré HCT %]]</f>
        <v>42.3</v>
      </c>
      <c r="BK62" s="125">
        <f>Tabela1[[#This Row],[Pós HCT %]]</f>
        <v>43.7</v>
      </c>
      <c r="BL62" s="125">
        <f>Tabela1[[#This Row],[Pré MCV fL]]</f>
        <v>85.8</v>
      </c>
      <c r="BM62" s="125">
        <f>Tabela1[[#This Row],[Pós MCV fL]]</f>
        <v>85.2</v>
      </c>
      <c r="BN62" s="125">
        <f>Tabela1[[#This Row],[Pré MCH pg]]</f>
        <v>30</v>
      </c>
      <c r="BO62" s="125">
        <f>Tabela1[[#This Row],[Pós MCH pg]]</f>
        <v>29.4</v>
      </c>
      <c r="BP62" s="125">
        <f>Tabela1[[#This Row],[Pré MCHC g/dL]]</f>
        <v>35</v>
      </c>
      <c r="BQ62" s="125">
        <f>Tabela1[[#This Row],[Pós MCHC g/dL]]</f>
        <v>34.6</v>
      </c>
      <c r="BR62" s="85">
        <f>Tabela1[[#This Row],[Pré PLT 10³/mm³]]</f>
        <v>184</v>
      </c>
      <c r="BS62" s="85">
        <f>Tabela1[[#This Row],[Pós PLT 10³/mm³]]</f>
        <v>204</v>
      </c>
      <c r="BT62" s="125">
        <f>Tabela1[[#This Row],[Pré RDW %]]</f>
        <v>13</v>
      </c>
      <c r="BU62" s="125">
        <f>Tabela1[[#This Row],[Pós RDW %]]</f>
        <v>12.7</v>
      </c>
      <c r="BV62" s="179">
        <f>Tabela1[[#This Row],[Pré RET %]]</f>
        <v>1.44</v>
      </c>
      <c r="BW62" s="196">
        <f>Tabela1[[#This Row],[Pós RET %]]</f>
        <v>1.19</v>
      </c>
      <c r="BX62" s="197">
        <f>Tabela1[[#This Row],[Pré WBC 10³/mm³]]</f>
        <v>5.66</v>
      </c>
      <c r="BY62" s="179">
        <f>Tabela1[[#This Row],[Pós WBC 10³/mm³]]</f>
        <v>7.29</v>
      </c>
      <c r="BZ62" s="125">
        <f>Tabela1[[#This Row],[Pré NEUT %]]</f>
        <v>42.1</v>
      </c>
      <c r="CA62" s="125">
        <f>Tabela1[[#This Row],[Pós NEUT %]]</f>
        <v>46.8</v>
      </c>
      <c r="CB62" s="125">
        <f>Tabela1[[#This Row],[Pré LINF %]]</f>
        <v>39.799999999999997</v>
      </c>
      <c r="CC62" s="125">
        <f>Tabela1[[#This Row],[Pós LINF %]]</f>
        <v>37.700000000000003</v>
      </c>
      <c r="CD62" s="125">
        <f>Tabela1[[#This Row],[Pré MONO %]]</f>
        <v>8.6999999999999993</v>
      </c>
      <c r="CE62" s="125">
        <f>Tabela1[[#This Row],[Pós MONO %]]</f>
        <v>8.9</v>
      </c>
      <c r="CF62" s="125">
        <f>Tabela1[[#This Row],[Pré EOS %]]</f>
        <v>9</v>
      </c>
      <c r="CG62" s="125">
        <f>Tabela1[[#This Row],[Pós EOS %]]</f>
        <v>6.3</v>
      </c>
      <c r="CH62" s="125">
        <f>Tabela1[[#This Row],[Pré BASO %]]</f>
        <v>0.4</v>
      </c>
      <c r="CI62" s="198">
        <f>Tabela1[[#This Row],[Pós BASO %]]</f>
        <v>0.3</v>
      </c>
      <c r="CJ62" s="199" t="str">
        <f t="shared" si="1"/>
        <v>NÃO</v>
      </c>
      <c r="CK62" s="200" t="str">
        <f t="shared" si="2"/>
        <v>NÃO</v>
      </c>
      <c r="CL62" s="194">
        <f t="shared" si="3"/>
        <v>0</v>
      </c>
      <c r="CM62" s="125">
        <f>Tabela1[[#This Row],[MCT KG]]</f>
        <v>0</v>
      </c>
      <c r="CN62" s="85">
        <f>Tabela1[[#This Row],[ESTATURA]]</f>
        <v>0</v>
      </c>
      <c r="CO62" s="85">
        <f>Tabela1[[#This Row],[vo2max estimado]]</f>
        <v>0</v>
      </c>
      <c r="CP62" s="85">
        <f>Tabela1[[#This Row],[Handgrip     Dominante]]</f>
        <v>0</v>
      </c>
      <c r="CQ62" s="85">
        <f>Tabela1[[#This Row],[Handgrip Contrário]]</f>
        <v>0</v>
      </c>
      <c r="CR62" s="281">
        <f>Tabela1[[#This Row],[% gordura]]</f>
        <v>0</v>
      </c>
    </row>
    <row r="63" spans="1:96" ht="15.75" customHeight="1">
      <c r="A63" s="279">
        <f>Tabela1[[#This Row],[Ano]]</f>
        <v>2017</v>
      </c>
      <c r="B63" s="181" t="str">
        <f>Tabela1[[#This Row],[Missão]]</f>
        <v>Manaus</v>
      </c>
      <c r="C63" s="181">
        <f>Tabela1[[#This Row],[Aluno]]</f>
        <v>3119</v>
      </c>
      <c r="D63" s="181">
        <f>Tabela1[[#This Row],[Idade]]</f>
        <v>28</v>
      </c>
      <c r="E63" s="182">
        <f>Tabela1[[#This Row],[Peso Kg]]</f>
        <v>75</v>
      </c>
      <c r="F63" s="191">
        <f>Tabela1[[#This Row],[Cor da pele]]</f>
        <v>1</v>
      </c>
      <c r="G63" s="192" t="str">
        <f>Tabela1[[#This Row],[ACTN3]]</f>
        <v>RX</v>
      </c>
      <c r="H63" s="85" t="str">
        <f>Tabela1[[#This Row],[AGT]]</f>
        <v>TT</v>
      </c>
      <c r="I63" s="85" t="str">
        <f>Tabela1[[#This Row],[ECA]]</f>
        <v>DD</v>
      </c>
      <c r="J63" s="85" t="str">
        <f>Tabela1[[#This Row],[BDKRB2]]</f>
        <v>(-9, -9)</v>
      </c>
      <c r="K63" s="85">
        <f>Tabela1[[#This Row],[Score Força%]]</f>
        <v>62.5</v>
      </c>
      <c r="L63" s="193">
        <f>Tabela1[[#This Row],[Score Resistência %]]</f>
        <v>37.5</v>
      </c>
      <c r="M63" s="192">
        <f>Tabela1[[#This Row],[Pré CK (U/L)]]</f>
        <v>587</v>
      </c>
      <c r="N63" s="85">
        <f>Tabela1[[#This Row],[Pós CK (U/L)]]</f>
        <v>12218</v>
      </c>
      <c r="O63" s="85">
        <f>Tabela1[[#This Row],[Pré CK MB U/L]]</f>
        <v>13</v>
      </c>
      <c r="P63" s="85">
        <f>Tabela1[[#This Row],[Pós CK MB U/L]]</f>
        <v>31</v>
      </c>
      <c r="Q63" s="85" t="str">
        <f>Tabela1[[#This Row],[Pré Lactato (mmol/L)]]</f>
        <v>-</v>
      </c>
      <c r="R63" s="85" t="str">
        <f>Tabela1[[#This Row],[Pós Lactato (mmol/L)]]</f>
        <v>-</v>
      </c>
      <c r="S63" s="85">
        <f>Tabela1[[#This Row],[Pré LDH (U/L)]]</f>
        <v>601</v>
      </c>
      <c r="T63" s="85">
        <f>Tabela1[[#This Row],[Pós LDH (U/L)]]</f>
        <v>1907</v>
      </c>
      <c r="U63" s="85">
        <f>Tabela1[[#This Row],[Pré AST (U/L)]]</f>
        <v>35</v>
      </c>
      <c r="V63" s="193">
        <f>Tabela1[[#This Row],[Pós AST (U/L)]]</f>
        <v>152</v>
      </c>
      <c r="W63" s="194">
        <f>Tabela1[[#This Row],[Pré Albumina (g/dL)]]</f>
        <v>4.2</v>
      </c>
      <c r="X63" s="125">
        <f>Tabela1[[#This Row],[Pós Albumina (g/dL)]]</f>
        <v>4.4000000000000004</v>
      </c>
      <c r="Y63" s="85">
        <f>Tabela1[[#This Row],[Pré TGP (g/dL)]]</f>
        <v>40</v>
      </c>
      <c r="Z63" s="85">
        <f>Tabela1[[#This Row],[Pós TGP (g/dL)]]</f>
        <v>51</v>
      </c>
      <c r="AA63" s="85">
        <f>Tabela1[[#This Row],[Pré GGT U/L]]</f>
        <v>30</v>
      </c>
      <c r="AB63" s="193">
        <f>Tabela1[[#This Row],[Pós GGT U/L]]</f>
        <v>26</v>
      </c>
      <c r="AC63" s="194" t="str">
        <f>Tabela1[[#This Row],[Pré Ac. Úrico (mg/dL)]]</f>
        <v>-</v>
      </c>
      <c r="AD63" s="125" t="str">
        <f>Tabela1[[#This Row],[Pós Ac. Úrico (mg/dL)2]]</f>
        <v>-</v>
      </c>
      <c r="AE6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6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63" s="85">
        <f>Tabela1[[#This Row],[Pré Ureia mg/dL]]</f>
        <v>42</v>
      </c>
      <c r="AH63" s="85">
        <f>Tabela1[[#This Row],[Pós Ureia mg/dL]]</f>
        <v>45</v>
      </c>
      <c r="AI63" s="125">
        <f>Tabela1[[#This Row],[Pré creatinina mg/dL]]</f>
        <v>1</v>
      </c>
      <c r="AJ63" s="125">
        <f>Tabela1[[#This Row],[Pós creatinina mg/dL]]</f>
        <v>1.2</v>
      </c>
      <c r="AK63" s="180">
        <f t="shared" si="0"/>
        <v>0.19999999999999996</v>
      </c>
      <c r="AL63" s="125">
        <f>Tabela1[[#This Row],[Pré Fósforo mg/dL]]</f>
        <v>4.3</v>
      </c>
      <c r="AM63" s="125">
        <f>Tabela1[[#This Row],[Pós Fósforo mg/dL]]</f>
        <v>3.8</v>
      </c>
      <c r="AN63" s="125">
        <f>Tabela1[[#This Row],[Pré Proteína Total (g/dL)]]</f>
        <v>7</v>
      </c>
      <c r="AO63" s="125">
        <f>Tabela1[[#This Row],[Pós Proteína Total (g/dL)]]</f>
        <v>6.9</v>
      </c>
      <c r="AP63" s="85" t="str">
        <f>Tabela1[[#This Row],[Pré FE (ug/dL)]]</f>
        <v>-</v>
      </c>
      <c r="AQ63" s="193" t="str">
        <f>Tabela1[[#This Row],[Pós FE (ug/dL)]]</f>
        <v>-</v>
      </c>
      <c r="AR63" s="194">
        <f>Tabela1[[#This Row],[Pré calcio mg/dL]]</f>
        <v>8.6999999999999993</v>
      </c>
      <c r="AS63" s="125">
        <f>Tabela1[[#This Row],[Pós calcio mg/dL]]</f>
        <v>9.1</v>
      </c>
      <c r="AT63" s="125">
        <f>Tabela1[[#This Row],[Pré Potássio mmol/L]]</f>
        <v>6.4</v>
      </c>
      <c r="AU63" s="125">
        <f>Tabela1[[#This Row],[Pós Potássio mmol/L]]</f>
        <v>4</v>
      </c>
      <c r="AV63" s="85">
        <f>Tabela1[[#This Row],[Glicose pré]]</f>
        <v>97</v>
      </c>
      <c r="AW63" s="85">
        <f>Tabela1[[#This Row],[Glicose pós]]</f>
        <v>86</v>
      </c>
      <c r="AX63" s="85">
        <f>Tabela1[[#This Row],[Pré Sódio mmol/L]]</f>
        <v>139</v>
      </c>
      <c r="AY63" s="85">
        <f>Tabela1[[#This Row],[Pós Sódio mmol/L]]</f>
        <v>137</v>
      </c>
      <c r="AZ63" s="125" t="str">
        <f>Tabela1[[#This Row],[Pré Magnésio mg/dL]]</f>
        <v>-</v>
      </c>
      <c r="BA63" s="125" t="str">
        <f>Tabela1[[#This Row],[Pós Magnésio mg/dL]]</f>
        <v>-</v>
      </c>
      <c r="BB63" s="85" t="str">
        <f>Tabela1[[#This Row],[Pré Cloro mmol/L]]</f>
        <v>-</v>
      </c>
      <c r="BC63" s="85" t="str">
        <f>Tabela1[[#This Row],[Pós Cloro mmol/L]]</f>
        <v>-</v>
      </c>
      <c r="BD6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297.64122222222221</v>
      </c>
      <c r="BE6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289.25444444444446</v>
      </c>
      <c r="BF63" s="194">
        <f>Tabela1[[#This Row],[Pré RBC 10^6/mm³]]</f>
        <v>4.84</v>
      </c>
      <c r="BG63" s="125">
        <f>Tabela1[[#This Row],[Pós RBC 10^6/mm³]]</f>
        <v>4.96</v>
      </c>
      <c r="BH63" s="125">
        <f>Tabela1[[#This Row],[Pré HGB g/dL]]</f>
        <v>14.2</v>
      </c>
      <c r="BI63" s="125">
        <f>Tabela1[[#This Row],[Pós HGB g/dL]]</f>
        <v>14.5</v>
      </c>
      <c r="BJ63" s="125">
        <f>Tabela1[[#This Row],[Pré HCT %]]</f>
        <v>42.6</v>
      </c>
      <c r="BK63" s="125">
        <f>Tabela1[[#This Row],[Pós HCT %]]</f>
        <v>43</v>
      </c>
      <c r="BL63" s="125">
        <f>Tabela1[[#This Row],[Pré MCV fL]]</f>
        <v>88</v>
      </c>
      <c r="BM63" s="125">
        <f>Tabela1[[#This Row],[Pós MCV fL]]</f>
        <v>86.7</v>
      </c>
      <c r="BN63" s="125">
        <f>Tabela1[[#This Row],[Pré MCH pg]]</f>
        <v>29.3</v>
      </c>
      <c r="BO63" s="125">
        <f>Tabela1[[#This Row],[Pós MCH pg]]</f>
        <v>29.2</v>
      </c>
      <c r="BP63" s="125">
        <f>Tabela1[[#This Row],[Pré MCHC g/dL]]</f>
        <v>33.299999999999997</v>
      </c>
      <c r="BQ63" s="125">
        <f>Tabela1[[#This Row],[Pós MCHC g/dL]]</f>
        <v>33.700000000000003</v>
      </c>
      <c r="BR63" s="85">
        <f>Tabela1[[#This Row],[Pré PLT 10³/mm³]]</f>
        <v>253</v>
      </c>
      <c r="BS63" s="85">
        <f>Tabela1[[#This Row],[Pós PLT 10³/mm³]]</f>
        <v>244</v>
      </c>
      <c r="BT63" s="125">
        <f>Tabela1[[#This Row],[Pré RDW %]]</f>
        <v>13.1</v>
      </c>
      <c r="BU63" s="125">
        <f>Tabela1[[#This Row],[Pós RDW %]]</f>
        <v>12.9</v>
      </c>
      <c r="BV63" s="179">
        <f>Tabela1[[#This Row],[Pré RET %]]</f>
        <v>0.75</v>
      </c>
      <c r="BW63" s="196">
        <f>Tabela1[[#This Row],[Pós RET %]]</f>
        <v>0.7</v>
      </c>
      <c r="BX63" s="197">
        <f>Tabela1[[#This Row],[Pré WBC 10³/mm³]]</f>
        <v>5.39</v>
      </c>
      <c r="BY63" s="179">
        <f>Tabela1[[#This Row],[Pós WBC 10³/mm³]]</f>
        <v>8.39</v>
      </c>
      <c r="BZ63" s="125">
        <f>Tabela1[[#This Row],[Pré NEUT %]]</f>
        <v>50.2</v>
      </c>
      <c r="CA63" s="125">
        <f>Tabela1[[#This Row],[Pós NEUT %]]</f>
        <v>64.599999999999994</v>
      </c>
      <c r="CB63" s="125">
        <f>Tabela1[[#This Row],[Pré LINF %]]</f>
        <v>35.299999999999997</v>
      </c>
      <c r="CC63" s="125">
        <f>Tabela1[[#This Row],[Pós LINF %]]</f>
        <v>21.6</v>
      </c>
      <c r="CD63" s="125">
        <f>Tabela1[[#This Row],[Pré MONO %]]</f>
        <v>10.4</v>
      </c>
      <c r="CE63" s="125">
        <f>Tabela1[[#This Row],[Pós MONO %]]</f>
        <v>12.9</v>
      </c>
      <c r="CF63" s="125">
        <f>Tabela1[[#This Row],[Pré EOS %]]</f>
        <v>3.5</v>
      </c>
      <c r="CG63" s="125">
        <f>Tabela1[[#This Row],[Pós EOS %]]</f>
        <v>0.7</v>
      </c>
      <c r="CH63" s="125">
        <f>Tabela1[[#This Row],[Pré BASO %]]</f>
        <v>0.6</v>
      </c>
      <c r="CI63" s="198">
        <f>Tabela1[[#This Row],[Pós BASO %]]</f>
        <v>0.2</v>
      </c>
      <c r="CJ63" s="199" t="str">
        <f t="shared" si="1"/>
        <v>NÃO</v>
      </c>
      <c r="CK63" s="200" t="str">
        <f t="shared" si="2"/>
        <v>SIM</v>
      </c>
      <c r="CL63" s="194">
        <f t="shared" si="3"/>
        <v>69.236999999999995</v>
      </c>
      <c r="CM63" s="125">
        <f>Tabela1[[#This Row],[MCT KG]]</f>
        <v>73.5</v>
      </c>
      <c r="CN63" s="85">
        <f>Tabela1[[#This Row],[ESTATURA]]</f>
        <v>177</v>
      </c>
      <c r="CO63" s="85">
        <f>Tabela1[[#This Row],[vo2max estimado]]</f>
        <v>53.28</v>
      </c>
      <c r="CP63" s="85">
        <f>Tabela1[[#This Row],[Handgrip     Dominante]]</f>
        <v>52.5</v>
      </c>
      <c r="CQ63" s="85">
        <f>Tabela1[[#This Row],[Handgrip Contrário]]</f>
        <v>50</v>
      </c>
      <c r="CR63" s="281">
        <f>Tabela1[[#This Row],[% gordura]]</f>
        <v>5.8</v>
      </c>
    </row>
    <row r="64" spans="1:96" ht="15.75" customHeight="1">
      <c r="A64" s="279">
        <f>Tabela1[[#This Row],[Ano]]</f>
        <v>2017</v>
      </c>
      <c r="B64" s="181" t="str">
        <f>Tabela1[[#This Row],[Missão]]</f>
        <v>Manaus</v>
      </c>
      <c r="C64" s="181">
        <f>Tabela1[[#This Row],[Aluno]]</f>
        <v>3123</v>
      </c>
      <c r="D64" s="181">
        <f>Tabela1[[#This Row],[Idade]]</f>
        <v>27</v>
      </c>
      <c r="E64" s="182">
        <f>Tabela1[[#This Row],[Peso Kg]]</f>
        <v>86</v>
      </c>
      <c r="F64" s="191">
        <f>Tabela1[[#This Row],[Cor da pele]]</f>
        <v>1</v>
      </c>
      <c r="G64" s="192" t="str">
        <f>Tabela1[[#This Row],[ACTN3]]</f>
        <v>RX</v>
      </c>
      <c r="H64" s="85" t="str">
        <f>Tabela1[[#This Row],[AGT]]</f>
        <v>TT</v>
      </c>
      <c r="I64" s="85" t="str">
        <f>Tabela1[[#This Row],[ECA]]</f>
        <v>ID</v>
      </c>
      <c r="J64" s="85" t="str">
        <f>Tabela1[[#This Row],[BDKRB2]]</f>
        <v>(+9, +9)</v>
      </c>
      <c r="K64" s="85">
        <f>Tabela1[[#This Row],[Score Força%]]</f>
        <v>75</v>
      </c>
      <c r="L64" s="193">
        <f>Tabela1[[#This Row],[Score Resistência %]]</f>
        <v>25</v>
      </c>
      <c r="M64" s="192">
        <f>Tabela1[[#This Row],[Pré CK (U/L)]]</f>
        <v>343</v>
      </c>
      <c r="N64" s="85">
        <f>Tabela1[[#This Row],[Pós CK (U/L)]]</f>
        <v>377</v>
      </c>
      <c r="O64" s="85">
        <f>Tabela1[[#This Row],[Pré CK MB U/L]]</f>
        <v>13</v>
      </c>
      <c r="P64" s="85">
        <f>Tabela1[[#This Row],[Pós CK MB U/L]]</f>
        <v>17</v>
      </c>
      <c r="Q64" s="85" t="str">
        <f>Tabela1[[#This Row],[Pré Lactato (mmol/L)]]</f>
        <v>-</v>
      </c>
      <c r="R64" s="85" t="str">
        <f>Tabela1[[#This Row],[Pós Lactato (mmol/L)]]</f>
        <v>-</v>
      </c>
      <c r="S64" s="85">
        <f>Tabela1[[#This Row],[Pré LDH (U/L)]]</f>
        <v>443</v>
      </c>
      <c r="T64" s="85">
        <f>Tabela1[[#This Row],[Pós LDH (U/L)]]</f>
        <v>580</v>
      </c>
      <c r="U64" s="85">
        <f>Tabela1[[#This Row],[Pré AST (U/L)]]</f>
        <v>33</v>
      </c>
      <c r="V64" s="193">
        <f>Tabela1[[#This Row],[Pós AST (U/L)]]</f>
        <v>32</v>
      </c>
      <c r="W64" s="194">
        <f>Tabela1[[#This Row],[Pré Albumina (g/dL)]]</f>
        <v>4.3</v>
      </c>
      <c r="X64" s="125">
        <f>Tabela1[[#This Row],[Pós Albumina (g/dL)]]</f>
        <v>5.2</v>
      </c>
      <c r="Y64" s="85">
        <f>Tabela1[[#This Row],[Pré TGP (g/dL)]]</f>
        <v>38</v>
      </c>
      <c r="Z64" s="85">
        <f>Tabela1[[#This Row],[Pós TGP (g/dL)]]</f>
        <v>31</v>
      </c>
      <c r="AA64" s="85">
        <f>Tabela1[[#This Row],[Pré GGT U/L]]</f>
        <v>22</v>
      </c>
      <c r="AB64" s="193">
        <f>Tabela1[[#This Row],[Pós GGT U/L]]</f>
        <v>20</v>
      </c>
      <c r="AC64" s="194" t="str">
        <f>Tabela1[[#This Row],[Pré Ac. Úrico (mg/dL)]]</f>
        <v>-</v>
      </c>
      <c r="AD64" s="125" t="str">
        <f>Tabela1[[#This Row],[Pós Ac. Úrico (mg/dL)2]]</f>
        <v>-</v>
      </c>
      <c r="AE6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6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64" s="85">
        <f>Tabela1[[#This Row],[Pré Ureia mg/dL]]</f>
        <v>45</v>
      </c>
      <c r="AH64" s="85">
        <f>Tabela1[[#This Row],[Pós Ureia mg/dL]]</f>
        <v>54</v>
      </c>
      <c r="AI64" s="125">
        <f>Tabela1[[#This Row],[Pré creatinina mg/dL]]</f>
        <v>0.9</v>
      </c>
      <c r="AJ64" s="125">
        <f>Tabela1[[#This Row],[Pós creatinina mg/dL]]</f>
        <v>1.3</v>
      </c>
      <c r="AK64" s="180">
        <f t="shared" si="0"/>
        <v>0.4</v>
      </c>
      <c r="AL64" s="125">
        <f>Tabela1[[#This Row],[Pré Fósforo mg/dL]]</f>
        <v>4.5999999999999996</v>
      </c>
      <c r="AM64" s="125">
        <f>Tabela1[[#This Row],[Pós Fósforo mg/dL]]</f>
        <v>5.8</v>
      </c>
      <c r="AN64" s="125">
        <f>Tabela1[[#This Row],[Pré Proteína Total (g/dL)]]</f>
        <v>8</v>
      </c>
      <c r="AO64" s="125">
        <f>Tabela1[[#This Row],[Pós Proteína Total (g/dL)]]</f>
        <v>9.1999999999999993</v>
      </c>
      <c r="AP64" s="85" t="str">
        <f>Tabela1[[#This Row],[Pré FE (ug/dL)]]</f>
        <v>-</v>
      </c>
      <c r="AQ64" s="193" t="str">
        <f>Tabela1[[#This Row],[Pós FE (ug/dL)]]</f>
        <v>-</v>
      </c>
      <c r="AR64" s="194">
        <f>Tabela1[[#This Row],[Pré calcio mg/dL]]</f>
        <v>9</v>
      </c>
      <c r="AS64" s="125">
        <f>Tabela1[[#This Row],[Pós calcio mg/dL]]</f>
        <v>10.5</v>
      </c>
      <c r="AT64" s="125">
        <f>Tabela1[[#This Row],[Pré Potássio mmol/L]]</f>
        <v>6.6</v>
      </c>
      <c r="AU64" s="125">
        <f>Tabela1[[#This Row],[Pós Potássio mmol/L]]</f>
        <v>4.8</v>
      </c>
      <c r="AV64" s="85">
        <f>Tabela1[[#This Row],[Glicose pré]]</f>
        <v>95</v>
      </c>
      <c r="AW64" s="85">
        <f>Tabela1[[#This Row],[Glicose pós]]</f>
        <v>99</v>
      </c>
      <c r="AX64" s="85">
        <f>Tabela1[[#This Row],[Pré Sódio mmol/L]]</f>
        <v>137</v>
      </c>
      <c r="AY64" s="85">
        <f>Tabela1[[#This Row],[Pós Sódio mmol/L]]</f>
        <v>157</v>
      </c>
      <c r="AZ64" s="125" t="str">
        <f>Tabela1[[#This Row],[Pré Magnésio mg/dL]]</f>
        <v>-</v>
      </c>
      <c r="BA64" s="125" t="str">
        <f>Tabela1[[#This Row],[Pós Magnésio mg/dL]]</f>
        <v>-</v>
      </c>
      <c r="BB64" s="85" t="str">
        <f>Tabela1[[#This Row],[Pré Cloro mmol/L]]</f>
        <v>-</v>
      </c>
      <c r="BC64" s="85" t="str">
        <f>Tabela1[[#This Row],[Pós Cloro mmol/L]]</f>
        <v>-</v>
      </c>
      <c r="BD6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294.66544444444446</v>
      </c>
      <c r="BE6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330.27300000000002</v>
      </c>
      <c r="BF64" s="194">
        <f>Tabela1[[#This Row],[Pré RBC 10^6/mm³]]</f>
        <v>4.7699999999999996</v>
      </c>
      <c r="BG64" s="125">
        <f>Tabela1[[#This Row],[Pós RBC 10^6/mm³]]</f>
        <v>4.96</v>
      </c>
      <c r="BH64" s="125">
        <f>Tabela1[[#This Row],[Pré HGB g/dL]]</f>
        <v>12.6</v>
      </c>
      <c r="BI64" s="125">
        <f>Tabela1[[#This Row],[Pós HGB g/dL]]</f>
        <v>13.1</v>
      </c>
      <c r="BJ64" s="125">
        <f>Tabela1[[#This Row],[Pré HCT %]]</f>
        <v>39</v>
      </c>
      <c r="BK64" s="125">
        <f>Tabela1[[#This Row],[Pós HCT %]]</f>
        <v>40.4</v>
      </c>
      <c r="BL64" s="125">
        <f>Tabela1[[#This Row],[Pré MCV fL]]</f>
        <v>81.8</v>
      </c>
      <c r="BM64" s="125">
        <f>Tabela1[[#This Row],[Pós MCV fL]]</f>
        <v>81.5</v>
      </c>
      <c r="BN64" s="125">
        <f>Tabela1[[#This Row],[Pré MCH pg]]</f>
        <v>26.4</v>
      </c>
      <c r="BO64" s="125">
        <f>Tabela1[[#This Row],[Pós MCH pg]]</f>
        <v>26.4</v>
      </c>
      <c r="BP64" s="125">
        <f>Tabela1[[#This Row],[Pré MCHC g/dL]]</f>
        <v>32.299999999999997</v>
      </c>
      <c r="BQ64" s="125">
        <f>Tabela1[[#This Row],[Pós MCHC g/dL]]</f>
        <v>32.4</v>
      </c>
      <c r="BR64" s="85">
        <f>Tabela1[[#This Row],[Pré PLT 10³/mm³]]</f>
        <v>312</v>
      </c>
      <c r="BS64" s="85">
        <f>Tabela1[[#This Row],[Pós PLT 10³/mm³]]</f>
        <v>326</v>
      </c>
      <c r="BT64" s="125">
        <f>Tabela1[[#This Row],[Pré RDW %]]</f>
        <v>13.2</v>
      </c>
      <c r="BU64" s="125">
        <f>Tabela1[[#This Row],[Pós RDW %]]</f>
        <v>13</v>
      </c>
      <c r="BV64" s="179">
        <f>Tabela1[[#This Row],[Pré RET %]]</f>
        <v>0.73</v>
      </c>
      <c r="BW64" s="196">
        <f>Tabela1[[#This Row],[Pós RET %]]</f>
        <v>0.64</v>
      </c>
      <c r="BX64" s="197">
        <f>Tabela1[[#This Row],[Pré WBC 10³/mm³]]</f>
        <v>8.07</v>
      </c>
      <c r="BY64" s="179">
        <f>Tabela1[[#This Row],[Pós WBC 10³/mm³]]</f>
        <v>10.02</v>
      </c>
      <c r="BZ64" s="125">
        <f>Tabela1[[#This Row],[Pré NEUT %]]</f>
        <v>45.4</v>
      </c>
      <c r="CA64" s="125">
        <f>Tabela1[[#This Row],[Pós NEUT %]]</f>
        <v>48.2</v>
      </c>
      <c r="CB64" s="125">
        <f>Tabela1[[#This Row],[Pré LINF %]]</f>
        <v>37.9</v>
      </c>
      <c r="CC64" s="125">
        <f>Tabela1[[#This Row],[Pós LINF %]]</f>
        <v>37.4</v>
      </c>
      <c r="CD64" s="125">
        <f>Tabela1[[#This Row],[Pré MONO %]]</f>
        <v>11.8</v>
      </c>
      <c r="CE64" s="125">
        <f>Tabela1[[#This Row],[Pós MONO %]]</f>
        <v>11.8</v>
      </c>
      <c r="CF64" s="125">
        <f>Tabela1[[#This Row],[Pré EOS %]]</f>
        <v>4.7</v>
      </c>
      <c r="CG64" s="125">
        <f>Tabela1[[#This Row],[Pós EOS %]]</f>
        <v>2.2999999999999998</v>
      </c>
      <c r="CH64" s="125">
        <f>Tabela1[[#This Row],[Pré BASO %]]</f>
        <v>0.2</v>
      </c>
      <c r="CI64" s="198">
        <f>Tabela1[[#This Row],[Pós BASO %]]</f>
        <v>0.3</v>
      </c>
      <c r="CJ64" s="199" t="str">
        <f t="shared" si="1"/>
        <v>SIM</v>
      </c>
      <c r="CK64" s="200" t="str">
        <f t="shared" si="2"/>
        <v>NÃO</v>
      </c>
      <c r="CL64" s="194">
        <f t="shared" si="3"/>
        <v>74.045439999999999</v>
      </c>
      <c r="CM64" s="125">
        <f>Tabela1[[#This Row],[MCT KG]]</f>
        <v>89.6</v>
      </c>
      <c r="CN64" s="85">
        <f>Tabela1[[#This Row],[ESTATURA]]</f>
        <v>176</v>
      </c>
      <c r="CO64" s="85">
        <f>Tabela1[[#This Row],[vo2max estimado]]</f>
        <v>45.45</v>
      </c>
      <c r="CP64" s="85">
        <f>Tabela1[[#This Row],[Handgrip     Dominante]]</f>
        <v>46.5</v>
      </c>
      <c r="CQ64" s="85">
        <f>Tabela1[[#This Row],[Handgrip Contrário]]</f>
        <v>42</v>
      </c>
      <c r="CR64" s="281">
        <f>Tabela1[[#This Row],[% gordura]]</f>
        <v>17.36</v>
      </c>
    </row>
    <row r="65" spans="1:96" ht="15.75" customHeight="1">
      <c r="A65" s="279">
        <f>Tabela1[[#This Row],[Ano]]</f>
        <v>2017</v>
      </c>
      <c r="B65" s="181" t="str">
        <f>Tabela1[[#This Row],[Missão]]</f>
        <v>Manaus</v>
      </c>
      <c r="C65" s="181">
        <f>Tabela1[[#This Row],[Aluno]]</f>
        <v>3125</v>
      </c>
      <c r="D65" s="181">
        <f>Tabela1[[#This Row],[Idade]]</f>
        <v>29</v>
      </c>
      <c r="E65" s="182">
        <f>Tabela1[[#This Row],[Peso Kg]]</f>
        <v>70</v>
      </c>
      <c r="F65" s="191">
        <f>Tabela1[[#This Row],[Cor da pele]]</f>
        <v>1</v>
      </c>
      <c r="G65" s="192" t="str">
        <f>Tabela1[[#This Row],[ACTN3]]</f>
        <v>XX</v>
      </c>
      <c r="H65" s="85" t="str">
        <f>Tabela1[[#This Row],[AGT]]</f>
        <v>MT</v>
      </c>
      <c r="I65" s="85" t="str">
        <f>Tabela1[[#This Row],[ECA]]</f>
        <v>DD</v>
      </c>
      <c r="J65" s="85" t="str">
        <f>Tabela1[[#This Row],[BDKRB2]]</f>
        <v>(+9, -9)</v>
      </c>
      <c r="K65" s="85">
        <f>Tabela1[[#This Row],[Score Força%]]</f>
        <v>50</v>
      </c>
      <c r="L65" s="193">
        <f>Tabela1[[#This Row],[Score Resistência %]]</f>
        <v>50</v>
      </c>
      <c r="M65" s="192">
        <f>Tabela1[[#This Row],[Pré CK (U/L)]]</f>
        <v>160</v>
      </c>
      <c r="N65" s="85">
        <f>Tabela1[[#This Row],[Pós CK (U/L)]]</f>
        <v>304</v>
      </c>
      <c r="O65" s="85">
        <f>Tabela1[[#This Row],[Pré CK MB U/L]]</f>
        <v>13</v>
      </c>
      <c r="P65" s="85">
        <f>Tabela1[[#This Row],[Pós CK MB U/L]]</f>
        <v>10</v>
      </c>
      <c r="Q65" s="85" t="str">
        <f>Tabela1[[#This Row],[Pré Lactato (mmol/L)]]</f>
        <v>-</v>
      </c>
      <c r="R65" s="85" t="str">
        <f>Tabela1[[#This Row],[Pós Lactato (mmol/L)]]</f>
        <v>-</v>
      </c>
      <c r="S65" s="85">
        <f>Tabela1[[#This Row],[Pré LDH (U/L)]]</f>
        <v>417</v>
      </c>
      <c r="T65" s="85">
        <f>Tabela1[[#This Row],[Pós LDH (U/L)]]</f>
        <v>305</v>
      </c>
      <c r="U65" s="85">
        <f>Tabela1[[#This Row],[Pré AST (U/L)]]</f>
        <v>33</v>
      </c>
      <c r="V65" s="193">
        <f>Tabela1[[#This Row],[Pós AST (U/L)]]</f>
        <v>23</v>
      </c>
      <c r="W65" s="194">
        <f>Tabela1[[#This Row],[Pré Albumina (g/dL)]]</f>
        <v>4.4000000000000004</v>
      </c>
      <c r="X65" s="125">
        <f>Tabela1[[#This Row],[Pós Albumina (g/dL)]]</f>
        <v>2.9</v>
      </c>
      <c r="Y65" s="85">
        <f>Tabela1[[#This Row],[Pré TGP (g/dL)]]</f>
        <v>29</v>
      </c>
      <c r="Z65" s="85">
        <f>Tabela1[[#This Row],[Pós TGP (g/dL)]]</f>
        <v>26</v>
      </c>
      <c r="AA65" s="85">
        <f>Tabela1[[#This Row],[Pré GGT U/L]]</f>
        <v>17</v>
      </c>
      <c r="AB65" s="193">
        <f>Tabela1[[#This Row],[Pós GGT U/L]]</f>
        <v>10</v>
      </c>
      <c r="AC65" s="194" t="str">
        <f>Tabela1[[#This Row],[Pré Ac. Úrico (mg/dL)]]</f>
        <v>-</v>
      </c>
      <c r="AD65" s="125" t="str">
        <f>Tabela1[[#This Row],[Pós Ac. Úrico (mg/dL)2]]</f>
        <v>-</v>
      </c>
      <c r="AE6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6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65" s="85">
        <f>Tabela1[[#This Row],[Pré Ureia mg/dL]]</f>
        <v>37</v>
      </c>
      <c r="AH65" s="85">
        <f>Tabela1[[#This Row],[Pós Ureia mg/dL]]</f>
        <v>36</v>
      </c>
      <c r="AI65" s="125">
        <f>Tabela1[[#This Row],[Pré creatinina mg/dL]]</f>
        <v>0.9</v>
      </c>
      <c r="AJ65" s="125">
        <f>Tabela1[[#This Row],[Pós creatinina mg/dL]]</f>
        <v>0.8</v>
      </c>
      <c r="AK65" s="180">
        <f t="shared" si="0"/>
        <v>0</v>
      </c>
      <c r="AL65" s="125">
        <f>Tabela1[[#This Row],[Pré Fósforo mg/dL]]</f>
        <v>5</v>
      </c>
      <c r="AM65" s="125">
        <f>Tabela1[[#This Row],[Pós Fósforo mg/dL]]</f>
        <v>4.0999999999999996</v>
      </c>
      <c r="AN65" s="125">
        <f>Tabela1[[#This Row],[Pré Proteína Total (g/dL)]]</f>
        <v>7.4</v>
      </c>
      <c r="AO65" s="125">
        <f>Tabela1[[#This Row],[Pós Proteína Total (g/dL)]]</f>
        <v>5</v>
      </c>
      <c r="AP65" s="85" t="str">
        <f>Tabela1[[#This Row],[Pré FE (ug/dL)]]</f>
        <v>-</v>
      </c>
      <c r="AQ65" s="193" t="str">
        <f>Tabela1[[#This Row],[Pós FE (ug/dL)]]</f>
        <v>-</v>
      </c>
      <c r="AR65" s="194">
        <f>Tabela1[[#This Row],[Pré calcio mg/dL]]</f>
        <v>9.3000000000000007</v>
      </c>
      <c r="AS65" s="125">
        <f>Tabela1[[#This Row],[Pós calcio mg/dL]]</f>
        <v>7.1</v>
      </c>
      <c r="AT65" s="125">
        <f>Tabela1[[#This Row],[Pré Potássio mmol/L]]</f>
        <v>4.7</v>
      </c>
      <c r="AU65" s="125">
        <f>Tabela1[[#This Row],[Pós Potássio mmol/L]]</f>
        <v>3.8</v>
      </c>
      <c r="AV65" s="85">
        <f>Tabela1[[#This Row],[Glicose pré]]</f>
        <v>75</v>
      </c>
      <c r="AW65" s="85">
        <f>Tabela1[[#This Row],[Glicose pós]]</f>
        <v>59</v>
      </c>
      <c r="AX65" s="85">
        <f>Tabela1[[#This Row],[Pré Sódio mmol/L]]</f>
        <v>142</v>
      </c>
      <c r="AY65" s="85">
        <f>Tabela1[[#This Row],[Pós Sódio mmol/L]]</f>
        <v>115</v>
      </c>
      <c r="AZ65" s="125" t="str">
        <f>Tabela1[[#This Row],[Pré Magnésio mg/dL]]</f>
        <v>-</v>
      </c>
      <c r="BA65" s="125" t="str">
        <f>Tabela1[[#This Row],[Pós Magnésio mg/dL]]</f>
        <v>-</v>
      </c>
      <c r="BB65" s="85" t="str">
        <f>Tabela1[[#This Row],[Pré Cloro mmol/L]]</f>
        <v>-</v>
      </c>
      <c r="BC65" s="85" t="str">
        <f>Tabela1[[#This Row],[Pós Cloro mmol/L]]</f>
        <v>-</v>
      </c>
      <c r="BD6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297.82033333333334</v>
      </c>
      <c r="BE6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244.73744444444446</v>
      </c>
      <c r="BF65" s="194">
        <f>Tabela1[[#This Row],[Pré RBC 10^6/mm³]]</f>
        <v>5.31</v>
      </c>
      <c r="BG65" s="125">
        <f>Tabela1[[#This Row],[Pós RBC 10^6/mm³]]</f>
        <v>5.13</v>
      </c>
      <c r="BH65" s="125">
        <f>Tabela1[[#This Row],[Pré HGB g/dL]]</f>
        <v>15.3</v>
      </c>
      <c r="BI65" s="125">
        <f>Tabela1[[#This Row],[Pós HGB g/dL]]</f>
        <v>14.8</v>
      </c>
      <c r="BJ65" s="125">
        <f>Tabela1[[#This Row],[Pré HCT %]]</f>
        <v>46.1</v>
      </c>
      <c r="BK65" s="125">
        <f>Tabela1[[#This Row],[Pós HCT %]]</f>
        <v>43.7</v>
      </c>
      <c r="BL65" s="125">
        <f>Tabela1[[#This Row],[Pré MCV fL]]</f>
        <v>86.8</v>
      </c>
      <c r="BM65" s="125">
        <f>Tabela1[[#This Row],[Pós MCV fL]]</f>
        <v>85.2</v>
      </c>
      <c r="BN65" s="125">
        <f>Tabela1[[#This Row],[Pré MCH pg]]</f>
        <v>28.8</v>
      </c>
      <c r="BO65" s="125">
        <f>Tabela1[[#This Row],[Pós MCH pg]]</f>
        <v>28.8</v>
      </c>
      <c r="BP65" s="125">
        <f>Tabela1[[#This Row],[Pré MCHC g/dL]]</f>
        <v>33.200000000000003</v>
      </c>
      <c r="BQ65" s="125">
        <f>Tabela1[[#This Row],[Pós MCHC g/dL]]</f>
        <v>33.9</v>
      </c>
      <c r="BR65" s="85">
        <f>Tabela1[[#This Row],[Pré PLT 10³/mm³]]</f>
        <v>238</v>
      </c>
      <c r="BS65" s="85">
        <f>Tabela1[[#This Row],[Pós PLT 10³/mm³]]</f>
        <v>208</v>
      </c>
      <c r="BT65" s="125">
        <f>Tabela1[[#This Row],[Pré RDW %]]</f>
        <v>13</v>
      </c>
      <c r="BU65" s="125">
        <f>Tabela1[[#This Row],[Pós RDW %]]</f>
        <v>12.6</v>
      </c>
      <c r="BV65" s="179">
        <f>Tabela1[[#This Row],[Pré RET %]]</f>
        <v>1.0900000000000001</v>
      </c>
      <c r="BW65" s="196">
        <f>Tabela1[[#This Row],[Pós RET %]]</f>
        <v>0.93</v>
      </c>
      <c r="BX65" s="197">
        <f>Tabela1[[#This Row],[Pré WBC 10³/mm³]]</f>
        <v>5.36</v>
      </c>
      <c r="BY65" s="179">
        <f>Tabela1[[#This Row],[Pós WBC 10³/mm³]]</f>
        <v>7.2</v>
      </c>
      <c r="BZ65" s="125">
        <f>Tabela1[[#This Row],[Pré NEUT %]]</f>
        <v>57.8</v>
      </c>
      <c r="CA65" s="125">
        <f>Tabela1[[#This Row],[Pós NEUT %]]</f>
        <v>62.8</v>
      </c>
      <c r="CB65" s="125">
        <f>Tabela1[[#This Row],[Pré LINF %]]</f>
        <v>27.8</v>
      </c>
      <c r="CC65" s="125">
        <f>Tabela1[[#This Row],[Pós LINF %]]</f>
        <v>25</v>
      </c>
      <c r="CD65" s="125">
        <f>Tabela1[[#This Row],[Pré MONO %]]</f>
        <v>11.8</v>
      </c>
      <c r="CE65" s="125">
        <f>Tabela1[[#This Row],[Pós MONO %]]</f>
        <v>10.4</v>
      </c>
      <c r="CF65" s="125">
        <f>Tabela1[[#This Row],[Pré EOS %]]</f>
        <v>1.9</v>
      </c>
      <c r="CG65" s="125">
        <f>Tabela1[[#This Row],[Pós EOS %]]</f>
        <v>1.1000000000000001</v>
      </c>
      <c r="CH65" s="125">
        <f>Tabela1[[#This Row],[Pré BASO %]]</f>
        <v>0.7</v>
      </c>
      <c r="CI65" s="198">
        <f>Tabela1[[#This Row],[Pós BASO %]]</f>
        <v>0.7</v>
      </c>
      <c r="CJ65" s="199" t="str">
        <f t="shared" si="1"/>
        <v>NÃO</v>
      </c>
      <c r="CK65" s="200" t="str">
        <f t="shared" si="2"/>
        <v>NÃO</v>
      </c>
      <c r="CL65" s="194">
        <f t="shared" si="3"/>
        <v>63.743760000000002</v>
      </c>
      <c r="CM65" s="125">
        <f>Tabela1[[#This Row],[MCT KG]]</f>
        <v>72.900000000000006</v>
      </c>
      <c r="CN65" s="85">
        <f>Tabela1[[#This Row],[ESTATURA]]</f>
        <v>168.6</v>
      </c>
      <c r="CO65" s="85">
        <f>Tabela1[[#This Row],[vo2max estimado]]</f>
        <v>48.54</v>
      </c>
      <c r="CP65" s="85">
        <f>Tabela1[[#This Row],[Handgrip     Dominante]]</f>
        <v>50</v>
      </c>
      <c r="CQ65" s="85">
        <f>Tabela1[[#This Row],[Handgrip Contrário]]</f>
        <v>47</v>
      </c>
      <c r="CR65" s="281">
        <f>Tabela1[[#This Row],[% gordura]]</f>
        <v>12.56</v>
      </c>
    </row>
    <row r="66" spans="1:96" ht="15.75" customHeight="1">
      <c r="A66" s="279">
        <f>Tabela1[[#This Row],[Ano]]</f>
        <v>2017</v>
      </c>
      <c r="B66" s="181" t="str">
        <f>Tabela1[[#This Row],[Missão]]</f>
        <v>Manaus</v>
      </c>
      <c r="C66" s="181">
        <f>Tabela1[[#This Row],[Aluno]]</f>
        <v>3136</v>
      </c>
      <c r="D66" s="181">
        <f>Tabela1[[#This Row],[Idade]]</f>
        <v>28</v>
      </c>
      <c r="E66" s="182">
        <f>Tabela1[[#This Row],[Peso Kg]]</f>
        <v>82</v>
      </c>
      <c r="F66" s="191">
        <f>Tabela1[[#This Row],[Cor da pele]]</f>
        <v>1</v>
      </c>
      <c r="G66" s="192" t="str">
        <f>Tabela1[[#This Row],[ACTN3]]</f>
        <v>RX</v>
      </c>
      <c r="H66" s="85" t="str">
        <f>Tabela1[[#This Row],[AGT]]</f>
        <v>MM</v>
      </c>
      <c r="I66" s="85" t="str">
        <f>Tabela1[[#This Row],[ECA]]</f>
        <v>DD</v>
      </c>
      <c r="J66" s="85" t="str">
        <f>Tabela1[[#This Row],[BDKRB2]]</f>
        <v>(-9, -9)</v>
      </c>
      <c r="K66" s="85">
        <f>Tabela1[[#This Row],[Score Força%]]</f>
        <v>37.5</v>
      </c>
      <c r="L66" s="193">
        <f>Tabela1[[#This Row],[Score Resistência %]]</f>
        <v>62.5</v>
      </c>
      <c r="M66" s="192">
        <f>Tabela1[[#This Row],[Pré CK (U/L)]]</f>
        <v>278</v>
      </c>
      <c r="N66" s="85">
        <f>Tabela1[[#This Row],[Pós CK (U/L)]]</f>
        <v>315</v>
      </c>
      <c r="O66" s="85">
        <f>Tabela1[[#This Row],[Pré CK MB U/L]]</f>
        <v>16</v>
      </c>
      <c r="P66" s="85">
        <f>Tabela1[[#This Row],[Pós CK MB U/L]]</f>
        <v>16</v>
      </c>
      <c r="Q66" s="85" t="str">
        <f>Tabela1[[#This Row],[Pré Lactato (mmol/L)]]</f>
        <v>-</v>
      </c>
      <c r="R66" s="85" t="str">
        <f>Tabela1[[#This Row],[Pós Lactato (mmol/L)]]</f>
        <v>-</v>
      </c>
      <c r="S66" s="85">
        <f>Tabela1[[#This Row],[Pré LDH (U/L)]]</f>
        <v>446</v>
      </c>
      <c r="T66" s="85">
        <f>Tabela1[[#This Row],[Pós LDH (U/L)]]</f>
        <v>564</v>
      </c>
      <c r="U66" s="85">
        <f>Tabela1[[#This Row],[Pré AST (U/L)]]</f>
        <v>35</v>
      </c>
      <c r="V66" s="193">
        <f>Tabela1[[#This Row],[Pós AST (U/L)]]</f>
        <v>30</v>
      </c>
      <c r="W66" s="194">
        <f>Tabela1[[#This Row],[Pré Albumina (g/dL)]]</f>
        <v>4.4000000000000004</v>
      </c>
      <c r="X66" s="125">
        <f>Tabela1[[#This Row],[Pós Albumina (g/dL)]]</f>
        <v>4.9000000000000004</v>
      </c>
      <c r="Y66" s="85">
        <f>Tabela1[[#This Row],[Pré TGP (g/dL)]]</f>
        <v>42</v>
      </c>
      <c r="Z66" s="85">
        <f>Tabela1[[#This Row],[Pós TGP (g/dL)]]</f>
        <v>29</v>
      </c>
      <c r="AA66" s="85">
        <f>Tabela1[[#This Row],[Pré GGT U/L]]</f>
        <v>17</v>
      </c>
      <c r="AB66" s="193">
        <f>Tabela1[[#This Row],[Pós GGT U/L]]</f>
        <v>14</v>
      </c>
      <c r="AC66" s="194" t="str">
        <f>Tabela1[[#This Row],[Pré Ac. Úrico (mg/dL)]]</f>
        <v>-</v>
      </c>
      <c r="AD66" s="125" t="str">
        <f>Tabela1[[#This Row],[Pós Ac. Úrico (mg/dL)2]]</f>
        <v>-</v>
      </c>
      <c r="AE6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6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66" s="85">
        <f>Tabela1[[#This Row],[Pré Ureia mg/dL]]</f>
        <v>43</v>
      </c>
      <c r="AH66" s="85">
        <f>Tabela1[[#This Row],[Pós Ureia mg/dL]]</f>
        <v>39</v>
      </c>
      <c r="AI66" s="125">
        <f>Tabela1[[#This Row],[Pré creatinina mg/dL]]</f>
        <v>0.9</v>
      </c>
      <c r="AJ66" s="125">
        <f>Tabela1[[#This Row],[Pós creatinina mg/dL]]</f>
        <v>1.1000000000000001</v>
      </c>
      <c r="AK66" s="180">
        <f t="shared" ref="AK66:AK129" si="4">IFERROR(IF((AJ66-AI66)&lt;0,0,(AJ66-AI66)),"Dados Insuficientes")</f>
        <v>0.20000000000000007</v>
      </c>
      <c r="AL66" s="125">
        <f>Tabela1[[#This Row],[Pré Fósforo mg/dL]]</f>
        <v>5.7</v>
      </c>
      <c r="AM66" s="125">
        <f>Tabela1[[#This Row],[Pós Fósforo mg/dL]]</f>
        <v>5.8</v>
      </c>
      <c r="AN66" s="125">
        <f>Tabela1[[#This Row],[Pré Proteína Total (g/dL)]]</f>
        <v>7.4</v>
      </c>
      <c r="AO66" s="125">
        <f>Tabela1[[#This Row],[Pós Proteína Total (g/dL)]]</f>
        <v>7.7</v>
      </c>
      <c r="AP66" s="85" t="str">
        <f>Tabela1[[#This Row],[Pré FE (ug/dL)]]</f>
        <v>-</v>
      </c>
      <c r="AQ66" s="193" t="str">
        <f>Tabela1[[#This Row],[Pós FE (ug/dL)]]</f>
        <v>-</v>
      </c>
      <c r="AR66" s="194">
        <f>Tabela1[[#This Row],[Pré calcio mg/dL]]</f>
        <v>9.8000000000000007</v>
      </c>
      <c r="AS66" s="125">
        <f>Tabela1[[#This Row],[Pós calcio mg/dL]]</f>
        <v>10.1</v>
      </c>
      <c r="AT66" s="125">
        <f>Tabela1[[#This Row],[Pré Potássio mmol/L]]</f>
        <v>6.8</v>
      </c>
      <c r="AU66" s="125">
        <f>Tabela1[[#This Row],[Pós Potássio mmol/L]]</f>
        <v>4.5999999999999996</v>
      </c>
      <c r="AV66" s="85">
        <f>Tabela1[[#This Row],[Glicose pré]]</f>
        <v>80</v>
      </c>
      <c r="AW66" s="85">
        <f>Tabela1[[#This Row],[Glicose pós]]</f>
        <v>80</v>
      </c>
      <c r="AX66" s="85">
        <f>Tabela1[[#This Row],[Pré Sódio mmol/L]]</f>
        <v>142</v>
      </c>
      <c r="AY66" s="85">
        <f>Tabela1[[#This Row],[Pós Sódio mmol/L]]</f>
        <v>146</v>
      </c>
      <c r="AZ66" s="125" t="str">
        <f>Tabela1[[#This Row],[Pré Magnésio mg/dL]]</f>
        <v>-</v>
      </c>
      <c r="BA66" s="125" t="str">
        <f>Tabela1[[#This Row],[Pós Magnésio mg/dL]]</f>
        <v>-</v>
      </c>
      <c r="BB66" s="85" t="str">
        <f>Tabela1[[#This Row],[Pré Cloro mmol/L]]</f>
        <v>-</v>
      </c>
      <c r="BC66" s="85" t="str">
        <f>Tabela1[[#This Row],[Pós Cloro mmol/L]]</f>
        <v>-</v>
      </c>
      <c r="BD6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303.0457777777778</v>
      </c>
      <c r="BE6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305.72711111111107</v>
      </c>
      <c r="BF66" s="194">
        <f>Tabela1[[#This Row],[Pré RBC 10^6/mm³]]</f>
        <v>5.27</v>
      </c>
      <c r="BG66" s="125">
        <f>Tabela1[[#This Row],[Pós RBC 10^6/mm³]]</f>
        <v>5.09</v>
      </c>
      <c r="BH66" s="125">
        <f>Tabela1[[#This Row],[Pré HGB g/dL]]</f>
        <v>14.8</v>
      </c>
      <c r="BI66" s="125">
        <f>Tabela1[[#This Row],[Pós HGB g/dL]]</f>
        <v>14.3</v>
      </c>
      <c r="BJ66" s="125">
        <f>Tabela1[[#This Row],[Pré HCT %]]</f>
        <v>45</v>
      </c>
      <c r="BK66" s="125">
        <f>Tabela1[[#This Row],[Pós HCT %]]</f>
        <v>42.9</v>
      </c>
      <c r="BL66" s="125">
        <f>Tabela1[[#This Row],[Pré MCV fL]]</f>
        <v>85.4</v>
      </c>
      <c r="BM66" s="125">
        <f>Tabela1[[#This Row],[Pós MCV fL]]</f>
        <v>84.3</v>
      </c>
      <c r="BN66" s="125">
        <f>Tabela1[[#This Row],[Pré MCH pg]]</f>
        <v>28.1</v>
      </c>
      <c r="BO66" s="125">
        <f>Tabela1[[#This Row],[Pós MCH pg]]</f>
        <v>28.1</v>
      </c>
      <c r="BP66" s="125">
        <f>Tabela1[[#This Row],[Pré MCHC g/dL]]</f>
        <v>32.9</v>
      </c>
      <c r="BQ66" s="125">
        <f>Tabela1[[#This Row],[Pós MCHC g/dL]]</f>
        <v>33.299999999999997</v>
      </c>
      <c r="BR66" s="85">
        <f>Tabela1[[#This Row],[Pré PLT 10³/mm³]]</f>
        <v>256</v>
      </c>
      <c r="BS66" s="85">
        <f>Tabela1[[#This Row],[Pós PLT 10³/mm³]]</f>
        <v>270</v>
      </c>
      <c r="BT66" s="125">
        <f>Tabela1[[#This Row],[Pré RDW %]]</f>
        <v>13</v>
      </c>
      <c r="BU66" s="125">
        <f>Tabela1[[#This Row],[Pós RDW %]]</f>
        <v>12.6</v>
      </c>
      <c r="BV66" s="179">
        <f>Tabela1[[#This Row],[Pré RET %]]</f>
        <v>1.1200000000000001</v>
      </c>
      <c r="BW66" s="196">
        <f>Tabela1[[#This Row],[Pós RET %]]</f>
        <v>0.86</v>
      </c>
      <c r="BX66" s="197">
        <f>Tabela1[[#This Row],[Pré WBC 10³/mm³]]</f>
        <v>6.1</v>
      </c>
      <c r="BY66" s="179">
        <f>Tabela1[[#This Row],[Pós WBC 10³/mm³]]</f>
        <v>5.67</v>
      </c>
      <c r="BZ66" s="125">
        <f>Tabela1[[#This Row],[Pré NEUT %]]</f>
        <v>45.2</v>
      </c>
      <c r="CA66" s="125">
        <f>Tabela1[[#This Row],[Pós NEUT %]]</f>
        <v>41.8</v>
      </c>
      <c r="CB66" s="125">
        <f>Tabela1[[#This Row],[Pré LINF %]]</f>
        <v>38.700000000000003</v>
      </c>
      <c r="CC66" s="125">
        <f>Tabela1[[#This Row],[Pós LINF %]]</f>
        <v>43</v>
      </c>
      <c r="CD66" s="125">
        <f>Tabela1[[#This Row],[Pré MONO %]]</f>
        <v>9.5</v>
      </c>
      <c r="CE66" s="125">
        <f>Tabela1[[#This Row],[Pós MONO %]]</f>
        <v>10.1</v>
      </c>
      <c r="CF66" s="125">
        <f>Tabela1[[#This Row],[Pré EOS %]]</f>
        <v>5.0999999999999996</v>
      </c>
      <c r="CG66" s="125">
        <f>Tabela1[[#This Row],[Pós EOS %]]</f>
        <v>3.5</v>
      </c>
      <c r="CH66" s="125">
        <f>Tabela1[[#This Row],[Pré BASO %]]</f>
        <v>1.5</v>
      </c>
      <c r="CI66" s="198">
        <f>Tabela1[[#This Row],[Pós BASO %]]</f>
        <v>1.6</v>
      </c>
      <c r="CJ66" s="199" t="str">
        <f t="shared" ref="CJ66:CJ129" si="5">IFERROR(IF((AJ66-AI66)&gt;=0.3,"SIM","NÃO"),"Dados insuficientes")</f>
        <v>NÃO</v>
      </c>
      <c r="CK66" s="200" t="str">
        <f t="shared" ref="CK66:CK129" si="6">IFERROR(IF(OR(N66&gt;=1000,M66&gt;=1000),"SIM","NÃO"),"Dados Insuficientes")</f>
        <v>NÃO</v>
      </c>
      <c r="CL66" s="194">
        <f t="shared" ref="CL66:CL129" si="7">$CM66-($CM66*(0.01*$CR66))</f>
        <v>70.596360000000004</v>
      </c>
      <c r="CM66" s="125">
        <f>Tabela1[[#This Row],[MCT KG]]</f>
        <v>80.7</v>
      </c>
      <c r="CN66" s="85">
        <f>Tabela1[[#This Row],[ESTATURA]]</f>
        <v>182.1</v>
      </c>
      <c r="CO66" s="85">
        <f>Tabela1[[#This Row],[vo2max estimado]]</f>
        <v>50.93</v>
      </c>
      <c r="CP66" s="85">
        <f>Tabela1[[#This Row],[Handgrip     Dominante]]</f>
        <v>56</v>
      </c>
      <c r="CQ66" s="85">
        <f>Tabela1[[#This Row],[Handgrip Contrário]]</f>
        <v>58</v>
      </c>
      <c r="CR66" s="281">
        <f>Tabela1[[#This Row],[% gordura]]</f>
        <v>12.52</v>
      </c>
    </row>
    <row r="67" spans="1:96" ht="15.75" customHeight="1">
      <c r="A67" s="279">
        <f>Tabela1[[#This Row],[Ano]]</f>
        <v>2017</v>
      </c>
      <c r="B67" s="181" t="str">
        <f>Tabela1[[#This Row],[Missão]]</f>
        <v>Manaus</v>
      </c>
      <c r="C67" s="181">
        <f>Tabela1[[#This Row],[Aluno]]</f>
        <v>3143</v>
      </c>
      <c r="D67" s="181">
        <f>Tabela1[[#This Row],[Idade]]</f>
        <v>28</v>
      </c>
      <c r="E67" s="182">
        <f>Tabela1[[#This Row],[Peso Kg]]</f>
        <v>85</v>
      </c>
      <c r="F67" s="191">
        <f>Tabela1[[#This Row],[Cor da pele]]</f>
        <v>1</v>
      </c>
      <c r="G67" s="192" t="str">
        <f>Tabela1[[#This Row],[ACTN3]]</f>
        <v>RR</v>
      </c>
      <c r="H67" s="85" t="str">
        <f>Tabela1[[#This Row],[AGT]]</f>
        <v>TT</v>
      </c>
      <c r="I67" s="85" t="str">
        <f>Tabela1[[#This Row],[ECA]]</f>
        <v>DD</v>
      </c>
      <c r="J67" s="85" t="str">
        <f>Tabela1[[#This Row],[BDKRB2]]</f>
        <v>(+9, -9)</v>
      </c>
      <c r="K67" s="85">
        <f>Tabela1[[#This Row],[Score Força%]]</f>
        <v>87.5</v>
      </c>
      <c r="L67" s="193">
        <f>Tabela1[[#This Row],[Score Resistência %]]</f>
        <v>12.5</v>
      </c>
      <c r="M67" s="192">
        <f>Tabela1[[#This Row],[Pré CK (U/L)]]</f>
        <v>140</v>
      </c>
      <c r="N67" s="85">
        <f>Tabela1[[#This Row],[Pós CK (U/L)]]</f>
        <v>193</v>
      </c>
      <c r="O67" s="85">
        <f>Tabela1[[#This Row],[Pré CK MB U/L]]</f>
        <v>6</v>
      </c>
      <c r="P67" s="85">
        <f>Tabela1[[#This Row],[Pós CK MB U/L]]</f>
        <v>16</v>
      </c>
      <c r="Q67" s="85" t="str">
        <f>Tabela1[[#This Row],[Pré Lactato (mmol/L)]]</f>
        <v>-</v>
      </c>
      <c r="R67" s="85" t="str">
        <f>Tabela1[[#This Row],[Pós Lactato (mmol/L)]]</f>
        <v>-</v>
      </c>
      <c r="S67" s="85">
        <f>Tabela1[[#This Row],[Pré LDH (U/L)]]</f>
        <v>398</v>
      </c>
      <c r="T67" s="85">
        <f>Tabela1[[#This Row],[Pós LDH (U/L)]]</f>
        <v>474</v>
      </c>
      <c r="U67" s="85">
        <f>Tabela1[[#This Row],[Pré AST (U/L)]]</f>
        <v>27</v>
      </c>
      <c r="V67" s="193">
        <f>Tabela1[[#This Row],[Pós AST (U/L)]]</f>
        <v>25</v>
      </c>
      <c r="W67" s="194">
        <f>Tabela1[[#This Row],[Pré Albumina (g/dL)]]</f>
        <v>4.5</v>
      </c>
      <c r="X67" s="125">
        <f>Tabela1[[#This Row],[Pós Albumina (g/dL)]]</f>
        <v>5.3</v>
      </c>
      <c r="Y67" s="85">
        <f>Tabela1[[#This Row],[Pré TGP (g/dL)]]</f>
        <v>43</v>
      </c>
      <c r="Z67" s="85">
        <f>Tabela1[[#This Row],[Pós TGP (g/dL)]]</f>
        <v>27</v>
      </c>
      <c r="AA67" s="85">
        <f>Tabela1[[#This Row],[Pré GGT U/L]]</f>
        <v>49</v>
      </c>
      <c r="AB67" s="193">
        <f>Tabela1[[#This Row],[Pós GGT U/L]]</f>
        <v>45</v>
      </c>
      <c r="AC67" s="194" t="str">
        <f>Tabela1[[#This Row],[Pré Ac. Úrico (mg/dL)]]</f>
        <v>-</v>
      </c>
      <c r="AD67" s="125" t="str">
        <f>Tabela1[[#This Row],[Pós Ac. Úrico (mg/dL)2]]</f>
        <v>-</v>
      </c>
      <c r="AE6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6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67" s="85">
        <f>Tabela1[[#This Row],[Pré Ureia mg/dL]]</f>
        <v>34</v>
      </c>
      <c r="AH67" s="85">
        <f>Tabela1[[#This Row],[Pós Ureia mg/dL]]</f>
        <v>43</v>
      </c>
      <c r="AI67" s="125">
        <f>Tabela1[[#This Row],[Pré creatinina mg/dL]]</f>
        <v>0.8</v>
      </c>
      <c r="AJ67" s="125">
        <f>Tabela1[[#This Row],[Pós creatinina mg/dL]]</f>
        <v>1.1000000000000001</v>
      </c>
      <c r="AK67" s="180">
        <f t="shared" si="4"/>
        <v>0.30000000000000004</v>
      </c>
      <c r="AL67" s="125">
        <f>Tabela1[[#This Row],[Pré Fósforo mg/dL]]</f>
        <v>4.5999999999999996</v>
      </c>
      <c r="AM67" s="125">
        <f>Tabela1[[#This Row],[Pós Fósforo mg/dL]]</f>
        <v>5.0999999999999996</v>
      </c>
      <c r="AN67" s="125">
        <f>Tabela1[[#This Row],[Pré Proteína Total (g/dL)]]</f>
        <v>7.6</v>
      </c>
      <c r="AO67" s="125">
        <f>Tabela1[[#This Row],[Pós Proteína Total (g/dL)]]</f>
        <v>8.3000000000000007</v>
      </c>
      <c r="AP67" s="85" t="str">
        <f>Tabela1[[#This Row],[Pré FE (ug/dL)]]</f>
        <v>-</v>
      </c>
      <c r="AQ67" s="193" t="str">
        <f>Tabela1[[#This Row],[Pós FE (ug/dL)]]</f>
        <v>-</v>
      </c>
      <c r="AR67" s="194">
        <f>Tabela1[[#This Row],[Pré calcio mg/dL]]</f>
        <v>9.1999999999999993</v>
      </c>
      <c r="AS67" s="125">
        <f>Tabela1[[#This Row],[Pós calcio mg/dL]]</f>
        <v>10.7</v>
      </c>
      <c r="AT67" s="125">
        <f>Tabela1[[#This Row],[Pré Potássio mmol/L]]</f>
        <v>4.8</v>
      </c>
      <c r="AU67" s="125">
        <f>Tabela1[[#This Row],[Pós Potássio mmol/L]]</f>
        <v>4.5</v>
      </c>
      <c r="AV67" s="85">
        <f>Tabela1[[#This Row],[Glicose pré]]</f>
        <v>97</v>
      </c>
      <c r="AW67" s="85">
        <f>Tabela1[[#This Row],[Glicose pós]]</f>
        <v>114</v>
      </c>
      <c r="AX67" s="85">
        <f>Tabela1[[#This Row],[Pré Sódio mmol/L]]</f>
        <v>142</v>
      </c>
      <c r="AY67" s="85">
        <f>Tabela1[[#This Row],[Pós Sódio mmol/L]]</f>
        <v>151</v>
      </c>
      <c r="AZ67" s="125" t="str">
        <f>Tabela1[[#This Row],[Pré Magnésio mg/dL]]</f>
        <v>-</v>
      </c>
      <c r="BA67" s="125" t="str">
        <f>Tabela1[[#This Row],[Pós Magnésio mg/dL]]</f>
        <v>-</v>
      </c>
      <c r="BB67" s="85" t="str">
        <f>Tabela1[[#This Row],[Pré Cloro mmol/L]]</f>
        <v>-</v>
      </c>
      <c r="BC67" s="85" t="str">
        <f>Tabela1[[#This Row],[Pós Cloro mmol/L]]</f>
        <v>-</v>
      </c>
      <c r="BD6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298.91188888888894</v>
      </c>
      <c r="BE6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317.68000000000006</v>
      </c>
      <c r="BF67" s="194">
        <f>Tabela1[[#This Row],[Pré RBC 10^6/mm³]]</f>
        <v>4.8</v>
      </c>
      <c r="BG67" s="125">
        <f>Tabela1[[#This Row],[Pós RBC 10^6/mm³]]</f>
        <v>4.9000000000000004</v>
      </c>
      <c r="BH67" s="125">
        <f>Tabela1[[#This Row],[Pré HGB g/dL]]</f>
        <v>13.9</v>
      </c>
      <c r="BI67" s="125">
        <f>Tabela1[[#This Row],[Pós HGB g/dL]]</f>
        <v>14.1</v>
      </c>
      <c r="BJ67" s="125">
        <f>Tabela1[[#This Row],[Pré HCT %]]</f>
        <v>43.1</v>
      </c>
      <c r="BK67" s="125">
        <f>Tabela1[[#This Row],[Pós HCT %]]</f>
        <v>43.6</v>
      </c>
      <c r="BL67" s="125">
        <f>Tabela1[[#This Row],[Pré MCV fL]]</f>
        <v>89.8</v>
      </c>
      <c r="BM67" s="125">
        <f>Tabela1[[#This Row],[Pós MCV fL]]</f>
        <v>89</v>
      </c>
      <c r="BN67" s="125">
        <f>Tabela1[[#This Row],[Pré MCH pg]]</f>
        <v>29</v>
      </c>
      <c r="BO67" s="125">
        <f>Tabela1[[#This Row],[Pós MCH pg]]</f>
        <v>28.8</v>
      </c>
      <c r="BP67" s="125">
        <f>Tabela1[[#This Row],[Pré MCHC g/dL]]</f>
        <v>32.299999999999997</v>
      </c>
      <c r="BQ67" s="125">
        <f>Tabela1[[#This Row],[Pós MCHC g/dL]]</f>
        <v>32.299999999999997</v>
      </c>
      <c r="BR67" s="85">
        <f>Tabela1[[#This Row],[Pré PLT 10³/mm³]]</f>
        <v>235</v>
      </c>
      <c r="BS67" s="85">
        <f>Tabela1[[#This Row],[Pós PLT 10³/mm³]]</f>
        <v>229</v>
      </c>
      <c r="BT67" s="125">
        <f>Tabela1[[#This Row],[Pré RDW %]]</f>
        <v>13.2</v>
      </c>
      <c r="BU67" s="125">
        <f>Tabela1[[#This Row],[Pós RDW %]]</f>
        <v>12.9</v>
      </c>
      <c r="BV67" s="179">
        <f>Tabela1[[#This Row],[Pré RET %]]</f>
        <v>0.76</v>
      </c>
      <c r="BW67" s="196">
        <f>Tabela1[[#This Row],[Pós RET %]]</f>
        <v>0.57999999999999996</v>
      </c>
      <c r="BX67" s="197">
        <f>Tabela1[[#This Row],[Pré WBC 10³/mm³]]</f>
        <v>7.82</v>
      </c>
      <c r="BY67" s="179">
        <f>Tabela1[[#This Row],[Pós WBC 10³/mm³]]</f>
        <v>9.8699999999999992</v>
      </c>
      <c r="BZ67" s="125">
        <f>Tabela1[[#This Row],[Pré NEUT %]]</f>
        <v>43.6</v>
      </c>
      <c r="CA67" s="125">
        <f>Tabela1[[#This Row],[Pós NEUT %]]</f>
        <v>49.6</v>
      </c>
      <c r="CB67" s="125">
        <f>Tabela1[[#This Row],[Pré LINF %]]</f>
        <v>43.5</v>
      </c>
      <c r="CC67" s="125">
        <f>Tabela1[[#This Row],[Pós LINF %]]</f>
        <v>38.299999999999997</v>
      </c>
      <c r="CD67" s="125">
        <f>Tabela1[[#This Row],[Pré MONO %]]</f>
        <v>10.199999999999999</v>
      </c>
      <c r="CE67" s="125">
        <f>Tabela1[[#This Row],[Pós MONO %]]</f>
        <v>10.199999999999999</v>
      </c>
      <c r="CF67" s="125">
        <f>Tabela1[[#This Row],[Pré EOS %]]</f>
        <v>2.4</v>
      </c>
      <c r="CG67" s="125">
        <f>Tabela1[[#This Row],[Pós EOS %]]</f>
        <v>1.6</v>
      </c>
      <c r="CH67" s="125">
        <f>Tabela1[[#This Row],[Pré BASO %]]</f>
        <v>0.3</v>
      </c>
      <c r="CI67" s="198">
        <f>Tabela1[[#This Row],[Pós BASO %]]</f>
        <v>0.3</v>
      </c>
      <c r="CJ67" s="199" t="str">
        <f t="shared" si="5"/>
        <v>SIM</v>
      </c>
      <c r="CK67" s="200" t="str">
        <f t="shared" si="6"/>
        <v>NÃO</v>
      </c>
      <c r="CL67" s="194">
        <f t="shared" si="7"/>
        <v>70.250040000000013</v>
      </c>
      <c r="CM67" s="125">
        <f>Tabela1[[#This Row],[MCT KG]]</f>
        <v>85.4</v>
      </c>
      <c r="CN67" s="85">
        <f>Tabela1[[#This Row],[ESTATURA]]</f>
        <v>179.3</v>
      </c>
      <c r="CO67" s="85">
        <f>Tabela1[[#This Row],[vo2max estimado]]</f>
        <v>49.65</v>
      </c>
      <c r="CP67" s="85">
        <f>Tabela1[[#This Row],[Handgrip     Dominante]]</f>
        <v>44</v>
      </c>
      <c r="CQ67" s="85">
        <f>Tabela1[[#This Row],[Handgrip Contrário]]</f>
        <v>35</v>
      </c>
      <c r="CR67" s="281">
        <f>Tabela1[[#This Row],[% gordura]]</f>
        <v>17.739999999999998</v>
      </c>
    </row>
    <row r="68" spans="1:96" ht="15.75" customHeight="1">
      <c r="A68" s="279">
        <f>Tabela1[[#This Row],[Ano]]</f>
        <v>2017</v>
      </c>
      <c r="B68" s="181" t="str">
        <f>Tabela1[[#This Row],[Missão]]</f>
        <v>Avelar</v>
      </c>
      <c r="C68" s="181">
        <f>Tabela1[[#This Row],[Aluno]]</f>
        <v>3090</v>
      </c>
      <c r="D68" s="181">
        <f>Tabela1[[#This Row],[Idade]]</f>
        <v>29</v>
      </c>
      <c r="E68" s="182">
        <f>Tabela1[[#This Row],[Peso Kg]]</f>
        <v>74</v>
      </c>
      <c r="F68" s="191">
        <f>Tabela1[[#This Row],[Cor da pele]]</f>
        <v>2</v>
      </c>
      <c r="G68" s="192" t="str">
        <f>Tabela1[[#This Row],[ACTN3]]</f>
        <v xml:space="preserve">RX </v>
      </c>
      <c r="H68" s="85" t="str">
        <f>Tabela1[[#This Row],[AGT]]</f>
        <v>MT</v>
      </c>
      <c r="I68" s="85" t="str">
        <f>Tabela1[[#This Row],[ECA]]</f>
        <v>II</v>
      </c>
      <c r="J68" s="85" t="str">
        <f>Tabela1[[#This Row],[BDKRB2]]</f>
        <v>(+9, -9)</v>
      </c>
      <c r="K68" s="85">
        <f>Tabela1[[#This Row],[Score Força%]]</f>
        <v>37.5</v>
      </c>
      <c r="L68" s="193">
        <f>Tabela1[[#This Row],[Score Resistência %]]</f>
        <v>62.5</v>
      </c>
      <c r="M68" s="192">
        <f>Tabela1[[#This Row],[Pré CK (U/L)]]</f>
        <v>1495</v>
      </c>
      <c r="N68" s="85">
        <f>Tabela1[[#This Row],[Pós CK (U/L)]]</f>
        <v>3200</v>
      </c>
      <c r="O68" s="85">
        <f>Tabela1[[#This Row],[Pré CK MB U/L]]</f>
        <v>40</v>
      </c>
      <c r="P68" s="85">
        <f>Tabela1[[#This Row],[Pós CK MB U/L]]</f>
        <v>179</v>
      </c>
      <c r="Q68" s="85" t="str">
        <f>Tabela1[[#This Row],[Pré Lactato (mmol/L)]]</f>
        <v>-</v>
      </c>
      <c r="R68" s="85" t="str">
        <f>Tabela1[[#This Row],[Pós Lactato (mmol/L)]]</f>
        <v>-</v>
      </c>
      <c r="S68" s="85">
        <f>Tabela1[[#This Row],[Pré LDH (U/L)]]</f>
        <v>807</v>
      </c>
      <c r="T68" s="85">
        <f>Tabela1[[#This Row],[Pós LDH (U/L)]]</f>
        <v>1503</v>
      </c>
      <c r="U68" s="85">
        <f>Tabela1[[#This Row],[Pré AST (U/L)]]</f>
        <v>63</v>
      </c>
      <c r="V68" s="193">
        <f>Tabela1[[#This Row],[Pós AST (U/L)]]</f>
        <v>211</v>
      </c>
      <c r="W68" s="194">
        <f>Tabela1[[#This Row],[Pré Albumina (g/dL)]]</f>
        <v>4.2</v>
      </c>
      <c r="X68" s="125">
        <f>Tabela1[[#This Row],[Pós Albumina (g/dL)]]</f>
        <v>5.0999999999999996</v>
      </c>
      <c r="Y68" s="85">
        <f>Tabela1[[#This Row],[Pré TGP (g/dL)]]</f>
        <v>64</v>
      </c>
      <c r="Z68" s="85">
        <f>Tabela1[[#This Row],[Pós TGP (g/dL)]]</f>
        <v>89</v>
      </c>
      <c r="AA68" s="85">
        <f>Tabela1[[#This Row],[Pré GGT U/L]]</f>
        <v>22</v>
      </c>
      <c r="AB68" s="193">
        <f>Tabela1[[#This Row],[Pós GGT U/L]]</f>
        <v>26</v>
      </c>
      <c r="AC68" s="194" t="str">
        <f>Tabela1[[#This Row],[Pré Ac. Úrico (mg/dL)]]</f>
        <v>-</v>
      </c>
      <c r="AD68" s="125" t="str">
        <f>Tabela1[[#This Row],[Pós Ac. Úrico (mg/dL)2]]</f>
        <v>-</v>
      </c>
      <c r="AE6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6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68" s="85">
        <f>Tabela1[[#This Row],[Pré Ureia mg/dL]]</f>
        <v>27</v>
      </c>
      <c r="AH68" s="85">
        <f>Tabela1[[#This Row],[Pós Ureia mg/dL]]</f>
        <v>44</v>
      </c>
      <c r="AI68" s="125">
        <f>Tabela1[[#This Row],[Pré creatinina mg/dL]]</f>
        <v>0.8</v>
      </c>
      <c r="AJ68" s="125">
        <f>Tabela1[[#This Row],[Pós creatinina mg/dL]]</f>
        <v>1.1000000000000001</v>
      </c>
      <c r="AK68" s="180">
        <f t="shared" si="4"/>
        <v>0.30000000000000004</v>
      </c>
      <c r="AL68" s="125">
        <f>Tabela1[[#This Row],[Pré Fósforo mg/dL]]</f>
        <v>3.9</v>
      </c>
      <c r="AM68" s="125">
        <f>Tabela1[[#This Row],[Pós Fósforo mg/dL]]</f>
        <v>5.4</v>
      </c>
      <c r="AN68" s="125">
        <f>Tabela1[[#This Row],[Pré Proteína Total (g/dL)]]</f>
        <v>7.1</v>
      </c>
      <c r="AO68" s="125">
        <f>Tabela1[[#This Row],[Pós Proteína Total (g/dL)]]</f>
        <v>8.3000000000000007</v>
      </c>
      <c r="AP68" s="85" t="str">
        <f>Tabela1[[#This Row],[Pré FE (ug/dL)]]</f>
        <v>-</v>
      </c>
      <c r="AQ68" s="193" t="str">
        <f>Tabela1[[#This Row],[Pós FE (ug/dL)]]</f>
        <v>-</v>
      </c>
      <c r="AR68" s="194">
        <f>Tabela1[[#This Row],[Pré calcio mg/dL]]</f>
        <v>9.5</v>
      </c>
      <c r="AS68" s="125">
        <f>Tabela1[[#This Row],[Pós calcio mg/dL]]</f>
        <v>9.9</v>
      </c>
      <c r="AT68" s="125">
        <f>Tabela1[[#This Row],[Pré Potássio mmol/L]]</f>
        <v>4.8</v>
      </c>
      <c r="AU68" s="125">
        <f>Tabela1[[#This Row],[Pós Potássio mmol/L]]</f>
        <v>4.0999999999999996</v>
      </c>
      <c r="AV68" s="85">
        <f>Tabela1[[#This Row],[Glicose pré]]</f>
        <v>97</v>
      </c>
      <c r="AW68" s="85">
        <f>Tabela1[[#This Row],[Glicose pós]]</f>
        <v>99</v>
      </c>
      <c r="AX68" s="85">
        <f>Tabela1[[#This Row],[Pré Sódio mmol/L]]</f>
        <v>138</v>
      </c>
      <c r="AY68" s="85">
        <f>Tabela1[[#This Row],[Pós Sódio mmol/L]]</f>
        <v>140</v>
      </c>
      <c r="AZ68" s="125" t="str">
        <f>Tabela1[[#This Row],[Pré Magnésio mg/dL]]</f>
        <v>-</v>
      </c>
      <c r="BA68" s="125" t="str">
        <f>Tabela1[[#This Row],[Pós Magnésio mg/dL]]</f>
        <v>-</v>
      </c>
      <c r="BB68" s="85" t="str">
        <f>Tabela1[[#This Row],[Pré Cloro mmol/L]]</f>
        <v>-</v>
      </c>
      <c r="BC68" s="85" t="str">
        <f>Tabela1[[#This Row],[Pós Cloro mmol/L]]</f>
        <v>-</v>
      </c>
      <c r="BD6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290.30522222222226</v>
      </c>
      <c r="BE6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295.68433333333331</v>
      </c>
      <c r="BF68" s="194">
        <f>Tabela1[[#This Row],[Pré RBC 10^6/mm³]]</f>
        <v>4.84</v>
      </c>
      <c r="BG68" s="125">
        <f>Tabela1[[#This Row],[Pós RBC 10^6/mm³]]</f>
        <v>5.41</v>
      </c>
      <c r="BH68" s="125">
        <f>Tabela1[[#This Row],[Pré HGB g/dL]]</f>
        <v>14.4</v>
      </c>
      <c r="BI68" s="125">
        <f>Tabela1[[#This Row],[Pós HGB g/dL]]</f>
        <v>16.5</v>
      </c>
      <c r="BJ68" s="125">
        <f>Tabela1[[#This Row],[Pré HCT %]]</f>
        <v>46.6</v>
      </c>
      <c r="BK68" s="125">
        <f>Tabela1[[#This Row],[Pós HCT %]]</f>
        <v>46.4</v>
      </c>
      <c r="BL68" s="125">
        <f>Tabela1[[#This Row],[Pré MCV fL]]</f>
        <v>96.3</v>
      </c>
      <c r="BM68" s="125">
        <f>Tabela1[[#This Row],[Pós MCV fL]]</f>
        <v>85.8</v>
      </c>
      <c r="BN68" s="125">
        <f>Tabela1[[#This Row],[Pré MCH pg]]</f>
        <v>29.8</v>
      </c>
      <c r="BO68" s="125">
        <f>Tabela1[[#This Row],[Pós MCH pg]]</f>
        <v>30.5</v>
      </c>
      <c r="BP68" s="125">
        <f>Tabela1[[#This Row],[Pré MCHC g/dL]]</f>
        <v>30.9</v>
      </c>
      <c r="BQ68" s="125">
        <f>Tabela1[[#This Row],[Pós MCHC g/dL]]</f>
        <v>35.6</v>
      </c>
      <c r="BR68" s="85">
        <f>Tabela1[[#This Row],[Pré PLT 10³/mm³]]</f>
        <v>267</v>
      </c>
      <c r="BS68" s="85">
        <f>Tabela1[[#This Row],[Pós PLT 10³/mm³]]</f>
        <v>324</v>
      </c>
      <c r="BT68" s="125">
        <f>Tabela1[[#This Row],[Pré RDW %]]</f>
        <v>13.3</v>
      </c>
      <c r="BU68" s="125">
        <f>Tabela1[[#This Row],[Pós RDW %]]</f>
        <v>12.6</v>
      </c>
      <c r="BV68" s="179">
        <f>Tabela1[[#This Row],[Pré RET %]]</f>
        <v>0.83</v>
      </c>
      <c r="BW68" s="196">
        <f>Tabela1[[#This Row],[Pós RET %]]</f>
        <v>2.1</v>
      </c>
      <c r="BX68" s="197">
        <f>Tabela1[[#This Row],[Pré WBC 10³/mm³]]</f>
        <v>7.64</v>
      </c>
      <c r="BY68" s="179">
        <f>Tabela1[[#This Row],[Pós WBC 10³/mm³]]</f>
        <v>6.42</v>
      </c>
      <c r="BZ68" s="125">
        <f>Tabela1[[#This Row],[Pré NEUT %]]</f>
        <v>63.481675392670155</v>
      </c>
      <c r="CA68" s="125">
        <f>Tabela1[[#This Row],[Pós NEUT %]]</f>
        <v>39.6</v>
      </c>
      <c r="CB68" s="125">
        <f>Tabela1[[#This Row],[Pré LINF %]]</f>
        <v>20.549738219895289</v>
      </c>
      <c r="CC68" s="125">
        <f>Tabela1[[#This Row],[Pós LINF %]]</f>
        <v>36.299999999999997</v>
      </c>
      <c r="CD68" s="125">
        <f>Tabela1[[#This Row],[Pré MONO %]]</f>
        <v>6.9371727748691105</v>
      </c>
      <c r="CE68" s="125">
        <f>Tabela1[[#This Row],[Pós MONO %]]</f>
        <v>20.2</v>
      </c>
      <c r="CF68" s="125">
        <f>Tabela1[[#This Row],[Pré EOS %]]</f>
        <v>7.8534031413612571</v>
      </c>
      <c r="CG68" s="125">
        <f>Tabela1[[#This Row],[Pós EOS %]]</f>
        <v>1.1000000000000001</v>
      </c>
      <c r="CH68" s="125">
        <f>Tabela1[[#This Row],[Pré BASO %]]</f>
        <v>1.1780104712041886</v>
      </c>
      <c r="CI68" s="198">
        <f>Tabela1[[#This Row],[Pós BASO %]]</f>
        <v>2.8</v>
      </c>
      <c r="CJ68" s="199" t="str">
        <f t="shared" si="5"/>
        <v>SIM</v>
      </c>
      <c r="CK68" s="200" t="str">
        <f t="shared" si="6"/>
        <v>SIM</v>
      </c>
      <c r="CL68" s="194">
        <f t="shared" si="7"/>
        <v>64.758570000000006</v>
      </c>
      <c r="CM68" s="125">
        <f>Tabela1[[#This Row],[MCT KG]]</f>
        <v>73.900000000000006</v>
      </c>
      <c r="CN68" s="85">
        <f>Tabela1[[#This Row],[ESTATURA]]</f>
        <v>172.6</v>
      </c>
      <c r="CO68" s="85">
        <f>Tabela1[[#This Row],[vo2max estimado]]</f>
        <v>52.06</v>
      </c>
      <c r="CP68" s="85">
        <f>Tabela1[[#This Row],[Handgrip     Dominante]]</f>
        <v>42</v>
      </c>
      <c r="CQ68" s="85">
        <f>Tabela1[[#This Row],[Handgrip Contrário]]</f>
        <v>36.5</v>
      </c>
      <c r="CR68" s="281">
        <f>Tabela1[[#This Row],[% gordura]]</f>
        <v>12.37</v>
      </c>
    </row>
    <row r="69" spans="1:96" ht="15.75" customHeight="1">
      <c r="A69" s="279">
        <f>Tabela1[[#This Row],[Ano]]</f>
        <v>2017</v>
      </c>
      <c r="B69" s="181" t="str">
        <f>Tabela1[[#This Row],[Missão]]</f>
        <v>Avelar</v>
      </c>
      <c r="C69" s="181">
        <f>Tabela1[[#This Row],[Aluno]]</f>
        <v>3091</v>
      </c>
      <c r="D69" s="181">
        <f>Tabela1[[#This Row],[Idade]]</f>
        <v>28</v>
      </c>
      <c r="E69" s="182">
        <f>Tabela1[[#This Row],[Peso Kg]]</f>
        <v>77</v>
      </c>
      <c r="F69" s="191">
        <f>Tabela1[[#This Row],[Cor da pele]]</f>
        <v>0</v>
      </c>
      <c r="G69" s="192" t="str">
        <f>Tabela1[[#This Row],[ACTN3]]</f>
        <v>XX</v>
      </c>
      <c r="H69" s="85" t="str">
        <f>Tabela1[[#This Row],[AGT]]</f>
        <v>MT</v>
      </c>
      <c r="I69" s="85" t="str">
        <f>Tabela1[[#This Row],[ECA]]</f>
        <v>II</v>
      </c>
      <c r="J69" s="85" t="str">
        <f>Tabela1[[#This Row],[BDKRB2]]</f>
        <v>(+9, +9)</v>
      </c>
      <c r="K69" s="85">
        <f>Tabela1[[#This Row],[Score Força%]]</f>
        <v>37.5</v>
      </c>
      <c r="L69" s="193">
        <f>Tabela1[[#This Row],[Score Resistência %]]</f>
        <v>62.5</v>
      </c>
      <c r="M69" s="192">
        <f>Tabela1[[#This Row],[Pré CK (U/L)]]</f>
        <v>151</v>
      </c>
      <c r="N69" s="85">
        <f>Tabela1[[#This Row],[Pós CK (U/L)]]</f>
        <v>3033</v>
      </c>
      <c r="O69" s="85">
        <f>Tabela1[[#This Row],[Pré CK MB U/L]]</f>
        <v>16</v>
      </c>
      <c r="P69" s="85">
        <f>Tabela1[[#This Row],[Pós CK MB U/L]]</f>
        <v>68</v>
      </c>
      <c r="Q69" s="85" t="str">
        <f>Tabela1[[#This Row],[Pré Lactato (mmol/L)]]</f>
        <v>-</v>
      </c>
      <c r="R69" s="85" t="str">
        <f>Tabela1[[#This Row],[Pós Lactato (mmol/L)]]</f>
        <v>-</v>
      </c>
      <c r="S69" s="85">
        <f>Tabela1[[#This Row],[Pré LDH (U/L)]]</f>
        <v>508</v>
      </c>
      <c r="T69" s="85">
        <f>Tabela1[[#This Row],[Pós LDH (U/L)]]</f>
        <v>1352</v>
      </c>
      <c r="U69" s="85">
        <f>Tabela1[[#This Row],[Pré AST (U/L)]]</f>
        <v>24</v>
      </c>
      <c r="V69" s="193">
        <f>Tabela1[[#This Row],[Pós AST (U/L)]]</f>
        <v>118</v>
      </c>
      <c r="W69" s="194">
        <f>Tabela1[[#This Row],[Pré Albumina (g/dL)]]</f>
        <v>4.2</v>
      </c>
      <c r="X69" s="125">
        <f>Tabela1[[#This Row],[Pós Albumina (g/dL)]]</f>
        <v>4.8</v>
      </c>
      <c r="Y69" s="85">
        <f>Tabela1[[#This Row],[Pré TGP (g/dL)]]</f>
        <v>24</v>
      </c>
      <c r="Z69" s="85">
        <f>Tabela1[[#This Row],[Pós TGP (g/dL)]]</f>
        <v>41</v>
      </c>
      <c r="AA69" s="85">
        <f>Tabela1[[#This Row],[Pré GGT U/L]]</f>
        <v>12</v>
      </c>
      <c r="AB69" s="193">
        <f>Tabela1[[#This Row],[Pós GGT U/L]]</f>
        <v>14</v>
      </c>
      <c r="AC69" s="194" t="str">
        <f>Tabela1[[#This Row],[Pré Ac. Úrico (mg/dL)]]</f>
        <v>-</v>
      </c>
      <c r="AD69" s="125" t="str">
        <f>Tabela1[[#This Row],[Pós Ac. Úrico (mg/dL)2]]</f>
        <v>-</v>
      </c>
      <c r="AE6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6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69" s="85">
        <f>Tabela1[[#This Row],[Pré Ureia mg/dL]]</f>
        <v>45</v>
      </c>
      <c r="AH69" s="85">
        <f>Tabela1[[#This Row],[Pós Ureia mg/dL]]</f>
        <v>37</v>
      </c>
      <c r="AI69" s="125">
        <f>Tabela1[[#This Row],[Pré creatinina mg/dL]]</f>
        <v>0.9</v>
      </c>
      <c r="AJ69" s="125">
        <f>Tabela1[[#This Row],[Pós creatinina mg/dL]]</f>
        <v>1</v>
      </c>
      <c r="AK69" s="180">
        <f t="shared" si="4"/>
        <v>9.9999999999999978E-2</v>
      </c>
      <c r="AL69" s="125">
        <f>Tabela1[[#This Row],[Pré Fósforo mg/dL]]</f>
        <v>4.0999999999999996</v>
      </c>
      <c r="AM69" s="125">
        <f>Tabela1[[#This Row],[Pós Fósforo mg/dL]]</f>
        <v>4.4000000000000004</v>
      </c>
      <c r="AN69" s="125">
        <f>Tabela1[[#This Row],[Pré Proteína Total (g/dL)]]</f>
        <v>6.8</v>
      </c>
      <c r="AO69" s="125">
        <f>Tabela1[[#This Row],[Pós Proteína Total (g/dL)]]</f>
        <v>7.4</v>
      </c>
      <c r="AP69" s="85" t="str">
        <f>Tabela1[[#This Row],[Pré FE (ug/dL)]]</f>
        <v>-</v>
      </c>
      <c r="AQ69" s="193" t="str">
        <f>Tabela1[[#This Row],[Pós FE (ug/dL)]]</f>
        <v>-</v>
      </c>
      <c r="AR69" s="194">
        <f>Tabela1[[#This Row],[Pré calcio mg/dL]]</f>
        <v>9.5</v>
      </c>
      <c r="AS69" s="125">
        <f>Tabela1[[#This Row],[Pós calcio mg/dL]]</f>
        <v>9.8000000000000007</v>
      </c>
      <c r="AT69" s="125">
        <f>Tabela1[[#This Row],[Pré Potássio mmol/L]]</f>
        <v>4.5</v>
      </c>
      <c r="AU69" s="125">
        <f>Tabela1[[#This Row],[Pós Potássio mmol/L]]</f>
        <v>4</v>
      </c>
      <c r="AV69" s="85">
        <f>Tabela1[[#This Row],[Glicose pré]]</f>
        <v>134</v>
      </c>
      <c r="AW69" s="85">
        <f>Tabela1[[#This Row],[Glicose pós]]</f>
        <v>112</v>
      </c>
      <c r="AX69" s="85">
        <f>Tabela1[[#This Row],[Pré Sódio mmol/L]]</f>
        <v>143</v>
      </c>
      <c r="AY69" s="85">
        <f>Tabela1[[#This Row],[Pós Sódio mmol/L]]</f>
        <v>138</v>
      </c>
      <c r="AZ69" s="125" t="str">
        <f>Tabela1[[#This Row],[Pré Magnésio mg/dL]]</f>
        <v>-</v>
      </c>
      <c r="BA69" s="125" t="str">
        <f>Tabela1[[#This Row],[Pós Magnésio mg/dL]]</f>
        <v>-</v>
      </c>
      <c r="BB69" s="85" t="str">
        <f>Tabela1[[#This Row],[Pré Cloro mmol/L]]</f>
        <v>-</v>
      </c>
      <c r="BC69" s="85" t="str">
        <f>Tabela1[[#This Row],[Pós Cloro mmol/L]]</f>
        <v>-</v>
      </c>
      <c r="BD6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304.41111111111115</v>
      </c>
      <c r="BE6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291.44222222222226</v>
      </c>
      <c r="BF69" s="194">
        <f>Tabela1[[#This Row],[Pré RBC 10^6/mm³]]</f>
        <v>4.1100000000000003</v>
      </c>
      <c r="BG69" s="125">
        <f>Tabela1[[#This Row],[Pós RBC 10^6/mm³]]</f>
        <v>4.43</v>
      </c>
      <c r="BH69" s="125">
        <f>Tabela1[[#This Row],[Pré HGB g/dL]]</f>
        <v>12.4</v>
      </c>
      <c r="BI69" s="125">
        <f>Tabela1[[#This Row],[Pós HGB g/dL]]</f>
        <v>13.6</v>
      </c>
      <c r="BJ69" s="125">
        <f>Tabela1[[#This Row],[Pré HCT %]]</f>
        <v>41</v>
      </c>
      <c r="BK69" s="125">
        <f>Tabela1[[#This Row],[Pós HCT %]]</f>
        <v>39.799999999999997</v>
      </c>
      <c r="BL69" s="125">
        <f>Tabela1[[#This Row],[Pré MCV fL]]</f>
        <v>99.8</v>
      </c>
      <c r="BM69" s="125">
        <f>Tabela1[[#This Row],[Pós MCV fL]]</f>
        <v>89.8</v>
      </c>
      <c r="BN69" s="125">
        <f>Tabela1[[#This Row],[Pré MCH pg]]</f>
        <v>30.2</v>
      </c>
      <c r="BO69" s="125">
        <f>Tabela1[[#This Row],[Pós MCH pg]]</f>
        <v>30.7</v>
      </c>
      <c r="BP69" s="125">
        <f>Tabela1[[#This Row],[Pré MCHC g/dL]]</f>
        <v>30.2</v>
      </c>
      <c r="BQ69" s="125">
        <f>Tabela1[[#This Row],[Pós MCHC g/dL]]</f>
        <v>34.200000000000003</v>
      </c>
      <c r="BR69" s="85">
        <f>Tabela1[[#This Row],[Pré PLT 10³/mm³]]</f>
        <v>246</v>
      </c>
      <c r="BS69" s="85">
        <f>Tabela1[[#This Row],[Pós PLT 10³/mm³]]</f>
        <v>270</v>
      </c>
      <c r="BT69" s="125">
        <f>Tabela1[[#This Row],[Pré RDW %]]</f>
        <v>13.7</v>
      </c>
      <c r="BU69" s="125">
        <f>Tabela1[[#This Row],[Pós RDW %]]</f>
        <v>12.9</v>
      </c>
      <c r="BV69" s="179">
        <f>Tabela1[[#This Row],[Pré RET %]]</f>
        <v>1.28</v>
      </c>
      <c r="BW69" s="196">
        <f>Tabela1[[#This Row],[Pós RET %]]</f>
        <v>1.98</v>
      </c>
      <c r="BX69" s="197">
        <f>Tabela1[[#This Row],[Pré WBC 10³/mm³]]</f>
        <v>6.33</v>
      </c>
      <c r="BY69" s="179">
        <f>Tabela1[[#This Row],[Pós WBC 10³/mm³]]</f>
        <v>8.76</v>
      </c>
      <c r="BZ69" s="125">
        <f>Tabela1[[#This Row],[Pré NEUT %]]</f>
        <v>65.876777251184834</v>
      </c>
      <c r="CA69" s="125">
        <f>Tabela1[[#This Row],[Pós NEUT %]]</f>
        <v>69.8</v>
      </c>
      <c r="CB69" s="125">
        <f>Tabela1[[#This Row],[Pré LINF %]]</f>
        <v>20.379146919431278</v>
      </c>
      <c r="CC69" s="125">
        <f>Tabela1[[#This Row],[Pós LINF %]]</f>
        <v>12.2</v>
      </c>
      <c r="CD69" s="125">
        <f>Tabela1[[#This Row],[Pré MONO %]]</f>
        <v>7.8988941548183256</v>
      </c>
      <c r="CE69" s="125">
        <f>Tabela1[[#This Row],[Pós MONO %]]</f>
        <v>17.2</v>
      </c>
      <c r="CF69" s="125">
        <f>Tabela1[[#This Row],[Pré EOS %]]</f>
        <v>5.2132701421800949</v>
      </c>
      <c r="CG69" s="125">
        <f>Tabela1[[#This Row],[Pós EOS %]]</f>
        <v>0.1</v>
      </c>
      <c r="CH69" s="125">
        <f>Tabela1[[#This Row],[Pré BASO %]]</f>
        <v>0.63191153238546605</v>
      </c>
      <c r="CI69" s="198">
        <f>Tabela1[[#This Row],[Pós BASO %]]</f>
        <v>0.7</v>
      </c>
      <c r="CJ69" s="199" t="str">
        <f t="shared" si="5"/>
        <v>NÃO</v>
      </c>
      <c r="CK69" s="200" t="str">
        <f t="shared" si="6"/>
        <v>SIM</v>
      </c>
      <c r="CL69" s="194">
        <f t="shared" si="7"/>
        <v>64.734659999999991</v>
      </c>
      <c r="CM69" s="125">
        <f>Tabela1[[#This Row],[MCT KG]]</f>
        <v>76.599999999999994</v>
      </c>
      <c r="CN69" s="85">
        <f>Tabela1[[#This Row],[ESTATURA]]</f>
        <v>177</v>
      </c>
      <c r="CO69" s="85">
        <f>Tabela1[[#This Row],[vo2max estimado]]</f>
        <v>52.21</v>
      </c>
      <c r="CP69" s="85">
        <f>Tabela1[[#This Row],[Handgrip     Dominante]]</f>
        <v>52</v>
      </c>
      <c r="CQ69" s="85">
        <f>Tabela1[[#This Row],[Handgrip Contrário]]</f>
        <v>49</v>
      </c>
      <c r="CR69" s="281">
        <f>Tabela1[[#This Row],[% gordura]]</f>
        <v>15.49</v>
      </c>
    </row>
    <row r="70" spans="1:96" ht="15.75" customHeight="1">
      <c r="A70" s="279">
        <f>Tabela1[[#This Row],[Ano]]</f>
        <v>2017</v>
      </c>
      <c r="B70" s="181" t="str">
        <f>Tabela1[[#This Row],[Missão]]</f>
        <v>Avelar</v>
      </c>
      <c r="C70" s="181">
        <f>Tabela1[[#This Row],[Aluno]]</f>
        <v>3092</v>
      </c>
      <c r="D70" s="181">
        <f>Tabela1[[#This Row],[Idade]]</f>
        <v>28</v>
      </c>
      <c r="E70" s="182">
        <f>Tabela1[[#This Row],[Peso Kg]]</f>
        <v>90</v>
      </c>
      <c r="F70" s="191">
        <f>Tabela1[[#This Row],[Cor da pele]]</f>
        <v>1</v>
      </c>
      <c r="G70" s="192" t="str">
        <f>Tabela1[[#This Row],[ACTN3]]</f>
        <v>RR</v>
      </c>
      <c r="H70" s="85" t="str">
        <f>Tabela1[[#This Row],[AGT]]</f>
        <v>MT</v>
      </c>
      <c r="I70" s="85" t="str">
        <f>Tabela1[[#This Row],[ECA]]</f>
        <v>DD</v>
      </c>
      <c r="J70" s="85" t="str">
        <f>Tabela1[[#This Row],[BDKRB2]]</f>
        <v>(-9, -9)</v>
      </c>
      <c r="K70" s="85">
        <f>Tabela1[[#This Row],[Score Força%]]</f>
        <v>62.5</v>
      </c>
      <c r="L70" s="193">
        <f>Tabela1[[#This Row],[Score Resistência %]]</f>
        <v>37.5</v>
      </c>
      <c r="M70" s="192">
        <f>Tabela1[[#This Row],[Pré CK (U/L)]]</f>
        <v>298</v>
      </c>
      <c r="N70" s="85">
        <f>Tabela1[[#This Row],[Pós CK (U/L)]]</f>
        <v>2204</v>
      </c>
      <c r="O70" s="85">
        <f>Tabela1[[#This Row],[Pré CK MB U/L]]</f>
        <v>27</v>
      </c>
      <c r="P70" s="85">
        <f>Tabela1[[#This Row],[Pós CK MB U/L]]</f>
        <v>72</v>
      </c>
      <c r="Q70" s="85" t="str">
        <f>Tabela1[[#This Row],[Pré Lactato (mmol/L)]]</f>
        <v>-</v>
      </c>
      <c r="R70" s="85" t="str">
        <f>Tabela1[[#This Row],[Pós Lactato (mmol/L)]]</f>
        <v>-</v>
      </c>
      <c r="S70" s="85">
        <f>Tabela1[[#This Row],[Pré LDH (U/L)]]</f>
        <v>577</v>
      </c>
      <c r="T70" s="85">
        <f>Tabela1[[#This Row],[Pós LDH (U/L)]]</f>
        <v>1195</v>
      </c>
      <c r="U70" s="85">
        <f>Tabela1[[#This Row],[Pré AST (U/L)]]</f>
        <v>27</v>
      </c>
      <c r="V70" s="193">
        <f>Tabela1[[#This Row],[Pós AST (U/L)]]</f>
        <v>84</v>
      </c>
      <c r="W70" s="194">
        <f>Tabela1[[#This Row],[Pré Albumina (g/dL)]]</f>
        <v>4</v>
      </c>
      <c r="X70" s="125">
        <f>Tabela1[[#This Row],[Pós Albumina (g/dL)]]</f>
        <v>5.0999999999999996</v>
      </c>
      <c r="Y70" s="85">
        <f>Tabela1[[#This Row],[Pré TGP (g/dL)]]</f>
        <v>31</v>
      </c>
      <c r="Z70" s="85">
        <f>Tabela1[[#This Row],[Pós TGP (g/dL)]]</f>
        <v>45</v>
      </c>
      <c r="AA70" s="85">
        <f>Tabela1[[#This Row],[Pré GGT U/L]]</f>
        <v>84</v>
      </c>
      <c r="AB70" s="193">
        <f>Tabela1[[#This Row],[Pós GGT U/L]]</f>
        <v>83</v>
      </c>
      <c r="AC70" s="194" t="str">
        <f>Tabela1[[#This Row],[Pré Ac. Úrico (mg/dL)]]</f>
        <v>-</v>
      </c>
      <c r="AD70" s="125" t="str">
        <f>Tabela1[[#This Row],[Pós Ac. Úrico (mg/dL)2]]</f>
        <v>-</v>
      </c>
      <c r="AE7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7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70" s="85">
        <f>Tabela1[[#This Row],[Pré Ureia mg/dL]]</f>
        <v>47</v>
      </c>
      <c r="AH70" s="85">
        <f>Tabela1[[#This Row],[Pós Ureia mg/dL]]</f>
        <v>36</v>
      </c>
      <c r="AI70" s="125">
        <f>Tabela1[[#This Row],[Pré creatinina mg/dL]]</f>
        <v>1.1000000000000001</v>
      </c>
      <c r="AJ70" s="125">
        <f>Tabela1[[#This Row],[Pós creatinina mg/dL]]</f>
        <v>1</v>
      </c>
      <c r="AK70" s="180">
        <f t="shared" si="4"/>
        <v>0</v>
      </c>
      <c r="AL70" s="125">
        <f>Tabela1[[#This Row],[Pré Fósforo mg/dL]]</f>
        <v>4.4000000000000004</v>
      </c>
      <c r="AM70" s="125">
        <f>Tabela1[[#This Row],[Pós Fósforo mg/dL]]</f>
        <v>3.7</v>
      </c>
      <c r="AN70" s="125">
        <f>Tabela1[[#This Row],[Pré Proteína Total (g/dL)]]</f>
        <v>7</v>
      </c>
      <c r="AO70" s="125">
        <f>Tabela1[[#This Row],[Pós Proteína Total (g/dL)]]</f>
        <v>8.3000000000000007</v>
      </c>
      <c r="AP70" s="85" t="str">
        <f>Tabela1[[#This Row],[Pré FE (ug/dL)]]</f>
        <v>-</v>
      </c>
      <c r="AQ70" s="193" t="str">
        <f>Tabela1[[#This Row],[Pós FE (ug/dL)]]</f>
        <v>-</v>
      </c>
      <c r="AR70" s="194">
        <f>Tabela1[[#This Row],[Pré calcio mg/dL]]</f>
        <v>9.5</v>
      </c>
      <c r="AS70" s="125">
        <f>Tabela1[[#This Row],[Pós calcio mg/dL]]</f>
        <v>10.1</v>
      </c>
      <c r="AT70" s="125">
        <f>Tabela1[[#This Row],[Pré Potássio mmol/L]]</f>
        <v>4.5999999999999996</v>
      </c>
      <c r="AU70" s="125">
        <f>Tabela1[[#This Row],[Pós Potássio mmol/L]]</f>
        <v>4.3</v>
      </c>
      <c r="AV70" s="85">
        <f>Tabela1[[#This Row],[Glicose pré]]</f>
        <v>82</v>
      </c>
      <c r="AW70" s="85">
        <f>Tabela1[[#This Row],[Glicose pós]]</f>
        <v>98</v>
      </c>
      <c r="AX70" s="85">
        <f>Tabela1[[#This Row],[Pré Sódio mmol/L]]</f>
        <v>141</v>
      </c>
      <c r="AY70" s="85">
        <f>Tabela1[[#This Row],[Pós Sódio mmol/L]]</f>
        <v>137</v>
      </c>
      <c r="AZ70" s="125" t="str">
        <f>Tabela1[[#This Row],[Pré Magnésio mg/dL]]</f>
        <v>-</v>
      </c>
      <c r="BA70" s="125" t="str">
        <f>Tabela1[[#This Row],[Pós Magnésio mg/dL]]</f>
        <v>-</v>
      </c>
      <c r="BB70" s="85" t="str">
        <f>Tabela1[[#This Row],[Pré Cloro mmol/L]]</f>
        <v>-</v>
      </c>
      <c r="BC70" s="85" t="str">
        <f>Tabela1[[#This Row],[Pós Cloro mmol/L]]</f>
        <v>-</v>
      </c>
      <c r="BD7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297.88822222222223</v>
      </c>
      <c r="BE7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289.07911111111116</v>
      </c>
      <c r="BF70" s="194">
        <f>Tabela1[[#This Row],[Pré RBC 10^6/mm³]]</f>
        <v>4.4400000000000004</v>
      </c>
      <c r="BG70" s="125">
        <f>Tabela1[[#This Row],[Pós RBC 10^6/mm³]]</f>
        <v>4.97</v>
      </c>
      <c r="BH70" s="125">
        <f>Tabela1[[#This Row],[Pré HGB g/dL]]</f>
        <v>13.2</v>
      </c>
      <c r="BI70" s="125">
        <f>Tabela1[[#This Row],[Pós HGB g/dL]]</f>
        <v>15</v>
      </c>
      <c r="BJ70" s="125">
        <f>Tabela1[[#This Row],[Pré HCT %]]</f>
        <v>40.9</v>
      </c>
      <c r="BK70" s="125">
        <f>Tabela1[[#This Row],[Pós HCT %]]</f>
        <v>44.9</v>
      </c>
      <c r="BL70" s="125">
        <f>Tabela1[[#This Row],[Pré MCV fL]]</f>
        <v>92.1</v>
      </c>
      <c r="BM70" s="125">
        <f>Tabela1[[#This Row],[Pós MCV fL]]</f>
        <v>90.3</v>
      </c>
      <c r="BN70" s="125">
        <f>Tabela1[[#This Row],[Pré MCH pg]]</f>
        <v>29.7</v>
      </c>
      <c r="BO70" s="125">
        <f>Tabela1[[#This Row],[Pós MCH pg]]</f>
        <v>30.2</v>
      </c>
      <c r="BP70" s="125">
        <f>Tabela1[[#This Row],[Pré MCHC g/dL]]</f>
        <v>32.299999999999997</v>
      </c>
      <c r="BQ70" s="125">
        <f>Tabela1[[#This Row],[Pós MCHC g/dL]]</f>
        <v>33.4</v>
      </c>
      <c r="BR70" s="85">
        <f>Tabela1[[#This Row],[Pré PLT 10³/mm³]]</f>
        <v>304</v>
      </c>
      <c r="BS70" s="85">
        <f>Tabela1[[#This Row],[Pós PLT 10³/mm³]]</f>
        <v>325</v>
      </c>
      <c r="BT70" s="125">
        <f>Tabela1[[#This Row],[Pré RDW %]]</f>
        <v>14</v>
      </c>
      <c r="BU70" s="125">
        <f>Tabela1[[#This Row],[Pós RDW %]]</f>
        <v>13.8</v>
      </c>
      <c r="BV70" s="179">
        <f>Tabela1[[#This Row],[Pré RET %]]</f>
        <v>0.77</v>
      </c>
      <c r="BW70" s="196">
        <f>Tabela1[[#This Row],[Pós RET %]]</f>
        <v>1.48</v>
      </c>
      <c r="BX70" s="197">
        <f>Tabela1[[#This Row],[Pré WBC 10³/mm³]]</f>
        <v>8.24</v>
      </c>
      <c r="BY70" s="179">
        <f>Tabela1[[#This Row],[Pós WBC 10³/mm³]]</f>
        <v>5.4</v>
      </c>
      <c r="BZ70" s="125">
        <f>Tabela1[[#This Row],[Pré NEUT %]]</f>
        <v>41.990291262135919</v>
      </c>
      <c r="CA70" s="125">
        <f>Tabela1[[#This Row],[Pós NEUT %]]</f>
        <v>45.6</v>
      </c>
      <c r="CB70" s="125">
        <f>Tabela1[[#This Row],[Pré LINF %]]</f>
        <v>37.621359223300971</v>
      </c>
      <c r="CC70" s="125">
        <f>Tabela1[[#This Row],[Pós LINF %]]</f>
        <v>40.200000000000003</v>
      </c>
      <c r="CD70" s="125">
        <f>Tabela1[[#This Row],[Pré MONO %]]</f>
        <v>10.922330097087379</v>
      </c>
      <c r="CE70" s="125">
        <f>Tabela1[[#This Row],[Pós MONO %]]</f>
        <v>11.9</v>
      </c>
      <c r="CF70" s="125">
        <f>Tabela1[[#This Row],[Pré EOS %]]</f>
        <v>8.3737864077669908</v>
      </c>
      <c r="CG70" s="125">
        <f>Tabela1[[#This Row],[Pós EOS %]]</f>
        <v>0.6</v>
      </c>
      <c r="CH70" s="125">
        <f>Tabela1[[#This Row],[Pré BASO %]]</f>
        <v>1.0922330097087378</v>
      </c>
      <c r="CI70" s="198">
        <f>Tabela1[[#This Row],[Pós BASO %]]</f>
        <v>1.7</v>
      </c>
      <c r="CJ70" s="199" t="str">
        <f t="shared" si="5"/>
        <v>NÃO</v>
      </c>
      <c r="CK70" s="200" t="str">
        <f t="shared" si="6"/>
        <v>SIM</v>
      </c>
      <c r="CL70" s="194">
        <f t="shared" si="7"/>
        <v>82.193119999999993</v>
      </c>
      <c r="CM70" s="125">
        <f>Tabela1[[#This Row],[MCT KG]]</f>
        <v>85.6</v>
      </c>
      <c r="CN70" s="85">
        <f>Tabela1[[#This Row],[ESTATURA]]</f>
        <v>192.5</v>
      </c>
      <c r="CO70" s="85">
        <f>Tabela1[[#This Row],[vo2max estimado]]</f>
        <v>0</v>
      </c>
      <c r="CP70" s="85">
        <f>Tabela1[[#This Row],[Handgrip     Dominante]]</f>
        <v>74</v>
      </c>
      <c r="CQ70" s="85">
        <f>Tabela1[[#This Row],[Handgrip Contrário]]</f>
        <v>70</v>
      </c>
      <c r="CR70" s="281">
        <f>Tabela1[[#This Row],[% gordura]]</f>
        <v>3.98</v>
      </c>
    </row>
    <row r="71" spans="1:96" ht="15.75" customHeight="1">
      <c r="A71" s="279">
        <f>Tabela1[[#This Row],[Ano]]</f>
        <v>2017</v>
      </c>
      <c r="B71" s="181" t="str">
        <f>Tabela1[[#This Row],[Missão]]</f>
        <v>Avelar</v>
      </c>
      <c r="C71" s="181">
        <f>Tabela1[[#This Row],[Aluno]]</f>
        <v>3093</v>
      </c>
      <c r="D71" s="181">
        <f>Tabela1[[#This Row],[Idade]]</f>
        <v>28</v>
      </c>
      <c r="E71" s="182">
        <f>Tabela1[[#This Row],[Peso Kg]]</f>
        <v>84</v>
      </c>
      <c r="F71" s="191">
        <f>Tabela1[[#This Row],[Cor da pele]]</f>
        <v>2</v>
      </c>
      <c r="G71" s="192" t="str">
        <f>Tabela1[[#This Row],[ACTN3]]</f>
        <v xml:space="preserve">RX </v>
      </c>
      <c r="H71" s="85" t="str">
        <f>Tabela1[[#This Row],[AGT]]</f>
        <v>TT</v>
      </c>
      <c r="I71" s="85" t="str">
        <f>Tabela1[[#This Row],[ECA]]</f>
        <v>ID</v>
      </c>
      <c r="J71" s="85" t="str">
        <f>Tabela1[[#This Row],[BDKRB2]]</f>
        <v>(+9, -9)</v>
      </c>
      <c r="K71" s="85">
        <f>Tabela1[[#This Row],[Score Força%]]</f>
        <v>62.5</v>
      </c>
      <c r="L71" s="193">
        <f>Tabela1[[#This Row],[Score Resistência %]]</f>
        <v>37.5</v>
      </c>
      <c r="M71" s="192">
        <f>Tabela1[[#This Row],[Pré CK (U/L)]]</f>
        <v>1009</v>
      </c>
      <c r="N71" s="85">
        <f>Tabela1[[#This Row],[Pós CK (U/L)]]</f>
        <v>3200</v>
      </c>
      <c r="O71" s="85">
        <f>Tabela1[[#This Row],[Pré CK MB U/L]]</f>
        <v>31</v>
      </c>
      <c r="P71" s="85">
        <f>Tabela1[[#This Row],[Pós CK MB U/L]]</f>
        <v>98</v>
      </c>
      <c r="Q71" s="85" t="str">
        <f>Tabela1[[#This Row],[Pré Lactato (mmol/L)]]</f>
        <v>-</v>
      </c>
      <c r="R71" s="85" t="str">
        <f>Tabela1[[#This Row],[Pós Lactato (mmol/L)]]</f>
        <v>-</v>
      </c>
      <c r="S71" s="85">
        <f>Tabela1[[#This Row],[Pré LDH (U/L)]]</f>
        <v>952</v>
      </c>
      <c r="T71" s="85">
        <f>Tabela1[[#This Row],[Pós LDH (U/L)]]</f>
        <v>2150</v>
      </c>
      <c r="U71" s="85">
        <f>Tabela1[[#This Row],[Pré AST (U/L)]]</f>
        <v>40</v>
      </c>
      <c r="V71" s="193">
        <f>Tabela1[[#This Row],[Pós AST (U/L)]]</f>
        <v>112</v>
      </c>
      <c r="W71" s="194">
        <f>Tabela1[[#This Row],[Pré Albumina (g/dL)]]</f>
        <v>4.4000000000000004</v>
      </c>
      <c r="X71" s="125">
        <f>Tabela1[[#This Row],[Pós Albumina (g/dL)]]</f>
        <v>5.0999999999999996</v>
      </c>
      <c r="Y71" s="85">
        <f>Tabela1[[#This Row],[Pré TGP (g/dL)]]</f>
        <v>63</v>
      </c>
      <c r="Z71" s="85">
        <f>Tabela1[[#This Row],[Pós TGP (g/dL)]]</f>
        <v>72</v>
      </c>
      <c r="AA71" s="85">
        <f>Tabela1[[#This Row],[Pré GGT U/L]]</f>
        <v>26</v>
      </c>
      <c r="AB71" s="193">
        <f>Tabela1[[#This Row],[Pós GGT U/L]]</f>
        <v>30</v>
      </c>
      <c r="AC71" s="194" t="str">
        <f>Tabela1[[#This Row],[Pré Ac. Úrico (mg/dL)]]</f>
        <v>-</v>
      </c>
      <c r="AD71" s="125" t="str">
        <f>Tabela1[[#This Row],[Pós Ac. Úrico (mg/dL)2]]</f>
        <v>-</v>
      </c>
      <c r="AE7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7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71" s="85">
        <f>Tabela1[[#This Row],[Pré Ureia mg/dL]]</f>
        <v>44</v>
      </c>
      <c r="AH71" s="85">
        <f>Tabela1[[#This Row],[Pós Ureia mg/dL]]</f>
        <v>44</v>
      </c>
      <c r="AI71" s="125">
        <f>Tabela1[[#This Row],[Pré creatinina mg/dL]]</f>
        <v>1</v>
      </c>
      <c r="AJ71" s="125">
        <f>Tabela1[[#This Row],[Pós creatinina mg/dL]]</f>
        <v>1.2</v>
      </c>
      <c r="AK71" s="180">
        <f t="shared" si="4"/>
        <v>0.19999999999999996</v>
      </c>
      <c r="AL71" s="125">
        <f>Tabela1[[#This Row],[Pré Fósforo mg/dL]]</f>
        <v>4.3</v>
      </c>
      <c r="AM71" s="125">
        <f>Tabela1[[#This Row],[Pós Fósforo mg/dL]]</f>
        <v>5.4</v>
      </c>
      <c r="AN71" s="125">
        <f>Tabela1[[#This Row],[Pré Proteína Total (g/dL)]]</f>
        <v>7.2</v>
      </c>
      <c r="AO71" s="125">
        <f>Tabela1[[#This Row],[Pós Proteína Total (g/dL)]]</f>
        <v>8.1</v>
      </c>
      <c r="AP71" s="85" t="str">
        <f>Tabela1[[#This Row],[Pré FE (ug/dL)]]</f>
        <v>-</v>
      </c>
      <c r="AQ71" s="193" t="str">
        <f>Tabela1[[#This Row],[Pós FE (ug/dL)]]</f>
        <v>-</v>
      </c>
      <c r="AR71" s="194">
        <f>Tabela1[[#This Row],[Pré calcio mg/dL]]</f>
        <v>9.6999999999999993</v>
      </c>
      <c r="AS71" s="125">
        <f>Tabela1[[#This Row],[Pós calcio mg/dL]]</f>
        <v>10.3</v>
      </c>
      <c r="AT71" s="125">
        <f>Tabela1[[#This Row],[Pré Potássio mmol/L]]</f>
        <v>4.5</v>
      </c>
      <c r="AU71" s="125">
        <f>Tabela1[[#This Row],[Pós Potássio mmol/L]]</f>
        <v>4.4000000000000004</v>
      </c>
      <c r="AV71" s="85">
        <f>Tabela1[[#This Row],[Glicose pré]]</f>
        <v>119</v>
      </c>
      <c r="AW71" s="85">
        <f>Tabela1[[#This Row],[Glicose pós]]</f>
        <v>90</v>
      </c>
      <c r="AX71" s="85">
        <f>Tabela1[[#This Row],[Pré Sódio mmol/L]]</f>
        <v>139</v>
      </c>
      <c r="AY71" s="85">
        <f>Tabela1[[#This Row],[Pós Sódio mmol/L]]</f>
        <v>140</v>
      </c>
      <c r="AZ71" s="125" t="str">
        <f>Tabela1[[#This Row],[Pré Magnésio mg/dL]]</f>
        <v>-</v>
      </c>
      <c r="BA71" s="125" t="str">
        <f>Tabela1[[#This Row],[Pós Magnésio mg/dL]]</f>
        <v>-</v>
      </c>
      <c r="BB71" s="85" t="str">
        <f>Tabela1[[#This Row],[Pré Cloro mmol/L]]</f>
        <v>-</v>
      </c>
      <c r="BC71" s="85" t="str">
        <f>Tabela1[[#This Row],[Pós Cloro mmol/L]]</f>
        <v>-</v>
      </c>
      <c r="BD7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295.8461111111111</v>
      </c>
      <c r="BE7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295.66733333333332</v>
      </c>
      <c r="BF71" s="194">
        <f>Tabela1[[#This Row],[Pré RBC 10^6/mm³]]</f>
        <v>4.0999999999999996</v>
      </c>
      <c r="BG71" s="125">
        <f>Tabela1[[#This Row],[Pós RBC 10^6/mm³]]</f>
        <v>4.66</v>
      </c>
      <c r="BH71" s="125">
        <f>Tabela1[[#This Row],[Pré HGB g/dL]]</f>
        <v>14</v>
      </c>
      <c r="BI71" s="125">
        <f>Tabela1[[#This Row],[Pós HGB g/dL]]</f>
        <v>15.8</v>
      </c>
      <c r="BJ71" s="125">
        <f>Tabela1[[#This Row],[Pré HCT %]]</f>
        <v>42.3</v>
      </c>
      <c r="BK71" s="125">
        <f>Tabela1[[#This Row],[Pós HCT %]]</f>
        <v>46.5</v>
      </c>
      <c r="BL71" s="125">
        <f>Tabela1[[#This Row],[Pré MCV fL]]</f>
        <v>101</v>
      </c>
      <c r="BM71" s="125">
        <f>Tabela1[[#This Row],[Pós MCV fL]]</f>
        <v>99.8</v>
      </c>
      <c r="BN71" s="125">
        <f>Tabela1[[#This Row],[Pré MCH pg]]</f>
        <v>33.4</v>
      </c>
      <c r="BO71" s="125">
        <f>Tabela1[[#This Row],[Pós MCH pg]]</f>
        <v>33.9</v>
      </c>
      <c r="BP71" s="125">
        <f>Tabela1[[#This Row],[Pré MCHC g/dL]]</f>
        <v>33.1</v>
      </c>
      <c r="BQ71" s="125">
        <f>Tabela1[[#This Row],[Pós MCHC g/dL]]</f>
        <v>34</v>
      </c>
      <c r="BR71" s="85">
        <f>Tabela1[[#This Row],[Pré PLT 10³/mm³]]</f>
        <v>405</v>
      </c>
      <c r="BS71" s="85">
        <f>Tabela1[[#This Row],[Pós PLT 10³/mm³]]</f>
        <v>430</v>
      </c>
      <c r="BT71" s="125">
        <f>Tabela1[[#This Row],[Pré RDW %]]</f>
        <v>12.3</v>
      </c>
      <c r="BU71" s="125">
        <f>Tabela1[[#This Row],[Pós RDW %]]</f>
        <v>12.9</v>
      </c>
      <c r="BV71" s="179">
        <f>Tabela1[[#This Row],[Pré RET %]]</f>
        <v>1.28</v>
      </c>
      <c r="BW71" s="196">
        <f>Tabela1[[#This Row],[Pós RET %]]</f>
        <v>1.83</v>
      </c>
      <c r="BX71" s="197">
        <f>Tabela1[[#This Row],[Pré WBC 10³/mm³]]</f>
        <v>6.06</v>
      </c>
      <c r="BY71" s="179">
        <f>Tabela1[[#This Row],[Pós WBC 10³/mm³]]</f>
        <v>8.1300000000000008</v>
      </c>
      <c r="BZ71" s="125">
        <f>Tabela1[[#This Row],[Pré NEUT %]]</f>
        <v>75.247524752475243</v>
      </c>
      <c r="CA71" s="125">
        <f>Tabela1[[#This Row],[Pós NEUT %]]</f>
        <v>65.2</v>
      </c>
      <c r="CB71" s="125">
        <f>Tabela1[[#This Row],[Pré LINF %]]</f>
        <v>16.336633663366339</v>
      </c>
      <c r="CC71" s="125">
        <f>Tabela1[[#This Row],[Pós LINF %]]</f>
        <v>10.8</v>
      </c>
      <c r="CD71" s="125">
        <f>Tabela1[[#This Row],[Pré MONO %]]</f>
        <v>8.2508250825082516</v>
      </c>
      <c r="CE71" s="125">
        <f>Tabela1[[#This Row],[Pós MONO %]]</f>
        <v>22.4</v>
      </c>
      <c r="CF71" s="125">
        <f>Tabela1[[#This Row],[Pré EOS %]]</f>
        <v>0</v>
      </c>
      <c r="CG71" s="125">
        <f>Tabela1[[#This Row],[Pós EOS %]]</f>
        <v>0</v>
      </c>
      <c r="CH71" s="125">
        <f>Tabela1[[#This Row],[Pré BASO %]]</f>
        <v>0.16501650165016502</v>
      </c>
      <c r="CI71" s="198">
        <f>Tabela1[[#This Row],[Pós BASO %]]</f>
        <v>1.6</v>
      </c>
      <c r="CJ71" s="199" t="str">
        <f t="shared" si="5"/>
        <v>NÃO</v>
      </c>
      <c r="CK71" s="200" t="str">
        <f t="shared" si="6"/>
        <v>SIM</v>
      </c>
      <c r="CL71" s="194">
        <f t="shared" si="7"/>
        <v>78.848640000000003</v>
      </c>
      <c r="CM71" s="125">
        <f>Tabela1[[#This Row],[MCT KG]]</f>
        <v>86.4</v>
      </c>
      <c r="CN71" s="85">
        <f>Tabela1[[#This Row],[ESTATURA]]</f>
        <v>184</v>
      </c>
      <c r="CO71" s="85">
        <f>Tabela1[[#This Row],[vo2max estimado]]</f>
        <v>50.17</v>
      </c>
      <c r="CP71" s="85">
        <f>Tabela1[[#This Row],[Handgrip     Dominante]]</f>
        <v>48</v>
      </c>
      <c r="CQ71" s="85">
        <f>Tabela1[[#This Row],[Handgrip Contrário]]</f>
        <v>42.5</v>
      </c>
      <c r="CR71" s="281">
        <f>Tabela1[[#This Row],[% gordura]]</f>
        <v>8.74</v>
      </c>
    </row>
    <row r="72" spans="1:96" ht="15.75" customHeight="1">
      <c r="A72" s="279">
        <f>Tabela1[[#This Row],[Ano]]</f>
        <v>2017</v>
      </c>
      <c r="B72" s="181" t="str">
        <f>Tabela1[[#This Row],[Missão]]</f>
        <v>Avelar</v>
      </c>
      <c r="C72" s="181">
        <f>Tabela1[[#This Row],[Aluno]]</f>
        <v>3094</v>
      </c>
      <c r="D72" s="181">
        <f>Tabela1[[#This Row],[Idade]]</f>
        <v>34</v>
      </c>
      <c r="E72" s="182">
        <f>Tabela1[[#This Row],[Peso Kg]]</f>
        <v>0</v>
      </c>
      <c r="F72" s="191">
        <f>Tabela1[[#This Row],[Cor da pele]]</f>
        <v>2</v>
      </c>
      <c r="G72" s="192" t="str">
        <f>Tabela1[[#This Row],[ACTN3]]</f>
        <v>XX</v>
      </c>
      <c r="H72" s="85" t="str">
        <f>Tabela1[[#This Row],[AGT]]</f>
        <v>MT</v>
      </c>
      <c r="I72" s="85" t="str">
        <f>Tabela1[[#This Row],[ECA]]</f>
        <v>ID</v>
      </c>
      <c r="J72" s="85" t="str">
        <f>Tabela1[[#This Row],[BDKRB2]]</f>
        <v>(+9, -9)</v>
      </c>
      <c r="K72" s="85">
        <f>Tabela1[[#This Row],[Score Força%]]</f>
        <v>37.5</v>
      </c>
      <c r="L72" s="193">
        <f>Tabela1[[#This Row],[Score Resistência %]]</f>
        <v>62.5</v>
      </c>
      <c r="M72" s="192">
        <f>Tabela1[[#This Row],[Pré CK (U/L)]]</f>
        <v>2144</v>
      </c>
      <c r="N72" s="85">
        <f>Tabela1[[#This Row],[Pós CK (U/L)]]</f>
        <v>3200</v>
      </c>
      <c r="O72" s="85">
        <f>Tabela1[[#This Row],[Pré CK MB U/L]]</f>
        <v>64</v>
      </c>
      <c r="P72" s="85">
        <f>Tabela1[[#This Row],[Pós CK MB U/L]]</f>
        <v>95</v>
      </c>
      <c r="Q72" s="85" t="str">
        <f>Tabela1[[#This Row],[Pré Lactato (mmol/L)]]</f>
        <v>-</v>
      </c>
      <c r="R72" s="85" t="str">
        <f>Tabela1[[#This Row],[Pós Lactato (mmol/L)]]</f>
        <v>-</v>
      </c>
      <c r="S72" s="85">
        <f>Tabela1[[#This Row],[Pré LDH (U/L)]]</f>
        <v>1096</v>
      </c>
      <c r="T72" s="85">
        <f>Tabela1[[#This Row],[Pós LDH (U/L)]]</f>
        <v>1517</v>
      </c>
      <c r="U72" s="85">
        <f>Tabela1[[#This Row],[Pré AST (U/L)]]</f>
        <v>96</v>
      </c>
      <c r="V72" s="193">
        <f>Tabela1[[#This Row],[Pós AST (U/L)]]</f>
        <v>118</v>
      </c>
      <c r="W72" s="194">
        <f>Tabela1[[#This Row],[Pré Albumina (g/dL)]]</f>
        <v>4</v>
      </c>
      <c r="X72" s="125">
        <f>Tabela1[[#This Row],[Pós Albumina (g/dL)]]</f>
        <v>4.5999999999999996</v>
      </c>
      <c r="Y72" s="85">
        <f>Tabela1[[#This Row],[Pré TGP (g/dL)]]</f>
        <v>99</v>
      </c>
      <c r="Z72" s="85">
        <f>Tabela1[[#This Row],[Pós TGP (g/dL)]]</f>
        <v>69</v>
      </c>
      <c r="AA72" s="85">
        <f>Tabela1[[#This Row],[Pré GGT U/L]]</f>
        <v>72</v>
      </c>
      <c r="AB72" s="193">
        <f>Tabela1[[#This Row],[Pós GGT U/L]]</f>
        <v>86</v>
      </c>
      <c r="AC72" s="194" t="str">
        <f>Tabela1[[#This Row],[Pré Ac. Úrico (mg/dL)]]</f>
        <v>-</v>
      </c>
      <c r="AD72" s="125" t="str">
        <f>Tabela1[[#This Row],[Pós Ac. Úrico (mg/dL)2]]</f>
        <v>-</v>
      </c>
      <c r="AE7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7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72" s="85">
        <f>Tabela1[[#This Row],[Pré Ureia mg/dL]]</f>
        <v>42</v>
      </c>
      <c r="AH72" s="85">
        <f>Tabela1[[#This Row],[Pós Ureia mg/dL]]</f>
        <v>49</v>
      </c>
      <c r="AI72" s="125">
        <f>Tabela1[[#This Row],[Pré creatinina mg/dL]]</f>
        <v>0.8</v>
      </c>
      <c r="AJ72" s="125">
        <f>Tabela1[[#This Row],[Pós creatinina mg/dL]]</f>
        <v>1</v>
      </c>
      <c r="AK72" s="180">
        <f t="shared" si="4"/>
        <v>0.19999999999999996</v>
      </c>
      <c r="AL72" s="125">
        <f>Tabela1[[#This Row],[Pré Fósforo mg/dL]]</f>
        <v>3.3</v>
      </c>
      <c r="AM72" s="125">
        <f>Tabela1[[#This Row],[Pós Fósforo mg/dL]]</f>
        <v>5.0999999999999996</v>
      </c>
      <c r="AN72" s="125">
        <f>Tabela1[[#This Row],[Pré Proteína Total (g/dL)]]</f>
        <v>7.2</v>
      </c>
      <c r="AO72" s="125">
        <f>Tabela1[[#This Row],[Pós Proteína Total (g/dL)]]</f>
        <v>7.7</v>
      </c>
      <c r="AP72" s="85" t="str">
        <f>Tabela1[[#This Row],[Pré FE (ug/dL)]]</f>
        <v>-</v>
      </c>
      <c r="AQ72" s="193" t="str">
        <f>Tabela1[[#This Row],[Pós FE (ug/dL)]]</f>
        <v>-</v>
      </c>
      <c r="AR72" s="194">
        <f>Tabela1[[#This Row],[Pré calcio mg/dL]]</f>
        <v>9</v>
      </c>
      <c r="AS72" s="125">
        <f>Tabela1[[#This Row],[Pós calcio mg/dL]]</f>
        <v>9.4</v>
      </c>
      <c r="AT72" s="125">
        <f>Tabela1[[#This Row],[Pré Potássio mmol/L]]</f>
        <v>4.8</v>
      </c>
      <c r="AU72" s="125">
        <f>Tabela1[[#This Row],[Pós Potássio mmol/L]]</f>
        <v>4.2</v>
      </c>
      <c r="AV72" s="85">
        <f>Tabela1[[#This Row],[Glicose pré]]</f>
        <v>132</v>
      </c>
      <c r="AW72" s="85">
        <f>Tabela1[[#This Row],[Glicose pós]]</f>
        <v>88</v>
      </c>
      <c r="AX72" s="85">
        <f>Tabela1[[#This Row],[Pré Sódio mmol/L]]</f>
        <v>137</v>
      </c>
      <c r="AY72" s="85">
        <f>Tabela1[[#This Row],[Pós Sódio mmol/L]]</f>
        <v>137</v>
      </c>
      <c r="AZ72" s="125" t="str">
        <f>Tabela1[[#This Row],[Pré Magnésio mg/dL]]</f>
        <v>-</v>
      </c>
      <c r="BA72" s="125" t="str">
        <f>Tabela1[[#This Row],[Pós Magnésio mg/dL]]</f>
        <v>-</v>
      </c>
      <c r="BB72" s="85" t="str">
        <f>Tabela1[[#This Row],[Pré Cloro mmol/L]]</f>
        <v>-</v>
      </c>
      <c r="BC72" s="85" t="str">
        <f>Tabela1[[#This Row],[Pós Cloro mmol/L]]</f>
        <v>-</v>
      </c>
      <c r="BD7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293.18133333333338</v>
      </c>
      <c r="BE7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290.4208888888889</v>
      </c>
      <c r="BF72" s="194">
        <f>Tabela1[[#This Row],[Pré RBC 10^6/mm³]]</f>
        <v>4.58</v>
      </c>
      <c r="BG72" s="125">
        <f>Tabela1[[#This Row],[Pós RBC 10^6/mm³]]</f>
        <v>5.1100000000000003</v>
      </c>
      <c r="BH72" s="125">
        <f>Tabela1[[#This Row],[Pré HGB g/dL]]</f>
        <v>13.8</v>
      </c>
      <c r="BI72" s="125">
        <f>Tabela1[[#This Row],[Pós HGB g/dL]]</f>
        <v>15.9</v>
      </c>
      <c r="BJ72" s="125">
        <f>Tabela1[[#This Row],[Pré HCT %]]</f>
        <v>44.4</v>
      </c>
      <c r="BK72" s="125">
        <f>Tabela1[[#This Row],[Pós HCT %]]</f>
        <v>46.2</v>
      </c>
      <c r="BL72" s="125">
        <f>Tabela1[[#This Row],[Pré MCV fL]]</f>
        <v>96.9</v>
      </c>
      <c r="BM72" s="125">
        <f>Tabela1[[#This Row],[Pós MCV fL]]</f>
        <v>90.4</v>
      </c>
      <c r="BN72" s="125">
        <f>Tabela1[[#This Row],[Pré MCH pg]]</f>
        <v>30.1</v>
      </c>
      <c r="BO72" s="125">
        <f>Tabela1[[#This Row],[Pós MCH pg]]</f>
        <v>31.1</v>
      </c>
      <c r="BP72" s="125">
        <f>Tabela1[[#This Row],[Pré MCHC g/dL]]</f>
        <v>31.1</v>
      </c>
      <c r="BQ72" s="125">
        <f>Tabela1[[#This Row],[Pós MCHC g/dL]]</f>
        <v>34.4</v>
      </c>
      <c r="BR72" s="85">
        <f>Tabela1[[#This Row],[Pré PLT 10³/mm³]]</f>
        <v>234</v>
      </c>
      <c r="BS72" s="85">
        <f>Tabela1[[#This Row],[Pós PLT 10³/mm³]]</f>
        <v>324</v>
      </c>
      <c r="BT72" s="125">
        <f>Tabela1[[#This Row],[Pré RDW %]]</f>
        <v>15.8</v>
      </c>
      <c r="BU72" s="125">
        <f>Tabela1[[#This Row],[Pós RDW %]]</f>
        <v>14.8</v>
      </c>
      <c r="BV72" s="179">
        <f>Tabela1[[#This Row],[Pré RET %]]</f>
        <v>0.99</v>
      </c>
      <c r="BW72" s="196">
        <f>Tabela1[[#This Row],[Pós RET %]]</f>
        <v>1.77</v>
      </c>
      <c r="BX72" s="197">
        <f>Tabela1[[#This Row],[Pré WBC 10³/mm³]]</f>
        <v>6.8</v>
      </c>
      <c r="BY72" s="179">
        <f>Tabela1[[#This Row],[Pós WBC 10³/mm³]]</f>
        <v>12.38</v>
      </c>
      <c r="BZ72" s="125">
        <f>Tabela1[[#This Row],[Pré NEUT %]]</f>
        <v>89.705882352941174</v>
      </c>
      <c r="CA72" s="125">
        <f>Tabela1[[#This Row],[Pós NEUT %]]</f>
        <v>68.5</v>
      </c>
      <c r="CB72" s="125">
        <f>Tabela1[[#This Row],[Pré LINF %]]</f>
        <v>6.7647058823529411</v>
      </c>
      <c r="CC72" s="125">
        <f>Tabela1[[#This Row],[Pós LINF %]]</f>
        <v>17</v>
      </c>
      <c r="CD72" s="125">
        <f>Tabela1[[#This Row],[Pré MONO %]]</f>
        <v>0.88235294117647056</v>
      </c>
      <c r="CE72" s="125">
        <f>Tabela1[[#This Row],[Pós MONO %]]</f>
        <v>12.9</v>
      </c>
      <c r="CF72" s="125">
        <f>Tabela1[[#This Row],[Pré EOS %]]</f>
        <v>2.5</v>
      </c>
      <c r="CG72" s="125">
        <f>Tabela1[[#This Row],[Pós EOS %]]</f>
        <v>0.6</v>
      </c>
      <c r="CH72" s="125">
        <f>Tabela1[[#This Row],[Pré BASO %]]</f>
        <v>0.14705882352941177</v>
      </c>
      <c r="CI72" s="198">
        <f>Tabela1[[#This Row],[Pós BASO %]]</f>
        <v>1</v>
      </c>
      <c r="CJ72" s="199" t="str">
        <f t="shared" si="5"/>
        <v>NÃO</v>
      </c>
      <c r="CK72" s="200" t="str">
        <f t="shared" si="6"/>
        <v>SIM</v>
      </c>
      <c r="CL72" s="194">
        <f t="shared" si="7"/>
        <v>73.472700000000003</v>
      </c>
      <c r="CM72" s="125">
        <f>Tabela1[[#This Row],[MCT KG]]</f>
        <v>88.5</v>
      </c>
      <c r="CN72" s="85">
        <f>Tabela1[[#This Row],[ESTATURA]]</f>
        <v>187</v>
      </c>
      <c r="CO72" s="85">
        <f>Tabela1[[#This Row],[vo2max estimado]]</f>
        <v>49.59</v>
      </c>
      <c r="CP72" s="85">
        <f>Tabela1[[#This Row],[Handgrip     Dominante]]</f>
        <v>59.5</v>
      </c>
      <c r="CQ72" s="85">
        <f>Tabela1[[#This Row],[Handgrip Contrário]]</f>
        <v>0</v>
      </c>
      <c r="CR72" s="281">
        <f>Tabela1[[#This Row],[% gordura]]</f>
        <v>16.98</v>
      </c>
    </row>
    <row r="73" spans="1:96" ht="15.75" customHeight="1">
      <c r="A73" s="279">
        <f>Tabela1[[#This Row],[Ano]]</f>
        <v>2017</v>
      </c>
      <c r="B73" s="181" t="str">
        <f>Tabela1[[#This Row],[Missão]]</f>
        <v>Avelar</v>
      </c>
      <c r="C73" s="181">
        <f>Tabela1[[#This Row],[Aluno]]</f>
        <v>3095</v>
      </c>
      <c r="D73" s="181">
        <f>Tabela1[[#This Row],[Idade]]</f>
        <v>34</v>
      </c>
      <c r="E73" s="182">
        <f>Tabela1[[#This Row],[Peso Kg]]</f>
        <v>80</v>
      </c>
      <c r="F73" s="191">
        <f>Tabela1[[#This Row],[Cor da pele]]</f>
        <v>2</v>
      </c>
      <c r="G73" s="192" t="str">
        <f>Tabela1[[#This Row],[ACTN3]]</f>
        <v xml:space="preserve">RX </v>
      </c>
      <c r="H73" s="85" t="str">
        <f>Tabela1[[#This Row],[AGT]]</f>
        <v>MT</v>
      </c>
      <c r="I73" s="85" t="str">
        <f>Tabela1[[#This Row],[ECA]]</f>
        <v>II</v>
      </c>
      <c r="J73" s="85" t="str">
        <f>Tabela1[[#This Row],[BDKRB2]]</f>
        <v>(+9, -9)</v>
      </c>
      <c r="K73" s="85">
        <f>Tabela1[[#This Row],[Score Força%]]</f>
        <v>37.5</v>
      </c>
      <c r="L73" s="193">
        <f>Tabela1[[#This Row],[Score Resistência %]]</f>
        <v>62.5</v>
      </c>
      <c r="M73" s="192">
        <f>Tabela1[[#This Row],[Pré CK (U/L)]]</f>
        <v>548</v>
      </c>
      <c r="N73" s="85">
        <f>Tabela1[[#This Row],[Pós CK (U/L)]]</f>
        <v>1443</v>
      </c>
      <c r="O73" s="85">
        <f>Tabela1[[#This Row],[Pré CK MB U/L]]</f>
        <v>30</v>
      </c>
      <c r="P73" s="85">
        <f>Tabela1[[#This Row],[Pós CK MB U/L]]</f>
        <v>60</v>
      </c>
      <c r="Q73" s="85" t="str">
        <f>Tabela1[[#This Row],[Pré Lactato (mmol/L)]]</f>
        <v>-</v>
      </c>
      <c r="R73" s="85" t="str">
        <f>Tabela1[[#This Row],[Pós Lactato (mmol/L)]]</f>
        <v>-</v>
      </c>
      <c r="S73" s="85">
        <f>Tabela1[[#This Row],[Pré LDH (U/L)]]</f>
        <v>652</v>
      </c>
      <c r="T73" s="85">
        <f>Tabela1[[#This Row],[Pós LDH (U/L)]]</f>
        <v>917</v>
      </c>
      <c r="U73" s="85">
        <f>Tabela1[[#This Row],[Pré AST (U/L)]]</f>
        <v>47</v>
      </c>
      <c r="V73" s="193">
        <f>Tabela1[[#This Row],[Pós AST (U/L)]]</f>
        <v>76</v>
      </c>
      <c r="W73" s="194">
        <f>Tabela1[[#This Row],[Pré Albumina (g/dL)]]</f>
        <v>4.8</v>
      </c>
      <c r="X73" s="125">
        <f>Tabela1[[#This Row],[Pós Albumina (g/dL)]]</f>
        <v>4.8</v>
      </c>
      <c r="Y73" s="85">
        <f>Tabela1[[#This Row],[Pré TGP (g/dL)]]</f>
        <v>49</v>
      </c>
      <c r="Z73" s="85">
        <f>Tabela1[[#This Row],[Pós TGP (g/dL)]]</f>
        <v>46</v>
      </c>
      <c r="AA73" s="85">
        <f>Tabela1[[#This Row],[Pré GGT U/L]]</f>
        <v>33</v>
      </c>
      <c r="AB73" s="193">
        <f>Tabela1[[#This Row],[Pós GGT U/L]]</f>
        <v>30</v>
      </c>
      <c r="AC73" s="194" t="str">
        <f>Tabela1[[#This Row],[Pré Ac. Úrico (mg/dL)]]</f>
        <v>-</v>
      </c>
      <c r="AD73" s="125" t="str">
        <f>Tabela1[[#This Row],[Pós Ac. Úrico (mg/dL)2]]</f>
        <v>-</v>
      </c>
      <c r="AE7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7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70.209761921634552</v>
      </c>
      <c r="AG73" s="85">
        <f>Tabela1[[#This Row],[Pré Ureia mg/dL]]</f>
        <v>36</v>
      </c>
      <c r="AH73" s="85">
        <f>Tabela1[[#This Row],[Pós Ureia mg/dL]]</f>
        <v>39</v>
      </c>
      <c r="AI73" s="125">
        <f>Tabela1[[#This Row],[Pré creatinina mg/dL]]</f>
        <v>1</v>
      </c>
      <c r="AJ73" s="125">
        <f>Tabela1[[#This Row],[Pós creatinina mg/dL]]</f>
        <v>1.4</v>
      </c>
      <c r="AK73" s="180">
        <f t="shared" si="4"/>
        <v>0.39999999999999991</v>
      </c>
      <c r="AL73" s="125">
        <f>Tabela1[[#This Row],[Pré Fósforo mg/dL]]</f>
        <v>3.1</v>
      </c>
      <c r="AM73" s="125">
        <f>Tabela1[[#This Row],[Pós Fósforo mg/dL]]</f>
        <v>5.6</v>
      </c>
      <c r="AN73" s="125">
        <f>Tabela1[[#This Row],[Pré Proteína Total (g/dL)]]</f>
        <v>8.1</v>
      </c>
      <c r="AO73" s="125">
        <f>Tabela1[[#This Row],[Pós Proteína Total (g/dL)]]</f>
        <v>8.1</v>
      </c>
      <c r="AP73" s="85" t="str">
        <f>Tabela1[[#This Row],[Pré FE (ug/dL)]]</f>
        <v>-</v>
      </c>
      <c r="AQ73" s="193" t="str">
        <f>Tabela1[[#This Row],[Pós FE (ug/dL)]]</f>
        <v>-</v>
      </c>
      <c r="AR73" s="194">
        <f>Tabela1[[#This Row],[Pré calcio mg/dL]]</f>
        <v>9.9</v>
      </c>
      <c r="AS73" s="125">
        <f>Tabela1[[#This Row],[Pós calcio mg/dL]]</f>
        <v>9.8000000000000007</v>
      </c>
      <c r="AT73" s="125">
        <f>Tabela1[[#This Row],[Pré Potássio mmol/L]]</f>
        <v>4.5</v>
      </c>
      <c r="AU73" s="125">
        <f>Tabela1[[#This Row],[Pós Potássio mmol/L]]</f>
        <v>4.2</v>
      </c>
      <c r="AV73" s="85">
        <f>Tabela1[[#This Row],[Glicose pré]]</f>
        <v>120</v>
      </c>
      <c r="AW73" s="85">
        <f>Tabela1[[#This Row],[Glicose pós]]</f>
        <v>111</v>
      </c>
      <c r="AX73" s="85">
        <f>Tabela1[[#This Row],[Pré Sódio mmol/L]]</f>
        <v>142</v>
      </c>
      <c r="AY73" s="85">
        <f>Tabela1[[#This Row],[Pós Sódio mmol/L]]</f>
        <v>140</v>
      </c>
      <c r="AZ73" s="125" t="str">
        <f>Tabela1[[#This Row],[Pré Magnésio mg/dL]]</f>
        <v>-</v>
      </c>
      <c r="BA73" s="125" t="str">
        <f>Tabela1[[#This Row],[Pós Magnésio mg/dL]]</f>
        <v>-</v>
      </c>
      <c r="BB73" s="85" t="str">
        <f>Tabela1[[#This Row],[Pré Cloro mmol/L]]</f>
        <v>-</v>
      </c>
      <c r="BC73" s="85" t="str">
        <f>Tabela1[[#This Row],[Pós Cloro mmol/L]]</f>
        <v>-</v>
      </c>
      <c r="BD7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300.15666666666669</v>
      </c>
      <c r="BE7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295.80366666666663</v>
      </c>
      <c r="BF73" s="194">
        <f>Tabela1[[#This Row],[Pré RBC 10^6/mm³]]</f>
        <v>5.12</v>
      </c>
      <c r="BG73" s="125">
        <f>Tabela1[[#This Row],[Pós RBC 10^6/mm³]]</f>
        <v>5.58</v>
      </c>
      <c r="BH73" s="125">
        <f>Tabela1[[#This Row],[Pré HGB g/dL]]</f>
        <v>14</v>
      </c>
      <c r="BI73" s="125">
        <f>Tabela1[[#This Row],[Pós HGB g/dL]]</f>
        <v>15.6</v>
      </c>
      <c r="BJ73" s="125">
        <f>Tabela1[[#This Row],[Pré HCT %]]</f>
        <v>47.2</v>
      </c>
      <c r="BK73" s="125">
        <f>Tabela1[[#This Row],[Pós HCT %]]</f>
        <v>46.2</v>
      </c>
      <c r="BL73" s="125" t="str">
        <f>Tabela1[[#This Row],[Pré MCV fL]]</f>
        <v>92.2</v>
      </c>
      <c r="BM73" s="125">
        <f>Tabela1[[#This Row],[Pós MCV fL]]</f>
        <v>82.8</v>
      </c>
      <c r="BN73" s="125">
        <f>Tabela1[[#This Row],[Pré MCH pg]]</f>
        <v>27.3</v>
      </c>
      <c r="BO73" s="125">
        <f>Tabela1[[#This Row],[Pós MCH pg]]</f>
        <v>28</v>
      </c>
      <c r="BP73" s="125">
        <f>Tabela1[[#This Row],[Pré MCHC g/dL]]</f>
        <v>29.7</v>
      </c>
      <c r="BQ73" s="125">
        <f>Tabela1[[#This Row],[Pós MCHC g/dL]]</f>
        <v>33.799999999999997</v>
      </c>
      <c r="BR73" s="85">
        <f>Tabela1[[#This Row],[Pré PLT 10³/mm³]]</f>
        <v>174</v>
      </c>
      <c r="BS73" s="85">
        <f>Tabela1[[#This Row],[Pós PLT 10³/mm³]]</f>
        <v>174</v>
      </c>
      <c r="BT73" s="125">
        <f>Tabela1[[#This Row],[Pré RDW %]]</f>
        <v>14</v>
      </c>
      <c r="BU73" s="125">
        <f>Tabela1[[#This Row],[Pós RDW %]]</f>
        <v>13.1</v>
      </c>
      <c r="BV73" s="179">
        <f>Tabela1[[#This Row],[Pré RET %]]</f>
        <v>0.7</v>
      </c>
      <c r="BW73" s="196">
        <f>Tabela1[[#This Row],[Pós RET %]]</f>
        <v>1.67</v>
      </c>
      <c r="BX73" s="197">
        <f>Tabela1[[#This Row],[Pré WBC 10³/mm³]]</f>
        <v>7.46</v>
      </c>
      <c r="BY73" s="179">
        <f>Tabela1[[#This Row],[Pós WBC 10³/mm³]]</f>
        <v>9.4600000000000009</v>
      </c>
      <c r="BZ73" s="125">
        <f>Tabela1[[#This Row],[Pré NEUT %]]</f>
        <v>75.737265415549601</v>
      </c>
      <c r="CA73" s="125">
        <f>Tabela1[[#This Row],[Pós NEUT %]]</f>
        <v>42.1</v>
      </c>
      <c r="CB73" s="125">
        <f>Tabela1[[#This Row],[Pré LINF %]]</f>
        <v>23.056300268096514</v>
      </c>
      <c r="CC73" s="125">
        <f>Tabela1[[#This Row],[Pós LINF %]]</f>
        <v>41.3</v>
      </c>
      <c r="CD73" s="125">
        <f>Tabela1[[#This Row],[Pré MONO %]]</f>
        <v>1.0723860589812333</v>
      </c>
      <c r="CE73" s="125">
        <f>Tabela1[[#This Row],[Pós MONO %]]</f>
        <v>15.1</v>
      </c>
      <c r="CF73" s="125">
        <f>Tabela1[[#This Row],[Pré EOS %]]</f>
        <v>0.13404825737265416</v>
      </c>
      <c r="CG73" s="125">
        <f>Tabela1[[#This Row],[Pós EOS %]]</f>
        <v>0.3</v>
      </c>
      <c r="CH73" s="125">
        <f>Tabela1[[#This Row],[Pré BASO %]]</f>
        <v>0</v>
      </c>
      <c r="CI73" s="198">
        <f>Tabela1[[#This Row],[Pós BASO %]]</f>
        <v>1.2</v>
      </c>
      <c r="CJ73" s="199" t="str">
        <f t="shared" si="5"/>
        <v>SIM</v>
      </c>
      <c r="CK73" s="200" t="str">
        <f t="shared" si="6"/>
        <v>SIM</v>
      </c>
      <c r="CL73" s="194">
        <f t="shared" si="7"/>
        <v>71.675339999999991</v>
      </c>
      <c r="CM73" s="125">
        <f>Tabela1[[#This Row],[MCT KG]]</f>
        <v>78.599999999999994</v>
      </c>
      <c r="CN73" s="85">
        <f>Tabela1[[#This Row],[ESTATURA]]</f>
        <v>172</v>
      </c>
      <c r="CO73" s="85">
        <f>Tabela1[[#This Row],[vo2max estimado]]</f>
        <v>51.33</v>
      </c>
      <c r="CP73" s="85">
        <f>Tabela1[[#This Row],[Handgrip     Dominante]]</f>
        <v>48</v>
      </c>
      <c r="CQ73" s="85">
        <f>Tabela1[[#This Row],[Handgrip Contrário]]</f>
        <v>49</v>
      </c>
      <c r="CR73" s="281">
        <f>Tabela1[[#This Row],[% gordura]]</f>
        <v>8.81</v>
      </c>
    </row>
    <row r="74" spans="1:96" ht="15.75" customHeight="1">
      <c r="A74" s="279">
        <f>Tabela1[[#This Row],[Ano]]</f>
        <v>2017</v>
      </c>
      <c r="B74" s="181" t="str">
        <f>Tabela1[[#This Row],[Missão]]</f>
        <v>Avelar</v>
      </c>
      <c r="C74" s="181">
        <f>Tabela1[[#This Row],[Aluno]]</f>
        <v>3102</v>
      </c>
      <c r="D74" s="181">
        <f>Tabela1[[#This Row],[Idade]]</f>
        <v>34</v>
      </c>
      <c r="E74" s="182">
        <f>Tabela1[[#This Row],[Peso Kg]]</f>
        <v>85</v>
      </c>
      <c r="F74" s="191">
        <f>Tabela1[[#This Row],[Cor da pele]]</f>
        <v>2</v>
      </c>
      <c r="G74" s="192" t="str">
        <f>Tabela1[[#This Row],[ACTN3]]</f>
        <v>XX</v>
      </c>
      <c r="H74" s="85" t="str">
        <f>Tabela1[[#This Row],[AGT]]</f>
        <v>MM</v>
      </c>
      <c r="I74" s="85" t="str">
        <f>Tabela1[[#This Row],[ECA]]</f>
        <v>ID</v>
      </c>
      <c r="J74" s="85" t="str">
        <f>Tabela1[[#This Row],[BDKRB2]]</f>
        <v>(+9, +9)</v>
      </c>
      <c r="K74" s="85">
        <f>Tabela1[[#This Row],[Score Força%]]</f>
        <v>37.5</v>
      </c>
      <c r="L74" s="193">
        <f>Tabela1[[#This Row],[Score Resistência %]]</f>
        <v>62.5</v>
      </c>
      <c r="M74" s="192">
        <f>Tabela1[[#This Row],[Pré CK (U/L)]]</f>
        <v>618</v>
      </c>
      <c r="N74" s="85">
        <f>Tabela1[[#This Row],[Pós CK (U/L)]]</f>
        <v>3200</v>
      </c>
      <c r="O74" s="85">
        <f>Tabela1[[#This Row],[Pré CK MB U/L]]</f>
        <v>30</v>
      </c>
      <c r="P74" s="85">
        <f>Tabela1[[#This Row],[Pós CK MB U/L]]</f>
        <v>101</v>
      </c>
      <c r="Q74" s="85" t="str">
        <f>Tabela1[[#This Row],[Pré Lactato (mmol/L)]]</f>
        <v>-</v>
      </c>
      <c r="R74" s="85" t="str">
        <f>Tabela1[[#This Row],[Pós Lactato (mmol/L)]]</f>
        <v>-</v>
      </c>
      <c r="S74" s="85">
        <f>Tabela1[[#This Row],[Pré LDH (U/L)]]</f>
        <v>563</v>
      </c>
      <c r="T74" s="85">
        <f>Tabela1[[#This Row],[Pós LDH (U/L)]]</f>
        <v>1502</v>
      </c>
      <c r="U74" s="85">
        <f>Tabela1[[#This Row],[Pré AST (U/L)]]</f>
        <v>41</v>
      </c>
      <c r="V74" s="193">
        <f>Tabela1[[#This Row],[Pós AST (U/L)]]</f>
        <v>136</v>
      </c>
      <c r="W74" s="194">
        <f>Tabela1[[#This Row],[Pré Albumina (g/dL)]]</f>
        <v>4.5</v>
      </c>
      <c r="X74" s="125">
        <f>Tabela1[[#This Row],[Pós Albumina (g/dL)]]</f>
        <v>4.9000000000000004</v>
      </c>
      <c r="Y74" s="85">
        <f>Tabela1[[#This Row],[Pré TGP (g/dL)]]</f>
        <v>45</v>
      </c>
      <c r="Z74" s="85">
        <f>Tabela1[[#This Row],[Pós TGP (g/dL)]]</f>
        <v>71</v>
      </c>
      <c r="AA74" s="85">
        <f>Tabela1[[#This Row],[Pré GGT U/L]]</f>
        <v>29</v>
      </c>
      <c r="AB74" s="193">
        <f>Tabela1[[#This Row],[Pós GGT U/L]]</f>
        <v>27</v>
      </c>
      <c r="AC74" s="194" t="str">
        <f>Tabela1[[#This Row],[Pré Ac. Úrico (mg/dL)]]</f>
        <v>-</v>
      </c>
      <c r="AD74" s="125" t="str">
        <f>Tabela1[[#This Row],[Pós Ac. Úrico (mg/dL)2]]</f>
        <v>-</v>
      </c>
      <c r="AE7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7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74" s="85">
        <f>Tabela1[[#This Row],[Pré Ureia mg/dL]]</f>
        <v>35</v>
      </c>
      <c r="AH74" s="85">
        <f>Tabela1[[#This Row],[Pós Ureia mg/dL]]</f>
        <v>34</v>
      </c>
      <c r="AI74" s="125">
        <f>Tabela1[[#This Row],[Pré creatinina mg/dL]]</f>
        <v>0.8</v>
      </c>
      <c r="AJ74" s="125">
        <f>Tabela1[[#This Row],[Pós creatinina mg/dL]]</f>
        <v>1.1000000000000001</v>
      </c>
      <c r="AK74" s="180">
        <f t="shared" si="4"/>
        <v>0.30000000000000004</v>
      </c>
      <c r="AL74" s="125">
        <f>Tabela1[[#This Row],[Pré Fósforo mg/dL]]</f>
        <v>4.0999999999999996</v>
      </c>
      <c r="AM74" s="125">
        <f>Tabela1[[#This Row],[Pós Fósforo mg/dL]]</f>
        <v>4.9000000000000004</v>
      </c>
      <c r="AN74" s="125">
        <f>Tabela1[[#This Row],[Pré Proteína Total (g/dL)]]</f>
        <v>7.3</v>
      </c>
      <c r="AO74" s="125">
        <f>Tabela1[[#This Row],[Pós Proteína Total (g/dL)]]</f>
        <v>7.8</v>
      </c>
      <c r="AP74" s="85" t="str">
        <f>Tabela1[[#This Row],[Pré FE (ug/dL)]]</f>
        <v>-</v>
      </c>
      <c r="AQ74" s="193" t="str">
        <f>Tabela1[[#This Row],[Pós FE (ug/dL)]]</f>
        <v>-</v>
      </c>
      <c r="AR74" s="194">
        <f>Tabela1[[#This Row],[Pré calcio mg/dL]]</f>
        <v>9.5</v>
      </c>
      <c r="AS74" s="125">
        <f>Tabela1[[#This Row],[Pós calcio mg/dL]]</f>
        <v>9.5</v>
      </c>
      <c r="AT74" s="125">
        <f>Tabela1[[#This Row],[Pré Potássio mmol/L]]</f>
        <v>4.9000000000000004</v>
      </c>
      <c r="AU74" s="125">
        <f>Tabela1[[#This Row],[Pós Potássio mmol/L]]</f>
        <v>4.4000000000000004</v>
      </c>
      <c r="AV74" s="85">
        <f>Tabela1[[#This Row],[Glicose pré]]</f>
        <v>127</v>
      </c>
      <c r="AW74" s="85">
        <f>Tabela1[[#This Row],[Glicose pós]]</f>
        <v>134</v>
      </c>
      <c r="AX74" s="85">
        <f>Tabela1[[#This Row],[Pré Sódio mmol/L]]</f>
        <v>141</v>
      </c>
      <c r="AY74" s="85">
        <f>Tabela1[[#This Row],[Pós Sódio mmol/L]]</f>
        <v>140</v>
      </c>
      <c r="AZ74" s="125" t="str">
        <f>Tabela1[[#This Row],[Pré Magnésio mg/dL]]</f>
        <v>-</v>
      </c>
      <c r="BA74" s="125" t="str">
        <f>Tabela1[[#This Row],[Pós Magnésio mg/dL]]</f>
        <v>-</v>
      </c>
      <c r="BB74" s="85" t="str">
        <f>Tabela1[[#This Row],[Pré Cloro mmol/L]]</f>
        <v>-</v>
      </c>
      <c r="BC74" s="85" t="str">
        <f>Tabela1[[#This Row],[Pós Cloro mmol/L]]</f>
        <v>-</v>
      </c>
      <c r="BD7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299.32122222222222</v>
      </c>
      <c r="BE7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296.81177777777782</v>
      </c>
      <c r="BF74" s="194">
        <f>Tabela1[[#This Row],[Pré RBC 10^6/mm³]]</f>
        <v>4.91</v>
      </c>
      <c r="BG74" s="125">
        <f>Tabela1[[#This Row],[Pós RBC 10^6/mm³]]</f>
        <v>5.49</v>
      </c>
      <c r="BH74" s="125">
        <f>Tabela1[[#This Row],[Pré HGB g/dL]]</f>
        <v>13.2</v>
      </c>
      <c r="BI74" s="125">
        <f>Tabela1[[#This Row],[Pós HGB g/dL]]</f>
        <v>15.1</v>
      </c>
      <c r="BJ74" s="125">
        <f>Tabela1[[#This Row],[Pré HCT %]]</f>
        <v>44.5</v>
      </c>
      <c r="BK74" s="125">
        <f>Tabela1[[#This Row],[Pós HCT %]]</f>
        <v>45.6</v>
      </c>
      <c r="BL74" s="125">
        <f>Tabela1[[#This Row],[Pré MCV fL]]</f>
        <v>90.6</v>
      </c>
      <c r="BM74" s="125">
        <f>Tabela1[[#This Row],[Pós MCV fL]]</f>
        <v>83.1</v>
      </c>
      <c r="BN74" s="125">
        <f>Tabela1[[#This Row],[Pré MCH pg]]</f>
        <v>26.9</v>
      </c>
      <c r="BO74" s="125">
        <f>Tabela1[[#This Row],[Pós MCH pg]]</f>
        <v>27.5</v>
      </c>
      <c r="BP74" s="125">
        <f>Tabela1[[#This Row],[Pré MCHC g/dL]]</f>
        <v>29.7</v>
      </c>
      <c r="BQ74" s="125">
        <f>Tabela1[[#This Row],[Pós MCHC g/dL]]</f>
        <v>33.1</v>
      </c>
      <c r="BR74" s="85">
        <f>Tabela1[[#This Row],[Pré PLT 10³/mm³]]</f>
        <v>231</v>
      </c>
      <c r="BS74" s="85">
        <f>Tabela1[[#This Row],[Pós PLT 10³/mm³]]</f>
        <v>226</v>
      </c>
      <c r="BT74" s="125">
        <f>Tabela1[[#This Row],[Pré RDW %]]</f>
        <v>14.9</v>
      </c>
      <c r="BU74" s="125">
        <f>Tabela1[[#This Row],[Pós RDW %]]</f>
        <v>13.9</v>
      </c>
      <c r="BV74" s="179">
        <f>Tabela1[[#This Row],[Pré RET %]]</f>
        <v>1.1100000000000001</v>
      </c>
      <c r="BW74" s="196">
        <f>Tabela1[[#This Row],[Pós RET %]]</f>
        <v>1.83</v>
      </c>
      <c r="BX74" s="197">
        <f>Tabela1[[#This Row],[Pré WBC 10³/mm³]]</f>
        <v>8.84</v>
      </c>
      <c r="BY74" s="179">
        <f>Tabela1[[#This Row],[Pós WBC 10³/mm³]]</f>
        <v>6.21</v>
      </c>
      <c r="BZ74" s="125">
        <f>Tabela1[[#This Row],[Pré NEUT %]]</f>
        <v>85.407239819004531</v>
      </c>
      <c r="CA74" s="125">
        <f>Tabela1[[#This Row],[Pós NEUT %]]</f>
        <v>33.700000000000003</v>
      </c>
      <c r="CB74" s="125">
        <f>Tabela1[[#This Row],[Pré LINF %]]</f>
        <v>12.556561085972852</v>
      </c>
      <c r="CC74" s="125">
        <f>Tabela1[[#This Row],[Pós LINF %]]</f>
        <v>45.6</v>
      </c>
      <c r="CD74" s="125">
        <f>Tabela1[[#This Row],[Pré MONO %]]</f>
        <v>1.6968325791855203</v>
      </c>
      <c r="CE74" s="125">
        <f>Tabela1[[#This Row],[Pós MONO %]]</f>
        <v>19</v>
      </c>
      <c r="CF74" s="125">
        <f>Tabela1[[#This Row],[Pré EOS %]]</f>
        <v>0.11312217194570136</v>
      </c>
      <c r="CG74" s="125">
        <f>Tabela1[[#This Row],[Pós EOS %]]</f>
        <v>0.3</v>
      </c>
      <c r="CH74" s="125">
        <f>Tabela1[[#This Row],[Pré BASO %]]</f>
        <v>0.22624434389140272</v>
      </c>
      <c r="CI74" s="198">
        <f>Tabela1[[#This Row],[Pós BASO %]]</f>
        <v>1.4</v>
      </c>
      <c r="CJ74" s="199" t="str">
        <f t="shared" si="5"/>
        <v>SIM</v>
      </c>
      <c r="CK74" s="200" t="str">
        <f t="shared" si="6"/>
        <v>SIM</v>
      </c>
      <c r="CL74" s="194">
        <f t="shared" si="7"/>
        <v>75.626200000000011</v>
      </c>
      <c r="CM74" s="125">
        <f>Tabela1[[#This Row],[MCT KG]]</f>
        <v>88.4</v>
      </c>
      <c r="CN74" s="85">
        <f>Tabela1[[#This Row],[ESTATURA]]</f>
        <v>179</v>
      </c>
      <c r="CO74" s="85">
        <f>Tabela1[[#This Row],[vo2max estimado]]</f>
        <v>47.54</v>
      </c>
      <c r="CP74" s="85">
        <f>Tabela1[[#This Row],[Handgrip     Dominante]]</f>
        <v>51.5</v>
      </c>
      <c r="CQ74" s="85">
        <f>Tabela1[[#This Row],[Handgrip Contrário]]</f>
        <v>50.5</v>
      </c>
      <c r="CR74" s="281">
        <f>Tabela1[[#This Row],[% gordura]]</f>
        <v>14.45</v>
      </c>
    </row>
    <row r="75" spans="1:96" ht="15.75" customHeight="1">
      <c r="A75" s="279">
        <f>Tabela1[[#This Row],[Ano]]</f>
        <v>2017</v>
      </c>
      <c r="B75" s="181" t="str">
        <f>Tabela1[[#This Row],[Missão]]</f>
        <v>Avelar</v>
      </c>
      <c r="C75" s="181">
        <f>Tabela1[[#This Row],[Aluno]]</f>
        <v>3105</v>
      </c>
      <c r="D75" s="181">
        <f>Tabela1[[#This Row],[Idade]]</f>
        <v>32</v>
      </c>
      <c r="E75" s="182">
        <f>Tabela1[[#This Row],[Peso Kg]]</f>
        <v>0</v>
      </c>
      <c r="F75" s="191">
        <f>Tabela1[[#This Row],[Cor da pele]]</f>
        <v>2</v>
      </c>
      <c r="G75" s="192" t="str">
        <f>Tabela1[[#This Row],[ACTN3]]</f>
        <v>RR</v>
      </c>
      <c r="H75" s="85" t="str">
        <f>Tabela1[[#This Row],[AGT]]</f>
        <v>MM</v>
      </c>
      <c r="I75" s="85" t="str">
        <f>Tabela1[[#This Row],[ECA]]</f>
        <v>ID</v>
      </c>
      <c r="J75" s="85" t="str">
        <f>Tabela1[[#This Row],[BDKRB2]]</f>
        <v>(+9, -9)</v>
      </c>
      <c r="K75" s="85">
        <f>Tabela1[[#This Row],[Score Força%]]</f>
        <v>50</v>
      </c>
      <c r="L75" s="193">
        <f>Tabela1[[#This Row],[Score Resistência %]]</f>
        <v>50</v>
      </c>
      <c r="M75" s="192">
        <f>Tabela1[[#This Row],[Pré CK (U/L)]]</f>
        <v>2277</v>
      </c>
      <c r="N75" s="85">
        <f>Tabela1[[#This Row],[Pós CK (U/L)]]</f>
        <v>3200</v>
      </c>
      <c r="O75" s="85">
        <f>Tabela1[[#This Row],[Pré CK MB U/L]]</f>
        <v>47</v>
      </c>
      <c r="P75" s="85">
        <f>Tabela1[[#This Row],[Pós CK MB U/L]]</f>
        <v>147</v>
      </c>
      <c r="Q75" s="85" t="str">
        <f>Tabela1[[#This Row],[Pré Lactato (mmol/L)]]</f>
        <v>-</v>
      </c>
      <c r="R75" s="85" t="str">
        <f>Tabela1[[#This Row],[Pós Lactato (mmol/L)]]</f>
        <v>-</v>
      </c>
      <c r="S75" s="85">
        <f>Tabela1[[#This Row],[Pré LDH (U/L)]]</f>
        <v>770</v>
      </c>
      <c r="T75" s="85">
        <f>Tabela1[[#This Row],[Pós LDH (U/L)]]</f>
        <v>1563</v>
      </c>
      <c r="U75" s="85">
        <f>Tabela1[[#This Row],[Pré AST (U/L)]]</f>
        <v>77</v>
      </c>
      <c r="V75" s="193">
        <f>Tabela1[[#This Row],[Pós AST (U/L)]]</f>
        <v>164</v>
      </c>
      <c r="W75" s="194">
        <f>Tabela1[[#This Row],[Pré Albumina (g/dL)]]</f>
        <v>4.3</v>
      </c>
      <c r="X75" s="125">
        <f>Tabela1[[#This Row],[Pós Albumina (g/dL)]]</f>
        <v>4.9000000000000004</v>
      </c>
      <c r="Y75" s="85">
        <f>Tabela1[[#This Row],[Pré TGP (g/dL)]]</f>
        <v>55</v>
      </c>
      <c r="Z75" s="85">
        <f>Tabela1[[#This Row],[Pós TGP (g/dL)]]</f>
        <v>67</v>
      </c>
      <c r="AA75" s="85">
        <f>Tabela1[[#This Row],[Pré GGT U/L]]</f>
        <v>15</v>
      </c>
      <c r="AB75" s="193">
        <f>Tabela1[[#This Row],[Pós GGT U/L]]</f>
        <v>18</v>
      </c>
      <c r="AC75" s="194" t="str">
        <f>Tabela1[[#This Row],[Pré Ac. Úrico (mg/dL)]]</f>
        <v>-</v>
      </c>
      <c r="AD75" s="125" t="str">
        <f>Tabela1[[#This Row],[Pós Ac. Úrico (mg/dL)2]]</f>
        <v>-</v>
      </c>
      <c r="AE7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7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75" s="85">
        <f>Tabela1[[#This Row],[Pré Ureia mg/dL]]</f>
        <v>27</v>
      </c>
      <c r="AH75" s="85">
        <f>Tabela1[[#This Row],[Pós Ureia mg/dL]]</f>
        <v>39</v>
      </c>
      <c r="AI75" s="125">
        <f>Tabela1[[#This Row],[Pré creatinina mg/dL]]</f>
        <v>0.9</v>
      </c>
      <c r="AJ75" s="125">
        <f>Tabela1[[#This Row],[Pós creatinina mg/dL]]</f>
        <v>0.9</v>
      </c>
      <c r="AK75" s="180">
        <f t="shared" si="4"/>
        <v>0</v>
      </c>
      <c r="AL75" s="125">
        <f>Tabela1[[#This Row],[Pré Fósforo mg/dL]]</f>
        <v>4.2</v>
      </c>
      <c r="AM75" s="125">
        <f>Tabela1[[#This Row],[Pós Fósforo mg/dL]]</f>
        <v>4.9000000000000004</v>
      </c>
      <c r="AN75" s="125">
        <f>Tabela1[[#This Row],[Pré Proteína Total (g/dL)]]</f>
        <v>7.2</v>
      </c>
      <c r="AO75" s="125">
        <f>Tabela1[[#This Row],[Pós Proteína Total (g/dL)]]</f>
        <v>8.1</v>
      </c>
      <c r="AP75" s="85" t="str">
        <f>Tabela1[[#This Row],[Pré FE (ug/dL)]]</f>
        <v>-</v>
      </c>
      <c r="AQ75" s="193" t="str">
        <f>Tabela1[[#This Row],[Pós FE (ug/dL)]]</f>
        <v>-</v>
      </c>
      <c r="AR75" s="194">
        <f>Tabela1[[#This Row],[Pré calcio mg/dL]]</f>
        <v>9</v>
      </c>
      <c r="AS75" s="125">
        <f>Tabela1[[#This Row],[Pós calcio mg/dL]]</f>
        <v>9.6</v>
      </c>
      <c r="AT75" s="125">
        <f>Tabela1[[#This Row],[Pré Potássio mmol/L]]</f>
        <v>4.2</v>
      </c>
      <c r="AU75" s="125">
        <f>Tabela1[[#This Row],[Pós Potássio mmol/L]]</f>
        <v>4</v>
      </c>
      <c r="AV75" s="85">
        <f>Tabela1[[#This Row],[Glicose pré]]</f>
        <v>109</v>
      </c>
      <c r="AW75" s="85">
        <f>Tabela1[[#This Row],[Glicose pós]]</f>
        <v>88</v>
      </c>
      <c r="AX75" s="85">
        <f>Tabela1[[#This Row],[Pré Sódio mmol/L]]</f>
        <v>142</v>
      </c>
      <c r="AY75" s="85">
        <f>Tabela1[[#This Row],[Pós Sódio mmol/L]]</f>
        <v>139</v>
      </c>
      <c r="AZ75" s="125" t="str">
        <f>Tabela1[[#This Row],[Pré Magnésio mg/dL]]</f>
        <v>-</v>
      </c>
      <c r="BA75" s="125" t="str">
        <f>Tabela1[[#This Row],[Pós Magnésio mg/dL]]</f>
        <v>-</v>
      </c>
      <c r="BB75" s="85" t="str">
        <f>Tabela1[[#This Row],[Pré Cloro mmol/L]]</f>
        <v>-</v>
      </c>
      <c r="BC75" s="85" t="str">
        <f>Tabela1[[#This Row],[Pós Cloro mmol/L]]</f>
        <v>-</v>
      </c>
      <c r="BD7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297.39588888888892</v>
      </c>
      <c r="BE7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292.10222222222222</v>
      </c>
      <c r="BF75" s="194">
        <f>Tabela1[[#This Row],[Pré RBC 10^6/mm³]]</f>
        <v>4.08</v>
      </c>
      <c r="BG75" s="125">
        <f>Tabela1[[#This Row],[Pós RBC 10^6/mm³]]</f>
        <v>4.59</v>
      </c>
      <c r="BH75" s="125">
        <f>Tabela1[[#This Row],[Pré HGB g/dL]]</f>
        <v>12.3</v>
      </c>
      <c r="BI75" s="125">
        <f>Tabela1[[#This Row],[Pós HGB g/dL]]</f>
        <v>14</v>
      </c>
      <c r="BJ75" s="125">
        <f>Tabela1[[#This Row],[Pré HCT %]]</f>
        <v>41</v>
      </c>
      <c r="BK75" s="125">
        <f>Tabela1[[#This Row],[Pós HCT %]]</f>
        <v>40.799999999999997</v>
      </c>
      <c r="BL75" s="125">
        <f>Tabela1[[#This Row],[Pré MCV fL]]</f>
        <v>100.5</v>
      </c>
      <c r="BM75" s="125">
        <f>Tabela1[[#This Row],[Pós MCV fL]]</f>
        <v>88.9</v>
      </c>
      <c r="BN75" s="125">
        <f>Tabela1[[#This Row],[Pré MCH pg]]</f>
        <v>30.1</v>
      </c>
      <c r="BO75" s="125">
        <f>Tabela1[[#This Row],[Pós MCH pg]]</f>
        <v>30.5</v>
      </c>
      <c r="BP75" s="125">
        <f>Tabela1[[#This Row],[Pré MCHC g/dL]]</f>
        <v>30</v>
      </c>
      <c r="BQ75" s="125">
        <f>Tabela1[[#This Row],[Pós MCHC g/dL]]</f>
        <v>34.4</v>
      </c>
      <c r="BR75" s="85">
        <f>Tabela1[[#This Row],[Pré PLT 10³/mm³]]</f>
        <v>284</v>
      </c>
      <c r="BS75" s="85">
        <f>Tabela1[[#This Row],[Pós PLT 10³/mm³]]</f>
        <v>375</v>
      </c>
      <c r="BT75" s="125">
        <f>Tabela1[[#This Row],[Pré RDW %]]</f>
        <v>13.5</v>
      </c>
      <c r="BU75" s="125">
        <f>Tabela1[[#This Row],[Pós RDW %]]</f>
        <v>13</v>
      </c>
      <c r="BV75" s="179">
        <f>Tabela1[[#This Row],[Pré RET %]]</f>
        <v>0.78</v>
      </c>
      <c r="BW75" s="196">
        <f>Tabela1[[#This Row],[Pós RET %]]</f>
        <v>1.6</v>
      </c>
      <c r="BX75" s="197">
        <f>Tabela1[[#This Row],[Pré WBC 10³/mm³]]</f>
        <v>4.63</v>
      </c>
      <c r="BY75" s="179">
        <f>Tabela1[[#This Row],[Pós WBC 10³/mm³]]</f>
        <v>12.53</v>
      </c>
      <c r="BZ75" s="125">
        <f>Tabela1[[#This Row],[Pré NEUT %]]</f>
        <v>53.995680345572353</v>
      </c>
      <c r="CA75" s="125">
        <f>Tabela1[[#This Row],[Pós NEUT %]]</f>
        <v>82.7</v>
      </c>
      <c r="CB75" s="125">
        <f>Tabela1[[#This Row],[Pré LINF %]]</f>
        <v>25.269978401727862</v>
      </c>
      <c r="CC75" s="125">
        <f>Tabela1[[#This Row],[Pós LINF %]]</f>
        <v>9.6999999999999993</v>
      </c>
      <c r="CD75" s="125">
        <f>Tabela1[[#This Row],[Pré MONO %]]</f>
        <v>9.9352051835853139</v>
      </c>
      <c r="CE75" s="125">
        <f>Tabela1[[#This Row],[Pós MONO %]]</f>
        <v>7.1</v>
      </c>
      <c r="CF75" s="125">
        <f>Tabela1[[#This Row],[Pré EOS %]]</f>
        <v>10.583153347732182</v>
      </c>
      <c r="CG75" s="125">
        <f>Tabela1[[#This Row],[Pós EOS %]]</f>
        <v>0.3</v>
      </c>
      <c r="CH75" s="125">
        <f>Tabela1[[#This Row],[Pré BASO %]]</f>
        <v>0.21598272138228941</v>
      </c>
      <c r="CI75" s="198">
        <f>Tabela1[[#This Row],[Pós BASO %]]</f>
        <v>0.2</v>
      </c>
      <c r="CJ75" s="199" t="str">
        <f t="shared" si="5"/>
        <v>NÃO</v>
      </c>
      <c r="CK75" s="200" t="str">
        <f t="shared" si="6"/>
        <v>SIM</v>
      </c>
      <c r="CL75" s="194">
        <f t="shared" si="7"/>
        <v>71.683920000000001</v>
      </c>
      <c r="CM75" s="125">
        <f>Tabela1[[#This Row],[MCT KG]]</f>
        <v>79.2</v>
      </c>
      <c r="CN75" s="85">
        <f>Tabela1[[#This Row],[ESTATURA]]</f>
        <v>172.6</v>
      </c>
      <c r="CO75" s="85">
        <f>Tabela1[[#This Row],[vo2max estimado]]</f>
        <v>51.6</v>
      </c>
      <c r="CP75" s="85">
        <f>Tabela1[[#This Row],[Handgrip     Dominante]]</f>
        <v>60</v>
      </c>
      <c r="CQ75" s="85">
        <f>Tabela1[[#This Row],[Handgrip Contrário]]</f>
        <v>54</v>
      </c>
      <c r="CR75" s="281">
        <f>Tabela1[[#This Row],[% gordura]]</f>
        <v>9.49</v>
      </c>
    </row>
    <row r="76" spans="1:96" ht="15.75" customHeight="1">
      <c r="A76" s="279">
        <f>Tabela1[[#This Row],[Ano]]</f>
        <v>2017</v>
      </c>
      <c r="B76" s="181" t="str">
        <f>Tabela1[[#This Row],[Missão]]</f>
        <v>Avelar</v>
      </c>
      <c r="C76" s="181">
        <f>Tabela1[[#This Row],[Aluno]]</f>
        <v>3106</v>
      </c>
      <c r="D76" s="181">
        <f>Tabela1[[#This Row],[Idade]]</f>
        <v>31</v>
      </c>
      <c r="E76" s="182">
        <f>Tabela1[[#This Row],[Peso Kg]]</f>
        <v>85</v>
      </c>
      <c r="F76" s="191">
        <f>Tabela1[[#This Row],[Cor da pele]]</f>
        <v>2</v>
      </c>
      <c r="G76" s="192" t="str">
        <f>Tabela1[[#This Row],[ACTN3]]</f>
        <v>XX</v>
      </c>
      <c r="H76" s="85" t="str">
        <f>Tabela1[[#This Row],[AGT]]</f>
        <v>MT</v>
      </c>
      <c r="I76" s="85" t="str">
        <f>Tabela1[[#This Row],[ECA]]</f>
        <v>DD</v>
      </c>
      <c r="J76" s="85" t="str">
        <f>Tabela1[[#This Row],[BDKRB2]]</f>
        <v>(+9, -9)</v>
      </c>
      <c r="K76" s="85">
        <f>Tabela1[[#This Row],[Score Força%]]</f>
        <v>50</v>
      </c>
      <c r="L76" s="193">
        <f>Tabela1[[#This Row],[Score Resistência %]]</f>
        <v>50</v>
      </c>
      <c r="M76" s="192">
        <f>Tabela1[[#This Row],[Pré CK (U/L)]]</f>
        <v>232</v>
      </c>
      <c r="N76" s="85">
        <f>Tabela1[[#This Row],[Pós CK (U/L)]]</f>
        <v>2701</v>
      </c>
      <c r="O76" s="85">
        <f>Tabela1[[#This Row],[Pré CK MB U/L]]</f>
        <v>22</v>
      </c>
      <c r="P76" s="85">
        <f>Tabela1[[#This Row],[Pós CK MB U/L]]</f>
        <v>65</v>
      </c>
      <c r="Q76" s="85" t="str">
        <f>Tabela1[[#This Row],[Pré Lactato (mmol/L)]]</f>
        <v>-</v>
      </c>
      <c r="R76" s="85" t="str">
        <f>Tabela1[[#This Row],[Pós Lactato (mmol/L)]]</f>
        <v>-</v>
      </c>
      <c r="S76" s="85">
        <f>Tabela1[[#This Row],[Pré LDH (U/L)]]</f>
        <v>421</v>
      </c>
      <c r="T76" s="85">
        <f>Tabela1[[#This Row],[Pós LDH (U/L)]]</f>
        <v>951</v>
      </c>
      <c r="U76" s="85">
        <f>Tabela1[[#This Row],[Pré AST (U/L)]]</f>
        <v>29</v>
      </c>
      <c r="V76" s="193">
        <f>Tabela1[[#This Row],[Pós AST (U/L)]]</f>
        <v>102</v>
      </c>
      <c r="W76" s="194">
        <f>Tabela1[[#This Row],[Pré Albumina (g/dL)]]</f>
        <v>4.3</v>
      </c>
      <c r="X76" s="125">
        <f>Tabela1[[#This Row],[Pós Albumina (g/dL)]]</f>
        <v>5.3</v>
      </c>
      <c r="Y76" s="85">
        <f>Tabela1[[#This Row],[Pré TGP (g/dL)]]</f>
        <v>30</v>
      </c>
      <c r="Z76" s="85">
        <f>Tabela1[[#This Row],[Pós TGP (g/dL)]]</f>
        <v>51</v>
      </c>
      <c r="AA76" s="85">
        <f>Tabela1[[#This Row],[Pré GGT U/L]]</f>
        <v>13</v>
      </c>
      <c r="AB76" s="193">
        <f>Tabela1[[#This Row],[Pós GGT U/L]]</f>
        <v>17</v>
      </c>
      <c r="AC76" s="194" t="str">
        <f>Tabela1[[#This Row],[Pré Ac. Úrico (mg/dL)]]</f>
        <v>-</v>
      </c>
      <c r="AD76" s="125" t="str">
        <f>Tabela1[[#This Row],[Pós Ac. Úrico (mg/dL)2]]</f>
        <v>-</v>
      </c>
      <c r="AE7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7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76" s="85">
        <f>Tabela1[[#This Row],[Pré Ureia mg/dL]]</f>
        <v>31</v>
      </c>
      <c r="AH76" s="85">
        <f>Tabela1[[#This Row],[Pós Ureia mg/dL]]</f>
        <v>52</v>
      </c>
      <c r="AI76" s="125">
        <f>Tabela1[[#This Row],[Pré creatinina mg/dL]]</f>
        <v>0.9</v>
      </c>
      <c r="AJ76" s="125">
        <f>Tabela1[[#This Row],[Pós creatinina mg/dL]]</f>
        <v>1.3</v>
      </c>
      <c r="AK76" s="180">
        <f t="shared" si="4"/>
        <v>0.4</v>
      </c>
      <c r="AL76" s="125">
        <f>Tabela1[[#This Row],[Pré Fósforo mg/dL]]</f>
        <v>4</v>
      </c>
      <c r="AM76" s="125">
        <f>Tabela1[[#This Row],[Pós Fósforo mg/dL]]</f>
        <v>5.3</v>
      </c>
      <c r="AN76" s="125">
        <f>Tabela1[[#This Row],[Pré Proteína Total (g/dL)]]</f>
        <v>7.1</v>
      </c>
      <c r="AO76" s="125">
        <f>Tabela1[[#This Row],[Pós Proteína Total (g/dL)]]</f>
        <v>8.3000000000000007</v>
      </c>
      <c r="AP76" s="85" t="str">
        <f>Tabela1[[#This Row],[Pré FE (ug/dL)]]</f>
        <v>-</v>
      </c>
      <c r="AQ76" s="193" t="str">
        <f>Tabela1[[#This Row],[Pós FE (ug/dL)]]</f>
        <v>-</v>
      </c>
      <c r="AR76" s="194">
        <f>Tabela1[[#This Row],[Pré calcio mg/dL]]</f>
        <v>9.6</v>
      </c>
      <c r="AS76" s="125">
        <f>Tabela1[[#This Row],[Pós calcio mg/dL]]</f>
        <v>10.1</v>
      </c>
      <c r="AT76" s="125">
        <f>Tabela1[[#This Row],[Pré Potássio mmol/L]]</f>
        <v>4.9000000000000004</v>
      </c>
      <c r="AU76" s="125">
        <f>Tabela1[[#This Row],[Pós Potássio mmol/L]]</f>
        <v>4.5</v>
      </c>
      <c r="AV76" s="85">
        <f>Tabela1[[#This Row],[Glicose pré]]</f>
        <v>102</v>
      </c>
      <c r="AW76" s="85">
        <f>Tabela1[[#This Row],[Glicose pós]]</f>
        <v>103</v>
      </c>
      <c r="AX76" s="85">
        <f>Tabela1[[#This Row],[Pré Sódio mmol/L]]</f>
        <v>141</v>
      </c>
      <c r="AY76" s="85">
        <f>Tabela1[[#This Row],[Pós Sódio mmol/L]]</f>
        <v>137</v>
      </c>
      <c r="AZ76" s="125" t="str">
        <f>Tabela1[[#This Row],[Pré Magnésio mg/dL]]</f>
        <v>-</v>
      </c>
      <c r="BA76" s="125" t="str">
        <f>Tabela1[[#This Row],[Pós Magnésio mg/dL]]</f>
        <v>-</v>
      </c>
      <c r="BB76" s="85" t="str">
        <f>Tabela1[[#This Row],[Pré Cloro mmol/L]]</f>
        <v>-</v>
      </c>
      <c r="BC76" s="85" t="str">
        <f>Tabela1[[#This Row],[Pós Cloro mmol/L]]</f>
        <v>-</v>
      </c>
      <c r="BD7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297.05733333333336</v>
      </c>
      <c r="BE7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292.43722222222226</v>
      </c>
      <c r="BF76" s="194">
        <f>Tabela1[[#This Row],[Pré RBC 10^6/mm³]]</f>
        <v>4.93</v>
      </c>
      <c r="BG76" s="125">
        <f>Tabela1[[#This Row],[Pós RBC 10^6/mm³]]</f>
        <v>5.44</v>
      </c>
      <c r="BH76" s="125">
        <f>Tabela1[[#This Row],[Pré HGB g/dL]]</f>
        <v>13.7</v>
      </c>
      <c r="BI76" s="125">
        <f>Tabela1[[#This Row],[Pós HGB g/dL]]</f>
        <v>15.6</v>
      </c>
      <c r="BJ76" s="125">
        <f>Tabela1[[#This Row],[Pré HCT %]]</f>
        <v>43.9</v>
      </c>
      <c r="BK76" s="125">
        <f>Tabela1[[#This Row],[Pós HCT %]]</f>
        <v>43.2</v>
      </c>
      <c r="BL76" s="125">
        <f>Tabela1[[#This Row],[Pré MCV fL]]</f>
        <v>89</v>
      </c>
      <c r="BM76" s="125">
        <f>Tabela1[[#This Row],[Pós MCV fL]]</f>
        <v>79.400000000000006</v>
      </c>
      <c r="BN76" s="125">
        <f>Tabela1[[#This Row],[Pré MCH pg]]</f>
        <v>27.8</v>
      </c>
      <c r="BO76" s="125">
        <f>Tabela1[[#This Row],[Pós MCH pg]]</f>
        <v>28.7</v>
      </c>
      <c r="BP76" s="125">
        <f>Tabela1[[#This Row],[Pré MCHC g/dL]]</f>
        <v>31.2</v>
      </c>
      <c r="BQ76" s="125">
        <f>Tabela1[[#This Row],[Pós MCHC g/dL]]</f>
        <v>36.1</v>
      </c>
      <c r="BR76" s="85">
        <f>Tabela1[[#This Row],[Pré PLT 10³/mm³]]</f>
        <v>302</v>
      </c>
      <c r="BS76" s="85">
        <f>Tabela1[[#This Row],[Pós PLT 10³/mm³]]</f>
        <v>341</v>
      </c>
      <c r="BT76" s="125">
        <f>Tabela1[[#This Row],[Pré RDW %]]</f>
        <v>13.8</v>
      </c>
      <c r="BU76" s="125">
        <f>Tabela1[[#This Row],[Pós RDW %]]</f>
        <v>12.8</v>
      </c>
      <c r="BV76" s="179">
        <f>Tabela1[[#This Row],[Pré RET %]]</f>
        <v>1.27</v>
      </c>
      <c r="BW76" s="196">
        <f>Tabela1[[#This Row],[Pós RET %]]</f>
        <v>1.63</v>
      </c>
      <c r="BX76" s="197">
        <f>Tabela1[[#This Row],[Pré WBC 10³/mm³]]</f>
        <v>6.89</v>
      </c>
      <c r="BY76" s="179">
        <f>Tabela1[[#This Row],[Pós WBC 10³/mm³]]</f>
        <v>10.56</v>
      </c>
      <c r="BZ76" s="125">
        <f>Tabela1[[#This Row],[Pré NEUT %]]</f>
        <v>52.975326560232226</v>
      </c>
      <c r="CA76" s="125" t="str">
        <f>Tabela1[[#This Row],[Pós NEUT %]]</f>
        <v>-</v>
      </c>
      <c r="CB76" s="125">
        <f>Tabela1[[#This Row],[Pré LINF %]]</f>
        <v>33.09143686502177</v>
      </c>
      <c r="CC76" s="125" t="str">
        <f>Tabela1[[#This Row],[Pós LINF %]]</f>
        <v>-</v>
      </c>
      <c r="CD76" s="125">
        <f>Tabela1[[#This Row],[Pré MONO %]]</f>
        <v>8.8534107402031932</v>
      </c>
      <c r="CE76" s="125">
        <f>Tabela1[[#This Row],[Pós MONO %]]</f>
        <v>15.2</v>
      </c>
      <c r="CF76" s="125">
        <f>Tabela1[[#This Row],[Pré EOS %]]</f>
        <v>4.3541364296081282</v>
      </c>
      <c r="CG76" s="125">
        <f>Tabela1[[#This Row],[Pós EOS %]]</f>
        <v>0.2</v>
      </c>
      <c r="CH76" s="125">
        <f>Tabela1[[#This Row],[Pré BASO %]]</f>
        <v>0.72568940493468803</v>
      </c>
      <c r="CI76" s="198">
        <f>Tabela1[[#This Row],[Pós BASO %]]</f>
        <v>1.6</v>
      </c>
      <c r="CJ76" s="199" t="str">
        <f t="shared" si="5"/>
        <v>SIM</v>
      </c>
      <c r="CK76" s="200" t="str">
        <f t="shared" si="6"/>
        <v>SIM</v>
      </c>
      <c r="CL76" s="194">
        <f t="shared" si="7"/>
        <v>76.33</v>
      </c>
      <c r="CM76" s="125">
        <f>Tabela1[[#This Row],[MCT KG]]</f>
        <v>85</v>
      </c>
      <c r="CN76" s="85">
        <f>Tabela1[[#This Row],[ESTATURA]]</f>
        <v>181</v>
      </c>
      <c r="CO76" s="85">
        <f>Tabela1[[#This Row],[vo2max estimado]]</f>
        <v>50.68</v>
      </c>
      <c r="CP76" s="85">
        <f>Tabela1[[#This Row],[Handgrip     Dominante]]</f>
        <v>52</v>
      </c>
      <c r="CQ76" s="85">
        <f>Tabela1[[#This Row],[Handgrip Contrário]]</f>
        <v>55</v>
      </c>
      <c r="CR76" s="281">
        <f>Tabela1[[#This Row],[% gordura]]</f>
        <v>10.199999999999999</v>
      </c>
    </row>
    <row r="77" spans="1:96" ht="15.75" customHeight="1">
      <c r="A77" s="279">
        <f>Tabela1[[#This Row],[Ano]]</f>
        <v>2017</v>
      </c>
      <c r="B77" s="181" t="str">
        <f>Tabela1[[#This Row],[Missão]]</f>
        <v>Avelar</v>
      </c>
      <c r="C77" s="181">
        <f>Tabela1[[#This Row],[Aluno]]</f>
        <v>3108</v>
      </c>
      <c r="D77" s="181">
        <f>Tabela1[[#This Row],[Idade]]</f>
        <v>31</v>
      </c>
      <c r="E77" s="182">
        <f>Tabela1[[#This Row],[Peso Kg]]</f>
        <v>81</v>
      </c>
      <c r="F77" s="191">
        <f>Tabela1[[#This Row],[Cor da pele]]</f>
        <v>2</v>
      </c>
      <c r="G77" s="192" t="str">
        <f>Tabela1[[#This Row],[ACTN3]]</f>
        <v>RR</v>
      </c>
      <c r="H77" s="85" t="str">
        <f>Tabela1[[#This Row],[AGT]]</f>
        <v>MT</v>
      </c>
      <c r="I77" s="85" t="str">
        <f>Tabela1[[#This Row],[ECA]]</f>
        <v>DD</v>
      </c>
      <c r="J77" s="85" t="str">
        <f>Tabela1[[#This Row],[BDKRB2]]</f>
        <v>(-9, -9)</v>
      </c>
      <c r="K77" s="85">
        <f>Tabela1[[#This Row],[Score Força%]]</f>
        <v>62.5</v>
      </c>
      <c r="L77" s="193">
        <f>Tabela1[[#This Row],[Score Resistência %]]</f>
        <v>37.5</v>
      </c>
      <c r="M77" s="192">
        <f>Tabela1[[#This Row],[Pré CK (U/L)]]</f>
        <v>428</v>
      </c>
      <c r="N77" s="85">
        <f>Tabela1[[#This Row],[Pós CK (U/L)]]</f>
        <v>2862</v>
      </c>
      <c r="O77" s="85">
        <f>Tabela1[[#This Row],[Pré CK MB U/L]]</f>
        <v>29</v>
      </c>
      <c r="P77" s="85">
        <f>Tabela1[[#This Row],[Pós CK MB U/L]]</f>
        <v>76</v>
      </c>
      <c r="Q77" s="85" t="str">
        <f>Tabela1[[#This Row],[Pré Lactato (mmol/L)]]</f>
        <v>-</v>
      </c>
      <c r="R77" s="85" t="str">
        <f>Tabela1[[#This Row],[Pós Lactato (mmol/L)]]</f>
        <v>-</v>
      </c>
      <c r="S77" s="85">
        <f>Tabela1[[#This Row],[Pré LDH (U/L)]]</f>
        <v>602</v>
      </c>
      <c r="T77" s="85">
        <f>Tabela1[[#This Row],[Pós LDH (U/L)]]</f>
        <v>1109</v>
      </c>
      <c r="U77" s="85">
        <f>Tabela1[[#This Row],[Pré AST (U/L)]]</f>
        <v>31</v>
      </c>
      <c r="V77" s="193">
        <f>Tabela1[[#This Row],[Pós AST (U/L)]]</f>
        <v>99</v>
      </c>
      <c r="W77" s="194">
        <f>Tabela1[[#This Row],[Pré Albumina (g/dL)]]</f>
        <v>4.4000000000000004</v>
      </c>
      <c r="X77" s="125">
        <f>Tabela1[[#This Row],[Pós Albumina (g/dL)]]</f>
        <v>5.0999999999999996</v>
      </c>
      <c r="Y77" s="85">
        <f>Tabela1[[#This Row],[Pré TGP (g/dL)]]</f>
        <v>36</v>
      </c>
      <c r="Z77" s="85">
        <f>Tabela1[[#This Row],[Pós TGP (g/dL)]]</f>
        <v>51</v>
      </c>
      <c r="AA77" s="85">
        <f>Tabela1[[#This Row],[Pré GGT U/L]]</f>
        <v>18</v>
      </c>
      <c r="AB77" s="193">
        <f>Tabela1[[#This Row],[Pós GGT U/L]]</f>
        <v>23</v>
      </c>
      <c r="AC77" s="194" t="str">
        <f>Tabela1[[#This Row],[Pré Ac. Úrico (mg/dL)]]</f>
        <v>-</v>
      </c>
      <c r="AD77" s="125" t="str">
        <f>Tabela1[[#This Row],[Pós Ac. Úrico (mg/dL)2]]</f>
        <v>-</v>
      </c>
      <c r="AE7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7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77" s="85">
        <f>Tabela1[[#This Row],[Pré Ureia mg/dL]]</f>
        <v>30</v>
      </c>
      <c r="AH77" s="85">
        <f>Tabela1[[#This Row],[Pós Ureia mg/dL]]</f>
        <v>45</v>
      </c>
      <c r="AI77" s="125">
        <f>Tabela1[[#This Row],[Pré creatinina mg/dL]]</f>
        <v>0.8</v>
      </c>
      <c r="AJ77" s="125">
        <f>Tabela1[[#This Row],[Pós creatinina mg/dL]]</f>
        <v>1</v>
      </c>
      <c r="AK77" s="180">
        <f t="shared" si="4"/>
        <v>0.19999999999999996</v>
      </c>
      <c r="AL77" s="125">
        <f>Tabela1[[#This Row],[Pré Fósforo mg/dL]]</f>
        <v>4</v>
      </c>
      <c r="AM77" s="125">
        <f>Tabela1[[#This Row],[Pós Fósforo mg/dL]]</f>
        <v>4.8</v>
      </c>
      <c r="AN77" s="125">
        <f>Tabela1[[#This Row],[Pré Proteína Total (g/dL)]]</f>
        <v>7.1</v>
      </c>
      <c r="AO77" s="125">
        <f>Tabela1[[#This Row],[Pós Proteína Total (g/dL)]]</f>
        <v>8</v>
      </c>
      <c r="AP77" s="85" t="str">
        <f>Tabela1[[#This Row],[Pré FE (ug/dL)]]</f>
        <v>-</v>
      </c>
      <c r="AQ77" s="193" t="str">
        <f>Tabela1[[#This Row],[Pós FE (ug/dL)]]</f>
        <v>-</v>
      </c>
      <c r="AR77" s="194">
        <f>Tabela1[[#This Row],[Pré calcio mg/dL]]</f>
        <v>9.1999999999999993</v>
      </c>
      <c r="AS77" s="125">
        <f>Tabela1[[#This Row],[Pós calcio mg/dL]]</f>
        <v>9.6</v>
      </c>
      <c r="AT77" s="125">
        <f>Tabela1[[#This Row],[Pré Potássio mmol/L]]</f>
        <v>4.3</v>
      </c>
      <c r="AU77" s="125">
        <f>Tabela1[[#This Row],[Pós Potássio mmol/L]]</f>
        <v>4.2</v>
      </c>
      <c r="AV77" s="85">
        <f>Tabela1[[#This Row],[Glicose pré]]</f>
        <v>91</v>
      </c>
      <c r="AW77" s="85">
        <f>Tabela1[[#This Row],[Glicose pós]]</f>
        <v>123</v>
      </c>
      <c r="AX77" s="85">
        <f>Tabela1[[#This Row],[Pré Sódio mmol/L]]</f>
        <v>142</v>
      </c>
      <c r="AY77" s="85">
        <f>Tabela1[[#This Row],[Pós Sódio mmol/L]]</f>
        <v>139</v>
      </c>
      <c r="AZ77" s="125" t="str">
        <f>Tabela1[[#This Row],[Pré Magnésio mg/dL]]</f>
        <v>-</v>
      </c>
      <c r="BA77" s="125" t="str">
        <f>Tabela1[[#This Row],[Pós Magnésio mg/dL]]</f>
        <v>-</v>
      </c>
      <c r="BB77" s="85" t="str">
        <f>Tabela1[[#This Row],[Pré Cloro mmol/L]]</f>
        <v>-</v>
      </c>
      <c r="BC77" s="85" t="str">
        <f>Tabela1[[#This Row],[Pós Cloro mmol/L]]</f>
        <v>-</v>
      </c>
      <c r="BD7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296.93188888888892</v>
      </c>
      <c r="BE7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295.71033333333332</v>
      </c>
      <c r="BF77" s="194">
        <f>Tabela1[[#This Row],[Pré RBC 10^6/mm³]]</f>
        <v>4.5599999999999996</v>
      </c>
      <c r="BG77" s="125">
        <f>Tabela1[[#This Row],[Pós RBC 10^6/mm³]]</f>
        <v>5.25</v>
      </c>
      <c r="BH77" s="125">
        <f>Tabela1[[#This Row],[Pré HGB g/dL]]</f>
        <v>13.7</v>
      </c>
      <c r="BI77" s="125">
        <f>Tabela1[[#This Row],[Pós HGB g/dL]]</f>
        <v>16.3</v>
      </c>
      <c r="BJ77" s="125">
        <f>Tabela1[[#This Row],[Pré HCT %]]</f>
        <v>45.8</v>
      </c>
      <c r="BK77" s="125">
        <f>Tabela1[[#This Row],[Pós HCT %]]</f>
        <v>46.5</v>
      </c>
      <c r="BL77" s="125">
        <f>Tabela1[[#This Row],[Pré MCV fL]]</f>
        <v>100.4</v>
      </c>
      <c r="BM77" s="125">
        <f>Tabela1[[#This Row],[Pós MCV fL]]</f>
        <v>88.6</v>
      </c>
      <c r="BN77" s="125">
        <f>Tabela1[[#This Row],[Pré MCH pg]]</f>
        <v>30</v>
      </c>
      <c r="BO77" s="125">
        <f>Tabela1[[#This Row],[Pós MCH pg]]</f>
        <v>31</v>
      </c>
      <c r="BP77" s="125">
        <f>Tabela1[[#This Row],[Pré MCHC g/dL]]</f>
        <v>29.9</v>
      </c>
      <c r="BQ77" s="125">
        <f>Tabela1[[#This Row],[Pós MCHC g/dL]]</f>
        <v>35.1</v>
      </c>
      <c r="BR77" s="85">
        <f>Tabela1[[#This Row],[Pré PLT 10³/mm³]]</f>
        <v>188</v>
      </c>
      <c r="BS77" s="85">
        <f>Tabela1[[#This Row],[Pós PLT 10³/mm³]]</f>
        <v>189</v>
      </c>
      <c r="BT77" s="125">
        <f>Tabela1[[#This Row],[Pré RDW %]]</f>
        <v>13.1</v>
      </c>
      <c r="BU77" s="125">
        <f>Tabela1[[#This Row],[Pós RDW %]]</f>
        <v>12.3</v>
      </c>
      <c r="BV77" s="179">
        <f>Tabela1[[#This Row],[Pré RET %]]</f>
        <v>1.0900000000000001</v>
      </c>
      <c r="BW77" s="196">
        <f>Tabela1[[#This Row],[Pós RET %]]</f>
        <v>1.61</v>
      </c>
      <c r="BX77" s="197">
        <f>Tabela1[[#This Row],[Pré WBC 10³/mm³]]</f>
        <v>6.2</v>
      </c>
      <c r="BY77" s="179">
        <f>Tabela1[[#This Row],[Pós WBC 10³/mm³]]</f>
        <v>5.86</v>
      </c>
      <c r="BZ77" s="125">
        <f>Tabela1[[#This Row],[Pré NEUT %]]</f>
        <v>49.032258064516128</v>
      </c>
      <c r="CA77" s="125">
        <f>Tabela1[[#This Row],[Pós NEUT %]]</f>
        <v>38.700000000000003</v>
      </c>
      <c r="CB77" s="125">
        <f>Tabela1[[#This Row],[Pré LINF %]]</f>
        <v>39.516129032258071</v>
      </c>
      <c r="CC77" s="125">
        <f>Tabela1[[#This Row],[Pós LINF %]]</f>
        <v>41.5</v>
      </c>
      <c r="CD77" s="125">
        <f>Tabela1[[#This Row],[Pré MONO %]]</f>
        <v>8.5483870967741939</v>
      </c>
      <c r="CE77" s="125">
        <f>Tabela1[[#This Row],[Pós MONO %]]</f>
        <v>17.899999999999999</v>
      </c>
      <c r="CF77" s="125">
        <f>Tabela1[[#This Row],[Pré EOS %]]</f>
        <v>2.7419354838709675</v>
      </c>
      <c r="CG77" s="125">
        <f>Tabela1[[#This Row],[Pós EOS %]]</f>
        <v>0.2</v>
      </c>
      <c r="CH77" s="125">
        <f>Tabela1[[#This Row],[Pré BASO %]]</f>
        <v>0.16129032258064516</v>
      </c>
      <c r="CI77" s="198">
        <f>Tabela1[[#This Row],[Pós BASO %]]</f>
        <v>1.7</v>
      </c>
      <c r="CJ77" s="199" t="str">
        <f t="shared" si="5"/>
        <v>NÃO</v>
      </c>
      <c r="CK77" s="200" t="str">
        <f t="shared" si="6"/>
        <v>SIM</v>
      </c>
      <c r="CL77" s="194">
        <f t="shared" si="7"/>
        <v>71.280989999999989</v>
      </c>
      <c r="CM77" s="125">
        <f>Tabela1[[#This Row],[MCT KG]]</f>
        <v>80.099999999999994</v>
      </c>
      <c r="CN77" s="85">
        <f>Tabela1[[#This Row],[ESTATURA]]</f>
        <v>184</v>
      </c>
      <c r="CO77" s="85">
        <f>Tabela1[[#This Row],[vo2max estimado]]</f>
        <v>51.35</v>
      </c>
      <c r="CP77" s="85">
        <f>Tabela1[[#This Row],[Handgrip     Dominante]]</f>
        <v>57</v>
      </c>
      <c r="CQ77" s="85">
        <f>Tabela1[[#This Row],[Handgrip Contrário]]</f>
        <v>55</v>
      </c>
      <c r="CR77" s="281">
        <f>Tabela1[[#This Row],[% gordura]]</f>
        <v>11.01</v>
      </c>
    </row>
    <row r="78" spans="1:96" ht="15.75" customHeight="1">
      <c r="A78" s="279">
        <f>Tabela1[[#This Row],[Ano]]</f>
        <v>2017</v>
      </c>
      <c r="B78" s="181" t="str">
        <f>Tabela1[[#This Row],[Missão]]</f>
        <v>Avelar</v>
      </c>
      <c r="C78" s="181">
        <f>Tabela1[[#This Row],[Aluno]]</f>
        <v>3114</v>
      </c>
      <c r="D78" s="181">
        <f>Tabela1[[#This Row],[Idade]]</f>
        <v>30</v>
      </c>
      <c r="E78" s="182">
        <f>Tabela1[[#This Row],[Peso Kg]]</f>
        <v>70</v>
      </c>
      <c r="F78" s="191">
        <f>Tabela1[[#This Row],[Cor da pele]]</f>
        <v>1</v>
      </c>
      <c r="G78" s="192" t="str">
        <f>Tabela1[[#This Row],[ACTN3]]</f>
        <v>RX</v>
      </c>
      <c r="H78" s="85" t="str">
        <f>Tabela1[[#This Row],[AGT]]</f>
        <v>MM</v>
      </c>
      <c r="I78" s="85" t="str">
        <f>Tabela1[[#This Row],[ECA]]</f>
        <v>DD</v>
      </c>
      <c r="J78" s="85" t="str">
        <f>Tabela1[[#This Row],[BDKRB2]]</f>
        <v>(+9, -9)</v>
      </c>
      <c r="K78" s="85">
        <f>Tabela1[[#This Row],[Score Força%]]</f>
        <v>50</v>
      </c>
      <c r="L78" s="193">
        <f>Tabela1[[#This Row],[Score Resistência %]]</f>
        <v>50</v>
      </c>
      <c r="M78" s="192">
        <f>Tabela1[[#This Row],[Pré CK (U/L)]]</f>
        <v>1050</v>
      </c>
      <c r="N78" s="85">
        <f>Tabela1[[#This Row],[Pós CK (U/L)]]</f>
        <v>3200</v>
      </c>
      <c r="O78" s="85">
        <f>Tabela1[[#This Row],[Pré CK MB U/L]]</f>
        <v>35</v>
      </c>
      <c r="P78" s="85">
        <f>Tabela1[[#This Row],[Pós CK MB U/L]]</f>
        <v>103</v>
      </c>
      <c r="Q78" s="85" t="str">
        <f>Tabela1[[#This Row],[Pré Lactato (mmol/L)]]</f>
        <v>-</v>
      </c>
      <c r="R78" s="85" t="str">
        <f>Tabela1[[#This Row],[Pós Lactato (mmol/L)]]</f>
        <v>-</v>
      </c>
      <c r="S78" s="85">
        <f>Tabela1[[#This Row],[Pré LDH (U/L)]]</f>
        <v>621</v>
      </c>
      <c r="T78" s="85">
        <f>Tabela1[[#This Row],[Pós LDH (U/L)]]</f>
        <v>1336</v>
      </c>
      <c r="U78" s="85">
        <f>Tabela1[[#This Row],[Pré AST (U/L)]]</f>
        <v>45</v>
      </c>
      <c r="V78" s="193">
        <f>Tabela1[[#This Row],[Pós AST (U/L)]]</f>
        <v>126</v>
      </c>
      <c r="W78" s="194">
        <f>Tabela1[[#This Row],[Pré Albumina (g/dL)]]</f>
        <v>4.8</v>
      </c>
      <c r="X78" s="125">
        <f>Tabela1[[#This Row],[Pós Albumina (g/dL)]]</f>
        <v>5.5</v>
      </c>
      <c r="Y78" s="85">
        <f>Tabela1[[#This Row],[Pré TGP (g/dL)]]</f>
        <v>37</v>
      </c>
      <c r="Z78" s="85">
        <f>Tabela1[[#This Row],[Pós TGP (g/dL)]]</f>
        <v>52</v>
      </c>
      <c r="AA78" s="85">
        <f>Tabela1[[#This Row],[Pré GGT U/L]]</f>
        <v>10</v>
      </c>
      <c r="AB78" s="193">
        <f>Tabela1[[#This Row],[Pós GGT U/L]]</f>
        <v>10</v>
      </c>
      <c r="AC78" s="194" t="str">
        <f>Tabela1[[#This Row],[Pré Ac. Úrico (mg/dL)]]</f>
        <v>-</v>
      </c>
      <c r="AD78" s="125" t="str">
        <f>Tabela1[[#This Row],[Pós Ac. Úrico (mg/dL)2]]</f>
        <v>-</v>
      </c>
      <c r="AE7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7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78" s="85">
        <f>Tabela1[[#This Row],[Pré Ureia mg/dL]]</f>
        <v>39</v>
      </c>
      <c r="AH78" s="85">
        <f>Tabela1[[#This Row],[Pós Ureia mg/dL]]</f>
        <v>53</v>
      </c>
      <c r="AI78" s="125">
        <f>Tabela1[[#This Row],[Pré creatinina mg/dL]]</f>
        <v>0.8</v>
      </c>
      <c r="AJ78" s="125">
        <f>Tabela1[[#This Row],[Pós creatinina mg/dL]]</f>
        <v>1</v>
      </c>
      <c r="AK78" s="180">
        <f t="shared" si="4"/>
        <v>0.19999999999999996</v>
      </c>
      <c r="AL78" s="125">
        <f>Tabela1[[#This Row],[Pré Fósforo mg/dL]]</f>
        <v>3.1</v>
      </c>
      <c r="AM78" s="125">
        <f>Tabela1[[#This Row],[Pós Fósforo mg/dL]]</f>
        <v>5.8</v>
      </c>
      <c r="AN78" s="125">
        <f>Tabela1[[#This Row],[Pré Proteína Total (g/dL)]]</f>
        <v>7.9</v>
      </c>
      <c r="AO78" s="125">
        <f>Tabela1[[#This Row],[Pós Proteína Total (g/dL)]]</f>
        <v>8.8000000000000007</v>
      </c>
      <c r="AP78" s="85" t="str">
        <f>Tabela1[[#This Row],[Pré FE (ug/dL)]]</f>
        <v>-</v>
      </c>
      <c r="AQ78" s="193" t="str">
        <f>Tabela1[[#This Row],[Pós FE (ug/dL)]]</f>
        <v>-</v>
      </c>
      <c r="AR78" s="194">
        <f>Tabela1[[#This Row],[Pré calcio mg/dL]]</f>
        <v>10.1</v>
      </c>
      <c r="AS78" s="125">
        <f>Tabela1[[#This Row],[Pós calcio mg/dL]]</f>
        <v>10.5</v>
      </c>
      <c r="AT78" s="125">
        <f>Tabela1[[#This Row],[Pré Potássio mmol/L]]</f>
        <v>4.8</v>
      </c>
      <c r="AU78" s="125">
        <f>Tabela1[[#This Row],[Pós Potássio mmol/L]]</f>
        <v>4.9000000000000004</v>
      </c>
      <c r="AV78" s="85">
        <f>Tabela1[[#This Row],[Glicose pré]]</f>
        <v>115</v>
      </c>
      <c r="AW78" s="85">
        <f>Tabela1[[#This Row],[Glicose pós]]</f>
        <v>122</v>
      </c>
      <c r="AX78" s="85">
        <f>Tabela1[[#This Row],[Pré Sódio mmol/L]]</f>
        <v>141</v>
      </c>
      <c r="AY78" s="85">
        <f>Tabela1[[#This Row],[Pós Sódio mmol/L]]</f>
        <v>141</v>
      </c>
      <c r="AZ78" s="125" t="str">
        <f>Tabela1[[#This Row],[Pré Magnésio mg/dL]]</f>
        <v>-</v>
      </c>
      <c r="BA78" s="125" t="str">
        <f>Tabela1[[#This Row],[Pós Magnésio mg/dL]]</f>
        <v>-</v>
      </c>
      <c r="BB78" s="85" t="str">
        <f>Tabela1[[#This Row],[Pré Cloro mmol/L]]</f>
        <v>-</v>
      </c>
      <c r="BC78" s="85" t="str">
        <f>Tabela1[[#This Row],[Pós Cloro mmol/L]]</f>
        <v>-</v>
      </c>
      <c r="BD7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299.03522222222227</v>
      </c>
      <c r="BE7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302.00177777777776</v>
      </c>
      <c r="BF78" s="194">
        <f>Tabela1[[#This Row],[Pré RBC 10^6/mm³]]</f>
        <v>4.95</v>
      </c>
      <c r="BG78" s="125">
        <f>Tabela1[[#This Row],[Pós RBC 10^6/mm³]]</f>
        <v>5.48</v>
      </c>
      <c r="BH78" s="125">
        <f>Tabela1[[#This Row],[Pré HGB g/dL]]</f>
        <v>14.3</v>
      </c>
      <c r="BI78" s="125">
        <f>Tabela1[[#This Row],[Pós HGB g/dL]]</f>
        <v>16.2</v>
      </c>
      <c r="BJ78" s="125">
        <f>Tabela1[[#This Row],[Pré HCT %]]</f>
        <v>52.3</v>
      </c>
      <c r="BK78" s="125">
        <f>Tabela1[[#This Row],[Pós HCT %]]</f>
        <v>50</v>
      </c>
      <c r="BL78" s="125">
        <f>Tabela1[[#This Row],[Pré MCV fL]]</f>
        <v>105.7</v>
      </c>
      <c r="BM78" s="125">
        <f>Tabela1[[#This Row],[Pós MCV fL]]</f>
        <v>91.2</v>
      </c>
      <c r="BN78" s="125">
        <f>Tabela1[[#This Row],[Pré MCH pg]]</f>
        <v>28.9</v>
      </c>
      <c r="BO78" s="125">
        <f>Tabela1[[#This Row],[Pós MCH pg]]</f>
        <v>29.6</v>
      </c>
      <c r="BP78" s="125">
        <f>Tabela1[[#This Row],[Pré MCHC g/dL]]</f>
        <v>27.3</v>
      </c>
      <c r="BQ78" s="125">
        <f>Tabela1[[#This Row],[Pós MCHC g/dL]]</f>
        <v>32.4</v>
      </c>
      <c r="BR78" s="85">
        <f>Tabela1[[#This Row],[Pré PLT 10³/mm³]]</f>
        <v>316</v>
      </c>
      <c r="BS78" s="85">
        <f>Tabela1[[#This Row],[Pós PLT 10³/mm³]]</f>
        <v>387</v>
      </c>
      <c r="BT78" s="125">
        <f>Tabela1[[#This Row],[Pré RDW %]]</f>
        <v>14.5</v>
      </c>
      <c r="BU78" s="125">
        <f>Tabela1[[#This Row],[Pós RDW %]]</f>
        <v>13.3</v>
      </c>
      <c r="BV78" s="179">
        <f>Tabela1[[#This Row],[Pré RET %]]</f>
        <v>0.95</v>
      </c>
      <c r="BW78" s="196">
        <f>Tabela1[[#This Row],[Pós RET %]]</f>
        <v>1.56</v>
      </c>
      <c r="BX78" s="197">
        <f>Tabela1[[#This Row],[Pré WBC 10³/mm³]]</f>
        <v>8.1999999999999993</v>
      </c>
      <c r="BY78" s="179">
        <f>Tabela1[[#This Row],[Pós WBC 10³/mm³]]</f>
        <v>5.08</v>
      </c>
      <c r="BZ78" s="125">
        <f>Tabela1[[#This Row],[Pré NEUT %]]</f>
        <v>89.146341463414643</v>
      </c>
      <c r="CA78" s="125">
        <f>Tabela1[[#This Row],[Pós NEUT %]]</f>
        <v>64.900000000000006</v>
      </c>
      <c r="CB78" s="125">
        <f>Tabela1[[#This Row],[Pré LINF %]]</f>
        <v>9.5121951219512209</v>
      </c>
      <c r="CC78" s="125">
        <f>Tabela1[[#This Row],[Pós LINF %]]</f>
        <v>19.7</v>
      </c>
      <c r="CD78" s="125">
        <f>Tabela1[[#This Row],[Pré MONO %]]</f>
        <v>1.3414634146341464</v>
      </c>
      <c r="CE78" s="125">
        <f>Tabela1[[#This Row],[Pós MONO %]]</f>
        <v>13.6</v>
      </c>
      <c r="CF78" s="125">
        <f>Tabela1[[#This Row],[Pré EOS %]]</f>
        <v>0</v>
      </c>
      <c r="CG78" s="125">
        <f>Tabela1[[#This Row],[Pós EOS %]]</f>
        <v>0</v>
      </c>
      <c r="CH78" s="125">
        <f>Tabela1[[#This Row],[Pré BASO %]]</f>
        <v>0</v>
      </c>
      <c r="CI78" s="198">
        <f>Tabela1[[#This Row],[Pós BASO %]]</f>
        <v>1.8</v>
      </c>
      <c r="CJ78" s="199" t="str">
        <f t="shared" si="5"/>
        <v>NÃO</v>
      </c>
      <c r="CK78" s="200" t="str">
        <f t="shared" si="6"/>
        <v>SIM</v>
      </c>
      <c r="CL78" s="194">
        <f t="shared" si="7"/>
        <v>66.363659999999996</v>
      </c>
      <c r="CM78" s="125">
        <f>Tabela1[[#This Row],[MCT KG]]</f>
        <v>72.599999999999994</v>
      </c>
      <c r="CN78" s="85">
        <f>Tabela1[[#This Row],[ESTATURA]]</f>
        <v>180</v>
      </c>
      <c r="CO78" s="85">
        <f>Tabela1[[#This Row],[vo2max estimado]]</f>
        <v>52.5</v>
      </c>
      <c r="CP78" s="85">
        <f>Tabela1[[#This Row],[Handgrip     Dominante]]</f>
        <v>45</v>
      </c>
      <c r="CQ78" s="85">
        <f>Tabela1[[#This Row],[Handgrip Contrário]]</f>
        <v>42</v>
      </c>
      <c r="CR78" s="281">
        <f>Tabela1[[#This Row],[% gordura]]</f>
        <v>8.59</v>
      </c>
    </row>
    <row r="79" spans="1:96" ht="15.75" customHeight="1">
      <c r="A79" s="279">
        <f>Tabela1[[#This Row],[Ano]]</f>
        <v>2017</v>
      </c>
      <c r="B79" s="181" t="str">
        <f>Tabela1[[#This Row],[Missão]]</f>
        <v>Avelar</v>
      </c>
      <c r="C79" s="181">
        <f>Tabela1[[#This Row],[Aluno]]</f>
        <v>3116</v>
      </c>
      <c r="D79" s="181">
        <f>Tabela1[[#This Row],[Idade]]</f>
        <v>29</v>
      </c>
      <c r="E79" s="182">
        <f>Tabela1[[#This Row],[Peso Kg]]</f>
        <v>70</v>
      </c>
      <c r="F79" s="191">
        <f>Tabela1[[#This Row],[Cor da pele]]</f>
        <v>2</v>
      </c>
      <c r="G79" s="192" t="str">
        <f>Tabela1[[#This Row],[ACTN3]]</f>
        <v>RX</v>
      </c>
      <c r="H79" s="85" t="str">
        <f>Tabela1[[#This Row],[AGT]]</f>
        <v>MT</v>
      </c>
      <c r="I79" s="85" t="str">
        <f>Tabela1[[#This Row],[ECA]]</f>
        <v>DD</v>
      </c>
      <c r="J79" s="85" t="str">
        <f>Tabela1[[#This Row],[BDKRB2]]</f>
        <v>(+9, -9)</v>
      </c>
      <c r="K79" s="85">
        <f>Tabela1[[#This Row],[Score Força%]]</f>
        <v>62.5</v>
      </c>
      <c r="L79" s="193">
        <f>Tabela1[[#This Row],[Score Resistência %]]</f>
        <v>37.5</v>
      </c>
      <c r="M79" s="192">
        <f>Tabela1[[#This Row],[Pré CK (U/L)]]</f>
        <v>258</v>
      </c>
      <c r="N79" s="85">
        <f>Tabela1[[#This Row],[Pós CK (U/L)]]</f>
        <v>2135</v>
      </c>
      <c r="O79" s="85">
        <f>Tabela1[[#This Row],[Pré CK MB U/L]]</f>
        <v>22</v>
      </c>
      <c r="P79" s="85">
        <f>Tabela1[[#This Row],[Pós CK MB U/L]]</f>
        <v>66</v>
      </c>
      <c r="Q79" s="85" t="str">
        <f>Tabela1[[#This Row],[Pré Lactato (mmol/L)]]</f>
        <v>-</v>
      </c>
      <c r="R79" s="85" t="str">
        <f>Tabela1[[#This Row],[Pós Lactato (mmol/L)]]</f>
        <v>-</v>
      </c>
      <c r="S79" s="85">
        <f>Tabela1[[#This Row],[Pré LDH (U/L)]]</f>
        <v>569</v>
      </c>
      <c r="T79" s="85">
        <f>Tabela1[[#This Row],[Pós LDH (U/L)]]</f>
        <v>1089</v>
      </c>
      <c r="U79" s="85">
        <f>Tabela1[[#This Row],[Pré AST (U/L)]]</f>
        <v>34</v>
      </c>
      <c r="V79" s="193">
        <f>Tabela1[[#This Row],[Pós AST (U/L)]]</f>
        <v>89</v>
      </c>
      <c r="W79" s="194">
        <f>Tabela1[[#This Row],[Pré Albumina (g/dL)]]</f>
        <v>4.5</v>
      </c>
      <c r="X79" s="125">
        <f>Tabela1[[#This Row],[Pós Albumina (g/dL)]]</f>
        <v>5.3</v>
      </c>
      <c r="Y79" s="85">
        <f>Tabela1[[#This Row],[Pré TGP (g/dL)]]</f>
        <v>37</v>
      </c>
      <c r="Z79" s="85">
        <f>Tabela1[[#This Row],[Pós TGP (g/dL)]]</f>
        <v>47</v>
      </c>
      <c r="AA79" s="85">
        <f>Tabela1[[#This Row],[Pré GGT U/L]]</f>
        <v>11</v>
      </c>
      <c r="AB79" s="193">
        <f>Tabela1[[#This Row],[Pós GGT U/L]]</f>
        <v>13</v>
      </c>
      <c r="AC79" s="194" t="str">
        <f>Tabela1[[#This Row],[Pré Ac. Úrico (mg/dL)]]</f>
        <v>-</v>
      </c>
      <c r="AD79" s="125" t="str">
        <f>Tabela1[[#This Row],[Pós Ac. Úrico (mg/dL)2]]</f>
        <v>-</v>
      </c>
      <c r="AE7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7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79" s="85">
        <f>Tabela1[[#This Row],[Pré Ureia mg/dL]]</f>
        <v>36</v>
      </c>
      <c r="AH79" s="85">
        <f>Tabela1[[#This Row],[Pós Ureia mg/dL]]</f>
        <v>41</v>
      </c>
      <c r="AI79" s="125">
        <f>Tabela1[[#This Row],[Pré creatinina mg/dL]]</f>
        <v>1</v>
      </c>
      <c r="AJ79" s="125">
        <f>Tabela1[[#This Row],[Pós creatinina mg/dL]]</f>
        <v>1</v>
      </c>
      <c r="AK79" s="180">
        <f t="shared" si="4"/>
        <v>0</v>
      </c>
      <c r="AL79" s="125">
        <f>Tabela1[[#This Row],[Pré Fósforo mg/dL]]</f>
        <v>4.3</v>
      </c>
      <c r="AM79" s="125">
        <f>Tabela1[[#This Row],[Pós Fósforo mg/dL]]</f>
        <v>4.4000000000000004</v>
      </c>
      <c r="AN79" s="125">
        <f>Tabela1[[#This Row],[Pré Proteína Total (g/dL)]]</f>
        <v>6.8</v>
      </c>
      <c r="AO79" s="125">
        <f>Tabela1[[#This Row],[Pós Proteína Total (g/dL)]]</f>
        <v>7.9</v>
      </c>
      <c r="AP79" s="85" t="str">
        <f>Tabela1[[#This Row],[Pré FE (ug/dL)]]</f>
        <v>-</v>
      </c>
      <c r="AQ79" s="193" t="str">
        <f>Tabela1[[#This Row],[Pós FE (ug/dL)]]</f>
        <v>-</v>
      </c>
      <c r="AR79" s="194">
        <f>Tabela1[[#This Row],[Pré calcio mg/dL]]</f>
        <v>9.8000000000000007</v>
      </c>
      <c r="AS79" s="125">
        <f>Tabela1[[#This Row],[Pós calcio mg/dL]]</f>
        <v>10</v>
      </c>
      <c r="AT79" s="125">
        <f>Tabela1[[#This Row],[Pré Potássio mmol/L]]</f>
        <v>5</v>
      </c>
      <c r="AU79" s="125">
        <f>Tabela1[[#This Row],[Pós Potássio mmol/L]]</f>
        <v>4.5999999999999996</v>
      </c>
      <c r="AV79" s="85">
        <f>Tabela1[[#This Row],[Glicose pré]]</f>
        <v>84</v>
      </c>
      <c r="AW79" s="85">
        <f>Tabela1[[#This Row],[Glicose pós]]</f>
        <v>94</v>
      </c>
      <c r="AX79" s="85">
        <f>Tabela1[[#This Row],[Pré Sódio mmol/L]]</f>
        <v>141</v>
      </c>
      <c r="AY79" s="85">
        <f>Tabela1[[#This Row],[Pós Sódio mmol/L]]</f>
        <v>140</v>
      </c>
      <c r="AZ79" s="125" t="str">
        <f>Tabela1[[#This Row],[Pré Magnésio mg/dL]]</f>
        <v>-</v>
      </c>
      <c r="BA79" s="125" t="str">
        <f>Tabela1[[#This Row],[Pós Magnésio mg/dL]]</f>
        <v>-</v>
      </c>
      <c r="BB79" s="85" t="str">
        <f>Tabela1[[#This Row],[Pré Cloro mmol/L]]</f>
        <v>-</v>
      </c>
      <c r="BC79" s="85" t="str">
        <f>Tabela1[[#This Row],[Pós Cloro mmol/L]]</f>
        <v>-</v>
      </c>
      <c r="BD7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296.92666666666668</v>
      </c>
      <c r="BE7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295.79488888888886</v>
      </c>
      <c r="BF79" s="194">
        <f>Tabela1[[#This Row],[Pré RBC 10^6/mm³]]</f>
        <v>4.6900000000000004</v>
      </c>
      <c r="BG79" s="125">
        <f>Tabela1[[#This Row],[Pós RBC 10^6/mm³]]</f>
        <v>5.38</v>
      </c>
      <c r="BH79" s="125">
        <f>Tabela1[[#This Row],[Pré HGB g/dL]]</f>
        <v>13.8</v>
      </c>
      <c r="BI79" s="125">
        <f>Tabela1[[#This Row],[Pós HGB g/dL]]</f>
        <v>15.9</v>
      </c>
      <c r="BJ79" s="125">
        <f>Tabela1[[#This Row],[Pré HCT %]]</f>
        <v>44.8</v>
      </c>
      <c r="BK79" s="125">
        <f>Tabela1[[#This Row],[Pós HCT %]]</f>
        <v>46</v>
      </c>
      <c r="BL79" s="125">
        <f>Tabela1[[#This Row],[Pré MCV fL]]</f>
        <v>95.5</v>
      </c>
      <c r="BM79" s="125">
        <f>Tabela1[[#This Row],[Pós MCV fL]]</f>
        <v>85.5</v>
      </c>
      <c r="BN79" s="125">
        <f>Tabela1[[#This Row],[Pré MCH pg]]</f>
        <v>29.4</v>
      </c>
      <c r="BO79" s="125">
        <f>Tabela1[[#This Row],[Pós MCH pg]]</f>
        <v>29.6</v>
      </c>
      <c r="BP79" s="125">
        <f>Tabela1[[#This Row],[Pré MCHC g/dL]]</f>
        <v>30.8</v>
      </c>
      <c r="BQ79" s="125">
        <f>Tabela1[[#This Row],[Pós MCHC g/dL]]</f>
        <v>34.6</v>
      </c>
      <c r="BR79" s="85">
        <f>Tabela1[[#This Row],[Pré PLT 10³/mm³]]</f>
        <v>168</v>
      </c>
      <c r="BS79" s="85">
        <f>Tabela1[[#This Row],[Pós PLT 10³/mm³]]</f>
        <v>234</v>
      </c>
      <c r="BT79" s="125">
        <f>Tabela1[[#This Row],[Pré RDW %]]</f>
        <v>13.6</v>
      </c>
      <c r="BU79" s="125">
        <f>Tabela1[[#This Row],[Pós RDW %]]</f>
        <v>12.7</v>
      </c>
      <c r="BV79" s="179">
        <f>Tabela1[[#This Row],[Pré RET %]]</f>
        <v>1.32</v>
      </c>
      <c r="BW79" s="196">
        <f>Tabela1[[#This Row],[Pós RET %]]</f>
        <v>2.11</v>
      </c>
      <c r="BX79" s="197">
        <f>Tabela1[[#This Row],[Pré WBC 10³/mm³]]</f>
        <v>5.72</v>
      </c>
      <c r="BY79" s="179">
        <f>Tabela1[[#This Row],[Pós WBC 10³/mm³]]</f>
        <v>6.38</v>
      </c>
      <c r="BZ79" s="125">
        <f>Tabela1[[#This Row],[Pré NEUT %]]</f>
        <v>41.25874125874126</v>
      </c>
      <c r="CA79" s="125">
        <f>Tabela1[[#This Row],[Pós NEUT %]]</f>
        <v>59</v>
      </c>
      <c r="CB79" s="125">
        <f>Tabela1[[#This Row],[Pré LINF %]]</f>
        <v>38.286713286713287</v>
      </c>
      <c r="CC79" s="125">
        <f>Tabela1[[#This Row],[Pós LINF %]]</f>
        <v>22.1</v>
      </c>
      <c r="CD79" s="125">
        <f>Tabela1[[#This Row],[Pré MONO %]]</f>
        <v>7.5174825174825175</v>
      </c>
      <c r="CE79" s="125">
        <f>Tabela1[[#This Row],[Pós MONO %]]</f>
        <v>12.7</v>
      </c>
      <c r="CF79" s="125">
        <f>Tabela1[[#This Row],[Pré EOS %]]</f>
        <v>12.587412587412588</v>
      </c>
      <c r="CG79" s="125">
        <f>Tabela1[[#This Row],[Pós EOS %]]</f>
        <v>2</v>
      </c>
      <c r="CH79" s="125">
        <f>Tabela1[[#This Row],[Pré BASO %]]</f>
        <v>0.34965034965034969</v>
      </c>
      <c r="CI79" s="198">
        <f>Tabela1[[#This Row],[Pós BASO %]]</f>
        <v>4.2</v>
      </c>
      <c r="CJ79" s="199" t="str">
        <f t="shared" si="5"/>
        <v>NÃO</v>
      </c>
      <c r="CK79" s="200" t="str">
        <f t="shared" si="6"/>
        <v>SIM</v>
      </c>
      <c r="CL79" s="194">
        <f t="shared" si="7"/>
        <v>0</v>
      </c>
      <c r="CM79" s="125">
        <f>Tabela1[[#This Row],[MCT KG]]</f>
        <v>0</v>
      </c>
      <c r="CN79" s="85">
        <f>Tabela1[[#This Row],[ESTATURA]]</f>
        <v>0</v>
      </c>
      <c r="CO79" s="85">
        <f>Tabela1[[#This Row],[vo2max estimado]]</f>
        <v>0</v>
      </c>
      <c r="CP79" s="85">
        <f>Tabela1[[#This Row],[Handgrip     Dominante]]</f>
        <v>0</v>
      </c>
      <c r="CQ79" s="85">
        <f>Tabela1[[#This Row],[Handgrip Contrário]]</f>
        <v>0</v>
      </c>
      <c r="CR79" s="281">
        <f>Tabela1[[#This Row],[% gordura]]</f>
        <v>0</v>
      </c>
    </row>
    <row r="80" spans="1:96" ht="15.75" customHeight="1">
      <c r="A80" s="279">
        <f>Tabela1[[#This Row],[Ano]]</f>
        <v>2017</v>
      </c>
      <c r="B80" s="181" t="str">
        <f>Tabela1[[#This Row],[Missão]]</f>
        <v>Avelar</v>
      </c>
      <c r="C80" s="181">
        <f>Tabela1[[#This Row],[Aluno]]</f>
        <v>3119</v>
      </c>
      <c r="D80" s="181">
        <f>Tabela1[[#This Row],[Idade]]</f>
        <v>28</v>
      </c>
      <c r="E80" s="182">
        <f>Tabela1[[#This Row],[Peso Kg]]</f>
        <v>75</v>
      </c>
      <c r="F80" s="191">
        <f>Tabela1[[#This Row],[Cor da pele]]</f>
        <v>1</v>
      </c>
      <c r="G80" s="192" t="str">
        <f>Tabela1[[#This Row],[ACTN3]]</f>
        <v>RX</v>
      </c>
      <c r="H80" s="85" t="str">
        <f>Tabela1[[#This Row],[AGT]]</f>
        <v>TT</v>
      </c>
      <c r="I80" s="85" t="str">
        <f>Tabela1[[#This Row],[ECA]]</f>
        <v>DD</v>
      </c>
      <c r="J80" s="85" t="str">
        <f>Tabela1[[#This Row],[BDKRB2]]</f>
        <v>(-9, -9)</v>
      </c>
      <c r="K80" s="85">
        <f>Tabela1[[#This Row],[Score Força%]]</f>
        <v>62.5</v>
      </c>
      <c r="L80" s="193">
        <f>Tabela1[[#This Row],[Score Resistência %]]</f>
        <v>37.5</v>
      </c>
      <c r="M80" s="192">
        <f>Tabela1[[#This Row],[Pré CK (U/L)]]</f>
        <v>2378</v>
      </c>
      <c r="N80" s="85">
        <f>Tabela1[[#This Row],[Pós CK (U/L)]]</f>
        <v>2469</v>
      </c>
      <c r="O80" s="85">
        <f>Tabela1[[#This Row],[Pré CK MB U/L]]</f>
        <v>66</v>
      </c>
      <c r="P80" s="85">
        <f>Tabela1[[#This Row],[Pós CK MB U/L]]</f>
        <v>78</v>
      </c>
      <c r="Q80" s="85" t="str">
        <f>Tabela1[[#This Row],[Pré Lactato (mmol/L)]]</f>
        <v>-</v>
      </c>
      <c r="R80" s="85" t="str">
        <f>Tabela1[[#This Row],[Pós Lactato (mmol/L)]]</f>
        <v>-</v>
      </c>
      <c r="S80" s="85">
        <f>Tabela1[[#This Row],[Pré LDH (U/L)]]</f>
        <v>1040</v>
      </c>
      <c r="T80" s="85">
        <f>Tabela1[[#This Row],[Pós LDH (U/L)]]</f>
        <v>1114</v>
      </c>
      <c r="U80" s="85">
        <f>Tabela1[[#This Row],[Pré AST (U/L)]]</f>
        <v>88</v>
      </c>
      <c r="V80" s="193">
        <f>Tabela1[[#This Row],[Pós AST (U/L)]]</f>
        <v>98</v>
      </c>
      <c r="W80" s="194">
        <f>Tabela1[[#This Row],[Pré Albumina (g/dL)]]</f>
        <v>4.9000000000000004</v>
      </c>
      <c r="X80" s="125">
        <f>Tabela1[[#This Row],[Pós Albumina (g/dL)]]</f>
        <v>5.2</v>
      </c>
      <c r="Y80" s="85">
        <f>Tabela1[[#This Row],[Pré TGP (g/dL)]]</f>
        <v>73</v>
      </c>
      <c r="Z80" s="85">
        <f>Tabela1[[#This Row],[Pós TGP (g/dL)]]</f>
        <v>62</v>
      </c>
      <c r="AA80" s="85">
        <f>Tabela1[[#This Row],[Pré GGT U/L]]</f>
        <v>28</v>
      </c>
      <c r="AB80" s="193">
        <f>Tabela1[[#This Row],[Pós GGT U/L]]</f>
        <v>28</v>
      </c>
      <c r="AC80" s="194" t="str">
        <f>Tabela1[[#This Row],[Pré Ac. Úrico (mg/dL)]]</f>
        <v>-</v>
      </c>
      <c r="AD80" s="125" t="str">
        <f>Tabela1[[#This Row],[Pós Ac. Úrico (mg/dL)2]]</f>
        <v>-</v>
      </c>
      <c r="AE8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8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80" s="85">
        <f>Tabela1[[#This Row],[Pré Ureia mg/dL]]</f>
        <v>31</v>
      </c>
      <c r="AH80" s="85">
        <f>Tabela1[[#This Row],[Pós Ureia mg/dL]]</f>
        <v>40</v>
      </c>
      <c r="AI80" s="125">
        <f>Tabela1[[#This Row],[Pré creatinina mg/dL]]</f>
        <v>0.9</v>
      </c>
      <c r="AJ80" s="125">
        <f>Tabela1[[#This Row],[Pós creatinina mg/dL]]</f>
        <v>1.1000000000000001</v>
      </c>
      <c r="AK80" s="180">
        <f t="shared" si="4"/>
        <v>0.20000000000000007</v>
      </c>
      <c r="AL80" s="125">
        <f>Tabela1[[#This Row],[Pré Fósforo mg/dL]]</f>
        <v>3</v>
      </c>
      <c r="AM80" s="125">
        <f>Tabela1[[#This Row],[Pós Fósforo mg/dL]]</f>
        <v>4.4000000000000004</v>
      </c>
      <c r="AN80" s="125">
        <f>Tabela1[[#This Row],[Pré Proteína Total (g/dL)]]</f>
        <v>7.5</v>
      </c>
      <c r="AO80" s="125">
        <f>Tabela1[[#This Row],[Pós Proteína Total (g/dL)]]</f>
        <v>8.1</v>
      </c>
      <c r="AP80" s="85" t="str">
        <f>Tabela1[[#This Row],[Pré FE (ug/dL)]]</f>
        <v>-</v>
      </c>
      <c r="AQ80" s="193" t="str">
        <f>Tabela1[[#This Row],[Pós FE (ug/dL)]]</f>
        <v>-</v>
      </c>
      <c r="AR80" s="194">
        <f>Tabela1[[#This Row],[Pré calcio mg/dL]]</f>
        <v>9.9</v>
      </c>
      <c r="AS80" s="125">
        <f>Tabela1[[#This Row],[Pós calcio mg/dL]]</f>
        <v>9.6999999999999993</v>
      </c>
      <c r="AT80" s="125">
        <f>Tabela1[[#This Row],[Pré Potássio mmol/L]]</f>
        <v>4.0999999999999996</v>
      </c>
      <c r="AU80" s="125">
        <f>Tabela1[[#This Row],[Pós Potássio mmol/L]]</f>
        <v>4.2</v>
      </c>
      <c r="AV80" s="85">
        <f>Tabela1[[#This Row],[Glicose pré]]</f>
        <v>161</v>
      </c>
      <c r="AW80" s="85">
        <f>Tabela1[[#This Row],[Glicose pós]]</f>
        <v>88</v>
      </c>
      <c r="AX80" s="85">
        <f>Tabela1[[#This Row],[Pré Sódio mmol/L]]</f>
        <v>141</v>
      </c>
      <c r="AY80" s="85">
        <f>Tabela1[[#This Row],[Pós Sódio mmol/L]]</f>
        <v>140</v>
      </c>
      <c r="AZ80" s="125" t="str">
        <f>Tabela1[[#This Row],[Pré Magnésio mg/dL]]</f>
        <v>-</v>
      </c>
      <c r="BA80" s="125" t="str">
        <f>Tabela1[[#This Row],[Pós Magnésio mg/dL]]</f>
        <v>-</v>
      </c>
      <c r="BB80" s="85" t="str">
        <f>Tabela1[[#This Row],[Pré Cloro mmol/L]]</f>
        <v>-</v>
      </c>
      <c r="BC80" s="85" t="str">
        <f>Tabela1[[#This Row],[Pós Cloro mmol/L]]</f>
        <v>-</v>
      </c>
      <c r="BD8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299.33877777777781</v>
      </c>
      <c r="BE8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294.50088888888888</v>
      </c>
      <c r="BF80" s="194">
        <f>Tabela1[[#This Row],[Pré RBC 10^6/mm³]]</f>
        <v>4.7699999999999996</v>
      </c>
      <c r="BG80" s="125">
        <f>Tabela1[[#This Row],[Pós RBC 10^6/mm³]]</f>
        <v>5.13</v>
      </c>
      <c r="BH80" s="125">
        <f>Tabela1[[#This Row],[Pré HGB g/dL]]</f>
        <v>14.1</v>
      </c>
      <c r="BI80" s="125">
        <f>Tabela1[[#This Row],[Pós HGB g/dL]]</f>
        <v>15.3</v>
      </c>
      <c r="BJ80" s="125">
        <f>Tabela1[[#This Row],[Pré HCT %]]</f>
        <v>45.6</v>
      </c>
      <c r="BK80" s="125">
        <f>Tabela1[[#This Row],[Pós HCT %]]</f>
        <v>44.5</v>
      </c>
      <c r="BL80" s="125">
        <f>Tabela1[[#This Row],[Pré MCV fL]]</f>
        <v>95.6</v>
      </c>
      <c r="BM80" s="125">
        <f>Tabela1[[#This Row],[Pós MCV fL]]</f>
        <v>86.7</v>
      </c>
      <c r="BN80" s="125">
        <f>Tabela1[[#This Row],[Pré MCH pg]]</f>
        <v>29.6</v>
      </c>
      <c r="BO80" s="125">
        <f>Tabela1[[#This Row],[Pós MCH pg]]</f>
        <v>29.8</v>
      </c>
      <c r="BP80" s="125">
        <f>Tabela1[[#This Row],[Pré MCHC g/dL]]</f>
        <v>30.9</v>
      </c>
      <c r="BQ80" s="125">
        <f>Tabela1[[#This Row],[Pós MCHC g/dL]]</f>
        <v>34.4</v>
      </c>
      <c r="BR80" s="85">
        <f>Tabela1[[#This Row],[Pré PLT 10³/mm³]]</f>
        <v>273</v>
      </c>
      <c r="BS80" s="85">
        <f>Tabela1[[#This Row],[Pós PLT 10³/mm³]]</f>
        <v>290</v>
      </c>
      <c r="BT80" s="125">
        <f>Tabela1[[#This Row],[Pré RDW %]]</f>
        <v>14.5</v>
      </c>
      <c r="BU80" s="125">
        <f>Tabela1[[#This Row],[Pós RDW %]]</f>
        <v>13.1</v>
      </c>
      <c r="BV80" s="179">
        <f>Tabela1[[#This Row],[Pré RET %]]</f>
        <v>0.78</v>
      </c>
      <c r="BW80" s="196">
        <f>Tabela1[[#This Row],[Pós RET %]]</f>
        <v>1.47</v>
      </c>
      <c r="BX80" s="197">
        <f>Tabela1[[#This Row],[Pré WBC 10³/mm³]]</f>
        <v>7.35</v>
      </c>
      <c r="BY80" s="179">
        <f>Tabela1[[#This Row],[Pós WBC 10³/mm³]]</f>
        <v>3.64</v>
      </c>
      <c r="BZ80" s="125">
        <f>Tabela1[[#This Row],[Pré NEUT %]]</f>
        <v>91.700680272108855</v>
      </c>
      <c r="CA80" s="125">
        <f>Tabela1[[#This Row],[Pós NEUT %]]</f>
        <v>44.3</v>
      </c>
      <c r="CB80" s="125">
        <f>Tabela1[[#This Row],[Pré LINF %]]</f>
        <v>7.4829931972789128</v>
      </c>
      <c r="CC80" s="125">
        <f>Tabela1[[#This Row],[Pós LINF %]]</f>
        <v>29.7</v>
      </c>
      <c r="CD80" s="125">
        <f>Tabela1[[#This Row],[Pré MONO %]]</f>
        <v>0.81632653061224492</v>
      </c>
      <c r="CE80" s="125">
        <f>Tabela1[[#This Row],[Pós MONO %]]</f>
        <v>22.5</v>
      </c>
      <c r="CF80" s="125">
        <f>Tabela1[[#This Row],[Pré EOS %]]</f>
        <v>0</v>
      </c>
      <c r="CG80" s="125">
        <f>Tabela1[[#This Row],[Pós EOS %]]</f>
        <v>0.5</v>
      </c>
      <c r="CH80" s="125">
        <f>Tabela1[[#This Row],[Pré BASO %]]</f>
        <v>0</v>
      </c>
      <c r="CI80" s="198">
        <f>Tabela1[[#This Row],[Pós BASO %]]</f>
        <v>3</v>
      </c>
      <c r="CJ80" s="199" t="str">
        <f t="shared" si="5"/>
        <v>NÃO</v>
      </c>
      <c r="CK80" s="200" t="str">
        <f t="shared" si="6"/>
        <v>SIM</v>
      </c>
      <c r="CL80" s="194">
        <f t="shared" si="7"/>
        <v>69.236999999999995</v>
      </c>
      <c r="CM80" s="125">
        <f>Tabela1[[#This Row],[MCT KG]]</f>
        <v>73.5</v>
      </c>
      <c r="CN80" s="85">
        <f>Tabela1[[#This Row],[ESTATURA]]</f>
        <v>177</v>
      </c>
      <c r="CO80" s="85">
        <f>Tabela1[[#This Row],[vo2max estimado]]</f>
        <v>53.28</v>
      </c>
      <c r="CP80" s="85">
        <f>Tabela1[[#This Row],[Handgrip     Dominante]]</f>
        <v>52.5</v>
      </c>
      <c r="CQ80" s="85">
        <f>Tabela1[[#This Row],[Handgrip Contrário]]</f>
        <v>50</v>
      </c>
      <c r="CR80" s="281">
        <f>Tabela1[[#This Row],[% gordura]]</f>
        <v>5.8</v>
      </c>
    </row>
    <row r="81" spans="1:96" ht="15.75" customHeight="1">
      <c r="A81" s="279">
        <f>Tabela1[[#This Row],[Ano]]</f>
        <v>2017</v>
      </c>
      <c r="B81" s="181" t="str">
        <f>Tabela1[[#This Row],[Missão]]</f>
        <v>Avelar</v>
      </c>
      <c r="C81" s="181">
        <f>Tabela1[[#This Row],[Aluno]]</f>
        <v>3123</v>
      </c>
      <c r="D81" s="181">
        <f>Tabela1[[#This Row],[Idade]]</f>
        <v>27</v>
      </c>
      <c r="E81" s="182">
        <f>Tabela1[[#This Row],[Peso Kg]]</f>
        <v>86</v>
      </c>
      <c r="F81" s="191">
        <f>Tabela1[[#This Row],[Cor da pele]]</f>
        <v>1</v>
      </c>
      <c r="G81" s="192" t="str">
        <f>Tabela1[[#This Row],[ACTN3]]</f>
        <v>RX</v>
      </c>
      <c r="H81" s="85" t="str">
        <f>Tabela1[[#This Row],[AGT]]</f>
        <v>TT</v>
      </c>
      <c r="I81" s="85" t="str">
        <f>Tabela1[[#This Row],[ECA]]</f>
        <v>ID</v>
      </c>
      <c r="J81" s="85" t="str">
        <f>Tabela1[[#This Row],[BDKRB2]]</f>
        <v>(+9, +9)</v>
      </c>
      <c r="K81" s="85">
        <f>Tabela1[[#This Row],[Score Força%]]</f>
        <v>75</v>
      </c>
      <c r="L81" s="193">
        <f>Tabela1[[#This Row],[Score Resistência %]]</f>
        <v>25</v>
      </c>
      <c r="M81" s="192">
        <f>Tabela1[[#This Row],[Pré CK (U/L)]]</f>
        <v>587</v>
      </c>
      <c r="N81" s="85">
        <f>Tabela1[[#This Row],[Pós CK (U/L)]]</f>
        <v>1547</v>
      </c>
      <c r="O81" s="85">
        <f>Tabela1[[#This Row],[Pré CK MB U/L]]</f>
        <v>26</v>
      </c>
      <c r="P81" s="85">
        <f>Tabela1[[#This Row],[Pós CK MB U/L]]</f>
        <v>54</v>
      </c>
      <c r="Q81" s="85" t="str">
        <f>Tabela1[[#This Row],[Pré Lactato (mmol/L)]]</f>
        <v>-</v>
      </c>
      <c r="R81" s="85" t="str">
        <f>Tabela1[[#This Row],[Pós Lactato (mmol/L)]]</f>
        <v>-</v>
      </c>
      <c r="S81" s="85">
        <f>Tabela1[[#This Row],[Pré LDH (U/L)]]</f>
        <v>571</v>
      </c>
      <c r="T81" s="85">
        <f>Tabela1[[#This Row],[Pós LDH (U/L)]]</f>
        <v>770</v>
      </c>
      <c r="U81" s="85">
        <f>Tabela1[[#This Row],[Pré AST (U/L)]]</f>
        <v>47</v>
      </c>
      <c r="V81" s="193">
        <f>Tabela1[[#This Row],[Pós AST (U/L)]]</f>
        <v>75</v>
      </c>
      <c r="W81" s="194">
        <f>Tabela1[[#This Row],[Pré Albumina (g/dL)]]</f>
        <v>4.4000000000000004</v>
      </c>
      <c r="X81" s="125">
        <f>Tabela1[[#This Row],[Pós Albumina (g/dL)]]</f>
        <v>4.7</v>
      </c>
      <c r="Y81" s="85">
        <f>Tabela1[[#This Row],[Pré TGP (g/dL)]]</f>
        <v>55</v>
      </c>
      <c r="Z81" s="85">
        <f>Tabela1[[#This Row],[Pós TGP (g/dL)]]</f>
        <v>42</v>
      </c>
      <c r="AA81" s="85">
        <f>Tabela1[[#This Row],[Pré GGT U/L]]</f>
        <v>24</v>
      </c>
      <c r="AB81" s="193">
        <f>Tabela1[[#This Row],[Pós GGT U/L]]</f>
        <v>23</v>
      </c>
      <c r="AC81" s="194" t="str">
        <f>Tabela1[[#This Row],[Pré Ac. Úrico (mg/dL)]]</f>
        <v>-</v>
      </c>
      <c r="AD81" s="125" t="str">
        <f>Tabela1[[#This Row],[Pós Ac. Úrico (mg/dL)2]]</f>
        <v>-</v>
      </c>
      <c r="AE8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8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81" s="85">
        <f>Tabela1[[#This Row],[Pré Ureia mg/dL]]</f>
        <v>30</v>
      </c>
      <c r="AH81" s="85">
        <f>Tabela1[[#This Row],[Pós Ureia mg/dL]]</f>
        <v>31</v>
      </c>
      <c r="AI81" s="125">
        <f>Tabela1[[#This Row],[Pré creatinina mg/dL]]</f>
        <v>0.9</v>
      </c>
      <c r="AJ81" s="125">
        <f>Tabela1[[#This Row],[Pós creatinina mg/dL]]</f>
        <v>0.9</v>
      </c>
      <c r="AK81" s="180">
        <f t="shared" si="4"/>
        <v>0</v>
      </c>
      <c r="AL81" s="125">
        <f>Tabela1[[#This Row],[Pré Fósforo mg/dL]]</f>
        <v>3.9</v>
      </c>
      <c r="AM81" s="125">
        <f>Tabela1[[#This Row],[Pós Fósforo mg/dL]]</f>
        <v>5.3</v>
      </c>
      <c r="AN81" s="125">
        <f>Tabela1[[#This Row],[Pré Proteína Total (g/dL)]]</f>
        <v>7.6</v>
      </c>
      <c r="AO81" s="125">
        <f>Tabela1[[#This Row],[Pós Proteína Total (g/dL)]]</f>
        <v>8.3000000000000007</v>
      </c>
      <c r="AP81" s="85" t="str">
        <f>Tabela1[[#This Row],[Pré FE (ug/dL)]]</f>
        <v>-</v>
      </c>
      <c r="AQ81" s="193" t="str">
        <f>Tabela1[[#This Row],[Pós FE (ug/dL)]]</f>
        <v>-</v>
      </c>
      <c r="AR81" s="194">
        <f>Tabela1[[#This Row],[Pré calcio mg/dL]]</f>
        <v>9.1</v>
      </c>
      <c r="AS81" s="125">
        <f>Tabela1[[#This Row],[Pós calcio mg/dL]]</f>
        <v>9.3000000000000007</v>
      </c>
      <c r="AT81" s="125">
        <f>Tabela1[[#This Row],[Pré Potássio mmol/L]]</f>
        <v>4.7</v>
      </c>
      <c r="AU81" s="125">
        <f>Tabela1[[#This Row],[Pós Potássio mmol/L]]</f>
        <v>4.3</v>
      </c>
      <c r="AV81" s="85">
        <f>Tabela1[[#This Row],[Glicose pré]]</f>
        <v>120</v>
      </c>
      <c r="AW81" s="85">
        <f>Tabela1[[#This Row],[Glicose pós]]</f>
        <v>103</v>
      </c>
      <c r="AX81" s="85">
        <f>Tabela1[[#This Row],[Pré Sódio mmol/L]]</f>
        <v>140</v>
      </c>
      <c r="AY81" s="85">
        <f>Tabela1[[#This Row],[Pós Sódio mmol/L]]</f>
        <v>141</v>
      </c>
      <c r="AZ81" s="125" t="str">
        <f>Tabela1[[#This Row],[Pré Magnésio mg/dL]]</f>
        <v>-</v>
      </c>
      <c r="BA81" s="125" t="str">
        <f>Tabela1[[#This Row],[Pós Magnésio mg/dL]]</f>
        <v>-</v>
      </c>
      <c r="BB81" s="85" t="str">
        <f>Tabela1[[#This Row],[Pré Cloro mmol/L]]</f>
        <v>-</v>
      </c>
      <c r="BC81" s="85" t="str">
        <f>Tabela1[[#This Row],[Pós Cloro mmol/L]]</f>
        <v>-</v>
      </c>
      <c r="BD8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295.80866666666668</v>
      </c>
      <c r="BE8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296.0052222222223</v>
      </c>
      <c r="BF81" s="194">
        <f>Tabela1[[#This Row],[Pré RBC 10^6/mm³]]</f>
        <v>4.58</v>
      </c>
      <c r="BG81" s="125">
        <f>Tabela1[[#This Row],[Pós RBC 10^6/mm³]]</f>
        <v>5.17</v>
      </c>
      <c r="BH81" s="125">
        <f>Tabela1[[#This Row],[Pré HGB g/dL]]</f>
        <v>12</v>
      </c>
      <c r="BI81" s="125">
        <f>Tabela1[[#This Row],[Pós HGB g/dL]]</f>
        <v>13.7</v>
      </c>
      <c r="BJ81" s="125">
        <f>Tabela1[[#This Row],[Pré HCT %]]</f>
        <v>41.2</v>
      </c>
      <c r="BK81" s="125">
        <f>Tabela1[[#This Row],[Pós HCT %]]</f>
        <v>41.3</v>
      </c>
      <c r="BL81" s="125">
        <f>Tabela1[[#This Row],[Pré MCV fL]]</f>
        <v>90</v>
      </c>
      <c r="BM81" s="125">
        <f>Tabela1[[#This Row],[Pós MCV fL]]</f>
        <v>79.900000000000006</v>
      </c>
      <c r="BN81" s="125">
        <f>Tabela1[[#This Row],[Pré MCH pg]]</f>
        <v>26.2</v>
      </c>
      <c r="BO81" s="125">
        <f>Tabela1[[#This Row],[Pós MCH pg]]</f>
        <v>26.5</v>
      </c>
      <c r="BP81" s="125">
        <f>Tabela1[[#This Row],[Pré MCHC g/dL]]</f>
        <v>29.1</v>
      </c>
      <c r="BQ81" s="125">
        <f>Tabela1[[#This Row],[Pós MCHC g/dL]]</f>
        <v>33.200000000000003</v>
      </c>
      <c r="BR81" s="85">
        <f>Tabela1[[#This Row],[Pré PLT 10³/mm³]]</f>
        <v>270</v>
      </c>
      <c r="BS81" s="85">
        <f>Tabela1[[#This Row],[Pós PLT 10³/mm³]]</f>
        <v>304</v>
      </c>
      <c r="BT81" s="125">
        <f>Tabela1[[#This Row],[Pré RDW %]]</f>
        <v>14.4</v>
      </c>
      <c r="BU81" s="125">
        <f>Tabela1[[#This Row],[Pós RDW %]]</f>
        <v>13</v>
      </c>
      <c r="BV81" s="179">
        <f>Tabela1[[#This Row],[Pré RET %]]</f>
        <v>0.64</v>
      </c>
      <c r="BW81" s="196">
        <f>Tabela1[[#This Row],[Pós RET %]]</f>
        <v>1.36</v>
      </c>
      <c r="BX81" s="197">
        <f>Tabela1[[#This Row],[Pré WBC 10³/mm³]]</f>
        <v>7.04</v>
      </c>
      <c r="BY81" s="179">
        <f>Tabela1[[#This Row],[Pós WBC 10³/mm³]]</f>
        <v>5.72</v>
      </c>
      <c r="BZ81" s="125">
        <f>Tabela1[[#This Row],[Pré NEUT %]]</f>
        <v>51.988636363636367</v>
      </c>
      <c r="CA81" s="125">
        <f>Tabela1[[#This Row],[Pós NEUT %]]</f>
        <v>39.5</v>
      </c>
      <c r="CB81" s="125">
        <f>Tabela1[[#This Row],[Pré LINF %]]</f>
        <v>33.238636363636367</v>
      </c>
      <c r="CC81" s="125">
        <f>Tabela1[[#This Row],[Pós LINF %]]</f>
        <v>46.7</v>
      </c>
      <c r="CD81" s="125">
        <f>Tabela1[[#This Row],[Pré MONO %]]</f>
        <v>9.232954545454545</v>
      </c>
      <c r="CE81" s="125">
        <f>Tabela1[[#This Row],[Pós MONO %]]</f>
        <v>12.4</v>
      </c>
      <c r="CF81" s="125">
        <f>Tabela1[[#This Row],[Pré EOS %]]</f>
        <v>5.3977272727272725</v>
      </c>
      <c r="CG81" s="125">
        <f>Tabela1[[#This Row],[Pós EOS %]]</f>
        <v>0.7</v>
      </c>
      <c r="CH81" s="125">
        <f>Tabela1[[#This Row],[Pré BASO %]]</f>
        <v>0.14204545454545456</v>
      </c>
      <c r="CI81" s="198">
        <f>Tabela1[[#This Row],[Pós BASO %]]</f>
        <v>0.7</v>
      </c>
      <c r="CJ81" s="199" t="str">
        <f t="shared" si="5"/>
        <v>NÃO</v>
      </c>
      <c r="CK81" s="200" t="str">
        <f t="shared" si="6"/>
        <v>SIM</v>
      </c>
      <c r="CL81" s="194">
        <f t="shared" si="7"/>
        <v>74.045439999999999</v>
      </c>
      <c r="CM81" s="125">
        <f>Tabela1[[#This Row],[MCT KG]]</f>
        <v>89.6</v>
      </c>
      <c r="CN81" s="85">
        <f>Tabela1[[#This Row],[ESTATURA]]</f>
        <v>176</v>
      </c>
      <c r="CO81" s="85">
        <f>Tabela1[[#This Row],[vo2max estimado]]</f>
        <v>45.45</v>
      </c>
      <c r="CP81" s="85">
        <f>Tabela1[[#This Row],[Handgrip     Dominante]]</f>
        <v>46.5</v>
      </c>
      <c r="CQ81" s="85">
        <f>Tabela1[[#This Row],[Handgrip Contrário]]</f>
        <v>42</v>
      </c>
      <c r="CR81" s="281">
        <f>Tabela1[[#This Row],[% gordura]]</f>
        <v>17.36</v>
      </c>
    </row>
    <row r="82" spans="1:96" ht="15.75" customHeight="1">
      <c r="A82" s="279">
        <f>Tabela1[[#This Row],[Ano]]</f>
        <v>2017</v>
      </c>
      <c r="B82" s="181" t="str">
        <f>Tabela1[[#This Row],[Missão]]</f>
        <v>Avelar</v>
      </c>
      <c r="C82" s="181">
        <f>Tabela1[[#This Row],[Aluno]]</f>
        <v>3125</v>
      </c>
      <c r="D82" s="181">
        <f>Tabela1[[#This Row],[Idade]]</f>
        <v>29</v>
      </c>
      <c r="E82" s="182">
        <f>Tabela1[[#This Row],[Peso Kg]]</f>
        <v>70</v>
      </c>
      <c r="F82" s="191">
        <f>Tabela1[[#This Row],[Cor da pele]]</f>
        <v>1</v>
      </c>
      <c r="G82" s="192" t="str">
        <f>Tabela1[[#This Row],[ACTN3]]</f>
        <v>XX</v>
      </c>
      <c r="H82" s="85" t="str">
        <f>Tabela1[[#This Row],[AGT]]</f>
        <v>MT</v>
      </c>
      <c r="I82" s="85" t="str">
        <f>Tabela1[[#This Row],[ECA]]</f>
        <v>DD</v>
      </c>
      <c r="J82" s="85" t="str">
        <f>Tabela1[[#This Row],[BDKRB2]]</f>
        <v>(+9, -9)</v>
      </c>
      <c r="K82" s="85">
        <f>Tabela1[[#This Row],[Score Força%]]</f>
        <v>50</v>
      </c>
      <c r="L82" s="193">
        <f>Tabela1[[#This Row],[Score Resistência %]]</f>
        <v>50</v>
      </c>
      <c r="M82" s="192">
        <f>Tabela1[[#This Row],[Pré CK (U/L)]]</f>
        <v>199</v>
      </c>
      <c r="N82" s="85">
        <f>Tabela1[[#This Row],[Pós CK (U/L)]]</f>
        <v>2305</v>
      </c>
      <c r="O82" s="85">
        <f>Tabela1[[#This Row],[Pré CK MB U/L]]</f>
        <v>22</v>
      </c>
      <c r="P82" s="85">
        <f>Tabela1[[#This Row],[Pós CK MB U/L]]</f>
        <v>55</v>
      </c>
      <c r="Q82" s="85" t="str">
        <f>Tabela1[[#This Row],[Pré Lactato (mmol/L)]]</f>
        <v>-</v>
      </c>
      <c r="R82" s="85" t="str">
        <f>Tabela1[[#This Row],[Pós Lactato (mmol/L)]]</f>
        <v>-</v>
      </c>
      <c r="S82" s="85">
        <f>Tabela1[[#This Row],[Pré LDH (U/L)]]</f>
        <v>425</v>
      </c>
      <c r="T82" s="85">
        <f>Tabela1[[#This Row],[Pós LDH (U/L)]]</f>
        <v>919</v>
      </c>
      <c r="U82" s="85">
        <f>Tabela1[[#This Row],[Pré AST (U/L)]]</f>
        <v>35</v>
      </c>
      <c r="V82" s="193">
        <f>Tabela1[[#This Row],[Pós AST (U/L)]]</f>
        <v>104</v>
      </c>
      <c r="W82" s="194">
        <f>Tabela1[[#This Row],[Pré Albumina (g/dL)]]</f>
        <v>4.7</v>
      </c>
      <c r="X82" s="125">
        <f>Tabela1[[#This Row],[Pós Albumina (g/dL)]]</f>
        <v>5.5</v>
      </c>
      <c r="Y82" s="85">
        <f>Tabela1[[#This Row],[Pré TGP (g/dL)]]</f>
        <v>31</v>
      </c>
      <c r="Z82" s="85">
        <f>Tabela1[[#This Row],[Pós TGP (g/dL)]]</f>
        <v>48</v>
      </c>
      <c r="AA82" s="85">
        <f>Tabela1[[#This Row],[Pré GGT U/L]]</f>
        <v>14</v>
      </c>
      <c r="AB82" s="193">
        <f>Tabela1[[#This Row],[Pós GGT U/L]]</f>
        <v>14</v>
      </c>
      <c r="AC82" s="194" t="str">
        <f>Tabela1[[#This Row],[Pré Ac. Úrico (mg/dL)]]</f>
        <v>-</v>
      </c>
      <c r="AD82" s="125" t="str">
        <f>Tabela1[[#This Row],[Pós Ac. Úrico (mg/dL)2]]</f>
        <v>-</v>
      </c>
      <c r="AE8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8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82" s="85">
        <f>Tabela1[[#This Row],[Pré Ureia mg/dL]]</f>
        <v>34</v>
      </c>
      <c r="AH82" s="85">
        <f>Tabela1[[#This Row],[Pós Ureia mg/dL]]</f>
        <v>39</v>
      </c>
      <c r="AI82" s="125">
        <f>Tabela1[[#This Row],[Pré creatinina mg/dL]]</f>
        <v>0.9</v>
      </c>
      <c r="AJ82" s="125">
        <f>Tabela1[[#This Row],[Pós creatinina mg/dL]]</f>
        <v>1</v>
      </c>
      <c r="AK82" s="180">
        <f t="shared" si="4"/>
        <v>9.9999999999999978E-2</v>
      </c>
      <c r="AL82" s="125">
        <f>Tabela1[[#This Row],[Pré Fósforo mg/dL]]</f>
        <v>3.7</v>
      </c>
      <c r="AM82" s="125">
        <f>Tabela1[[#This Row],[Pós Fósforo mg/dL]]</f>
        <v>5.9</v>
      </c>
      <c r="AN82" s="125">
        <f>Tabela1[[#This Row],[Pré Proteína Total (g/dL)]]</f>
        <v>7.4</v>
      </c>
      <c r="AO82" s="125">
        <f>Tabela1[[#This Row],[Pós Proteína Total (g/dL)]]</f>
        <v>8.6</v>
      </c>
      <c r="AP82" s="85" t="str">
        <f>Tabela1[[#This Row],[Pré FE (ug/dL)]]</f>
        <v>-</v>
      </c>
      <c r="AQ82" s="193" t="str">
        <f>Tabela1[[#This Row],[Pós FE (ug/dL)]]</f>
        <v>-</v>
      </c>
      <c r="AR82" s="194">
        <f>Tabela1[[#This Row],[Pré calcio mg/dL]]</f>
        <v>9.6999999999999993</v>
      </c>
      <c r="AS82" s="125">
        <f>Tabela1[[#This Row],[Pós calcio mg/dL]]</f>
        <v>9.9</v>
      </c>
      <c r="AT82" s="125">
        <f>Tabela1[[#This Row],[Pré Potássio mmol/L]]</f>
        <v>5</v>
      </c>
      <c r="AU82" s="125">
        <f>Tabela1[[#This Row],[Pós Potássio mmol/L]]</f>
        <v>4.3</v>
      </c>
      <c r="AV82" s="85">
        <f>Tabela1[[#This Row],[Glicose pré]]</f>
        <v>105</v>
      </c>
      <c r="AW82" s="85">
        <f>Tabela1[[#This Row],[Glicose pós]]</f>
        <v>81</v>
      </c>
      <c r="AX82" s="85">
        <f>Tabela1[[#This Row],[Pré Sódio mmol/L]]</f>
        <v>142</v>
      </c>
      <c r="AY82" s="85">
        <f>Tabela1[[#This Row],[Pós Sódio mmol/L]]</f>
        <v>142</v>
      </c>
      <c r="AZ82" s="125" t="str">
        <f>Tabela1[[#This Row],[Pré Magnésio mg/dL]]</f>
        <v>-</v>
      </c>
      <c r="BA82" s="125" t="str">
        <f>Tabela1[[#This Row],[Pós Magnésio mg/dL]]</f>
        <v>-</v>
      </c>
      <c r="BB82" s="85" t="str">
        <f>Tabela1[[#This Row],[Pré Cloro mmol/L]]</f>
        <v>-</v>
      </c>
      <c r="BC82" s="85" t="str">
        <f>Tabela1[[#This Row],[Pós Cloro mmol/L]]</f>
        <v>-</v>
      </c>
      <c r="BD8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299.79500000000002</v>
      </c>
      <c r="BE8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297.79300000000006</v>
      </c>
      <c r="BF82" s="194">
        <f>Tabela1[[#This Row],[Pré RBC 10^6/mm³]]</f>
        <v>4.8600000000000003</v>
      </c>
      <c r="BG82" s="125">
        <f>Tabela1[[#This Row],[Pós RBC 10^6/mm³]]</f>
        <v>5.49</v>
      </c>
      <c r="BH82" s="125">
        <f>Tabela1[[#This Row],[Pré HGB g/dL]]</f>
        <v>14</v>
      </c>
      <c r="BI82" s="125">
        <f>Tabela1[[#This Row],[Pós HGB g/dL]]</f>
        <v>16.100000000000001</v>
      </c>
      <c r="BJ82" s="125">
        <f>Tabela1[[#This Row],[Pré HCT %]]</f>
        <v>46.9</v>
      </c>
      <c r="BK82" s="125">
        <f>Tabela1[[#This Row],[Pós HCT %]]</f>
        <v>46.8</v>
      </c>
      <c r="BL82" s="125">
        <f>Tabela1[[#This Row],[Pré MCV fL]]</f>
        <v>96.5</v>
      </c>
      <c r="BM82" s="125">
        <f>Tabela1[[#This Row],[Pós MCV fL]]</f>
        <v>85.2</v>
      </c>
      <c r="BN82" s="125">
        <f>Tabela1[[#This Row],[Pré MCH pg]]</f>
        <v>28.8</v>
      </c>
      <c r="BO82" s="125">
        <f>Tabela1[[#This Row],[Pós MCH pg]]</f>
        <v>29.3</v>
      </c>
      <c r="BP82" s="125">
        <f>Tabela1[[#This Row],[Pré MCHC g/dL]]</f>
        <v>29.9</v>
      </c>
      <c r="BQ82" s="125">
        <f>Tabela1[[#This Row],[Pós MCHC g/dL]]</f>
        <v>34.4</v>
      </c>
      <c r="BR82" s="85">
        <f>Tabela1[[#This Row],[Pré PLT 10³/mm³]]</f>
        <v>215</v>
      </c>
      <c r="BS82" s="85">
        <f>Tabela1[[#This Row],[Pós PLT 10³/mm³]]</f>
        <v>264</v>
      </c>
      <c r="BT82" s="125">
        <f>Tabela1[[#This Row],[Pré RDW %]]</f>
        <v>13.5</v>
      </c>
      <c r="BU82" s="125">
        <f>Tabela1[[#This Row],[Pós RDW %]]</f>
        <v>12.9</v>
      </c>
      <c r="BV82" s="179">
        <f>Tabela1[[#This Row],[Pré RET %]]</f>
        <v>1.0900000000000001</v>
      </c>
      <c r="BW82" s="196">
        <f>Tabela1[[#This Row],[Pós RET %]]</f>
        <v>2.21</v>
      </c>
      <c r="BX82" s="197">
        <f>Tabela1[[#This Row],[Pré WBC 10³/mm³]]</f>
        <v>5.12</v>
      </c>
      <c r="BY82" s="179">
        <f>Tabela1[[#This Row],[Pós WBC 10³/mm³]]</f>
        <v>5.2</v>
      </c>
      <c r="BZ82" s="125">
        <f>Tabela1[[#This Row],[Pré NEUT %]]</f>
        <v>61.1328125</v>
      </c>
      <c r="CA82" s="125">
        <f>Tabela1[[#This Row],[Pós NEUT %]]</f>
        <v>61.5</v>
      </c>
      <c r="CB82" s="125">
        <f>Tabela1[[#This Row],[Pré LINF %]]</f>
        <v>27.9296875</v>
      </c>
      <c r="CC82" s="125">
        <f>Tabela1[[#This Row],[Pós LINF %]]</f>
        <v>23.1</v>
      </c>
      <c r="CD82" s="125">
        <f>Tabela1[[#This Row],[Pré MONO %]]</f>
        <v>8.0078125</v>
      </c>
      <c r="CE82" s="125">
        <f>Tabela1[[#This Row],[Pós MONO %]]</f>
        <v>13.5</v>
      </c>
      <c r="CF82" s="125">
        <f>Tabela1[[#This Row],[Pré EOS %]]</f>
        <v>2.34375</v>
      </c>
      <c r="CG82" s="125">
        <f>Tabela1[[#This Row],[Pós EOS %]]</f>
        <v>0.2</v>
      </c>
      <c r="CH82" s="125">
        <f>Tabela1[[#This Row],[Pré BASO %]]</f>
        <v>0.5859375</v>
      </c>
      <c r="CI82" s="198">
        <f>Tabela1[[#This Row],[Pós BASO %]]</f>
        <v>1.7</v>
      </c>
      <c r="CJ82" s="199" t="str">
        <f t="shared" si="5"/>
        <v>NÃO</v>
      </c>
      <c r="CK82" s="200" t="str">
        <f t="shared" si="6"/>
        <v>SIM</v>
      </c>
      <c r="CL82" s="194">
        <f t="shared" si="7"/>
        <v>63.743760000000002</v>
      </c>
      <c r="CM82" s="125">
        <f>Tabela1[[#This Row],[MCT KG]]</f>
        <v>72.900000000000006</v>
      </c>
      <c r="CN82" s="85">
        <f>Tabela1[[#This Row],[ESTATURA]]</f>
        <v>168.6</v>
      </c>
      <c r="CO82" s="85">
        <f>Tabela1[[#This Row],[vo2max estimado]]</f>
        <v>48.54</v>
      </c>
      <c r="CP82" s="85">
        <f>Tabela1[[#This Row],[Handgrip     Dominante]]</f>
        <v>50</v>
      </c>
      <c r="CQ82" s="85">
        <f>Tabela1[[#This Row],[Handgrip Contrário]]</f>
        <v>47</v>
      </c>
      <c r="CR82" s="281">
        <f>Tabela1[[#This Row],[% gordura]]</f>
        <v>12.56</v>
      </c>
    </row>
    <row r="83" spans="1:96" ht="15.75" customHeight="1">
      <c r="A83" s="279">
        <f>Tabela1[[#This Row],[Ano]]</f>
        <v>2017</v>
      </c>
      <c r="B83" s="181" t="str">
        <f>Tabela1[[#This Row],[Missão]]</f>
        <v>Avelar</v>
      </c>
      <c r="C83" s="181">
        <f>Tabela1[[#This Row],[Aluno]]</f>
        <v>3143</v>
      </c>
      <c r="D83" s="181">
        <f>Tabela1[[#This Row],[Idade]]</f>
        <v>28</v>
      </c>
      <c r="E83" s="182">
        <f>Tabela1[[#This Row],[Peso Kg]]</f>
        <v>85</v>
      </c>
      <c r="F83" s="191">
        <f>Tabela1[[#This Row],[Cor da pele]]</f>
        <v>1</v>
      </c>
      <c r="G83" s="192" t="str">
        <f>Tabela1[[#This Row],[ACTN3]]</f>
        <v>RR</v>
      </c>
      <c r="H83" s="85" t="str">
        <f>Tabela1[[#This Row],[AGT]]</f>
        <v>TT</v>
      </c>
      <c r="I83" s="85" t="str">
        <f>Tabela1[[#This Row],[ECA]]</f>
        <v>DD</v>
      </c>
      <c r="J83" s="85" t="str">
        <f>Tabela1[[#This Row],[BDKRB2]]</f>
        <v>(+9, -9)</v>
      </c>
      <c r="K83" s="85">
        <f>Tabela1[[#This Row],[Score Força%]]</f>
        <v>87.5</v>
      </c>
      <c r="L83" s="193">
        <f>Tabela1[[#This Row],[Score Resistência %]]</f>
        <v>12.5</v>
      </c>
      <c r="M83" s="192">
        <f>Tabela1[[#This Row],[Pré CK (U/L)]]</f>
        <v>92</v>
      </c>
      <c r="N83" s="85">
        <f>Tabela1[[#This Row],[Pós CK (U/L)]]</f>
        <v>648</v>
      </c>
      <c r="O83" s="85">
        <f>Tabela1[[#This Row],[Pré CK MB U/L]]</f>
        <v>18</v>
      </c>
      <c r="P83" s="85">
        <f>Tabela1[[#This Row],[Pós CK MB U/L]]</f>
        <v>41</v>
      </c>
      <c r="Q83" s="85" t="str">
        <f>Tabela1[[#This Row],[Pré Lactato (mmol/L)]]</f>
        <v>-</v>
      </c>
      <c r="R83" s="85" t="str">
        <f>Tabela1[[#This Row],[Pós Lactato (mmol/L)]]</f>
        <v>-</v>
      </c>
      <c r="S83" s="85">
        <f>Tabela1[[#This Row],[Pré LDH (U/L)]]</f>
        <v>449</v>
      </c>
      <c r="T83" s="85">
        <f>Tabela1[[#This Row],[Pós LDH (U/L)]]</f>
        <v>860</v>
      </c>
      <c r="U83" s="85">
        <f>Tabela1[[#This Row],[Pré AST (U/L)]]</f>
        <v>24</v>
      </c>
      <c r="V83" s="193">
        <f>Tabela1[[#This Row],[Pós AST (U/L)]]</f>
        <v>51</v>
      </c>
      <c r="W83" s="194">
        <f>Tabela1[[#This Row],[Pré Albumina (g/dL)]]</f>
        <v>4.5999999999999996</v>
      </c>
      <c r="X83" s="125">
        <f>Tabela1[[#This Row],[Pós Albumina (g/dL)]]</f>
        <v>5.2</v>
      </c>
      <c r="Y83" s="85">
        <f>Tabela1[[#This Row],[Pré TGP (g/dL)]]</f>
        <v>45</v>
      </c>
      <c r="Z83" s="85">
        <f>Tabela1[[#This Row],[Pós TGP (g/dL)]]</f>
        <v>37</v>
      </c>
      <c r="AA83" s="85">
        <f>Tabela1[[#This Row],[Pré GGT U/L]]</f>
        <v>42</v>
      </c>
      <c r="AB83" s="193">
        <f>Tabela1[[#This Row],[Pós GGT U/L]]</f>
        <v>47</v>
      </c>
      <c r="AC83" s="194" t="str">
        <f>Tabela1[[#This Row],[Pré Ac. Úrico (mg/dL)]]</f>
        <v>-</v>
      </c>
      <c r="AD83" s="125" t="str">
        <f>Tabela1[[#This Row],[Pós Ac. Úrico (mg/dL)2]]</f>
        <v>-</v>
      </c>
      <c r="AE8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8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83" s="85">
        <f>Tabela1[[#This Row],[Pré Ureia mg/dL]]</f>
        <v>29</v>
      </c>
      <c r="AH83" s="85">
        <f>Tabela1[[#This Row],[Pós Ureia mg/dL]]</f>
        <v>32</v>
      </c>
      <c r="AI83" s="125">
        <f>Tabela1[[#This Row],[Pré creatinina mg/dL]]</f>
        <v>0.8</v>
      </c>
      <c r="AJ83" s="125">
        <f>Tabela1[[#This Row],[Pós creatinina mg/dL]]</f>
        <v>1</v>
      </c>
      <c r="AK83" s="180">
        <f t="shared" si="4"/>
        <v>0.19999999999999996</v>
      </c>
      <c r="AL83" s="125">
        <f>Tabela1[[#This Row],[Pré Fósforo mg/dL]]</f>
        <v>3.3</v>
      </c>
      <c r="AM83" s="125">
        <f>Tabela1[[#This Row],[Pós Fósforo mg/dL]]</f>
        <v>5.6</v>
      </c>
      <c r="AN83" s="125">
        <f>Tabela1[[#This Row],[Pré Proteína Total (g/dL)]]</f>
        <v>7.3</v>
      </c>
      <c r="AO83" s="125">
        <f>Tabela1[[#This Row],[Pós Proteína Total (g/dL)]]</f>
        <v>8.3000000000000007</v>
      </c>
      <c r="AP83" s="85" t="str">
        <f>Tabela1[[#This Row],[Pré FE (ug/dL)]]</f>
        <v>-</v>
      </c>
      <c r="AQ83" s="193" t="str">
        <f>Tabela1[[#This Row],[Pós FE (ug/dL)]]</f>
        <v>-</v>
      </c>
      <c r="AR83" s="194">
        <f>Tabela1[[#This Row],[Pré calcio mg/dL]]</f>
        <v>9.6999999999999993</v>
      </c>
      <c r="AS83" s="125">
        <f>Tabela1[[#This Row],[Pós calcio mg/dL]]</f>
        <v>9.6999999999999993</v>
      </c>
      <c r="AT83" s="125">
        <f>Tabela1[[#This Row],[Pré Potássio mmol/L]]</f>
        <v>4.7</v>
      </c>
      <c r="AU83" s="125">
        <f>Tabela1[[#This Row],[Pós Potássio mmol/L]]</f>
        <v>4.0999999999999996</v>
      </c>
      <c r="AV83" s="85">
        <f>Tabela1[[#This Row],[Glicose pré]]</f>
        <v>109</v>
      </c>
      <c r="AW83" s="85">
        <f>Tabela1[[#This Row],[Glicose pós]]</f>
        <v>106</v>
      </c>
      <c r="AX83" s="85">
        <f>Tabela1[[#This Row],[Pré Sódio mmol/L]]</f>
        <v>143</v>
      </c>
      <c r="AY83" s="85">
        <f>Tabela1[[#This Row],[Pós Sódio mmol/L]]</f>
        <v>141</v>
      </c>
      <c r="AZ83" s="125" t="str">
        <f>Tabela1[[#This Row],[Pré Magnésio mg/dL]]</f>
        <v>-</v>
      </c>
      <c r="BA83" s="125" t="str">
        <f>Tabela1[[#This Row],[Pós Magnésio mg/dL]]</f>
        <v>-</v>
      </c>
      <c r="BB83" s="85" t="str">
        <f>Tabela1[[#This Row],[Pré Cloro mmol/L]]</f>
        <v>-</v>
      </c>
      <c r="BC83" s="85" t="str">
        <f>Tabela1[[#This Row],[Pós Cloro mmol/L]]</f>
        <v>-</v>
      </c>
      <c r="BD8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300.5192222222222</v>
      </c>
      <c r="BE8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295.99155555555558</v>
      </c>
      <c r="BF83" s="194">
        <f>Tabela1[[#This Row],[Pré RBC 10^6/mm³]]</f>
        <v>4.49</v>
      </c>
      <c r="BG83" s="125">
        <f>Tabela1[[#This Row],[Pós RBC 10^6/mm³]]</f>
        <v>5.0199999999999996</v>
      </c>
      <c r="BH83" s="125">
        <f>Tabela1[[#This Row],[Pré HGB g/dL]]</f>
        <v>13.1</v>
      </c>
      <c r="BI83" s="125">
        <f>Tabela1[[#This Row],[Pós HGB g/dL]]</f>
        <v>14.6</v>
      </c>
      <c r="BJ83" s="125">
        <f>Tabela1[[#This Row],[Pré HCT %]]</f>
        <v>44</v>
      </c>
      <c r="BK83" s="125">
        <f>Tabela1[[#This Row],[Pós HCT %]]</f>
        <v>44.2</v>
      </c>
      <c r="BL83" s="125">
        <f>Tabela1[[#This Row],[Pré MCV fL]]</f>
        <v>98</v>
      </c>
      <c r="BM83" s="125">
        <f>Tabela1[[#This Row],[Pós MCV fL]]</f>
        <v>88</v>
      </c>
      <c r="BN83" s="125">
        <f>Tabela1[[#This Row],[Pré MCH pg]]</f>
        <v>29.2</v>
      </c>
      <c r="BO83" s="125">
        <f>Tabela1[[#This Row],[Pós MCH pg]]</f>
        <v>29.1</v>
      </c>
      <c r="BP83" s="125">
        <f>Tabela1[[#This Row],[Pré MCHC g/dL]]</f>
        <v>29.8</v>
      </c>
      <c r="BQ83" s="125">
        <f>Tabela1[[#This Row],[Pós MCHC g/dL]]</f>
        <v>33</v>
      </c>
      <c r="BR83" s="85">
        <f>Tabela1[[#This Row],[Pré PLT 10³/mm³]]</f>
        <v>225</v>
      </c>
      <c r="BS83" s="85">
        <f>Tabela1[[#This Row],[Pós PLT 10³/mm³]]</f>
        <v>265</v>
      </c>
      <c r="BT83" s="125">
        <f>Tabela1[[#This Row],[Pré RDW %]]</f>
        <v>13.7</v>
      </c>
      <c r="BU83" s="125">
        <f>Tabela1[[#This Row],[Pós RDW %]]</f>
        <v>13</v>
      </c>
      <c r="BV83" s="179">
        <f>Tabela1[[#This Row],[Pré RET %]]</f>
        <v>0.91</v>
      </c>
      <c r="BW83" s="196">
        <f>Tabela1[[#This Row],[Pós RET %]]</f>
        <v>1.6</v>
      </c>
      <c r="BX83" s="197">
        <f>Tabela1[[#This Row],[Pré WBC 10³/mm³]]</f>
        <v>7.41</v>
      </c>
      <c r="BY83" s="179">
        <f>Tabela1[[#This Row],[Pós WBC 10³/mm³]]</f>
        <v>9.11</v>
      </c>
      <c r="BZ83" s="125">
        <f>Tabela1[[#This Row],[Pré NEUT %]]</f>
        <v>57.48987854251012</v>
      </c>
      <c r="CA83" s="125">
        <f>Tabela1[[#This Row],[Pós NEUT %]]</f>
        <v>59.1</v>
      </c>
      <c r="CB83" s="125">
        <f>Tabela1[[#This Row],[Pré LINF %]]</f>
        <v>31.713900134952766</v>
      </c>
      <c r="CC83" s="125">
        <f>Tabela1[[#This Row],[Pós LINF %]]</f>
        <v>28.5</v>
      </c>
      <c r="CD83" s="125">
        <f>Tabela1[[#This Row],[Pré MONO %]]</f>
        <v>7.5573549257759796</v>
      </c>
      <c r="CE83" s="125">
        <f>Tabela1[[#This Row],[Pós MONO %]]</f>
        <v>11.2</v>
      </c>
      <c r="CF83" s="125">
        <f>Tabela1[[#This Row],[Pré EOS %]]</f>
        <v>3</v>
      </c>
      <c r="CG83" s="125">
        <f>Tabela1[[#This Row],[Pós EOS %]]</f>
        <v>0.1</v>
      </c>
      <c r="CH83" s="125">
        <f>Tabela1[[#This Row],[Pré BASO %]]</f>
        <v>0.3</v>
      </c>
      <c r="CI83" s="198">
        <f>Tabela1[[#This Row],[Pós BASO %]]</f>
        <v>1.1000000000000001</v>
      </c>
      <c r="CJ83" s="199" t="str">
        <f t="shared" si="5"/>
        <v>NÃO</v>
      </c>
      <c r="CK83" s="200" t="str">
        <f t="shared" si="6"/>
        <v>NÃO</v>
      </c>
      <c r="CL83" s="194">
        <f t="shared" si="7"/>
        <v>70.250040000000013</v>
      </c>
      <c r="CM83" s="125">
        <f>Tabela1[[#This Row],[MCT KG]]</f>
        <v>85.4</v>
      </c>
      <c r="CN83" s="85">
        <f>Tabela1[[#This Row],[ESTATURA]]</f>
        <v>179.3</v>
      </c>
      <c r="CO83" s="85">
        <f>Tabela1[[#This Row],[vo2max estimado]]</f>
        <v>49.65</v>
      </c>
      <c r="CP83" s="85">
        <f>Tabela1[[#This Row],[Handgrip     Dominante]]</f>
        <v>44</v>
      </c>
      <c r="CQ83" s="85">
        <f>Tabela1[[#This Row],[Handgrip Contrário]]</f>
        <v>35</v>
      </c>
      <c r="CR83" s="281">
        <f>Tabela1[[#This Row],[% gordura]]</f>
        <v>17.739999999999998</v>
      </c>
    </row>
    <row r="84" spans="1:96" ht="15.75" customHeight="1">
      <c r="A84" s="279">
        <f>Tabela1[[#This Row],[Ano]]</f>
        <v>2018</v>
      </c>
      <c r="B84" s="181" t="str">
        <f>Tabela1[[#This Row],[Missão]]</f>
        <v>CIASC</v>
      </c>
      <c r="C84" s="181">
        <f>Tabela1[[#This Row],[Aluno]]</f>
        <v>3150</v>
      </c>
      <c r="D84" s="181">
        <f>Tabela1[[#This Row],[Idade]]</f>
        <v>33</v>
      </c>
      <c r="E84" s="182">
        <f>Tabela1[[#This Row],[Peso Kg]]</f>
        <v>88</v>
      </c>
      <c r="F84" s="191">
        <f>Tabela1[[#This Row],[Cor da pele]]</f>
        <v>1</v>
      </c>
      <c r="G84" s="192" t="str">
        <f>Tabela1[[#This Row],[ACTN3]]</f>
        <v>XX</v>
      </c>
      <c r="H84" s="85" t="str">
        <f>Tabela1[[#This Row],[AGT]]</f>
        <v>MT</v>
      </c>
      <c r="I84" s="85" t="str">
        <f>Tabela1[[#This Row],[ECA]]</f>
        <v>ID</v>
      </c>
      <c r="J84" s="85" t="str">
        <f>Tabela1[[#This Row],[BDKRB2]]</f>
        <v>(-9,-9)</v>
      </c>
      <c r="K84" s="85">
        <f>Tabela1[[#This Row],[Score Força%]]</f>
        <v>25</v>
      </c>
      <c r="L84" s="193">
        <f>Tabela1[[#This Row],[Score Resistência %]]</f>
        <v>75</v>
      </c>
      <c r="M84" s="192">
        <f>Tabela1[[#This Row],[Pré CK (U/L)]]</f>
        <v>337</v>
      </c>
      <c r="N84" s="85">
        <f>Tabela1[[#This Row],[Pós CK (U/L)]]</f>
        <v>664</v>
      </c>
      <c r="O84" s="85">
        <f>Tabela1[[#This Row],[Pré CK MB U/L]]</f>
        <v>3</v>
      </c>
      <c r="P84" s="85">
        <f>Tabela1[[#This Row],[Pós CK MB U/L]]</f>
        <v>16</v>
      </c>
      <c r="Q84" s="85" t="str">
        <f>Tabela1[[#This Row],[Pré Lactato (mmol/L)]]</f>
        <v>-</v>
      </c>
      <c r="R84" s="85" t="str">
        <f>Tabela1[[#This Row],[Pós Lactato (mmol/L)]]</f>
        <v>-</v>
      </c>
      <c r="S84" s="85">
        <f>Tabela1[[#This Row],[Pré LDH (U/L)]]</f>
        <v>629</v>
      </c>
      <c r="T84" s="85">
        <f>Tabela1[[#This Row],[Pós LDH (U/L)]]</f>
        <v>796</v>
      </c>
      <c r="U84" s="85">
        <f>Tabela1[[#This Row],[Pré AST (U/L)]]</f>
        <v>33</v>
      </c>
      <c r="V84" s="193">
        <f>Tabela1[[#This Row],[Pós AST (U/L)]]</f>
        <v>48</v>
      </c>
      <c r="W84" s="194">
        <f>Tabela1[[#This Row],[Pré Albumina (g/dL)]]</f>
        <v>4.5999999999999996</v>
      </c>
      <c r="X84" s="125">
        <f>Tabela1[[#This Row],[Pós Albumina (g/dL)]]</f>
        <v>4</v>
      </c>
      <c r="Y84" s="85">
        <f>Tabela1[[#This Row],[Pré TGP (g/dL)]]</f>
        <v>37</v>
      </c>
      <c r="Z84" s="85">
        <f>Tabela1[[#This Row],[Pós TGP (g/dL)]]</f>
        <v>63</v>
      </c>
      <c r="AA84" s="85">
        <f>Tabela1[[#This Row],[Pré GGT U/L]]</f>
        <v>16</v>
      </c>
      <c r="AB84" s="193">
        <f>Tabela1[[#This Row],[Pós GGT U/L]]</f>
        <v>17</v>
      </c>
      <c r="AC84" s="194">
        <f>Tabela1[[#This Row],[Pré Ac. Úrico (mg/dL)]]</f>
        <v>5.0999999999999996</v>
      </c>
      <c r="AD84" s="125">
        <f>Tabela1[[#This Row],[Pós Ac. Úrico (mg/dL)2]]</f>
        <v>5.9</v>
      </c>
      <c r="AE8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8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84" s="85">
        <f>Tabela1[[#This Row],[Pré Ureia mg/dL]]</f>
        <v>39</v>
      </c>
      <c r="AH84" s="85">
        <f>Tabela1[[#This Row],[Pós Ureia mg/dL]]</f>
        <v>43</v>
      </c>
      <c r="AI84" s="125">
        <f>Tabela1[[#This Row],[Pré creatinina mg/dL]]</f>
        <v>1.1000000000000001</v>
      </c>
      <c r="AJ84" s="125">
        <f>Tabela1[[#This Row],[Pós creatinina mg/dL]]</f>
        <v>1.2</v>
      </c>
      <c r="AK84" s="180">
        <f t="shared" si="4"/>
        <v>9.9999999999999867E-2</v>
      </c>
      <c r="AL84" s="125">
        <f>Tabela1[[#This Row],[Pré Fósforo mg/dL]]</f>
        <v>3.6</v>
      </c>
      <c r="AM84" s="125">
        <f>Tabela1[[#This Row],[Pós Fósforo mg/dL]]</f>
        <v>3.6</v>
      </c>
      <c r="AN84" s="125">
        <f>Tabela1[[#This Row],[Pré Proteína Total (g/dL)]]</f>
        <v>7.8</v>
      </c>
      <c r="AO84" s="125">
        <f>Tabela1[[#This Row],[Pós Proteína Total (g/dL)]]</f>
        <v>6.7</v>
      </c>
      <c r="AP84" s="85" t="str">
        <f>Tabela1[[#This Row],[Pré FE (ug/dL)]]</f>
        <v>-</v>
      </c>
      <c r="AQ84" s="193" t="str">
        <f>Tabela1[[#This Row],[Pós FE (ug/dL)]]</f>
        <v>-</v>
      </c>
      <c r="AR84" s="194">
        <f>Tabela1[[#This Row],[Pré calcio mg/dL]]</f>
        <v>9.9</v>
      </c>
      <c r="AS84" s="125">
        <f>Tabela1[[#This Row],[Pós calcio mg/dL]]</f>
        <v>9.1</v>
      </c>
      <c r="AT84" s="125">
        <f>Tabela1[[#This Row],[Pré Potássio mmol/L]]</f>
        <v>5.2</v>
      </c>
      <c r="AU84" s="125">
        <f>Tabela1[[#This Row],[Pós Potássio mmol/L]]</f>
        <v>4.5999999999999996</v>
      </c>
      <c r="AV84" s="85">
        <f>Tabela1[[#This Row],[Glicose pré]]</f>
        <v>103</v>
      </c>
      <c r="AW84" s="85">
        <f>Tabela1[[#This Row],[Glicose pós]]</f>
        <v>110</v>
      </c>
      <c r="AX84" s="85">
        <f>Tabela1[[#This Row],[Pré Sódio mmol/L]]</f>
        <v>145</v>
      </c>
      <c r="AY84" s="85">
        <f>Tabela1[[#This Row],[Pós Sódio mmol/L]]</f>
        <v>146</v>
      </c>
      <c r="AZ84" s="125">
        <f>Tabela1[[#This Row],[Pré Magnésio mg/dL]]</f>
        <v>2</v>
      </c>
      <c r="BA84" s="125">
        <f>Tabela1[[#This Row],[Pós Magnésio mg/dL]]</f>
        <v>2</v>
      </c>
      <c r="BB84" s="85">
        <f>Tabela1[[#This Row],[Pré Cloro mmol/L]]</f>
        <v>102</v>
      </c>
      <c r="BC84" s="85">
        <f>Tabela1[[#This Row],[Pós Cloro mmol/L]]</f>
        <v>106</v>
      </c>
      <c r="BD8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306.45255555555559</v>
      </c>
      <c r="BE8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308.31044444444444</v>
      </c>
      <c r="BF84" s="194">
        <f>Tabela1[[#This Row],[Pré RBC 10^6/mm³]]</f>
        <v>4.38</v>
      </c>
      <c r="BG84" s="125">
        <f>Tabela1[[#This Row],[Pós RBC 10^6/mm³]]</f>
        <v>4.37</v>
      </c>
      <c r="BH84" s="125">
        <f>Tabela1[[#This Row],[Pré HGB g/dL]]</f>
        <v>13.5</v>
      </c>
      <c r="BI84" s="125">
        <f>Tabela1[[#This Row],[Pós HGB g/dL]]</f>
        <v>13.3</v>
      </c>
      <c r="BJ84" s="125">
        <f>Tabela1[[#This Row],[Pré HCT %]]</f>
        <v>40.9</v>
      </c>
      <c r="BK84" s="125">
        <f>Tabela1[[#This Row],[Pós HCT %]]</f>
        <v>39.4</v>
      </c>
      <c r="BL84" s="125">
        <f>Tabela1[[#This Row],[Pré MCV fL]]</f>
        <v>93.4</v>
      </c>
      <c r="BM84" s="125">
        <f>Tabela1[[#This Row],[Pós MCV fL]]</f>
        <v>90.2</v>
      </c>
      <c r="BN84" s="125">
        <f>Tabela1[[#This Row],[Pré MCH pg]]</f>
        <v>30.8</v>
      </c>
      <c r="BO84" s="125">
        <f>Tabela1[[#This Row],[Pós MCH pg]]</f>
        <v>30.4</v>
      </c>
      <c r="BP84" s="125">
        <f>Tabela1[[#This Row],[Pré MCHC g/dL]]</f>
        <v>33</v>
      </c>
      <c r="BQ84" s="125">
        <f>Tabela1[[#This Row],[Pós MCHC g/dL]]</f>
        <v>33.799999999999997</v>
      </c>
      <c r="BR84" s="85">
        <f>Tabela1[[#This Row],[Pré PLT 10³/mm³]]</f>
        <v>299</v>
      </c>
      <c r="BS84" s="85">
        <f>Tabela1[[#This Row],[Pós PLT 10³/mm³]]</f>
        <v>289</v>
      </c>
      <c r="BT84" s="125">
        <f>Tabela1[[#This Row],[Pré RDW %]]</f>
        <v>12.8</v>
      </c>
      <c r="BU84" s="125">
        <f>Tabela1[[#This Row],[Pós RDW %]]</f>
        <v>12.2</v>
      </c>
      <c r="BV84" s="179">
        <f>Tabela1[[#This Row],[Pré RET %]]</f>
        <v>1.83</v>
      </c>
      <c r="BW84" s="196">
        <f>Tabela1[[#This Row],[Pós RET %]]</f>
        <v>1.52</v>
      </c>
      <c r="BX84" s="197">
        <f>Tabela1[[#This Row],[Pré WBC 10³/mm³]]</f>
        <v>7.38</v>
      </c>
      <c r="BY84" s="179">
        <f>Tabela1[[#This Row],[Pós WBC 10³/mm³]]</f>
        <v>8.17</v>
      </c>
      <c r="BZ84" s="125">
        <f>Tabela1[[#This Row],[Pré NEUT %]]</f>
        <v>49.1</v>
      </c>
      <c r="CA84" s="125">
        <f>Tabela1[[#This Row],[Pós NEUT %]]</f>
        <v>72.599999999999994</v>
      </c>
      <c r="CB84" s="125">
        <f>Tabela1[[#This Row],[Pré LINF %]]</f>
        <v>39</v>
      </c>
      <c r="CC84" s="125">
        <f>Tabela1[[#This Row],[Pós LINF %]]</f>
        <v>21.1</v>
      </c>
      <c r="CD84" s="125">
        <f>Tabela1[[#This Row],[Pré MONO %]]</f>
        <v>8.3000000000000007</v>
      </c>
      <c r="CE84" s="125">
        <f>Tabela1[[#This Row],[Pós MONO %]]</f>
        <v>5.3</v>
      </c>
      <c r="CF84" s="125">
        <f>Tabela1[[#This Row],[Pré EOS %]]</f>
        <v>3.3</v>
      </c>
      <c r="CG84" s="125">
        <f>Tabela1[[#This Row],[Pós EOS %]]</f>
        <v>0.9</v>
      </c>
      <c r="CH84" s="125">
        <f>Tabela1[[#This Row],[Pré BASO %]]</f>
        <v>0.3</v>
      </c>
      <c r="CI84" s="198">
        <f>Tabela1[[#This Row],[Pós BASO %]]</f>
        <v>0.1</v>
      </c>
      <c r="CJ84" s="199" t="str">
        <f t="shared" si="5"/>
        <v>NÃO</v>
      </c>
      <c r="CK84" s="200" t="str">
        <f t="shared" si="6"/>
        <v>NÃO</v>
      </c>
      <c r="CL84" s="194">
        <f t="shared" si="7"/>
        <v>75.827849999999998</v>
      </c>
      <c r="CM84" s="125">
        <f>Tabela1[[#This Row],[MCT KG]]</f>
        <v>84.3</v>
      </c>
      <c r="CN84" s="85">
        <f>Tabela1[[#This Row],[ESTATURA]]</f>
        <v>181.5</v>
      </c>
      <c r="CO84" s="85">
        <f>Tabela1[[#This Row],[vo2max estimado]]</f>
        <v>52.78</v>
      </c>
      <c r="CP84" s="85">
        <f>Tabela1[[#This Row],[Handgrip     Dominante]]</f>
        <v>35</v>
      </c>
      <c r="CQ84" s="85">
        <f>Tabela1[[#This Row],[Handgrip Contrário]]</f>
        <v>37</v>
      </c>
      <c r="CR84" s="281">
        <f>Tabela1[[#This Row],[% gordura]]</f>
        <v>10.050000000000001</v>
      </c>
    </row>
    <row r="85" spans="1:96" ht="15.75" customHeight="1">
      <c r="A85" s="279">
        <f>Tabela1[[#This Row],[Ano]]</f>
        <v>2018</v>
      </c>
      <c r="B85" s="181" t="str">
        <f>Tabela1[[#This Row],[Missão]]</f>
        <v>CIASC</v>
      </c>
      <c r="C85" s="181">
        <f>Tabela1[[#This Row],[Aluno]]</f>
        <v>3155</v>
      </c>
      <c r="D85" s="181">
        <f>Tabela1[[#This Row],[Idade]]</f>
        <v>26</v>
      </c>
      <c r="E85" s="182">
        <f>Tabela1[[#This Row],[Peso Kg]]</f>
        <v>74</v>
      </c>
      <c r="F85" s="191">
        <f>Tabela1[[#This Row],[Cor da pele]]</f>
        <v>1</v>
      </c>
      <c r="G85" s="192" t="str">
        <f>Tabela1[[#This Row],[ACTN3]]</f>
        <v>RR</v>
      </c>
      <c r="H85" s="85" t="str">
        <f>Tabela1[[#This Row],[AGT]]</f>
        <v>MT</v>
      </c>
      <c r="I85" s="85" t="str">
        <f>Tabela1[[#This Row],[ECA]]</f>
        <v>II</v>
      </c>
      <c r="J85" s="85" t="str">
        <f>Tabela1[[#This Row],[BDKRB2]]</f>
        <v>(+9,-9)</v>
      </c>
      <c r="K85" s="85">
        <f>Tabela1[[#This Row],[Score Força%]]</f>
        <v>50</v>
      </c>
      <c r="L85" s="193">
        <f>Tabela1[[#This Row],[Score Resistência %]]</f>
        <v>50</v>
      </c>
      <c r="M85" s="192">
        <f>Tabela1[[#This Row],[Pré CK (U/L)]]</f>
        <v>687</v>
      </c>
      <c r="N85" s="85">
        <f>Tabela1[[#This Row],[Pós CK (U/L)]]</f>
        <v>2246</v>
      </c>
      <c r="O85" s="85">
        <f>Tabela1[[#This Row],[Pré CK MB U/L]]</f>
        <v>6</v>
      </c>
      <c r="P85" s="85">
        <f>Tabela1[[#This Row],[Pós CK MB U/L]]</f>
        <v>38</v>
      </c>
      <c r="Q85" s="85" t="str">
        <f>Tabela1[[#This Row],[Pré Lactato (mmol/L)]]</f>
        <v>-</v>
      </c>
      <c r="R85" s="85" t="str">
        <f>Tabela1[[#This Row],[Pós Lactato (mmol/L)]]</f>
        <v>-</v>
      </c>
      <c r="S85" s="85">
        <f>Tabela1[[#This Row],[Pré LDH (U/L)]]</f>
        <v>720</v>
      </c>
      <c r="T85" s="85">
        <f>Tabela1[[#This Row],[Pós LDH (U/L)]]</f>
        <v>1182</v>
      </c>
      <c r="U85" s="85">
        <f>Tabela1[[#This Row],[Pré AST (U/L)]]</f>
        <v>49</v>
      </c>
      <c r="V85" s="193">
        <f>Tabela1[[#This Row],[Pós AST (U/L)]]</f>
        <v>105</v>
      </c>
      <c r="W85" s="194">
        <f>Tabela1[[#This Row],[Pré Albumina (g/dL)]]</f>
        <v>4.9000000000000004</v>
      </c>
      <c r="X85" s="125">
        <f>Tabela1[[#This Row],[Pós Albumina (g/dL)]]</f>
        <v>4.5999999999999996</v>
      </c>
      <c r="Y85" s="85">
        <f>Tabela1[[#This Row],[Pré TGP (g/dL)]]</f>
        <v>57</v>
      </c>
      <c r="Z85" s="85">
        <f>Tabela1[[#This Row],[Pós TGP (g/dL)]]</f>
        <v>93</v>
      </c>
      <c r="AA85" s="85">
        <f>Tabela1[[#This Row],[Pré GGT U/L]]</f>
        <v>38</v>
      </c>
      <c r="AB85" s="193">
        <f>Tabela1[[#This Row],[Pós GGT U/L]]</f>
        <v>37</v>
      </c>
      <c r="AC85" s="194">
        <f>Tabela1[[#This Row],[Pré Ac. Úrico (mg/dL)]]</f>
        <v>3.6</v>
      </c>
      <c r="AD85" s="125">
        <f>Tabela1[[#This Row],[Pós Ac. Úrico (mg/dL)2]]</f>
        <v>5.0999999999999996</v>
      </c>
      <c r="AE8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8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85" s="85">
        <f>Tabela1[[#This Row],[Pré Ureia mg/dL]]</f>
        <v>57</v>
      </c>
      <c r="AH85" s="85">
        <f>Tabela1[[#This Row],[Pós Ureia mg/dL]]</f>
        <v>49</v>
      </c>
      <c r="AI85" s="125">
        <f>Tabela1[[#This Row],[Pré creatinina mg/dL]]</f>
        <v>0.9</v>
      </c>
      <c r="AJ85" s="125">
        <f>Tabela1[[#This Row],[Pós creatinina mg/dL]]</f>
        <v>0.8</v>
      </c>
      <c r="AK85" s="180">
        <f t="shared" si="4"/>
        <v>0</v>
      </c>
      <c r="AL85" s="125">
        <f>Tabela1[[#This Row],[Pré Fósforo mg/dL]]</f>
        <v>4</v>
      </c>
      <c r="AM85" s="125">
        <f>Tabela1[[#This Row],[Pós Fósforo mg/dL]]</f>
        <v>3.1</v>
      </c>
      <c r="AN85" s="125">
        <f>Tabela1[[#This Row],[Pré Proteína Total (g/dL)]]</f>
        <v>7.9</v>
      </c>
      <c r="AO85" s="125">
        <f>Tabela1[[#This Row],[Pós Proteína Total (g/dL)]]</f>
        <v>7.4</v>
      </c>
      <c r="AP85" s="85" t="str">
        <f>Tabela1[[#This Row],[Pré FE (ug/dL)]]</f>
        <v>-</v>
      </c>
      <c r="AQ85" s="193" t="str">
        <f>Tabela1[[#This Row],[Pós FE (ug/dL)]]</f>
        <v>-</v>
      </c>
      <c r="AR85" s="194">
        <f>Tabela1[[#This Row],[Pré calcio mg/dL]]</f>
        <v>10.1</v>
      </c>
      <c r="AS85" s="125">
        <f>Tabela1[[#This Row],[Pós calcio mg/dL]]</f>
        <v>9.4</v>
      </c>
      <c r="AT85" s="125">
        <f>Tabela1[[#This Row],[Pré Potássio mmol/L]]</f>
        <v>4.5999999999999996</v>
      </c>
      <c r="AU85" s="125">
        <f>Tabela1[[#This Row],[Pós Potássio mmol/L]]</f>
        <v>4.3</v>
      </c>
      <c r="AV85" s="85">
        <f>Tabela1[[#This Row],[Glicose pré]]</f>
        <v>95</v>
      </c>
      <c r="AW85" s="85">
        <f>Tabela1[[#This Row],[Glicose pós]]</f>
        <v>114</v>
      </c>
      <c r="AX85" s="85">
        <f>Tabela1[[#This Row],[Pré Sódio mmol/L]]</f>
        <v>142</v>
      </c>
      <c r="AY85" s="85">
        <f>Tabela1[[#This Row],[Pós Sódio mmol/L]]</f>
        <v>141</v>
      </c>
      <c r="AZ85" s="125">
        <f>Tabela1[[#This Row],[Pré Magnésio mg/dL]]</f>
        <v>2.2000000000000002</v>
      </c>
      <c r="BA85" s="125">
        <f>Tabela1[[#This Row],[Pós Magnésio mg/dL]]</f>
        <v>1.9</v>
      </c>
      <c r="BB85" s="85">
        <f>Tabela1[[#This Row],[Pré Cloro mmol/L]]</f>
        <v>102</v>
      </c>
      <c r="BC85" s="85">
        <f>Tabela1[[#This Row],[Pós Cloro mmol/L]]</f>
        <v>103</v>
      </c>
      <c r="BD8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302.24544444444444</v>
      </c>
      <c r="BE8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299.70800000000008</v>
      </c>
      <c r="BF85" s="194" t="str">
        <f>Tabela1[[#This Row],[Pré RBC 10^6/mm³]]</f>
        <v>-</v>
      </c>
      <c r="BG85" s="125">
        <f>Tabela1[[#This Row],[Pós RBC 10^6/mm³]]</f>
        <v>4.6399999999999997</v>
      </c>
      <c r="BH85" s="125" t="str">
        <f>Tabela1[[#This Row],[Pré HGB g/dL]]</f>
        <v>-</v>
      </c>
      <c r="BI85" s="125">
        <f>Tabela1[[#This Row],[Pós HGB g/dL]]</f>
        <v>13.9</v>
      </c>
      <c r="BJ85" s="125" t="str">
        <f>Tabela1[[#This Row],[Pré HCT %]]</f>
        <v>-</v>
      </c>
      <c r="BK85" s="125">
        <f>Tabela1[[#This Row],[Pós HCT %]]</f>
        <v>40.6</v>
      </c>
      <c r="BL85" s="125" t="str">
        <f>Tabela1[[#This Row],[Pré MCV fL]]</f>
        <v>-</v>
      </c>
      <c r="BM85" s="125">
        <f>Tabela1[[#This Row],[Pós MCV fL]]</f>
        <v>87.5</v>
      </c>
      <c r="BN85" s="125" t="str">
        <f>Tabela1[[#This Row],[Pré MCH pg]]</f>
        <v>-</v>
      </c>
      <c r="BO85" s="125">
        <f>Tabela1[[#This Row],[Pós MCH pg]]</f>
        <v>30</v>
      </c>
      <c r="BP85" s="125" t="str">
        <f>Tabela1[[#This Row],[Pré MCHC g/dL]]</f>
        <v>-</v>
      </c>
      <c r="BQ85" s="125">
        <f>Tabela1[[#This Row],[Pós MCHC g/dL]]</f>
        <v>34.200000000000003</v>
      </c>
      <c r="BR85" s="85">
        <f>Tabela1[[#This Row],[Pré PLT 10³/mm³]]</f>
        <v>268</v>
      </c>
      <c r="BS85" s="85">
        <f>Tabela1[[#This Row],[Pós PLT 10³/mm³]]</f>
        <v>304</v>
      </c>
      <c r="BT85" s="125" t="str">
        <f>Tabela1[[#This Row],[Pré RDW %]]</f>
        <v>-</v>
      </c>
      <c r="BU85" s="125">
        <f>Tabela1[[#This Row],[Pós RDW %]]</f>
        <v>13.4</v>
      </c>
      <c r="BV85" s="179" t="str">
        <f>Tabela1[[#This Row],[Pré RET %]]</f>
        <v>-</v>
      </c>
      <c r="BW85" s="196">
        <f>Tabela1[[#This Row],[Pós RET %]]</f>
        <v>1.47</v>
      </c>
      <c r="BX85" s="197" t="str">
        <f>Tabela1[[#This Row],[Pré WBC 10³/mm³]]</f>
        <v>-</v>
      </c>
      <c r="BY85" s="179">
        <f>Tabela1[[#This Row],[Pós WBC 10³/mm³]]</f>
        <v>9.3800000000000008</v>
      </c>
      <c r="BZ85" s="125" t="str">
        <f>Tabela1[[#This Row],[Pré NEUT %]]</f>
        <v>-</v>
      </c>
      <c r="CA85" s="125">
        <f>Tabela1[[#This Row],[Pós NEUT %]]</f>
        <v>72</v>
      </c>
      <c r="CB85" s="125" t="str">
        <f>Tabela1[[#This Row],[Pré LINF %]]</f>
        <v>-</v>
      </c>
      <c r="CC85" s="125">
        <f>Tabela1[[#This Row],[Pós LINF %]]</f>
        <v>12.5</v>
      </c>
      <c r="CD85" s="125" t="str">
        <f>Tabela1[[#This Row],[Pré MONO %]]</f>
        <v>-</v>
      </c>
      <c r="CE85" s="125">
        <f>Tabela1[[#This Row],[Pós MONO %]]</f>
        <v>15</v>
      </c>
      <c r="CF85" s="125" t="str">
        <f>Tabela1[[#This Row],[Pré EOS %]]</f>
        <v>-</v>
      </c>
      <c r="CG85" s="125">
        <f>Tabela1[[#This Row],[Pós EOS %]]</f>
        <v>0.3</v>
      </c>
      <c r="CH85" s="125" t="str">
        <f>Tabela1[[#This Row],[Pré BASO %]]</f>
        <v>-</v>
      </c>
      <c r="CI85" s="198">
        <f>Tabela1[[#This Row],[Pós BASO %]]</f>
        <v>0.2</v>
      </c>
      <c r="CJ85" s="199" t="str">
        <f t="shared" si="5"/>
        <v>NÃO</v>
      </c>
      <c r="CK85" s="200" t="str">
        <f t="shared" si="6"/>
        <v>SIM</v>
      </c>
      <c r="CL85" s="194">
        <f t="shared" si="7"/>
        <v>71.28528</v>
      </c>
      <c r="CM85" s="125">
        <f>Tabela1[[#This Row],[MCT KG]]</f>
        <v>75.900000000000006</v>
      </c>
      <c r="CN85" s="85">
        <f>Tabela1[[#This Row],[ESTATURA]]</f>
        <v>171</v>
      </c>
      <c r="CO85" s="85">
        <f>Tabela1[[#This Row],[vo2max estimado]]</f>
        <v>54.68</v>
      </c>
      <c r="CP85" s="85">
        <f>Tabela1[[#This Row],[Handgrip     Dominante]]</f>
        <v>42</v>
      </c>
      <c r="CQ85" s="85">
        <f>Tabela1[[#This Row],[Handgrip Contrário]]</f>
        <v>43</v>
      </c>
      <c r="CR85" s="281">
        <f>Tabela1[[#This Row],[% gordura]]</f>
        <v>6.08</v>
      </c>
    </row>
    <row r="86" spans="1:96" ht="15.75" customHeight="1">
      <c r="A86" s="279">
        <f>Tabela1[[#This Row],[Ano]]</f>
        <v>2018</v>
      </c>
      <c r="B86" s="181" t="str">
        <f>Tabela1[[#This Row],[Missão]]</f>
        <v>CIASC</v>
      </c>
      <c r="C86" s="181">
        <f>Tabela1[[#This Row],[Aluno]]</f>
        <v>3156</v>
      </c>
      <c r="D86" s="181">
        <f>Tabela1[[#This Row],[Idade]]</f>
        <v>26</v>
      </c>
      <c r="E86" s="182">
        <f>Tabela1[[#This Row],[Peso Kg]]</f>
        <v>76</v>
      </c>
      <c r="F86" s="191">
        <f>Tabela1[[#This Row],[Cor da pele]]</f>
        <v>1</v>
      </c>
      <c r="G86" s="192" t="str">
        <f>Tabela1[[#This Row],[ACTN3]]</f>
        <v>RX</v>
      </c>
      <c r="H86" s="85" t="str">
        <f>Tabela1[[#This Row],[AGT]]</f>
        <v>MM</v>
      </c>
      <c r="I86" s="85" t="str">
        <f>Tabela1[[#This Row],[ECA]]</f>
        <v>ID</v>
      </c>
      <c r="J86" s="85" t="str">
        <f>Tabela1[[#This Row],[BDKRB2]]</f>
        <v>(+9,+9)</v>
      </c>
      <c r="K86" s="85">
        <f>Tabela1[[#This Row],[Score Força%]]</f>
        <v>50</v>
      </c>
      <c r="L86" s="193">
        <f>Tabela1[[#This Row],[Score Resistência %]]</f>
        <v>50</v>
      </c>
      <c r="M86" s="192">
        <f>Tabela1[[#This Row],[Pré CK (U/L)]]</f>
        <v>841</v>
      </c>
      <c r="N86" s="85">
        <f>Tabela1[[#This Row],[Pós CK (U/L)]]</f>
        <v>4616</v>
      </c>
      <c r="O86" s="85">
        <f>Tabela1[[#This Row],[Pré CK MB U/L]]</f>
        <v>43</v>
      </c>
      <c r="P86" s="85">
        <f>Tabela1[[#This Row],[Pós CK MB U/L]]</f>
        <v>71</v>
      </c>
      <c r="Q86" s="85" t="str">
        <f>Tabela1[[#This Row],[Pré Lactato (mmol/L)]]</f>
        <v>-</v>
      </c>
      <c r="R86" s="85" t="str">
        <f>Tabela1[[#This Row],[Pós Lactato (mmol/L)]]</f>
        <v>-</v>
      </c>
      <c r="S86" s="85">
        <f>Tabela1[[#This Row],[Pré LDH (U/L)]]</f>
        <v>895</v>
      </c>
      <c r="T86" s="85">
        <f>Tabela1[[#This Row],[Pós LDH (U/L)]]</f>
        <v>1531</v>
      </c>
      <c r="U86" s="85">
        <f>Tabela1[[#This Row],[Pré AST (U/L)]]</f>
        <v>57</v>
      </c>
      <c r="V86" s="193">
        <f>Tabela1[[#This Row],[Pós AST (U/L)]]</f>
        <v>145</v>
      </c>
      <c r="W86" s="194">
        <f>Tabela1[[#This Row],[Pré Albumina (g/dL)]]</f>
        <v>4.9000000000000004</v>
      </c>
      <c r="X86" s="125">
        <f>Tabela1[[#This Row],[Pós Albumina (g/dL)]]</f>
        <v>4.8</v>
      </c>
      <c r="Y86" s="85">
        <f>Tabela1[[#This Row],[Pré TGP (g/dL)]]</f>
        <v>58</v>
      </c>
      <c r="Z86" s="85">
        <f>Tabela1[[#This Row],[Pós TGP (g/dL)]]</f>
        <v>113</v>
      </c>
      <c r="AA86" s="85">
        <f>Tabela1[[#This Row],[Pré GGT U/L]]</f>
        <v>26</v>
      </c>
      <c r="AB86" s="193">
        <f>Tabela1[[#This Row],[Pós GGT U/L]]</f>
        <v>23</v>
      </c>
      <c r="AC86" s="194">
        <f>Tabela1[[#This Row],[Pré Ac. Úrico (mg/dL)]]</f>
        <v>3.9</v>
      </c>
      <c r="AD86" s="125">
        <f>Tabela1[[#This Row],[Pós Ac. Úrico (mg/dL)2]]</f>
        <v>4.5</v>
      </c>
      <c r="AE8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8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86" s="85">
        <f>Tabela1[[#This Row],[Pré Ureia mg/dL]]</f>
        <v>50</v>
      </c>
      <c r="AH86" s="85">
        <f>Tabela1[[#This Row],[Pós Ureia mg/dL]]</f>
        <v>39</v>
      </c>
      <c r="AI86" s="125">
        <f>Tabela1[[#This Row],[Pré creatinina mg/dL]]</f>
        <v>1.2</v>
      </c>
      <c r="AJ86" s="125">
        <f>Tabela1[[#This Row],[Pós creatinina mg/dL]]</f>
        <v>1.2</v>
      </c>
      <c r="AK86" s="180">
        <f t="shared" si="4"/>
        <v>0</v>
      </c>
      <c r="AL86" s="125">
        <f>Tabela1[[#This Row],[Pré Fósforo mg/dL]]</f>
        <v>3.2</v>
      </c>
      <c r="AM86" s="125">
        <f>Tabela1[[#This Row],[Pós Fósforo mg/dL]]</f>
        <v>3.5</v>
      </c>
      <c r="AN86" s="125">
        <f>Tabela1[[#This Row],[Pré Proteína Total (g/dL)]]</f>
        <v>7.8</v>
      </c>
      <c r="AO86" s="125">
        <f>Tabela1[[#This Row],[Pós Proteína Total (g/dL)]]</f>
        <v>7.4</v>
      </c>
      <c r="AP86" s="85" t="str">
        <f>Tabela1[[#This Row],[Pré FE (ug/dL)]]</f>
        <v>-</v>
      </c>
      <c r="AQ86" s="193" t="str">
        <f>Tabela1[[#This Row],[Pós FE (ug/dL)]]</f>
        <v>-</v>
      </c>
      <c r="AR86" s="194">
        <f>Tabela1[[#This Row],[Pré calcio mg/dL]]</f>
        <v>9.6999999999999993</v>
      </c>
      <c r="AS86" s="125">
        <f>Tabela1[[#This Row],[Pós calcio mg/dL]]</f>
        <v>10.199999999999999</v>
      </c>
      <c r="AT86" s="125">
        <f>Tabela1[[#This Row],[Pré Potássio mmol/L]]</f>
        <v>5.2</v>
      </c>
      <c r="AU86" s="125">
        <f>Tabela1[[#This Row],[Pós Potássio mmol/L]]</f>
        <v>4.5</v>
      </c>
      <c r="AV86" s="85">
        <f>Tabela1[[#This Row],[Glicose pré]]</f>
        <v>99</v>
      </c>
      <c r="AW86" s="85">
        <f>Tabela1[[#This Row],[Glicose pós]]</f>
        <v>98</v>
      </c>
      <c r="AX86" s="85">
        <f>Tabela1[[#This Row],[Pré Sódio mmol/L]]</f>
        <v>145</v>
      </c>
      <c r="AY86" s="85">
        <f>Tabela1[[#This Row],[Pós Sódio mmol/L]]</f>
        <v>146</v>
      </c>
      <c r="AZ86" s="125">
        <f>Tabela1[[#This Row],[Pré Magnésio mg/dL]]</f>
        <v>2.2000000000000002</v>
      </c>
      <c r="BA86" s="125">
        <f>Tabela1[[#This Row],[Pós Magnésio mg/dL]]</f>
        <v>2.2000000000000002</v>
      </c>
      <c r="BB86" s="85">
        <f>Tabela1[[#This Row],[Pré Cloro mmol/L]]</f>
        <v>105</v>
      </c>
      <c r="BC86" s="85">
        <f>Tabela1[[#This Row],[Pós Cloro mmol/L]]</f>
        <v>100</v>
      </c>
      <c r="BD8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308.03033333333332</v>
      </c>
      <c r="BE8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306.69111111111113</v>
      </c>
      <c r="BF86" s="194" t="str">
        <f>Tabela1[[#This Row],[Pré RBC 10^6/mm³]]</f>
        <v>-</v>
      </c>
      <c r="BG86" s="125">
        <f>Tabela1[[#This Row],[Pós RBC 10^6/mm³]]</f>
        <v>4.7699999999999996</v>
      </c>
      <c r="BH86" s="125" t="str">
        <f>Tabela1[[#This Row],[Pré HGB g/dL]]</f>
        <v>-</v>
      </c>
      <c r="BI86" s="125">
        <f>Tabela1[[#This Row],[Pós HGB g/dL]]</f>
        <v>14.5</v>
      </c>
      <c r="BJ86" s="125" t="str">
        <f>Tabela1[[#This Row],[Pré HCT %]]</f>
        <v>-</v>
      </c>
      <c r="BK86" s="125">
        <f>Tabela1[[#This Row],[Pós HCT %]]</f>
        <v>42.7</v>
      </c>
      <c r="BL86" s="125" t="str">
        <f>Tabela1[[#This Row],[Pré MCV fL]]</f>
        <v>-</v>
      </c>
      <c r="BM86" s="125">
        <f>Tabela1[[#This Row],[Pós MCV fL]]</f>
        <v>89.5</v>
      </c>
      <c r="BN86" s="125" t="str">
        <f>Tabela1[[#This Row],[Pré MCH pg]]</f>
        <v>-</v>
      </c>
      <c r="BO86" s="125">
        <f>Tabela1[[#This Row],[Pós MCH pg]]</f>
        <v>30.4</v>
      </c>
      <c r="BP86" s="125" t="str">
        <f>Tabela1[[#This Row],[Pré MCHC g/dL]]</f>
        <v>-</v>
      </c>
      <c r="BQ86" s="125">
        <f>Tabela1[[#This Row],[Pós MCHC g/dL]]</f>
        <v>34</v>
      </c>
      <c r="BR86" s="85" t="str">
        <f>Tabela1[[#This Row],[Pré PLT 10³/mm³]]</f>
        <v>-</v>
      </c>
      <c r="BS86" s="85">
        <f>Tabela1[[#This Row],[Pós PLT 10³/mm³]]</f>
        <v>268</v>
      </c>
      <c r="BT86" s="125" t="str">
        <f>Tabela1[[#This Row],[Pré RDW %]]</f>
        <v>-</v>
      </c>
      <c r="BU86" s="125">
        <f>Tabela1[[#This Row],[Pós RDW %]]</f>
        <v>12.1</v>
      </c>
      <c r="BV86" s="179" t="str">
        <f>Tabela1[[#This Row],[Pré RET %]]</f>
        <v>-</v>
      </c>
      <c r="BW86" s="196">
        <f>Tabela1[[#This Row],[Pós RET %]]</f>
        <v>1.2</v>
      </c>
      <c r="BX86" s="197" t="str">
        <f>Tabela1[[#This Row],[Pré WBC 10³/mm³]]</f>
        <v>-</v>
      </c>
      <c r="BY86" s="179">
        <f>Tabela1[[#This Row],[Pós WBC 10³/mm³]]</f>
        <v>7.48</v>
      </c>
      <c r="BZ86" s="125" t="str">
        <f>Tabela1[[#This Row],[Pré NEUT %]]</f>
        <v>-</v>
      </c>
      <c r="CA86" s="125">
        <f>Tabela1[[#This Row],[Pós NEUT %]]</f>
        <v>82.8</v>
      </c>
      <c r="CB86" s="125" t="str">
        <f>Tabela1[[#This Row],[Pré LINF %]]</f>
        <v>-</v>
      </c>
      <c r="CC86" s="125">
        <f>Tabela1[[#This Row],[Pós LINF %]]</f>
        <v>11.2</v>
      </c>
      <c r="CD86" s="125" t="str">
        <f>Tabela1[[#This Row],[Pré MONO %]]</f>
        <v>-</v>
      </c>
      <c r="CE86" s="125">
        <f>Tabela1[[#This Row],[Pós MONO %]]</f>
        <v>5.6</v>
      </c>
      <c r="CF86" s="125" t="str">
        <f>Tabela1[[#This Row],[Pré EOS %]]</f>
        <v>-</v>
      </c>
      <c r="CG86" s="125">
        <f>Tabela1[[#This Row],[Pós EOS %]]</f>
        <v>0.1</v>
      </c>
      <c r="CH86" s="125" t="str">
        <f>Tabela1[[#This Row],[Pré BASO %]]</f>
        <v>-</v>
      </c>
      <c r="CI86" s="198">
        <f>Tabela1[[#This Row],[Pós BASO %]]</f>
        <v>0.3</v>
      </c>
      <c r="CJ86" s="199" t="str">
        <f t="shared" si="5"/>
        <v>NÃO</v>
      </c>
      <c r="CK86" s="200" t="str">
        <f t="shared" si="6"/>
        <v>SIM</v>
      </c>
      <c r="CL86" s="194">
        <f t="shared" si="7"/>
        <v>72.293760000000006</v>
      </c>
      <c r="CM86" s="125">
        <f>Tabela1[[#This Row],[MCT KG]]</f>
        <v>79.2</v>
      </c>
      <c r="CN86" s="85">
        <f>Tabela1[[#This Row],[ESTATURA]]</f>
        <v>174</v>
      </c>
      <c r="CO86" s="85">
        <f>Tabela1[[#This Row],[vo2max estimado]]</f>
        <v>53.64</v>
      </c>
      <c r="CP86" s="85">
        <f>Tabela1[[#This Row],[Handgrip     Dominante]]</f>
        <v>49.5</v>
      </c>
      <c r="CQ86" s="85">
        <f>Tabela1[[#This Row],[Handgrip Contrário]]</f>
        <v>49.5</v>
      </c>
      <c r="CR86" s="281">
        <f>Tabela1[[#This Row],[% gordura]]</f>
        <v>8.7200000000000006</v>
      </c>
    </row>
    <row r="87" spans="1:96" ht="15.75" customHeight="1">
      <c r="A87" s="279">
        <f>Tabela1[[#This Row],[Ano]]</f>
        <v>2018</v>
      </c>
      <c r="B87" s="181" t="str">
        <f>Tabela1[[#This Row],[Missão]]</f>
        <v>CIASC</v>
      </c>
      <c r="C87" s="181">
        <f>Tabela1[[#This Row],[Aluno]]</f>
        <v>3159</v>
      </c>
      <c r="D87" s="181">
        <f>Tabela1[[#This Row],[Idade]]</f>
        <v>25</v>
      </c>
      <c r="E87" s="182">
        <f>Tabela1[[#This Row],[Peso Kg]]</f>
        <v>84</v>
      </c>
      <c r="F87" s="191">
        <f>Tabela1[[#This Row],[Cor da pele]]</f>
        <v>1</v>
      </c>
      <c r="G87" s="192" t="str">
        <f>Tabela1[[#This Row],[ACTN3]]</f>
        <v>RR</v>
      </c>
      <c r="H87" s="85" t="str">
        <f>Tabela1[[#This Row],[AGT]]</f>
        <v>TT</v>
      </c>
      <c r="I87" s="85" t="str">
        <f>Tabela1[[#This Row],[ECA]]</f>
        <v>DD</v>
      </c>
      <c r="J87" s="85" t="str">
        <f>Tabela1[[#This Row],[BDKRB2]]</f>
        <v>(+9,-9)</v>
      </c>
      <c r="K87" s="85" t="str">
        <f>Tabela1[[#This Row],[Score Força%]]</f>
        <v>-</v>
      </c>
      <c r="L87" s="193" t="str">
        <f>Tabela1[[#This Row],[Score Resistência %]]</f>
        <v>-</v>
      </c>
      <c r="M87" s="192">
        <f>Tabela1[[#This Row],[Pré CK (U/L)]]</f>
        <v>363</v>
      </c>
      <c r="N87" s="85">
        <f>Tabela1[[#This Row],[Pós CK (U/L)]]</f>
        <v>2611</v>
      </c>
      <c r="O87" s="85">
        <f>Tabela1[[#This Row],[Pré CK MB U/L]]</f>
        <v>5</v>
      </c>
      <c r="P87" s="85">
        <f>Tabela1[[#This Row],[Pós CK MB U/L]]</f>
        <v>53</v>
      </c>
      <c r="Q87" s="85" t="str">
        <f>Tabela1[[#This Row],[Pré Lactato (mmol/L)]]</f>
        <v>-</v>
      </c>
      <c r="R87" s="85" t="str">
        <f>Tabela1[[#This Row],[Pós Lactato (mmol/L)]]</f>
        <v>-</v>
      </c>
      <c r="S87" s="85">
        <f>Tabela1[[#This Row],[Pré LDH (U/L)]]</f>
        <v>349</v>
      </c>
      <c r="T87" s="85">
        <f>Tabela1[[#This Row],[Pós LDH (U/L)]]</f>
        <v>666</v>
      </c>
      <c r="U87" s="85">
        <f>Tabela1[[#This Row],[Pré AST (U/L)]]</f>
        <v>46</v>
      </c>
      <c r="V87" s="193">
        <f>Tabela1[[#This Row],[Pós AST (U/L)]]</f>
        <v>138</v>
      </c>
      <c r="W87" s="194">
        <f>Tabela1[[#This Row],[Pré Albumina (g/dL)]]</f>
        <v>4.8</v>
      </c>
      <c r="X87" s="125">
        <f>Tabela1[[#This Row],[Pós Albumina (g/dL)]]</f>
        <v>4.0999999999999996</v>
      </c>
      <c r="Y87" s="85">
        <f>Tabela1[[#This Row],[Pré TGP (g/dL)]]</f>
        <v>42</v>
      </c>
      <c r="Z87" s="85">
        <f>Tabela1[[#This Row],[Pós TGP (g/dL)]]</f>
        <v>100</v>
      </c>
      <c r="AA87" s="85">
        <f>Tabela1[[#This Row],[Pré GGT U/L]]</f>
        <v>13</v>
      </c>
      <c r="AB87" s="193">
        <f>Tabela1[[#This Row],[Pós GGT U/L]]</f>
        <v>10</v>
      </c>
      <c r="AC87" s="194">
        <f>Tabela1[[#This Row],[Pré Ac. Úrico (mg/dL)]]</f>
        <v>5.4</v>
      </c>
      <c r="AD87" s="125">
        <f>Tabela1[[#This Row],[Pós Ac. Úrico (mg/dL)2]]</f>
        <v>5.9</v>
      </c>
      <c r="AE8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76.739527424440993</v>
      </c>
      <c r="AF8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87" s="85">
        <f>Tabela1[[#This Row],[Pré Ureia mg/dL]]</f>
        <v>49</v>
      </c>
      <c r="AH87" s="85">
        <f>Tabela1[[#This Row],[Pós Ureia mg/dL]]</f>
        <v>45</v>
      </c>
      <c r="AI87" s="125">
        <f>Tabela1[[#This Row],[Pré creatinina mg/dL]]</f>
        <v>1.3</v>
      </c>
      <c r="AJ87" s="125">
        <f>Tabela1[[#This Row],[Pós creatinina mg/dL]]</f>
        <v>1.1000000000000001</v>
      </c>
      <c r="AK87" s="180">
        <f t="shared" si="4"/>
        <v>0</v>
      </c>
      <c r="AL87" s="125">
        <f>Tabela1[[#This Row],[Pré Fósforo mg/dL]]</f>
        <v>4.0999999999999996</v>
      </c>
      <c r="AM87" s="125">
        <f>Tabela1[[#This Row],[Pós Fósforo mg/dL]]</f>
        <v>3</v>
      </c>
      <c r="AN87" s="125">
        <f>Tabela1[[#This Row],[Pré Proteína Total (g/dL)]]</f>
        <v>7.7</v>
      </c>
      <c r="AO87" s="125">
        <f>Tabela1[[#This Row],[Pós Proteína Total (g/dL)]]</f>
        <v>6.7</v>
      </c>
      <c r="AP87" s="85" t="str">
        <f>Tabela1[[#This Row],[Pré FE (ug/dL)]]</f>
        <v>-</v>
      </c>
      <c r="AQ87" s="193" t="str">
        <f>Tabela1[[#This Row],[Pós FE (ug/dL)]]</f>
        <v>-</v>
      </c>
      <c r="AR87" s="194">
        <f>Tabela1[[#This Row],[Pré calcio mg/dL]]</f>
        <v>10</v>
      </c>
      <c r="AS87" s="125">
        <f>Tabela1[[#This Row],[Pós calcio mg/dL]]</f>
        <v>9.4</v>
      </c>
      <c r="AT87" s="125">
        <f>Tabela1[[#This Row],[Pré Potássio mmol/L]]</f>
        <v>6.2</v>
      </c>
      <c r="AU87" s="125">
        <f>Tabela1[[#This Row],[Pós Potássio mmol/L]]</f>
        <v>4.5999999999999996</v>
      </c>
      <c r="AV87" s="85">
        <f>Tabela1[[#This Row],[Glicose pré]]</f>
        <v>94</v>
      </c>
      <c r="AW87" s="85">
        <f>Tabela1[[#This Row],[Glicose pós]]</f>
        <v>144</v>
      </c>
      <c r="AX87" s="85">
        <f>Tabela1[[#This Row],[Pré Sódio mmol/L]]</f>
        <v>144</v>
      </c>
      <c r="AY87" s="85">
        <f>Tabela1[[#This Row],[Pós Sódio mmol/L]]</f>
        <v>143</v>
      </c>
      <c r="AZ87" s="125">
        <f>Tabela1[[#This Row],[Pré Magnésio mg/dL]]</f>
        <v>2.1</v>
      </c>
      <c r="BA87" s="125">
        <f>Tabela1[[#This Row],[Pós Magnésio mg/dL]]</f>
        <v>2</v>
      </c>
      <c r="BB87" s="85">
        <f>Tabela1[[#This Row],[Pré Cloro mmol/L]]</f>
        <v>106</v>
      </c>
      <c r="BC87" s="85">
        <f>Tabela1[[#This Row],[Pós Cloro mmol/L]]</f>
        <v>108</v>
      </c>
      <c r="BD8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307.54422222222223</v>
      </c>
      <c r="BE8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305.23599999999999</v>
      </c>
      <c r="BF87" s="194">
        <f>Tabela1[[#This Row],[Pré RBC 10^6/mm³]]</f>
        <v>5.22</v>
      </c>
      <c r="BG87" s="125">
        <f>Tabela1[[#This Row],[Pós RBC 10^6/mm³]]</f>
        <v>4.5199999999999996</v>
      </c>
      <c r="BH87" s="125">
        <f>Tabela1[[#This Row],[Pré HGB g/dL]]</f>
        <v>14.9</v>
      </c>
      <c r="BI87" s="125">
        <f>Tabela1[[#This Row],[Pós HGB g/dL]]</f>
        <v>13.1</v>
      </c>
      <c r="BJ87" s="125">
        <f>Tabela1[[#This Row],[Pré HCT %]]</f>
        <v>47.7</v>
      </c>
      <c r="BK87" s="125">
        <f>Tabela1[[#This Row],[Pós HCT %]]</f>
        <v>38.700000000000003</v>
      </c>
      <c r="BL87" s="125">
        <f>Tabela1[[#This Row],[Pré MCV fL]]</f>
        <v>91.4</v>
      </c>
      <c r="BM87" s="125">
        <f>Tabela1[[#This Row],[Pós MCV fL]]</f>
        <v>85.6</v>
      </c>
      <c r="BN87" s="125">
        <f>Tabela1[[#This Row],[Pré MCH pg]]</f>
        <v>28.5</v>
      </c>
      <c r="BO87" s="125">
        <f>Tabela1[[#This Row],[Pós MCH pg]]</f>
        <v>29</v>
      </c>
      <c r="BP87" s="125">
        <f>Tabela1[[#This Row],[Pré MCHC g/dL]]</f>
        <v>31.2</v>
      </c>
      <c r="BQ87" s="125">
        <f>Tabela1[[#This Row],[Pós MCHC g/dL]]</f>
        <v>33.9</v>
      </c>
      <c r="BR87" s="85">
        <f>Tabela1[[#This Row],[Pré PLT 10³/mm³]]</f>
        <v>242</v>
      </c>
      <c r="BS87" s="85">
        <f>Tabela1[[#This Row],[Pós PLT 10³/mm³]]</f>
        <v>246</v>
      </c>
      <c r="BT87" s="125">
        <f>Tabela1[[#This Row],[Pré RDW %]]</f>
        <v>12.9</v>
      </c>
      <c r="BU87" s="125">
        <f>Tabela1[[#This Row],[Pós RDW %]]</f>
        <v>12.4</v>
      </c>
      <c r="BV87" s="179" t="str">
        <f>Tabela1[[#This Row],[Pré RET %]]</f>
        <v>-</v>
      </c>
      <c r="BW87" s="196">
        <f>Tabela1[[#This Row],[Pós RET %]]</f>
        <v>1.1100000000000001</v>
      </c>
      <c r="BX87" s="197">
        <f>Tabela1[[#This Row],[Pré WBC 10³/mm³]]</f>
        <v>4.91</v>
      </c>
      <c r="BY87" s="179">
        <f>Tabela1[[#This Row],[Pós WBC 10³/mm³]]</f>
        <v>5.79</v>
      </c>
      <c r="BZ87" s="125">
        <f>Tabela1[[#This Row],[Pré NEUT %]]</f>
        <v>52</v>
      </c>
      <c r="CA87" s="125">
        <f>Tabela1[[#This Row],[Pós NEUT %]]</f>
        <v>67.8</v>
      </c>
      <c r="CB87" s="125">
        <f>Tabela1[[#This Row],[Pré LINF %]]</f>
        <v>34.6</v>
      </c>
      <c r="CC87" s="125">
        <f>Tabela1[[#This Row],[Pós LINF %]]</f>
        <v>21.6</v>
      </c>
      <c r="CD87" s="125">
        <f>Tabela1[[#This Row],[Pré MONO %]]</f>
        <v>11.2</v>
      </c>
      <c r="CE87" s="125">
        <f>Tabela1[[#This Row],[Pós MONO %]]</f>
        <v>6.2</v>
      </c>
      <c r="CF87" s="125">
        <f>Tabela1[[#This Row],[Pré EOS %]]</f>
        <v>1.2</v>
      </c>
      <c r="CG87" s="125">
        <f>Tabela1[[#This Row],[Pós EOS %]]</f>
        <v>3.5</v>
      </c>
      <c r="CH87" s="125">
        <f>Tabela1[[#This Row],[Pré BASO %]]</f>
        <v>1</v>
      </c>
      <c r="CI87" s="198">
        <f>Tabela1[[#This Row],[Pós BASO %]]</f>
        <v>0.9</v>
      </c>
      <c r="CJ87" s="199" t="str">
        <f t="shared" si="5"/>
        <v>NÃO</v>
      </c>
      <c r="CK87" s="200" t="str">
        <f t="shared" si="6"/>
        <v>SIM</v>
      </c>
      <c r="CL87" s="194">
        <f t="shared" si="7"/>
        <v>75.355769999999993</v>
      </c>
      <c r="CM87" s="125">
        <f>Tabela1[[#This Row],[MCT KG]]</f>
        <v>84.3</v>
      </c>
      <c r="CN87" s="85">
        <f>Tabela1[[#This Row],[ESTATURA]]</f>
        <v>178</v>
      </c>
      <c r="CO87" s="85">
        <f>Tabela1[[#This Row],[vo2max estimado]]</f>
        <v>52.69</v>
      </c>
      <c r="CP87" s="85">
        <f>Tabela1[[#This Row],[Handgrip     Dominante]]</f>
        <v>60</v>
      </c>
      <c r="CQ87" s="85">
        <f>Tabela1[[#This Row],[Handgrip Contrário]]</f>
        <v>57</v>
      </c>
      <c r="CR87" s="281">
        <f>Tabela1[[#This Row],[% gordura]]</f>
        <v>10.61</v>
      </c>
    </row>
    <row r="88" spans="1:96" ht="15.75" customHeight="1">
      <c r="A88" s="279">
        <f>Tabela1[[#This Row],[Ano]]</f>
        <v>2018</v>
      </c>
      <c r="B88" s="181" t="str">
        <f>Tabela1[[#This Row],[Missão]]</f>
        <v>CIASC</v>
      </c>
      <c r="C88" s="181">
        <f>Tabela1[[#This Row],[Aluno]]</f>
        <v>3165</v>
      </c>
      <c r="D88" s="181">
        <f>Tabela1[[#This Row],[Idade]]</f>
        <v>33</v>
      </c>
      <c r="E88" s="182">
        <f>Tabela1[[#This Row],[Peso Kg]]</f>
        <v>82</v>
      </c>
      <c r="F88" s="191">
        <f>Tabela1[[#This Row],[Cor da pele]]</f>
        <v>1</v>
      </c>
      <c r="G88" s="192" t="str">
        <f>Tabela1[[#This Row],[ACTN3]]</f>
        <v>RR</v>
      </c>
      <c r="H88" s="85" t="str">
        <f>Tabela1[[#This Row],[AGT]]</f>
        <v>MT</v>
      </c>
      <c r="I88" s="85" t="str">
        <f>Tabela1[[#This Row],[ECA]]</f>
        <v>II</v>
      </c>
      <c r="J88" s="85" t="str">
        <f>Tabela1[[#This Row],[BDKRB2]]</f>
        <v>(+9,-9)</v>
      </c>
      <c r="K88" s="85">
        <f>Tabela1[[#This Row],[Score Força%]]</f>
        <v>50</v>
      </c>
      <c r="L88" s="193">
        <f>Tabela1[[#This Row],[Score Resistência %]]</f>
        <v>50</v>
      </c>
      <c r="M88" s="192">
        <f>Tabela1[[#This Row],[Pré CK (U/L)]]</f>
        <v>192</v>
      </c>
      <c r="N88" s="85">
        <f>Tabela1[[#This Row],[Pós CK (U/L)]]</f>
        <v>1111</v>
      </c>
      <c r="O88" s="85">
        <f>Tabela1[[#This Row],[Pré CK MB U/L]]</f>
        <v>3</v>
      </c>
      <c r="P88" s="85">
        <f>Tabela1[[#This Row],[Pós CK MB U/L]]</f>
        <v>15</v>
      </c>
      <c r="Q88" s="85" t="str">
        <f>Tabela1[[#This Row],[Pré Lactato (mmol/L)]]</f>
        <v>-</v>
      </c>
      <c r="R88" s="85" t="str">
        <f>Tabela1[[#This Row],[Pós Lactato (mmol/L)]]</f>
        <v>-</v>
      </c>
      <c r="S88" s="85">
        <f>Tabela1[[#This Row],[Pré LDH (U/L)]]</f>
        <v>643</v>
      </c>
      <c r="T88" s="85">
        <f>Tabela1[[#This Row],[Pós LDH (U/L)]]</f>
        <v>1089</v>
      </c>
      <c r="U88" s="85">
        <f>Tabela1[[#This Row],[Pré AST (U/L)]]</f>
        <v>32</v>
      </c>
      <c r="V88" s="193">
        <f>Tabela1[[#This Row],[Pós AST (U/L)]]</f>
        <v>94</v>
      </c>
      <c r="W88" s="194">
        <f>Tabela1[[#This Row],[Pré Albumina (g/dL)]]</f>
        <v>4.8</v>
      </c>
      <c r="X88" s="125">
        <f>Tabela1[[#This Row],[Pós Albumina (g/dL)]]</f>
        <v>4.3</v>
      </c>
      <c r="Y88" s="85">
        <f>Tabela1[[#This Row],[Pré TGP (g/dL)]]</f>
        <v>32</v>
      </c>
      <c r="Z88" s="85">
        <f>Tabela1[[#This Row],[Pós TGP (g/dL)]]</f>
        <v>85</v>
      </c>
      <c r="AA88" s="85">
        <f>Tabela1[[#This Row],[Pré GGT U/L]]</f>
        <v>39</v>
      </c>
      <c r="AB88" s="193">
        <f>Tabela1[[#This Row],[Pós GGT U/L]]</f>
        <v>40</v>
      </c>
      <c r="AC88" s="194">
        <f>Tabela1[[#This Row],[Pré Ac. Úrico (mg/dL)]]</f>
        <v>5.7</v>
      </c>
      <c r="AD88" s="125">
        <f>Tabela1[[#This Row],[Pós Ac. Úrico (mg/dL)2]]</f>
        <v>5.2</v>
      </c>
      <c r="AE8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8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88" s="85">
        <f>Tabela1[[#This Row],[Pré Ureia mg/dL]]</f>
        <v>43</v>
      </c>
      <c r="AH88" s="85">
        <f>Tabela1[[#This Row],[Pós Ureia mg/dL]]</f>
        <v>52</v>
      </c>
      <c r="AI88" s="125">
        <f>Tabela1[[#This Row],[Pré creatinina mg/dL]]</f>
        <v>1</v>
      </c>
      <c r="AJ88" s="125">
        <f>Tabela1[[#This Row],[Pós creatinina mg/dL]]</f>
        <v>1</v>
      </c>
      <c r="AK88" s="180">
        <f t="shared" si="4"/>
        <v>0</v>
      </c>
      <c r="AL88" s="125">
        <f>Tabela1[[#This Row],[Pré Fósforo mg/dL]]</f>
        <v>3.6</v>
      </c>
      <c r="AM88" s="125">
        <f>Tabela1[[#This Row],[Pós Fósforo mg/dL]]</f>
        <v>3.3</v>
      </c>
      <c r="AN88" s="125">
        <f>Tabela1[[#This Row],[Pré Proteína Total (g/dL)]]</f>
        <v>7.7</v>
      </c>
      <c r="AO88" s="125">
        <f>Tabela1[[#This Row],[Pós Proteína Total (g/dL)]]</f>
        <v>6.7</v>
      </c>
      <c r="AP88" s="85" t="str">
        <f>Tabela1[[#This Row],[Pré FE (ug/dL)]]</f>
        <v>-</v>
      </c>
      <c r="AQ88" s="193" t="str">
        <f>Tabela1[[#This Row],[Pós FE (ug/dL)]]</f>
        <v>-</v>
      </c>
      <c r="AR88" s="194">
        <f>Tabela1[[#This Row],[Pré calcio mg/dL]]</f>
        <v>9.3000000000000007</v>
      </c>
      <c r="AS88" s="125">
        <f>Tabela1[[#This Row],[Pós calcio mg/dL]]</f>
        <v>9.5</v>
      </c>
      <c r="AT88" s="125">
        <f>Tabela1[[#This Row],[Pré Potássio mmol/L]]</f>
        <v>4.8</v>
      </c>
      <c r="AU88" s="125">
        <f>Tabela1[[#This Row],[Pós Potássio mmol/L]]</f>
        <v>4.5</v>
      </c>
      <c r="AV88" s="85">
        <f>Tabela1[[#This Row],[Glicose pré]]</f>
        <v>96</v>
      </c>
      <c r="AW88" s="85">
        <f>Tabela1[[#This Row],[Glicose pós]]</f>
        <v>142</v>
      </c>
      <c r="AX88" s="85">
        <f>Tabela1[[#This Row],[Pré Sódio mmol/L]]</f>
        <v>142</v>
      </c>
      <c r="AY88" s="85">
        <f>Tabela1[[#This Row],[Pós Sódio mmol/L]]</f>
        <v>142</v>
      </c>
      <c r="AZ88" s="125">
        <f>Tabela1[[#This Row],[Pré Magnésio mg/dL]]</f>
        <v>2</v>
      </c>
      <c r="BA88" s="125">
        <f>Tabela1[[#This Row],[Pós Magnésio mg/dL]]</f>
        <v>1.9</v>
      </c>
      <c r="BB88" s="85">
        <f>Tabela1[[#This Row],[Pré Cloro mmol/L]]</f>
        <v>102</v>
      </c>
      <c r="BC88" s="85">
        <f>Tabela1[[#This Row],[Pós Cloro mmol/L]]</f>
        <v>103</v>
      </c>
      <c r="BD8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300.34800000000007</v>
      </c>
      <c r="BE8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304.22888888888889</v>
      </c>
      <c r="BF88" s="194">
        <f>Tabela1[[#This Row],[Pré RBC 10^6/mm³]]</f>
        <v>4.37</v>
      </c>
      <c r="BG88" s="125">
        <f>Tabela1[[#This Row],[Pós RBC 10^6/mm³]]</f>
        <v>4.0599999999999996</v>
      </c>
      <c r="BH88" s="125">
        <f>Tabela1[[#This Row],[Pré HGB g/dL]]</f>
        <v>13.3</v>
      </c>
      <c r="BI88" s="125">
        <f>Tabela1[[#This Row],[Pós HGB g/dL]]</f>
        <v>12.5</v>
      </c>
      <c r="BJ88" s="125">
        <f>Tabela1[[#This Row],[Pré HCT %]]</f>
        <v>41.9</v>
      </c>
      <c r="BK88" s="125">
        <f>Tabela1[[#This Row],[Pós HCT %]]</f>
        <v>37.5</v>
      </c>
      <c r="BL88" s="125">
        <f>Tabela1[[#This Row],[Pré MCV fL]]</f>
        <v>95.9</v>
      </c>
      <c r="BM88" s="125">
        <f>Tabela1[[#This Row],[Pós MCV fL]]</f>
        <v>92.4</v>
      </c>
      <c r="BN88" s="125">
        <f>Tabela1[[#This Row],[Pré MCH pg]]</f>
        <v>30.4</v>
      </c>
      <c r="BO88" s="125">
        <f>Tabela1[[#This Row],[Pós MCH pg]]</f>
        <v>30.8</v>
      </c>
      <c r="BP88" s="125">
        <f>Tabela1[[#This Row],[Pré MCHC g/dL]]</f>
        <v>31.7</v>
      </c>
      <c r="BQ88" s="125">
        <f>Tabela1[[#This Row],[Pós MCHC g/dL]]</f>
        <v>33.299999999999997</v>
      </c>
      <c r="BR88" s="85">
        <f>Tabela1[[#This Row],[Pré PLT 10³/mm³]]</f>
        <v>192</v>
      </c>
      <c r="BS88" s="85">
        <f>Tabela1[[#This Row],[Pós PLT 10³/mm³]]</f>
        <v>259</v>
      </c>
      <c r="BT88" s="125">
        <f>Tabela1[[#This Row],[Pré RDW %]]</f>
        <v>11.7</v>
      </c>
      <c r="BU88" s="125">
        <f>Tabela1[[#This Row],[Pós RDW %]]</f>
        <v>12.1</v>
      </c>
      <c r="BV88" s="179" t="str">
        <f>Tabela1[[#This Row],[Pré RET %]]</f>
        <v>-</v>
      </c>
      <c r="BW88" s="196">
        <f>Tabela1[[#This Row],[Pós RET %]]</f>
        <v>2.27</v>
      </c>
      <c r="BX88" s="197">
        <f>Tabela1[[#This Row],[Pré WBC 10³/mm³]]</f>
        <v>6.31</v>
      </c>
      <c r="BY88" s="179">
        <f>Tabela1[[#This Row],[Pós WBC 10³/mm³]]</f>
        <v>10.56</v>
      </c>
      <c r="BZ88" s="125">
        <f>Tabela1[[#This Row],[Pré NEUT %]]</f>
        <v>79.099999999999994</v>
      </c>
      <c r="CA88" s="125">
        <f>Tabela1[[#This Row],[Pós NEUT %]]</f>
        <v>82.6</v>
      </c>
      <c r="CB88" s="125">
        <f>Tabela1[[#This Row],[Pré LINF %]]</f>
        <v>15.2</v>
      </c>
      <c r="CC88" s="125">
        <f>Tabela1[[#This Row],[Pós LINF %]]</f>
        <v>10.9</v>
      </c>
      <c r="CD88" s="125">
        <f>Tabela1[[#This Row],[Pré MONO %]]</f>
        <v>4.0999999999999996</v>
      </c>
      <c r="CE88" s="125">
        <f>Tabela1[[#This Row],[Pós MONO %]]</f>
        <v>5.5</v>
      </c>
      <c r="CF88" s="125">
        <f>Tabela1[[#This Row],[Pré EOS %]]</f>
        <v>1.1000000000000001</v>
      </c>
      <c r="CG88" s="125">
        <f>Tabela1[[#This Row],[Pós EOS %]]</f>
        <v>0.9</v>
      </c>
      <c r="CH88" s="125">
        <f>Tabela1[[#This Row],[Pré BASO %]]</f>
        <v>0.5</v>
      </c>
      <c r="CI88" s="198">
        <f>Tabela1[[#This Row],[Pós BASO %]]</f>
        <v>0.1</v>
      </c>
      <c r="CJ88" s="199" t="str">
        <f t="shared" si="5"/>
        <v>NÃO</v>
      </c>
      <c r="CK88" s="200" t="str">
        <f t="shared" si="6"/>
        <v>SIM</v>
      </c>
      <c r="CL88" s="194">
        <f t="shared" si="7"/>
        <v>67.787359999999993</v>
      </c>
      <c r="CM88" s="125">
        <f>Tabela1[[#This Row],[MCT KG]]</f>
        <v>79.599999999999994</v>
      </c>
      <c r="CN88" s="85">
        <f>Tabela1[[#This Row],[ESTATURA]]</f>
        <v>182</v>
      </c>
      <c r="CO88" s="85">
        <f>Tabela1[[#This Row],[vo2max estimado]]</f>
        <v>51.21</v>
      </c>
      <c r="CP88" s="85">
        <f>Tabela1[[#This Row],[Handgrip     Dominante]]</f>
        <v>51</v>
      </c>
      <c r="CQ88" s="85">
        <f>Tabela1[[#This Row],[Handgrip Contrário]]</f>
        <v>49</v>
      </c>
      <c r="CR88" s="281">
        <f>Tabela1[[#This Row],[% gordura]]</f>
        <v>14.84</v>
      </c>
    </row>
    <row r="89" spans="1:96" ht="15.75" customHeight="1">
      <c r="A89" s="279">
        <f>Tabela1[[#This Row],[Ano]]</f>
        <v>2018</v>
      </c>
      <c r="B89" s="181" t="str">
        <f>Tabela1[[#This Row],[Missão]]</f>
        <v>CIASC</v>
      </c>
      <c r="C89" s="181">
        <f>Tabela1[[#This Row],[Aluno]]</f>
        <v>3169</v>
      </c>
      <c r="D89" s="181">
        <f>Tabela1[[#This Row],[Idade]]</f>
        <v>31</v>
      </c>
      <c r="E89" s="182">
        <f>Tabela1[[#This Row],[Peso Kg]]</f>
        <v>92</v>
      </c>
      <c r="F89" s="191">
        <f>Tabela1[[#This Row],[Cor da pele]]</f>
        <v>1</v>
      </c>
      <c r="G89" s="192" t="str">
        <f>Tabela1[[#This Row],[ACTN3]]</f>
        <v>XX</v>
      </c>
      <c r="H89" s="85" t="str">
        <f>Tabela1[[#This Row],[AGT]]</f>
        <v>MT</v>
      </c>
      <c r="I89" s="85" t="str">
        <f>Tabela1[[#This Row],[ECA]]</f>
        <v>ID</v>
      </c>
      <c r="J89" s="85" t="str">
        <f>Tabela1[[#This Row],[BDKRB2]]</f>
        <v>(-9,-9)</v>
      </c>
      <c r="K89" s="85">
        <f>Tabela1[[#This Row],[Score Força%]]</f>
        <v>100</v>
      </c>
      <c r="L89" s="193">
        <f>Tabela1[[#This Row],[Score Resistência %]]</f>
        <v>0</v>
      </c>
      <c r="M89" s="192">
        <f>Tabela1[[#This Row],[Pré CK (U/L)]]</f>
        <v>437</v>
      </c>
      <c r="N89" s="85">
        <f>Tabela1[[#This Row],[Pós CK (U/L)]]</f>
        <v>2840</v>
      </c>
      <c r="O89" s="85">
        <f>Tabela1[[#This Row],[Pré CK MB U/L]]</f>
        <v>4</v>
      </c>
      <c r="P89" s="85">
        <f>Tabela1[[#This Row],[Pós CK MB U/L]]</f>
        <v>40</v>
      </c>
      <c r="Q89" s="85" t="str">
        <f>Tabela1[[#This Row],[Pré Lactato (mmol/L)]]</f>
        <v>-</v>
      </c>
      <c r="R89" s="85" t="str">
        <f>Tabela1[[#This Row],[Pós Lactato (mmol/L)]]</f>
        <v>-</v>
      </c>
      <c r="S89" s="85">
        <f>Tabela1[[#This Row],[Pré LDH (U/L)]]</f>
        <v>685</v>
      </c>
      <c r="T89" s="85">
        <f>Tabela1[[#This Row],[Pós LDH (U/L)]]</f>
        <v>1090</v>
      </c>
      <c r="U89" s="85">
        <f>Tabela1[[#This Row],[Pré AST (U/L)]]</f>
        <v>65</v>
      </c>
      <c r="V89" s="193">
        <f>Tabela1[[#This Row],[Pós AST (U/L)]]</f>
        <v>162</v>
      </c>
      <c r="W89" s="194">
        <f>Tabela1[[#This Row],[Pré Albumina (g/dL)]]</f>
        <v>4.9000000000000004</v>
      </c>
      <c r="X89" s="125">
        <f>Tabela1[[#This Row],[Pós Albumina (g/dL)]]</f>
        <v>4.5</v>
      </c>
      <c r="Y89" s="85">
        <f>Tabela1[[#This Row],[Pré TGP (g/dL)]]</f>
        <v>54</v>
      </c>
      <c r="Z89" s="85">
        <f>Tabela1[[#This Row],[Pós TGP (g/dL)]]</f>
        <v>110</v>
      </c>
      <c r="AA89" s="85">
        <f>Tabela1[[#This Row],[Pré GGT U/L]]</f>
        <v>20</v>
      </c>
      <c r="AB89" s="193">
        <f>Tabela1[[#This Row],[Pós GGT U/L]]</f>
        <v>20</v>
      </c>
      <c r="AC89" s="194">
        <f>Tabela1[[#This Row],[Pré Ac. Úrico (mg/dL)]]</f>
        <v>7.9</v>
      </c>
      <c r="AD89" s="125">
        <f>Tabela1[[#This Row],[Pós Ac. Úrico (mg/dL)2]]</f>
        <v>8.6</v>
      </c>
      <c r="AE8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8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89" s="85">
        <f>Tabela1[[#This Row],[Pré Ureia mg/dL]]</f>
        <v>37</v>
      </c>
      <c r="AH89" s="85">
        <f>Tabela1[[#This Row],[Pós Ureia mg/dL]]</f>
        <v>47</v>
      </c>
      <c r="AI89" s="125">
        <f>Tabela1[[#This Row],[Pré creatinina mg/dL]]</f>
        <v>1.2</v>
      </c>
      <c r="AJ89" s="125">
        <f>Tabela1[[#This Row],[Pós creatinina mg/dL]]</f>
        <v>1</v>
      </c>
      <c r="AK89" s="180">
        <f t="shared" si="4"/>
        <v>0</v>
      </c>
      <c r="AL89" s="125">
        <f>Tabela1[[#This Row],[Pré Fósforo mg/dL]]</f>
        <v>3.1</v>
      </c>
      <c r="AM89" s="125">
        <f>Tabela1[[#This Row],[Pós Fósforo mg/dL]]</f>
        <v>3.6</v>
      </c>
      <c r="AN89" s="125">
        <f>Tabela1[[#This Row],[Pré Proteína Total (g/dL)]]</f>
        <v>8.5</v>
      </c>
      <c r="AO89" s="125">
        <f>Tabela1[[#This Row],[Pós Proteína Total (g/dL)]]</f>
        <v>7.7</v>
      </c>
      <c r="AP89" s="85" t="str">
        <f>Tabela1[[#This Row],[Pré FE (ug/dL)]]</f>
        <v>-</v>
      </c>
      <c r="AQ89" s="193" t="str">
        <f>Tabela1[[#This Row],[Pós FE (ug/dL)]]</f>
        <v>-</v>
      </c>
      <c r="AR89" s="194">
        <f>Tabela1[[#This Row],[Pré calcio mg/dL]]</f>
        <v>9.8000000000000007</v>
      </c>
      <c r="AS89" s="125">
        <f>Tabela1[[#This Row],[Pós calcio mg/dL]]</f>
        <v>9.5</v>
      </c>
      <c r="AT89" s="125">
        <f>Tabela1[[#This Row],[Pré Potássio mmol/L]]</f>
        <v>5.6</v>
      </c>
      <c r="AU89" s="125">
        <f>Tabela1[[#This Row],[Pós Potássio mmol/L]]</f>
        <v>4.8</v>
      </c>
      <c r="AV89" s="85">
        <f>Tabela1[[#This Row],[Glicose pré]]</f>
        <v>110</v>
      </c>
      <c r="AW89" s="85">
        <f>Tabela1[[#This Row],[Glicose pós]]</f>
        <v>105</v>
      </c>
      <c r="AX89" s="85">
        <f>Tabela1[[#This Row],[Pré Sódio mmol/L]]</f>
        <v>146</v>
      </c>
      <c r="AY89" s="85">
        <f>Tabela1[[#This Row],[Pós Sódio mmol/L]]</f>
        <v>146</v>
      </c>
      <c r="AZ89" s="125">
        <f>Tabela1[[#This Row],[Pré Magnésio mg/dL]]</f>
        <v>2.1</v>
      </c>
      <c r="BA89" s="125">
        <f>Tabela1[[#This Row],[Pós Magnésio mg/dL]]</f>
        <v>2.1</v>
      </c>
      <c r="BB89" s="85">
        <f>Tabela1[[#This Row],[Pré Cloro mmol/L]]</f>
        <v>105</v>
      </c>
      <c r="BC89" s="85">
        <f>Tabela1[[#This Row],[Pós Cloro mmol/L]]</f>
        <v>106</v>
      </c>
      <c r="BD8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309.17044444444446</v>
      </c>
      <c r="BE8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309.02966666666669</v>
      </c>
      <c r="BF89" s="194">
        <f>Tabela1[[#This Row],[Pré RBC 10^6/mm³]]</f>
        <v>4.62</v>
      </c>
      <c r="BG89" s="125">
        <f>Tabela1[[#This Row],[Pós RBC 10^6/mm³]]</f>
        <v>4.24</v>
      </c>
      <c r="BH89" s="125">
        <f>Tabela1[[#This Row],[Pré HGB g/dL]]</f>
        <v>13.6</v>
      </c>
      <c r="BI89" s="125">
        <f>Tabela1[[#This Row],[Pós HGB g/dL]]</f>
        <v>12.6</v>
      </c>
      <c r="BJ89" s="125">
        <f>Tabela1[[#This Row],[Pré HCT %]]</f>
        <v>43.7</v>
      </c>
      <c r="BK89" s="125">
        <f>Tabela1[[#This Row],[Pós HCT %]]</f>
        <v>38.200000000000003</v>
      </c>
      <c r="BL89" s="125">
        <f>Tabela1[[#This Row],[Pré MCV fL]]</f>
        <v>94.6</v>
      </c>
      <c r="BM89" s="125">
        <f>Tabela1[[#This Row],[Pós MCV fL]]</f>
        <v>90.1</v>
      </c>
      <c r="BN89" s="125">
        <f>Tabela1[[#This Row],[Pré MCH pg]]</f>
        <v>29.4</v>
      </c>
      <c r="BO89" s="125">
        <f>Tabela1[[#This Row],[Pós MCH pg]]</f>
        <v>29.7</v>
      </c>
      <c r="BP89" s="125">
        <f>Tabela1[[#This Row],[Pré MCHC g/dL]]</f>
        <v>31.1</v>
      </c>
      <c r="BQ89" s="125">
        <f>Tabela1[[#This Row],[Pós MCHC g/dL]]</f>
        <v>33</v>
      </c>
      <c r="BR89" s="85">
        <f>Tabela1[[#This Row],[Pré PLT 10³/mm³]]</f>
        <v>279</v>
      </c>
      <c r="BS89" s="85">
        <f>Tabela1[[#This Row],[Pós PLT 10³/mm³]]</f>
        <v>305</v>
      </c>
      <c r="BT89" s="125">
        <f>Tabela1[[#This Row],[Pré RDW %]]</f>
        <v>13.1</v>
      </c>
      <c r="BU89" s="125">
        <f>Tabela1[[#This Row],[Pós RDW %]]</f>
        <v>13.4</v>
      </c>
      <c r="BV89" s="179" t="str">
        <f>Tabela1[[#This Row],[Pré RET %]]</f>
        <v>-</v>
      </c>
      <c r="BW89" s="196">
        <f>Tabela1[[#This Row],[Pós RET %]]</f>
        <v>1.68</v>
      </c>
      <c r="BX89" s="197">
        <f>Tabela1[[#This Row],[Pré WBC 10³/mm³]]</f>
        <v>9.18</v>
      </c>
      <c r="BY89" s="179">
        <f>Tabela1[[#This Row],[Pós WBC 10³/mm³]]</f>
        <v>12.45</v>
      </c>
      <c r="BZ89" s="125">
        <f>Tabela1[[#This Row],[Pré NEUT %]]</f>
        <v>80.900000000000006</v>
      </c>
      <c r="CA89" s="125">
        <f>Tabela1[[#This Row],[Pós NEUT %]]</f>
        <v>81.2</v>
      </c>
      <c r="CB89" s="125">
        <f>Tabela1[[#This Row],[Pré LINF %]]</f>
        <v>13.4</v>
      </c>
      <c r="CC89" s="125">
        <f>Tabela1[[#This Row],[Pós LINF %]]</f>
        <v>10.199999999999999</v>
      </c>
      <c r="CD89" s="125">
        <f>Tabela1[[#This Row],[Pré MONO %]]</f>
        <v>5.2</v>
      </c>
      <c r="CE89" s="125">
        <f>Tabela1[[#This Row],[Pós MONO %]]</f>
        <v>7.9</v>
      </c>
      <c r="CF89" s="125">
        <f>Tabela1[[#This Row],[Pré EOS %]]</f>
        <v>0.1</v>
      </c>
      <c r="CG89" s="125">
        <f>Tabela1[[#This Row],[Pós EOS %]]</f>
        <v>0.4</v>
      </c>
      <c r="CH89" s="125">
        <f>Tabela1[[#This Row],[Pré BASO %]]</f>
        <v>0.4</v>
      </c>
      <c r="CI89" s="198">
        <f>Tabela1[[#This Row],[Pós BASO %]]</f>
        <v>0.3</v>
      </c>
      <c r="CJ89" s="199" t="str">
        <f t="shared" si="5"/>
        <v>NÃO</v>
      </c>
      <c r="CK89" s="200" t="str">
        <f t="shared" si="6"/>
        <v>SIM</v>
      </c>
      <c r="CL89" s="194">
        <f t="shared" si="7"/>
        <v>74.95620000000001</v>
      </c>
      <c r="CM89" s="125">
        <f>Tabela1[[#This Row],[MCT KG]]</f>
        <v>90.2</v>
      </c>
      <c r="CN89" s="85">
        <f>Tabela1[[#This Row],[ESTATURA]]</f>
        <v>184.5</v>
      </c>
      <c r="CO89" s="85">
        <f>Tabela1[[#This Row],[vo2max estimado]]</f>
        <v>48.67</v>
      </c>
      <c r="CP89" s="85">
        <f>Tabela1[[#This Row],[Handgrip     Dominante]]</f>
        <v>54</v>
      </c>
      <c r="CQ89" s="85">
        <f>Tabela1[[#This Row],[Handgrip Contrário]]</f>
        <v>47</v>
      </c>
      <c r="CR89" s="281">
        <f>Tabela1[[#This Row],[% gordura]]</f>
        <v>16.899999999999999</v>
      </c>
    </row>
    <row r="90" spans="1:96" ht="15.75" customHeight="1">
      <c r="A90" s="279">
        <f>Tabela1[[#This Row],[Ano]]</f>
        <v>2018</v>
      </c>
      <c r="B90" s="181" t="str">
        <f>Tabela1[[#This Row],[Missão]]</f>
        <v>CIASC</v>
      </c>
      <c r="C90" s="181">
        <f>Tabela1[[#This Row],[Aluno]]</f>
        <v>3175</v>
      </c>
      <c r="D90" s="181">
        <f>Tabela1[[#This Row],[Idade]]</f>
        <v>32</v>
      </c>
      <c r="E90" s="182">
        <f>Tabela1[[#This Row],[Peso Kg]]</f>
        <v>96</v>
      </c>
      <c r="F90" s="191">
        <f>Tabela1[[#This Row],[Cor da pele]]</f>
        <v>2</v>
      </c>
      <c r="G90" s="192" t="str">
        <f>Tabela1[[#This Row],[ACTN3]]</f>
        <v>RX</v>
      </c>
      <c r="H90" s="85" t="str">
        <f>Tabela1[[#This Row],[AGT]]</f>
        <v>MM</v>
      </c>
      <c r="I90" s="85" t="str">
        <f>Tabela1[[#This Row],[ECA]]</f>
        <v>ID</v>
      </c>
      <c r="J90" s="85" t="str">
        <f>Tabela1[[#This Row],[BDKRB2]]</f>
        <v>(+9,+9)</v>
      </c>
      <c r="K90" s="85">
        <f>Tabela1[[#This Row],[Score Força%]]</f>
        <v>45.8333333333333</v>
      </c>
      <c r="L90" s="193">
        <f>Tabela1[[#This Row],[Score Resistência %]]</f>
        <v>54.1666666666667</v>
      </c>
      <c r="M90" s="192">
        <f>Tabela1[[#This Row],[Pré CK (U/L)]]</f>
        <v>719</v>
      </c>
      <c r="N90" s="85">
        <f>Tabela1[[#This Row],[Pós CK (U/L)]]</f>
        <v>13785</v>
      </c>
      <c r="O90" s="85">
        <f>Tabela1[[#This Row],[Pré CK MB U/L]]</f>
        <v>15</v>
      </c>
      <c r="P90" s="85">
        <f>Tabela1[[#This Row],[Pós CK MB U/L]]</f>
        <v>255</v>
      </c>
      <c r="Q90" s="85" t="str">
        <f>Tabela1[[#This Row],[Pré Lactato (mmol/L)]]</f>
        <v>-</v>
      </c>
      <c r="R90" s="85" t="str">
        <f>Tabela1[[#This Row],[Pós Lactato (mmol/L)]]</f>
        <v>-</v>
      </c>
      <c r="S90" s="85">
        <f>Tabela1[[#This Row],[Pré LDH (U/L)]]</f>
        <v>694</v>
      </c>
      <c r="T90" s="85">
        <f>Tabela1[[#This Row],[Pós LDH (U/L)]]</f>
        <v>2598</v>
      </c>
      <c r="U90" s="85">
        <f>Tabela1[[#This Row],[Pré AST (U/L)]]</f>
        <v>61</v>
      </c>
      <c r="V90" s="193">
        <f>Tabela1[[#This Row],[Pós AST (U/L)]]</f>
        <v>293</v>
      </c>
      <c r="W90" s="194">
        <f>Tabela1[[#This Row],[Pré Albumina (g/dL)]]</f>
        <v>5</v>
      </c>
      <c r="X90" s="125">
        <f>Tabela1[[#This Row],[Pós Albumina (g/dL)]]</f>
        <v>4.5</v>
      </c>
      <c r="Y90" s="85">
        <f>Tabela1[[#This Row],[Pré TGP (g/dL)]]</f>
        <v>57</v>
      </c>
      <c r="Z90" s="85">
        <f>Tabela1[[#This Row],[Pós TGP (g/dL)]]</f>
        <v>169</v>
      </c>
      <c r="AA90" s="85">
        <f>Tabela1[[#This Row],[Pré GGT U/L]]</f>
        <v>26</v>
      </c>
      <c r="AB90" s="193">
        <f>Tabela1[[#This Row],[Pós GGT U/L]]</f>
        <v>25</v>
      </c>
      <c r="AC90" s="194">
        <f>Tabela1[[#This Row],[Pré Ac. Úrico (mg/dL)]]</f>
        <v>4.7</v>
      </c>
      <c r="AD90" s="125">
        <f>Tabela1[[#This Row],[Pós Ac. Úrico (mg/dL)2]]</f>
        <v>4.7</v>
      </c>
      <c r="AE9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9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90" s="85">
        <f>Tabela1[[#This Row],[Pré Ureia mg/dL]]</f>
        <v>50</v>
      </c>
      <c r="AH90" s="85">
        <f>Tabela1[[#This Row],[Pós Ureia mg/dL]]</f>
        <v>46</v>
      </c>
      <c r="AI90" s="125">
        <f>Tabela1[[#This Row],[Pré creatinina mg/dL]]</f>
        <v>1.1000000000000001</v>
      </c>
      <c r="AJ90" s="125">
        <f>Tabela1[[#This Row],[Pós creatinina mg/dL]]</f>
        <v>1</v>
      </c>
      <c r="AK90" s="180">
        <f t="shared" si="4"/>
        <v>0</v>
      </c>
      <c r="AL90" s="125">
        <f>Tabela1[[#This Row],[Pré Fósforo mg/dL]]</f>
        <v>4</v>
      </c>
      <c r="AM90" s="125">
        <f>Tabela1[[#This Row],[Pós Fósforo mg/dL]]</f>
        <v>3</v>
      </c>
      <c r="AN90" s="125">
        <f>Tabela1[[#This Row],[Pré Proteína Total (g/dL)]]</f>
        <v>8.6</v>
      </c>
      <c r="AO90" s="125">
        <f>Tabela1[[#This Row],[Pós Proteína Total (g/dL)]]</f>
        <v>7.8</v>
      </c>
      <c r="AP90" s="85" t="str">
        <f>Tabela1[[#This Row],[Pré FE (ug/dL)]]</f>
        <v>-</v>
      </c>
      <c r="AQ90" s="193" t="str">
        <f>Tabela1[[#This Row],[Pós FE (ug/dL)]]</f>
        <v>-</v>
      </c>
      <c r="AR90" s="194">
        <f>Tabela1[[#This Row],[Pré calcio mg/dL]]</f>
        <v>10.199999999999999</v>
      </c>
      <c r="AS90" s="125">
        <f>Tabela1[[#This Row],[Pós calcio mg/dL]]</f>
        <v>9.6999999999999993</v>
      </c>
      <c r="AT90" s="125">
        <f>Tabela1[[#This Row],[Pré Potássio mmol/L]]</f>
        <v>5.3</v>
      </c>
      <c r="AU90" s="125">
        <f>Tabela1[[#This Row],[Pós Potássio mmol/L]]</f>
        <v>4.4000000000000004</v>
      </c>
      <c r="AV90" s="85">
        <f>Tabela1[[#This Row],[Glicose pré]]</f>
        <v>99</v>
      </c>
      <c r="AW90" s="85">
        <f>Tabela1[[#This Row],[Glicose pós]]</f>
        <v>119</v>
      </c>
      <c r="AX90" s="85">
        <f>Tabela1[[#This Row],[Pré Sódio mmol/L]]</f>
        <v>143</v>
      </c>
      <c r="AY90" s="85">
        <f>Tabela1[[#This Row],[Pós Sódio mmol/L]]</f>
        <v>143</v>
      </c>
      <c r="AZ90" s="125">
        <f>Tabela1[[#This Row],[Pré Magnésio mg/dL]]</f>
        <v>2</v>
      </c>
      <c r="BA90" s="125">
        <f>Tabela1[[#This Row],[Pós Magnésio mg/dL]]</f>
        <v>2.1</v>
      </c>
      <c r="BB90" s="85">
        <f>Tabela1[[#This Row],[Pré Cloro mmol/L]]</f>
        <v>105</v>
      </c>
      <c r="BC90" s="85">
        <f>Tabela1[[#This Row],[Pós Cloro mmol/L]]</f>
        <v>107</v>
      </c>
      <c r="BD9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304.49633333333333</v>
      </c>
      <c r="BE9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303.43344444444449</v>
      </c>
      <c r="BF90" s="194">
        <f>Tabela1[[#This Row],[Pré RBC 10^6/mm³]]</f>
        <v>4.8899999999999997</v>
      </c>
      <c r="BG90" s="125">
        <f>Tabela1[[#This Row],[Pós RBC 10^6/mm³]]</f>
        <v>4.57</v>
      </c>
      <c r="BH90" s="125">
        <f>Tabela1[[#This Row],[Pré HGB g/dL]]</f>
        <v>14.5</v>
      </c>
      <c r="BI90" s="125">
        <f>Tabela1[[#This Row],[Pós HGB g/dL]]</f>
        <v>13.7</v>
      </c>
      <c r="BJ90" s="125">
        <f>Tabela1[[#This Row],[Pré HCT %]]</f>
        <v>46.1</v>
      </c>
      <c r="BK90" s="125">
        <f>Tabela1[[#This Row],[Pós HCT %]]</f>
        <v>40.799999999999997</v>
      </c>
      <c r="BL90" s="125">
        <f>Tabela1[[#This Row],[Pré MCV fL]]</f>
        <v>94.3</v>
      </c>
      <c r="BM90" s="125">
        <f>Tabela1[[#This Row],[Pós MCV fL]]</f>
        <v>89.3</v>
      </c>
      <c r="BN90" s="125">
        <f>Tabela1[[#This Row],[Pré MCH pg]]</f>
        <v>29.7</v>
      </c>
      <c r="BO90" s="125">
        <f>Tabela1[[#This Row],[Pós MCH pg]]</f>
        <v>30</v>
      </c>
      <c r="BP90" s="125">
        <f>Tabela1[[#This Row],[Pré MCHC g/dL]]</f>
        <v>31.5</v>
      </c>
      <c r="BQ90" s="125">
        <f>Tabela1[[#This Row],[Pós MCHC g/dL]]</f>
        <v>33.6</v>
      </c>
      <c r="BR90" s="85">
        <f>Tabela1[[#This Row],[Pré PLT 10³/mm³]]</f>
        <v>154</v>
      </c>
      <c r="BS90" s="85">
        <f>Tabela1[[#This Row],[Pós PLT 10³/mm³]]</f>
        <v>206</v>
      </c>
      <c r="BT90" s="125">
        <f>Tabela1[[#This Row],[Pré RDW %]]</f>
        <v>12.8</v>
      </c>
      <c r="BU90" s="125">
        <f>Tabela1[[#This Row],[Pós RDW %]]</f>
        <v>12.8</v>
      </c>
      <c r="BV90" s="179" t="str">
        <f>Tabela1[[#This Row],[Pré RET %]]</f>
        <v>-</v>
      </c>
      <c r="BW90" s="196">
        <f>Tabela1[[#This Row],[Pós RET %]]</f>
        <v>1.27</v>
      </c>
      <c r="BX90" s="197">
        <f>Tabela1[[#This Row],[Pré WBC 10³/mm³]]</f>
        <v>2.0699999999999998</v>
      </c>
      <c r="BY90" s="179">
        <f>Tabela1[[#This Row],[Pós WBC 10³/mm³]]</f>
        <v>9.34</v>
      </c>
      <c r="BZ90" s="125">
        <f>Tabela1[[#This Row],[Pré NEUT %]]</f>
        <v>49.7</v>
      </c>
      <c r="CA90" s="125">
        <f>Tabela1[[#This Row],[Pós NEUT %]]</f>
        <v>74.2</v>
      </c>
      <c r="CB90" s="125">
        <f>Tabela1[[#This Row],[Pré LINF %]]</f>
        <v>38.200000000000003</v>
      </c>
      <c r="CC90" s="125">
        <f>Tabela1[[#This Row],[Pós LINF %]]</f>
        <v>17.899999999999999</v>
      </c>
      <c r="CD90" s="125">
        <f>Tabela1[[#This Row],[Pré MONO %]]</f>
        <v>9.6999999999999993</v>
      </c>
      <c r="CE90" s="125">
        <f>Tabela1[[#This Row],[Pós MONO %]]</f>
        <v>6.9</v>
      </c>
      <c r="CF90" s="125">
        <f>Tabela1[[#This Row],[Pré EOS %]]</f>
        <v>1</v>
      </c>
      <c r="CG90" s="125">
        <f>Tabela1[[#This Row],[Pós EOS %]]</f>
        <v>0.9</v>
      </c>
      <c r="CH90" s="125">
        <f>Tabela1[[#This Row],[Pré BASO %]]</f>
        <v>1.4</v>
      </c>
      <c r="CI90" s="198">
        <f>Tabela1[[#This Row],[Pós BASO %]]</f>
        <v>0.1</v>
      </c>
      <c r="CJ90" s="199" t="str">
        <f t="shared" si="5"/>
        <v>NÃO</v>
      </c>
      <c r="CK90" s="200" t="str">
        <f t="shared" si="6"/>
        <v>SIM</v>
      </c>
      <c r="CL90" s="194">
        <f t="shared" si="7"/>
        <v>82.029080000000008</v>
      </c>
      <c r="CM90" s="125">
        <f>Tabela1[[#This Row],[MCT KG]]</f>
        <v>90.7</v>
      </c>
      <c r="CN90" s="85">
        <f>Tabela1[[#This Row],[ESTATURA]]</f>
        <v>191</v>
      </c>
      <c r="CO90" s="85">
        <f>Tabela1[[#This Row],[vo2max estimado]]</f>
        <v>50.01</v>
      </c>
      <c r="CP90" s="85">
        <f>Tabela1[[#This Row],[Handgrip     Dominante]]</f>
        <v>56.5</v>
      </c>
      <c r="CQ90" s="85">
        <f>Tabela1[[#This Row],[Handgrip Contrário]]</f>
        <v>54.5</v>
      </c>
      <c r="CR90" s="281">
        <f>Tabela1[[#This Row],[% gordura]]</f>
        <v>9.56</v>
      </c>
    </row>
    <row r="91" spans="1:96" ht="15.75" customHeight="1">
      <c r="A91" s="279">
        <f>Tabela1[[#This Row],[Ano]]</f>
        <v>2018</v>
      </c>
      <c r="B91" s="181" t="str">
        <f>Tabela1[[#This Row],[Missão]]</f>
        <v>CIASC</v>
      </c>
      <c r="C91" s="181">
        <f>Tabela1[[#This Row],[Aluno]]</f>
        <v>3180</v>
      </c>
      <c r="D91" s="181">
        <f>Tabela1[[#This Row],[Idade]]</f>
        <v>30</v>
      </c>
      <c r="E91" s="182">
        <f>Tabela1[[#This Row],[Peso Kg]]</f>
        <v>78</v>
      </c>
      <c r="F91" s="191">
        <f>Tabela1[[#This Row],[Cor da pele]]</f>
        <v>1</v>
      </c>
      <c r="G91" s="192" t="str">
        <f>Tabela1[[#This Row],[ACTN3]]</f>
        <v>RX</v>
      </c>
      <c r="H91" s="85" t="str">
        <f>Tabela1[[#This Row],[AGT]]</f>
        <v>TT</v>
      </c>
      <c r="I91" s="85" t="str">
        <f>Tabela1[[#This Row],[ECA]]</f>
        <v>DD</v>
      </c>
      <c r="J91" s="85" t="str">
        <f>Tabela1[[#This Row],[BDKRB2]]</f>
        <v>(-9,-9)</v>
      </c>
      <c r="K91" s="85">
        <f>Tabela1[[#This Row],[Score Força%]]</f>
        <v>54.1666666666667</v>
      </c>
      <c r="L91" s="193">
        <f>Tabela1[[#This Row],[Score Resistência %]]</f>
        <v>45.8333333333333</v>
      </c>
      <c r="M91" s="192">
        <f>Tabela1[[#This Row],[Pré CK (U/L)]]</f>
        <v>605</v>
      </c>
      <c r="N91" s="85">
        <f>Tabela1[[#This Row],[Pós CK (U/L)]]</f>
        <v>1330</v>
      </c>
      <c r="O91" s="85">
        <f>Tabela1[[#This Row],[Pré CK MB U/L]]</f>
        <v>3</v>
      </c>
      <c r="P91" s="85">
        <f>Tabela1[[#This Row],[Pós CK MB U/L]]</f>
        <v>37</v>
      </c>
      <c r="Q91" s="85" t="str">
        <f>Tabela1[[#This Row],[Pré Lactato (mmol/L)]]</f>
        <v>-</v>
      </c>
      <c r="R91" s="85" t="str">
        <f>Tabela1[[#This Row],[Pós Lactato (mmol/L)]]</f>
        <v>-</v>
      </c>
      <c r="S91" s="85">
        <f>Tabela1[[#This Row],[Pré LDH (U/L)]]</f>
        <v>583</v>
      </c>
      <c r="T91" s="85">
        <f>Tabela1[[#This Row],[Pós LDH (U/L)]]</f>
        <v>996</v>
      </c>
      <c r="U91" s="85">
        <f>Tabela1[[#This Row],[Pré AST (U/L)]]</f>
        <v>46</v>
      </c>
      <c r="V91" s="193">
        <f>Tabela1[[#This Row],[Pós AST (U/L)]]</f>
        <v>89</v>
      </c>
      <c r="W91" s="194">
        <f>Tabela1[[#This Row],[Pré Albumina (g/dL)]]</f>
        <v>4.7</v>
      </c>
      <c r="X91" s="125">
        <f>Tabela1[[#This Row],[Pós Albumina (g/dL)]]</f>
        <v>4</v>
      </c>
      <c r="Y91" s="85">
        <f>Tabela1[[#This Row],[Pré TGP (g/dL)]]</f>
        <v>39</v>
      </c>
      <c r="Z91" s="85">
        <f>Tabela1[[#This Row],[Pós TGP (g/dL)]]</f>
        <v>87</v>
      </c>
      <c r="AA91" s="85">
        <f>Tabela1[[#This Row],[Pré GGT U/L]]</f>
        <v>14</v>
      </c>
      <c r="AB91" s="193">
        <f>Tabela1[[#This Row],[Pós GGT U/L]]</f>
        <v>15</v>
      </c>
      <c r="AC91" s="194">
        <f>Tabela1[[#This Row],[Pré Ac. Úrico (mg/dL)]]</f>
        <v>4.5999999999999996</v>
      </c>
      <c r="AD91" s="125">
        <f>Tabela1[[#This Row],[Pós Ac. Úrico (mg/dL)2]]</f>
        <v>6.3</v>
      </c>
      <c r="AE9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9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91" s="85">
        <f>Tabela1[[#This Row],[Pré Ureia mg/dL]]</f>
        <v>35</v>
      </c>
      <c r="AH91" s="85">
        <f>Tabela1[[#This Row],[Pós Ureia mg/dL]]</f>
        <v>33</v>
      </c>
      <c r="AI91" s="125">
        <f>Tabela1[[#This Row],[Pré creatinina mg/dL]]</f>
        <v>1.1000000000000001</v>
      </c>
      <c r="AJ91" s="125">
        <f>Tabela1[[#This Row],[Pós creatinina mg/dL]]</f>
        <v>1</v>
      </c>
      <c r="AK91" s="180">
        <f t="shared" si="4"/>
        <v>0</v>
      </c>
      <c r="AL91" s="125">
        <f>Tabela1[[#This Row],[Pré Fósforo mg/dL]]</f>
        <v>3.3</v>
      </c>
      <c r="AM91" s="125">
        <f>Tabela1[[#This Row],[Pós Fósforo mg/dL]]</f>
        <v>3.5</v>
      </c>
      <c r="AN91" s="125">
        <f>Tabela1[[#This Row],[Pré Proteína Total (g/dL)]]</f>
        <v>7.2</v>
      </c>
      <c r="AO91" s="125">
        <f>Tabela1[[#This Row],[Pós Proteína Total (g/dL)]]</f>
        <v>6.2</v>
      </c>
      <c r="AP91" s="85" t="str">
        <f>Tabela1[[#This Row],[Pré FE (ug/dL)]]</f>
        <v>-</v>
      </c>
      <c r="AQ91" s="193" t="str">
        <f>Tabela1[[#This Row],[Pós FE (ug/dL)]]</f>
        <v>-</v>
      </c>
      <c r="AR91" s="194">
        <f>Tabela1[[#This Row],[Pré calcio mg/dL]]</f>
        <v>9.4</v>
      </c>
      <c r="AS91" s="125">
        <f>Tabela1[[#This Row],[Pós calcio mg/dL]]</f>
        <v>9</v>
      </c>
      <c r="AT91" s="125">
        <f>Tabela1[[#This Row],[Pré Potássio mmol/L]]</f>
        <v>5.0999999999999996</v>
      </c>
      <c r="AU91" s="125">
        <f>Tabela1[[#This Row],[Pós Potássio mmol/L]]</f>
        <v>4.3</v>
      </c>
      <c r="AV91" s="85">
        <f>Tabela1[[#This Row],[Glicose pré]]</f>
        <v>106</v>
      </c>
      <c r="AW91" s="85">
        <f>Tabela1[[#This Row],[Glicose pós]]</f>
        <v>142</v>
      </c>
      <c r="AX91" s="85">
        <f>Tabela1[[#This Row],[Pré Sódio mmol/L]]</f>
        <v>143</v>
      </c>
      <c r="AY91" s="85">
        <f>Tabela1[[#This Row],[Pós Sódio mmol/L]]</f>
        <v>144</v>
      </c>
      <c r="AZ91" s="125">
        <f>Tabela1[[#This Row],[Pré Magnésio mg/dL]]</f>
        <v>2</v>
      </c>
      <c r="BA91" s="125">
        <f>Tabela1[[#This Row],[Pós Magnésio mg/dL]]</f>
        <v>2</v>
      </c>
      <c r="BB91" s="85">
        <f>Tabela1[[#This Row],[Pré Cloro mmol/L]]</f>
        <v>105</v>
      </c>
      <c r="BC91" s="85">
        <f>Tabela1[[#This Row],[Pós Cloro mmol/L]]</f>
        <v>105</v>
      </c>
      <c r="BD9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302.07155555555556</v>
      </c>
      <c r="BE9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304.41022222222227</v>
      </c>
      <c r="BF91" s="194">
        <f>Tabela1[[#This Row],[Pré RBC 10^6/mm³]]</f>
        <v>4.9800000000000004</v>
      </c>
      <c r="BG91" s="125">
        <f>Tabela1[[#This Row],[Pós RBC 10^6/mm³]]</f>
        <v>4.74</v>
      </c>
      <c r="BH91" s="125">
        <f>Tabela1[[#This Row],[Pré HGB g/dL]]</f>
        <v>15.1</v>
      </c>
      <c r="BI91" s="125">
        <f>Tabela1[[#This Row],[Pós HGB g/dL]]</f>
        <v>14.3</v>
      </c>
      <c r="BJ91" s="125">
        <f>Tabela1[[#This Row],[Pré HCT %]]</f>
        <v>46.6</v>
      </c>
      <c r="BK91" s="125">
        <f>Tabela1[[#This Row],[Pós HCT %]]</f>
        <v>42.3</v>
      </c>
      <c r="BL91" s="125">
        <f>Tabela1[[#This Row],[Pré MCV fL]]</f>
        <v>93.6</v>
      </c>
      <c r="BM91" s="125">
        <f>Tabela1[[#This Row],[Pós MCV fL]]</f>
        <v>89.2</v>
      </c>
      <c r="BN91" s="125">
        <f>Tabela1[[#This Row],[Pré MCH pg]]</f>
        <v>30.3</v>
      </c>
      <c r="BO91" s="125">
        <f>Tabela1[[#This Row],[Pós MCH pg]]</f>
        <v>30.2</v>
      </c>
      <c r="BP91" s="125">
        <f>Tabela1[[#This Row],[Pré MCHC g/dL]]</f>
        <v>32.4</v>
      </c>
      <c r="BQ91" s="125">
        <f>Tabela1[[#This Row],[Pós MCHC g/dL]]</f>
        <v>33.799999999999997</v>
      </c>
      <c r="BR91" s="85">
        <f>Tabela1[[#This Row],[Pré PLT 10³/mm³]]</f>
        <v>168</v>
      </c>
      <c r="BS91" s="85">
        <f>Tabela1[[#This Row],[Pós PLT 10³/mm³]]</f>
        <v>230</v>
      </c>
      <c r="BT91" s="125">
        <f>Tabela1[[#This Row],[Pré RDW %]]</f>
        <v>13.4</v>
      </c>
      <c r="BU91" s="125">
        <f>Tabela1[[#This Row],[Pós RDW %]]</f>
        <v>13.2</v>
      </c>
      <c r="BV91" s="179" t="str">
        <f>Tabela1[[#This Row],[Pré RET %]]</f>
        <v>-</v>
      </c>
      <c r="BW91" s="196">
        <f>Tabela1[[#This Row],[Pós RET %]]</f>
        <v>1.46</v>
      </c>
      <c r="BX91" s="197">
        <f>Tabela1[[#This Row],[Pré WBC 10³/mm³]]</f>
        <v>8.6999999999999993</v>
      </c>
      <c r="BY91" s="179">
        <f>Tabela1[[#This Row],[Pós WBC 10³/mm³]]</f>
        <v>9.6300000000000008</v>
      </c>
      <c r="BZ91" s="125">
        <f>Tabela1[[#This Row],[Pré NEUT %]]</f>
        <v>78.900000000000006</v>
      </c>
      <c r="CA91" s="125">
        <f>Tabela1[[#This Row],[Pós NEUT %]]</f>
        <v>79</v>
      </c>
      <c r="CB91" s="125">
        <f>Tabela1[[#This Row],[Pré LINF %]]</f>
        <v>15.3</v>
      </c>
      <c r="CC91" s="125">
        <f>Tabela1[[#This Row],[Pós LINF %]]</f>
        <v>13.3</v>
      </c>
      <c r="CD91" s="125">
        <f>Tabela1[[#This Row],[Pré MONO %]]</f>
        <v>5.2</v>
      </c>
      <c r="CE91" s="125">
        <f>Tabela1[[#This Row],[Pós MONO %]]</f>
        <v>7.3</v>
      </c>
      <c r="CF91" s="125">
        <f>Tabela1[[#This Row],[Pré EOS %]]</f>
        <v>0.1</v>
      </c>
      <c r="CG91" s="125">
        <f>Tabela1[[#This Row],[Pós EOS %]]</f>
        <v>0.2</v>
      </c>
      <c r="CH91" s="125">
        <f>Tabela1[[#This Row],[Pré BASO %]]</f>
        <v>0.5</v>
      </c>
      <c r="CI91" s="198">
        <f>Tabela1[[#This Row],[Pós BASO %]]</f>
        <v>0.2</v>
      </c>
      <c r="CJ91" s="199" t="str">
        <f t="shared" si="5"/>
        <v>NÃO</v>
      </c>
      <c r="CK91" s="200" t="str">
        <f t="shared" si="6"/>
        <v>SIM</v>
      </c>
      <c r="CL91" s="194">
        <f t="shared" si="7"/>
        <v>67.7637</v>
      </c>
      <c r="CM91" s="125">
        <f>Tabela1[[#This Row],[MCT KG]]</f>
        <v>76.5</v>
      </c>
      <c r="CN91" s="85">
        <f>Tabela1[[#This Row],[ESTATURA]]</f>
        <v>177</v>
      </c>
      <c r="CO91" s="85">
        <f>Tabela1[[#This Row],[vo2max estimado]]</f>
        <v>51.95</v>
      </c>
      <c r="CP91" s="85">
        <f>Tabela1[[#This Row],[Handgrip     Dominante]]</f>
        <v>41</v>
      </c>
      <c r="CQ91" s="85">
        <f>Tabela1[[#This Row],[Handgrip Contrário]]</f>
        <v>38</v>
      </c>
      <c r="CR91" s="281">
        <f>Tabela1[[#This Row],[% gordura]]</f>
        <v>11.42</v>
      </c>
    </row>
    <row r="92" spans="1:96" ht="15.75" customHeight="1">
      <c r="A92" s="279">
        <f>Tabela1[[#This Row],[Ano]]</f>
        <v>2018</v>
      </c>
      <c r="B92" s="181" t="str">
        <f>Tabela1[[#This Row],[Missão]]</f>
        <v>CIASC</v>
      </c>
      <c r="C92" s="181">
        <f>Tabela1[[#This Row],[Aluno]]</f>
        <v>3181</v>
      </c>
      <c r="D92" s="181">
        <f>Tabela1[[#This Row],[Idade]]</f>
        <v>28</v>
      </c>
      <c r="E92" s="182">
        <f>Tabela1[[#This Row],[Peso Kg]]</f>
        <v>86.6</v>
      </c>
      <c r="F92" s="191">
        <f>Tabela1[[#This Row],[Cor da pele]]</f>
        <v>1</v>
      </c>
      <c r="G92" s="192" t="str">
        <f>Tabela1[[#This Row],[ACTN3]]</f>
        <v>RX</v>
      </c>
      <c r="H92" s="85" t="str">
        <f>Tabela1[[#This Row],[AGT]]</f>
        <v>MT</v>
      </c>
      <c r="I92" s="85" t="str">
        <f>Tabela1[[#This Row],[ECA]]</f>
        <v>ID</v>
      </c>
      <c r="J92" s="85" t="str">
        <f>Tabela1[[#This Row],[BDKRB2]]</f>
        <v>(+9,-9)</v>
      </c>
      <c r="K92" s="85">
        <f>Tabela1[[#This Row],[Score Força%]]</f>
        <v>54.1666666666667</v>
      </c>
      <c r="L92" s="193">
        <f>Tabela1[[#This Row],[Score Resistência %]]</f>
        <v>45.8333333333333</v>
      </c>
      <c r="M92" s="192">
        <f>Tabela1[[#This Row],[Pré CK (U/L)]]</f>
        <v>792</v>
      </c>
      <c r="N92" s="85">
        <f>Tabela1[[#This Row],[Pós CK (U/L)]]</f>
        <v>9004</v>
      </c>
      <c r="O92" s="85">
        <f>Tabela1[[#This Row],[Pré CK MB U/L]]</f>
        <v>57</v>
      </c>
      <c r="P92" s="85">
        <f>Tabela1[[#This Row],[Pós CK MB U/L]]</f>
        <v>61</v>
      </c>
      <c r="Q92" s="85" t="str">
        <f>Tabela1[[#This Row],[Pré Lactato (mmol/L)]]</f>
        <v>-</v>
      </c>
      <c r="R92" s="85" t="str">
        <f>Tabela1[[#This Row],[Pós Lactato (mmol/L)]]</f>
        <v>-</v>
      </c>
      <c r="S92" s="85">
        <f>Tabela1[[#This Row],[Pré LDH (U/L)]]</f>
        <v>1471</v>
      </c>
      <c r="T92" s="85">
        <f>Tabela1[[#This Row],[Pós LDH (U/L)]]</f>
        <v>1436</v>
      </c>
      <c r="U92" s="85">
        <f>Tabela1[[#This Row],[Pré AST (U/L)]]</f>
        <v>123</v>
      </c>
      <c r="V92" s="193">
        <f>Tabela1[[#This Row],[Pós AST (U/L)]]</f>
        <v>126</v>
      </c>
      <c r="W92" s="194">
        <f>Tabela1[[#This Row],[Pré Albumina (g/dL)]]</f>
        <v>4.8</v>
      </c>
      <c r="X92" s="125">
        <f>Tabela1[[#This Row],[Pós Albumina (g/dL)]]</f>
        <v>4.9000000000000004</v>
      </c>
      <c r="Y92" s="85">
        <f>Tabela1[[#This Row],[Pré TGP (g/dL)]]</f>
        <v>56</v>
      </c>
      <c r="Z92" s="85">
        <f>Tabela1[[#This Row],[Pós TGP (g/dL)]]</f>
        <v>62</v>
      </c>
      <c r="AA92" s="85">
        <f>Tabela1[[#This Row],[Pré GGT U/L]]</f>
        <v>21</v>
      </c>
      <c r="AB92" s="193">
        <f>Tabela1[[#This Row],[Pós GGT U/L]]</f>
        <v>21</v>
      </c>
      <c r="AC92" s="194">
        <f>Tabela1[[#This Row],[Pré Ac. Úrico (mg/dL)]]</f>
        <v>4.8</v>
      </c>
      <c r="AD92" s="125" t="str">
        <f>Tabela1[[#This Row],[Pós Ac. Úrico (mg/dL)2]]</f>
        <v>-</v>
      </c>
      <c r="AE9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70.209761921634552</v>
      </c>
      <c r="AF9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92" s="85">
        <f>Tabela1[[#This Row],[Pré Ureia mg/dL]]</f>
        <v>47</v>
      </c>
      <c r="AH92" s="85">
        <f>Tabela1[[#This Row],[Pós Ureia mg/dL]]</f>
        <v>48</v>
      </c>
      <c r="AI92" s="125">
        <f>Tabela1[[#This Row],[Pré creatinina mg/dL]]</f>
        <v>1.4</v>
      </c>
      <c r="AJ92" s="125">
        <f>Tabela1[[#This Row],[Pós creatinina mg/dL]]</f>
        <v>1.3</v>
      </c>
      <c r="AK92" s="180">
        <f t="shared" si="4"/>
        <v>0</v>
      </c>
      <c r="AL92" s="125">
        <f>Tabela1[[#This Row],[Pré Fósforo mg/dL]]</f>
        <v>3.6</v>
      </c>
      <c r="AM92" s="125">
        <f>Tabela1[[#This Row],[Pós Fósforo mg/dL]]</f>
        <v>3.7</v>
      </c>
      <c r="AN92" s="125">
        <f>Tabela1[[#This Row],[Pré Proteína Total (g/dL)]]</f>
        <v>7.7</v>
      </c>
      <c r="AO92" s="125">
        <f>Tabela1[[#This Row],[Pós Proteína Total (g/dL)]]</f>
        <v>7.9</v>
      </c>
      <c r="AP92" s="85" t="str">
        <f>Tabela1[[#This Row],[Pré FE (ug/dL)]]</f>
        <v>-</v>
      </c>
      <c r="AQ92" s="193" t="str">
        <f>Tabela1[[#This Row],[Pós FE (ug/dL)]]</f>
        <v>-</v>
      </c>
      <c r="AR92" s="194">
        <f>Tabela1[[#This Row],[Pré calcio mg/dL]]</f>
        <v>9.9</v>
      </c>
      <c r="AS92" s="125">
        <f>Tabela1[[#This Row],[Pós calcio mg/dL]]</f>
        <v>10.199999999999999</v>
      </c>
      <c r="AT92" s="125">
        <f>Tabela1[[#This Row],[Pré Potássio mmol/L]]</f>
        <v>5.5</v>
      </c>
      <c r="AU92" s="125">
        <f>Tabela1[[#This Row],[Pós Potássio mmol/L]]</f>
        <v>5.6</v>
      </c>
      <c r="AV92" s="85">
        <f>Tabela1[[#This Row],[Glicose pré]]</f>
        <v>106</v>
      </c>
      <c r="AW92" s="85">
        <f>Tabela1[[#This Row],[Glicose pós]]</f>
        <v>114</v>
      </c>
      <c r="AX92" s="85">
        <f>Tabela1[[#This Row],[Pré Sódio mmol/L]]</f>
        <v>145</v>
      </c>
      <c r="AY92" s="85">
        <f>Tabela1[[#This Row],[Pós Sódio mmol/L]]</f>
        <v>143</v>
      </c>
      <c r="AZ92" s="125">
        <f>Tabela1[[#This Row],[Pré Magnésio mg/dL]]</f>
        <v>2.1</v>
      </c>
      <c r="BA92" s="125" t="str">
        <f>Tabela1[[#This Row],[Pós Magnésio mg/dL]]</f>
        <v>-</v>
      </c>
      <c r="BB92" s="85">
        <f>Tabela1[[#This Row],[Pré Cloro mmol/L]]</f>
        <v>105</v>
      </c>
      <c r="BC92" s="85" t="str">
        <f>Tabela1[[#This Row],[Pós Cloro mmol/L]]</f>
        <v>-</v>
      </c>
      <c r="BD9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308.53555555555556</v>
      </c>
      <c r="BE9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305.67933333333337</v>
      </c>
      <c r="BF92" s="194">
        <f>Tabela1[[#This Row],[Pré RBC 10^6/mm³]]</f>
        <v>5.14</v>
      </c>
      <c r="BG92" s="125">
        <f>Tabela1[[#This Row],[Pós RBC 10^6/mm³]]</f>
        <v>4.53</v>
      </c>
      <c r="BH92" s="125">
        <f>Tabela1[[#This Row],[Pré HGB g/dL]]</f>
        <v>15.4</v>
      </c>
      <c r="BI92" s="125">
        <f>Tabela1[[#This Row],[Pós HGB g/dL]]</f>
        <v>14</v>
      </c>
      <c r="BJ92" s="125">
        <f>Tabela1[[#This Row],[Pré HCT %]]</f>
        <v>48.6</v>
      </c>
      <c r="BK92" s="125">
        <f>Tabela1[[#This Row],[Pós HCT %]]</f>
        <v>41.1</v>
      </c>
      <c r="BL92" s="125">
        <f>Tabela1[[#This Row],[Pré MCV fL]]</f>
        <v>94.6</v>
      </c>
      <c r="BM92" s="125">
        <f>Tabela1[[#This Row],[Pós MCV fL]]</f>
        <v>90.7</v>
      </c>
      <c r="BN92" s="125">
        <f>Tabela1[[#This Row],[Pré MCH pg]]</f>
        <v>30</v>
      </c>
      <c r="BO92" s="125">
        <f>Tabela1[[#This Row],[Pós MCH pg]]</f>
        <v>30.9</v>
      </c>
      <c r="BP92" s="125">
        <f>Tabela1[[#This Row],[Pré MCHC g/dL]]</f>
        <v>31.7</v>
      </c>
      <c r="BQ92" s="125">
        <f>Tabela1[[#This Row],[Pós MCHC g/dL]]</f>
        <v>34.1</v>
      </c>
      <c r="BR92" s="85">
        <f>Tabela1[[#This Row],[Pré PLT 10³/mm³]]</f>
        <v>265</v>
      </c>
      <c r="BS92" s="85">
        <f>Tabela1[[#This Row],[Pós PLT 10³/mm³]]</f>
        <v>267</v>
      </c>
      <c r="BT92" s="125">
        <f>Tabela1[[#This Row],[Pré RDW %]]</f>
        <v>12.7</v>
      </c>
      <c r="BU92" s="125">
        <f>Tabela1[[#This Row],[Pós RDW %]]</f>
        <v>13</v>
      </c>
      <c r="BV92" s="179" t="str">
        <f>Tabela1[[#This Row],[Pré RET %]]</f>
        <v>-</v>
      </c>
      <c r="BW92" s="196">
        <f>Tabela1[[#This Row],[Pós RET %]]</f>
        <v>1.26</v>
      </c>
      <c r="BX92" s="197">
        <f>Tabela1[[#This Row],[Pré WBC 10³/mm³]]</f>
        <v>14.07</v>
      </c>
      <c r="BY92" s="179">
        <f>Tabela1[[#This Row],[Pós WBC 10³/mm³]]</f>
        <v>13.27</v>
      </c>
      <c r="BZ92" s="125" t="str">
        <f>Tabela1[[#This Row],[Pré NEUT %]]</f>
        <v>-</v>
      </c>
      <c r="CA92" s="125">
        <f>Tabela1[[#This Row],[Pós NEUT %]]</f>
        <v>86.7</v>
      </c>
      <c r="CB92" s="125" t="str">
        <f>Tabela1[[#This Row],[Pré LINF %]]</f>
        <v>-</v>
      </c>
      <c r="CC92" s="125">
        <f>Tabela1[[#This Row],[Pós LINF %]]</f>
        <v>7.6</v>
      </c>
      <c r="CD92" s="125">
        <f>Tabela1[[#This Row],[Pré MONO %]]</f>
        <v>3</v>
      </c>
      <c r="CE92" s="125">
        <f>Tabela1[[#This Row],[Pós MONO %]]</f>
        <v>5.3</v>
      </c>
      <c r="CF92" s="125">
        <f>Tabela1[[#This Row],[Pré EOS %]]</f>
        <v>0.5</v>
      </c>
      <c r="CG92" s="125">
        <f>Tabela1[[#This Row],[Pós EOS %]]</f>
        <v>0.2</v>
      </c>
      <c r="CH92" s="125">
        <f>Tabela1[[#This Row],[Pré BASO %]]</f>
        <v>0.1</v>
      </c>
      <c r="CI92" s="198">
        <f>Tabela1[[#This Row],[Pós BASO %]]</f>
        <v>0.2</v>
      </c>
      <c r="CJ92" s="199" t="str">
        <f t="shared" si="5"/>
        <v>NÃO</v>
      </c>
      <c r="CK92" s="200" t="str">
        <f t="shared" si="6"/>
        <v>SIM</v>
      </c>
      <c r="CL92" s="194">
        <f t="shared" si="7"/>
        <v>77.353679999999997</v>
      </c>
      <c r="CM92" s="125">
        <f>Tabela1[[#This Row],[MCT KG]]</f>
        <v>84.3</v>
      </c>
      <c r="CN92" s="85">
        <f>Tabela1[[#This Row],[ESTATURA]]</f>
        <v>190</v>
      </c>
      <c r="CO92" s="85">
        <f>Tabela1[[#This Row],[vo2max estimado]]</f>
        <v>51.12</v>
      </c>
      <c r="CP92" s="85">
        <f>Tabela1[[#This Row],[Handgrip     Dominante]]</f>
        <v>54.5</v>
      </c>
      <c r="CQ92" s="85">
        <f>Tabela1[[#This Row],[Handgrip Contrário]]</f>
        <v>50.5</v>
      </c>
      <c r="CR92" s="281">
        <f>Tabela1[[#This Row],[% gordura]]</f>
        <v>8.24</v>
      </c>
    </row>
    <row r="93" spans="1:96" ht="15.75" customHeight="1">
      <c r="A93" s="279">
        <f>Tabela1[[#This Row],[Ano]]</f>
        <v>2018</v>
      </c>
      <c r="B93" s="181" t="str">
        <f>Tabela1[[#This Row],[Missão]]</f>
        <v>CIASC</v>
      </c>
      <c r="C93" s="181">
        <f>Tabela1[[#This Row],[Aluno]]</f>
        <v>3183</v>
      </c>
      <c r="D93" s="181">
        <f>Tabela1[[#This Row],[Idade]]</f>
        <v>26</v>
      </c>
      <c r="E93" s="182">
        <f>Tabela1[[#This Row],[Peso Kg]]</f>
        <v>90</v>
      </c>
      <c r="F93" s="191">
        <f>Tabela1[[#This Row],[Cor da pele]]</f>
        <v>1</v>
      </c>
      <c r="G93" s="192" t="str">
        <f>Tabela1[[#This Row],[ACTN3]]</f>
        <v>-</v>
      </c>
      <c r="H93" s="85" t="str">
        <f>Tabela1[[#This Row],[AGT]]</f>
        <v>-</v>
      </c>
      <c r="I93" s="85" t="str">
        <f>Tabela1[[#This Row],[ECA]]</f>
        <v>-</v>
      </c>
      <c r="J93" s="85" t="str">
        <f>Tabela1[[#This Row],[BDKRB2]]</f>
        <v>-</v>
      </c>
      <c r="K93" s="85" t="str">
        <f>Tabela1[[#This Row],[Score Força%]]</f>
        <v>-</v>
      </c>
      <c r="L93" s="193" t="str">
        <f>Tabela1[[#This Row],[Score Resistência %]]</f>
        <v>-</v>
      </c>
      <c r="M93" s="192">
        <f>Tabela1[[#This Row],[Pré CK (U/L)]]</f>
        <v>494</v>
      </c>
      <c r="N93" s="85">
        <f>Tabela1[[#This Row],[Pós CK (U/L)]]</f>
        <v>2787</v>
      </c>
      <c r="O93" s="85">
        <f>Tabela1[[#This Row],[Pré CK MB U/L]]</f>
        <v>3</v>
      </c>
      <c r="P93" s="85">
        <f>Tabela1[[#This Row],[Pós CK MB U/L]]</f>
        <v>47</v>
      </c>
      <c r="Q93" s="85" t="str">
        <f>Tabela1[[#This Row],[Pré Lactato (mmol/L)]]</f>
        <v>-</v>
      </c>
      <c r="R93" s="85" t="str">
        <f>Tabela1[[#This Row],[Pós Lactato (mmol/L)]]</f>
        <v>-</v>
      </c>
      <c r="S93" s="85">
        <f>Tabela1[[#This Row],[Pré LDH (U/L)]]</f>
        <v>659</v>
      </c>
      <c r="T93" s="85">
        <f>Tabela1[[#This Row],[Pós LDH (U/L)]]</f>
        <v>1468</v>
      </c>
      <c r="U93" s="85">
        <f>Tabela1[[#This Row],[Pré AST (U/L)]]</f>
        <v>41</v>
      </c>
      <c r="V93" s="193">
        <f>Tabela1[[#This Row],[Pós AST (U/L)]]</f>
        <v>127</v>
      </c>
      <c r="W93" s="194">
        <f>Tabela1[[#This Row],[Pré Albumina (g/dL)]]</f>
        <v>4.8</v>
      </c>
      <c r="X93" s="125">
        <f>Tabela1[[#This Row],[Pós Albumina (g/dL)]]</f>
        <v>4.3</v>
      </c>
      <c r="Y93" s="85">
        <f>Tabela1[[#This Row],[Pré TGP (g/dL)]]</f>
        <v>42</v>
      </c>
      <c r="Z93" s="85">
        <f>Tabela1[[#This Row],[Pós TGP (g/dL)]]</f>
        <v>121</v>
      </c>
      <c r="AA93" s="85">
        <f>Tabela1[[#This Row],[Pré GGT U/L]]</f>
        <v>21</v>
      </c>
      <c r="AB93" s="193">
        <f>Tabela1[[#This Row],[Pós GGT U/L]]</f>
        <v>19</v>
      </c>
      <c r="AC93" s="194">
        <f>Tabela1[[#This Row],[Pré Ac. Úrico (mg/dL)]]</f>
        <v>4.7</v>
      </c>
      <c r="AD93" s="125">
        <f>Tabela1[[#This Row],[Pós Ac. Úrico (mg/dL)2]]</f>
        <v>5.3</v>
      </c>
      <c r="AE9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9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93" s="85">
        <f>Tabela1[[#This Row],[Pré Ureia mg/dL]]</f>
        <v>36</v>
      </c>
      <c r="AH93" s="85">
        <f>Tabela1[[#This Row],[Pós Ureia mg/dL]]</f>
        <v>35</v>
      </c>
      <c r="AI93" s="125">
        <f>Tabela1[[#This Row],[Pré creatinina mg/dL]]</f>
        <v>1</v>
      </c>
      <c r="AJ93" s="125">
        <f>Tabela1[[#This Row],[Pós creatinina mg/dL]]</f>
        <v>0.9</v>
      </c>
      <c r="AK93" s="180">
        <f t="shared" si="4"/>
        <v>0</v>
      </c>
      <c r="AL93" s="125">
        <f>Tabela1[[#This Row],[Pré Fósforo mg/dL]]</f>
        <v>4.2</v>
      </c>
      <c r="AM93" s="125">
        <f>Tabela1[[#This Row],[Pós Fósforo mg/dL]]</f>
        <v>3.8</v>
      </c>
      <c r="AN93" s="125">
        <f>Tabela1[[#This Row],[Pré Proteína Total (g/dL)]]</f>
        <v>8.3000000000000007</v>
      </c>
      <c r="AO93" s="125">
        <f>Tabela1[[#This Row],[Pós Proteína Total (g/dL)]]</f>
        <v>7.2</v>
      </c>
      <c r="AP93" s="85" t="str">
        <f>Tabela1[[#This Row],[Pré FE (ug/dL)]]</f>
        <v>-</v>
      </c>
      <c r="AQ93" s="193" t="str">
        <f>Tabela1[[#This Row],[Pós FE (ug/dL)]]</f>
        <v>-</v>
      </c>
      <c r="AR93" s="194">
        <f>Tabela1[[#This Row],[Pré calcio mg/dL]]</f>
        <v>9.6</v>
      </c>
      <c r="AS93" s="125">
        <f>Tabela1[[#This Row],[Pós calcio mg/dL]]</f>
        <v>9.6</v>
      </c>
      <c r="AT93" s="125">
        <f>Tabela1[[#This Row],[Pré Potássio mmol/L]]</f>
        <v>5.4</v>
      </c>
      <c r="AU93" s="125">
        <f>Tabela1[[#This Row],[Pós Potássio mmol/L]]</f>
        <v>4.7</v>
      </c>
      <c r="AV93" s="85">
        <f>Tabela1[[#This Row],[Glicose pré]]</f>
        <v>89</v>
      </c>
      <c r="AW93" s="85">
        <f>Tabela1[[#This Row],[Glicose pós]]</f>
        <v>111</v>
      </c>
      <c r="AX93" s="85">
        <f>Tabela1[[#This Row],[Pré Sódio mmol/L]]</f>
        <v>142</v>
      </c>
      <c r="AY93" s="85">
        <f>Tabela1[[#This Row],[Pós Sódio mmol/L]]</f>
        <v>142</v>
      </c>
      <c r="AZ93" s="125">
        <f>Tabela1[[#This Row],[Pré Magnésio mg/dL]]</f>
        <v>2.1</v>
      </c>
      <c r="BA93" s="125">
        <f>Tabela1[[#This Row],[Pós Magnésio mg/dL]]</f>
        <v>2</v>
      </c>
      <c r="BB93" s="85">
        <f>Tabela1[[#This Row],[Pré Cloro mmol/L]]</f>
        <v>102</v>
      </c>
      <c r="BC93" s="85">
        <f>Tabela1[[#This Row],[Pós Cloro mmol/L]]</f>
        <v>104</v>
      </c>
      <c r="BD9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299.85011111111118</v>
      </c>
      <c r="BE9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299.78699999999992</v>
      </c>
      <c r="BF93" s="194">
        <f>Tabela1[[#This Row],[Pré RBC 10^6/mm³]]</f>
        <v>4.99</v>
      </c>
      <c r="BG93" s="125">
        <f>Tabela1[[#This Row],[Pós RBC 10^6/mm³]]</f>
        <v>4.45</v>
      </c>
      <c r="BH93" s="125">
        <f>Tabela1[[#This Row],[Pré HGB g/dL]]</f>
        <v>15.1</v>
      </c>
      <c r="BI93" s="125">
        <f>Tabela1[[#This Row],[Pós HGB g/dL]]</f>
        <v>13.5</v>
      </c>
      <c r="BJ93" s="125">
        <f>Tabela1[[#This Row],[Pré HCT %]]</f>
        <v>47.3</v>
      </c>
      <c r="BK93" s="125">
        <f>Tabela1[[#This Row],[Pós HCT %]]</f>
        <v>39.700000000000003</v>
      </c>
      <c r="BL93" s="125">
        <f>Tabela1[[#This Row],[Pré MCV fL]]</f>
        <v>94.8</v>
      </c>
      <c r="BM93" s="125">
        <f>Tabela1[[#This Row],[Pós MCV fL]]</f>
        <v>89.2</v>
      </c>
      <c r="BN93" s="125">
        <f>Tabela1[[#This Row],[Pré MCH pg]]</f>
        <v>30.3</v>
      </c>
      <c r="BO93" s="125">
        <f>Tabela1[[#This Row],[Pós MCH pg]]</f>
        <v>30.3</v>
      </c>
      <c r="BP93" s="125">
        <f>Tabela1[[#This Row],[Pré MCHC g/dL]]</f>
        <v>31.9</v>
      </c>
      <c r="BQ93" s="125">
        <f>Tabela1[[#This Row],[Pós MCHC g/dL]]</f>
        <v>34</v>
      </c>
      <c r="BR93" s="85">
        <f>Tabela1[[#This Row],[Pré PLT 10³/mm³]]</f>
        <v>302</v>
      </c>
      <c r="BS93" s="85">
        <f>Tabela1[[#This Row],[Pós PLT 10³/mm³]]</f>
        <v>328</v>
      </c>
      <c r="BT93" s="125">
        <f>Tabela1[[#This Row],[Pré RDW %]]</f>
        <v>12.3</v>
      </c>
      <c r="BU93" s="125">
        <f>Tabela1[[#This Row],[Pós RDW %]]</f>
        <v>12.3</v>
      </c>
      <c r="BV93" s="179" t="str">
        <f>Tabela1[[#This Row],[Pré RET %]]</f>
        <v>-</v>
      </c>
      <c r="BW93" s="196">
        <f>Tabela1[[#This Row],[Pós RET %]]</f>
        <v>2.31</v>
      </c>
      <c r="BX93" s="197">
        <f>Tabela1[[#This Row],[Pré WBC 10³/mm³]]</f>
        <v>9.2200000000000006</v>
      </c>
      <c r="BY93" s="179">
        <f>Tabela1[[#This Row],[Pós WBC 10³/mm³]]</f>
        <v>10.8</v>
      </c>
      <c r="BZ93" s="125">
        <f>Tabela1[[#This Row],[Pré NEUT %]]</f>
        <v>78</v>
      </c>
      <c r="CA93" s="125">
        <f>Tabela1[[#This Row],[Pós NEUT %]]</f>
        <v>75.400000000000006</v>
      </c>
      <c r="CB93" s="125">
        <f>Tabela1[[#This Row],[Pré LINF %]]</f>
        <v>15.2</v>
      </c>
      <c r="CC93" s="125">
        <f>Tabela1[[#This Row],[Pós LINF %]]</f>
        <v>15.3</v>
      </c>
      <c r="CD93" s="125">
        <f>Tabela1[[#This Row],[Pré MONO %]]</f>
        <v>5.3</v>
      </c>
      <c r="CE93" s="125">
        <f>Tabela1[[#This Row],[Pós MONO %]]</f>
        <v>7.2</v>
      </c>
      <c r="CF93" s="125">
        <f>Tabela1[[#This Row],[Pré EOS %]]</f>
        <v>1.4</v>
      </c>
      <c r="CG93" s="125">
        <f>Tabela1[[#This Row],[Pós EOS %]]</f>
        <v>1.9</v>
      </c>
      <c r="CH93" s="125">
        <f>Tabela1[[#This Row],[Pré BASO %]]</f>
        <v>0.1</v>
      </c>
      <c r="CI93" s="198">
        <f>Tabela1[[#This Row],[Pós BASO %]]</f>
        <v>0.2</v>
      </c>
      <c r="CJ93" s="199" t="str">
        <f t="shared" si="5"/>
        <v>NÃO</v>
      </c>
      <c r="CK93" s="200" t="str">
        <f t="shared" si="6"/>
        <v>SIM</v>
      </c>
      <c r="CL93" s="194">
        <f t="shared" si="7"/>
        <v>82.441199999999995</v>
      </c>
      <c r="CM93" s="125">
        <f>Tabela1[[#This Row],[MCT KG]]</f>
        <v>92</v>
      </c>
      <c r="CN93" s="85">
        <f>Tabela1[[#This Row],[ESTATURA]]</f>
        <v>174.4</v>
      </c>
      <c r="CO93" s="85">
        <f>Tabela1[[#This Row],[vo2max estimado]]</f>
        <v>49.71</v>
      </c>
      <c r="CP93" s="85">
        <f>Tabela1[[#This Row],[Handgrip     Dominante]]</f>
        <v>55</v>
      </c>
      <c r="CQ93" s="85">
        <f>Tabela1[[#This Row],[Handgrip Contrário]]</f>
        <v>55.5</v>
      </c>
      <c r="CR93" s="281">
        <f>Tabela1[[#This Row],[% gordura]]</f>
        <v>10.39</v>
      </c>
    </row>
    <row r="94" spans="1:96" ht="15.75" customHeight="1">
      <c r="A94" s="279">
        <f>Tabela1[[#This Row],[Ano]]</f>
        <v>2018</v>
      </c>
      <c r="B94" s="181" t="str">
        <f>Tabela1[[#This Row],[Missão]]</f>
        <v>CIASC</v>
      </c>
      <c r="C94" s="181">
        <f>Tabela1[[#This Row],[Aluno]]</f>
        <v>3184</v>
      </c>
      <c r="D94" s="181">
        <f>Tabela1[[#This Row],[Idade]]</f>
        <v>29</v>
      </c>
      <c r="E94" s="182">
        <f>Tabela1[[#This Row],[Peso Kg]]</f>
        <v>76</v>
      </c>
      <c r="F94" s="191">
        <f>Tabela1[[#This Row],[Cor da pele]]</f>
        <v>1</v>
      </c>
      <c r="G94" s="192" t="str">
        <f>Tabela1[[#This Row],[ACTN3]]</f>
        <v>RR</v>
      </c>
      <c r="H94" s="85" t="str">
        <f>Tabela1[[#This Row],[AGT]]</f>
        <v>MT</v>
      </c>
      <c r="I94" s="85" t="str">
        <f>Tabela1[[#This Row],[ECA]]</f>
        <v>II</v>
      </c>
      <c r="J94" s="85" t="str">
        <f>Tabela1[[#This Row],[BDKRB2]]</f>
        <v>(+9,-9)</v>
      </c>
      <c r="K94" s="85">
        <f>Tabela1[[#This Row],[Score Força%]]</f>
        <v>51</v>
      </c>
      <c r="L94" s="193">
        <f>Tabela1[[#This Row],[Score Resistência %]]</f>
        <v>51</v>
      </c>
      <c r="M94" s="192">
        <f>Tabela1[[#This Row],[Pré CK (U/L)]]</f>
        <v>410</v>
      </c>
      <c r="N94" s="85">
        <f>Tabela1[[#This Row],[Pós CK (U/L)]]</f>
        <v>1457</v>
      </c>
      <c r="O94" s="85">
        <f>Tabela1[[#This Row],[Pré CK MB U/L]]</f>
        <v>3</v>
      </c>
      <c r="P94" s="85">
        <f>Tabela1[[#This Row],[Pós CK MB U/L]]</f>
        <v>16</v>
      </c>
      <c r="Q94" s="85" t="str">
        <f>Tabela1[[#This Row],[Pré Lactato (mmol/L)]]</f>
        <v>-</v>
      </c>
      <c r="R94" s="85" t="str">
        <f>Tabela1[[#This Row],[Pós Lactato (mmol/L)]]</f>
        <v>-</v>
      </c>
      <c r="S94" s="85">
        <f>Tabela1[[#This Row],[Pré LDH (U/L)]]</f>
        <v>733</v>
      </c>
      <c r="T94" s="85">
        <f>Tabela1[[#This Row],[Pós LDH (U/L)]]</f>
        <v>1747</v>
      </c>
      <c r="U94" s="85">
        <f>Tabela1[[#This Row],[Pré AST (U/L)]]</f>
        <v>36</v>
      </c>
      <c r="V94" s="193">
        <f>Tabela1[[#This Row],[Pós AST (U/L)]]</f>
        <v>205</v>
      </c>
      <c r="W94" s="194">
        <f>Tabela1[[#This Row],[Pré Albumina (g/dL)]]</f>
        <v>5.0999999999999996</v>
      </c>
      <c r="X94" s="125">
        <f>Tabela1[[#This Row],[Pós Albumina (g/dL)]]</f>
        <v>4.0999999999999996</v>
      </c>
      <c r="Y94" s="85">
        <f>Tabela1[[#This Row],[Pré TGP (g/dL)]]</f>
        <v>44</v>
      </c>
      <c r="Z94" s="85">
        <f>Tabela1[[#This Row],[Pós TGP (g/dL)]]</f>
        <v>191</v>
      </c>
      <c r="AA94" s="85">
        <f>Tabela1[[#This Row],[Pré GGT U/L]]</f>
        <v>65</v>
      </c>
      <c r="AB94" s="193">
        <f>Tabela1[[#This Row],[Pós GGT U/L]]</f>
        <v>312</v>
      </c>
      <c r="AC94" s="194">
        <f>Tabela1[[#This Row],[Pré Ac. Úrico (mg/dL)]]</f>
        <v>4.8</v>
      </c>
      <c r="AD94" s="125">
        <f>Tabela1[[#This Row],[Pós Ac. Úrico (mg/dL)2]]</f>
        <v>6.2</v>
      </c>
      <c r="AE9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76.739527424440993</v>
      </c>
      <c r="AF9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94" s="85">
        <f>Tabela1[[#This Row],[Pré Ureia mg/dL]]</f>
        <v>37</v>
      </c>
      <c r="AH94" s="85">
        <f>Tabela1[[#This Row],[Pós Ureia mg/dL]]</f>
        <v>31</v>
      </c>
      <c r="AI94" s="125">
        <f>Tabela1[[#This Row],[Pré creatinina mg/dL]]</f>
        <v>1.3</v>
      </c>
      <c r="AJ94" s="125">
        <f>Tabela1[[#This Row],[Pós creatinina mg/dL]]</f>
        <v>1.1000000000000001</v>
      </c>
      <c r="AK94" s="180">
        <f t="shared" si="4"/>
        <v>0</v>
      </c>
      <c r="AL94" s="125">
        <f>Tabela1[[#This Row],[Pré Fósforo mg/dL]]</f>
        <v>3.1</v>
      </c>
      <c r="AM94" s="125">
        <f>Tabela1[[#This Row],[Pós Fósforo mg/dL]]</f>
        <v>3.1</v>
      </c>
      <c r="AN94" s="125">
        <f>Tabela1[[#This Row],[Pré Proteína Total (g/dL)]]</f>
        <v>8.5</v>
      </c>
      <c r="AO94" s="125">
        <f>Tabela1[[#This Row],[Pós Proteína Total (g/dL)]]</f>
        <v>6.9</v>
      </c>
      <c r="AP94" s="85" t="str">
        <f>Tabela1[[#This Row],[Pré FE (ug/dL)]]</f>
        <v>-</v>
      </c>
      <c r="AQ94" s="193" t="str">
        <f>Tabela1[[#This Row],[Pós FE (ug/dL)]]</f>
        <v>-</v>
      </c>
      <c r="AR94" s="194">
        <f>Tabela1[[#This Row],[Pré calcio mg/dL]]</f>
        <v>10.199999999999999</v>
      </c>
      <c r="AS94" s="125">
        <f>Tabela1[[#This Row],[Pós calcio mg/dL]]</f>
        <v>9.5</v>
      </c>
      <c r="AT94" s="125">
        <f>Tabela1[[#This Row],[Pré Potássio mmol/L]]</f>
        <v>4.9000000000000004</v>
      </c>
      <c r="AU94" s="125">
        <f>Tabela1[[#This Row],[Pós Potássio mmol/L]]</f>
        <v>4.2</v>
      </c>
      <c r="AV94" s="85">
        <f>Tabela1[[#This Row],[Glicose pré]]</f>
        <v>105</v>
      </c>
      <c r="AW94" s="85">
        <f>Tabela1[[#This Row],[Glicose pós]]</f>
        <v>116</v>
      </c>
      <c r="AX94" s="85">
        <f>Tabela1[[#This Row],[Pré Sódio mmol/L]]</f>
        <v>146</v>
      </c>
      <c r="AY94" s="85">
        <f>Tabela1[[#This Row],[Pós Sódio mmol/L]]</f>
        <v>143</v>
      </c>
      <c r="AZ94" s="125">
        <f>Tabela1[[#This Row],[Pré Magnésio mg/dL]]</f>
        <v>2</v>
      </c>
      <c r="BA94" s="125">
        <f>Tabela1[[#This Row],[Pós Magnésio mg/dL]]</f>
        <v>2.1</v>
      </c>
      <c r="BB94" s="85">
        <f>Tabela1[[#This Row],[Pré Cloro mmol/L]]</f>
        <v>103</v>
      </c>
      <c r="BC94" s="85">
        <f>Tabela1[[#This Row],[Pós Cloro mmol/L]]</f>
        <v>102</v>
      </c>
      <c r="BD9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307.54900000000004</v>
      </c>
      <c r="BE9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300.36977777777776</v>
      </c>
      <c r="BF94" s="194">
        <f>Tabela1[[#This Row],[Pré RBC 10^6/mm³]]</f>
        <v>5.43</v>
      </c>
      <c r="BG94" s="125">
        <f>Tabela1[[#This Row],[Pós RBC 10^6/mm³]]</f>
        <v>4.66</v>
      </c>
      <c r="BH94" s="125">
        <f>Tabela1[[#This Row],[Pré HGB g/dL]]</f>
        <v>14.6</v>
      </c>
      <c r="BI94" s="125">
        <f>Tabela1[[#This Row],[Pós HGB g/dL]]</f>
        <v>12.5</v>
      </c>
      <c r="BJ94" s="125">
        <f>Tabela1[[#This Row],[Pré HCT %]]</f>
        <v>46</v>
      </c>
      <c r="BK94" s="125">
        <f>Tabela1[[#This Row],[Pós HCT %]]</f>
        <v>38.299999999999997</v>
      </c>
      <c r="BL94" s="125">
        <f>Tabela1[[#This Row],[Pré MCV fL]]</f>
        <v>84.7</v>
      </c>
      <c r="BM94" s="125">
        <f>Tabela1[[#This Row],[Pós MCV fL]]</f>
        <v>82.2</v>
      </c>
      <c r="BN94" s="125">
        <f>Tabela1[[#This Row],[Pré MCH pg]]</f>
        <v>26.9</v>
      </c>
      <c r="BO94" s="125">
        <f>Tabela1[[#This Row],[Pós MCH pg]]</f>
        <v>26.8</v>
      </c>
      <c r="BP94" s="125">
        <f>Tabela1[[#This Row],[Pré MCHC g/dL]]</f>
        <v>31.7</v>
      </c>
      <c r="BQ94" s="125">
        <f>Tabela1[[#This Row],[Pós MCHC g/dL]]</f>
        <v>32.6</v>
      </c>
      <c r="BR94" s="85">
        <f>Tabela1[[#This Row],[Pré PLT 10³/mm³]]</f>
        <v>186</v>
      </c>
      <c r="BS94" s="85">
        <f>Tabela1[[#This Row],[Pós PLT 10³/mm³]]</f>
        <v>239</v>
      </c>
      <c r="BT94" s="125">
        <f>Tabela1[[#This Row],[Pré RDW %]]</f>
        <v>14.9</v>
      </c>
      <c r="BU94" s="125">
        <f>Tabela1[[#This Row],[Pós RDW %]]</f>
        <v>14.9</v>
      </c>
      <c r="BV94" s="179" t="str">
        <f>Tabela1[[#This Row],[Pré RET %]]</f>
        <v>-</v>
      </c>
      <c r="BW94" s="196">
        <f>Tabela1[[#This Row],[Pós RET %]]</f>
        <v>1.1499999999999999</v>
      </c>
      <c r="BX94" s="197">
        <f>Tabela1[[#This Row],[Pré WBC 10³/mm³]]</f>
        <v>9.42</v>
      </c>
      <c r="BY94" s="179">
        <f>Tabela1[[#This Row],[Pós WBC 10³/mm³]]</f>
        <v>10</v>
      </c>
      <c r="BZ94" s="125">
        <f>Tabela1[[#This Row],[Pré NEUT %]]</f>
        <v>76.900000000000006</v>
      </c>
      <c r="CA94" s="125">
        <f>Tabela1[[#This Row],[Pós NEUT %]]</f>
        <v>80.599999999999994</v>
      </c>
      <c r="CB94" s="125">
        <f>Tabela1[[#This Row],[Pré LINF %]]</f>
        <v>11</v>
      </c>
      <c r="CC94" s="125">
        <f>Tabela1[[#This Row],[Pós LINF %]]</f>
        <v>7.9</v>
      </c>
      <c r="CD94" s="125">
        <f>Tabela1[[#This Row],[Pré MONO %]]</f>
        <v>11.9</v>
      </c>
      <c r="CE94" s="125">
        <f>Tabela1[[#This Row],[Pós MONO %]]</f>
        <v>11.1</v>
      </c>
      <c r="CF94" s="125">
        <f>Tabela1[[#This Row],[Pré EOS %]]</f>
        <v>0</v>
      </c>
      <c r="CG94" s="125">
        <f>Tabela1[[#This Row],[Pós EOS %]]</f>
        <v>0.4</v>
      </c>
      <c r="CH94" s="125">
        <f>Tabela1[[#This Row],[Pré BASO %]]</f>
        <v>0.2</v>
      </c>
      <c r="CI94" s="198">
        <f>Tabela1[[#This Row],[Pós BASO %]]</f>
        <v>0</v>
      </c>
      <c r="CJ94" s="199" t="str">
        <f t="shared" si="5"/>
        <v>NÃO</v>
      </c>
      <c r="CK94" s="200" t="str">
        <f t="shared" si="6"/>
        <v>SIM</v>
      </c>
      <c r="CL94" s="194">
        <f t="shared" si="7"/>
        <v>68.507199999999997</v>
      </c>
      <c r="CM94" s="125">
        <f>Tabela1[[#This Row],[MCT KG]]</f>
        <v>75.2</v>
      </c>
      <c r="CN94" s="85">
        <f>Tabela1[[#This Row],[ESTATURA]]</f>
        <v>177.6</v>
      </c>
      <c r="CO94" s="85">
        <f>Tabela1[[#This Row],[vo2max estimado]]</f>
        <v>52.26</v>
      </c>
      <c r="CP94" s="85">
        <f>Tabela1[[#This Row],[Handgrip     Dominante]]</f>
        <v>47.5</v>
      </c>
      <c r="CQ94" s="85">
        <f>Tabela1[[#This Row],[Handgrip Contrário]]</f>
        <v>46</v>
      </c>
      <c r="CR94" s="281">
        <f>Tabela1[[#This Row],[% gordura]]</f>
        <v>8.9</v>
      </c>
    </row>
    <row r="95" spans="1:96" ht="15.75" customHeight="1">
      <c r="A95" s="279">
        <f>Tabela1[[#This Row],[Ano]]</f>
        <v>2018</v>
      </c>
      <c r="B95" s="181" t="str">
        <f>Tabela1[[#This Row],[Missão]]</f>
        <v>CIASC</v>
      </c>
      <c r="C95" s="181">
        <f>Tabela1[[#This Row],[Aluno]]</f>
        <v>3185</v>
      </c>
      <c r="D95" s="181">
        <f>Tabela1[[#This Row],[Idade]]</f>
        <v>29</v>
      </c>
      <c r="E95" s="182">
        <f>Tabela1[[#This Row],[Peso Kg]]</f>
        <v>80</v>
      </c>
      <c r="F95" s="191">
        <f>Tabela1[[#This Row],[Cor da pele]]</f>
        <v>1</v>
      </c>
      <c r="G95" s="192" t="str">
        <f>Tabela1[[#This Row],[ACTN3]]</f>
        <v>-</v>
      </c>
      <c r="H95" s="85" t="str">
        <f>Tabela1[[#This Row],[AGT]]</f>
        <v>-</v>
      </c>
      <c r="I95" s="85" t="str">
        <f>Tabela1[[#This Row],[ECA]]</f>
        <v>-</v>
      </c>
      <c r="J95" s="85" t="str">
        <f>Tabela1[[#This Row],[BDKRB2]]</f>
        <v>-</v>
      </c>
      <c r="K95" s="85" t="str">
        <f>Tabela1[[#This Row],[Score Força%]]</f>
        <v>-</v>
      </c>
      <c r="L95" s="193" t="str">
        <f>Tabela1[[#This Row],[Score Resistência %]]</f>
        <v>-</v>
      </c>
      <c r="M95" s="192">
        <f>Tabela1[[#This Row],[Pré CK (U/L)]]</f>
        <v>211</v>
      </c>
      <c r="N95" s="85">
        <f>Tabela1[[#This Row],[Pós CK (U/L)]]</f>
        <v>809</v>
      </c>
      <c r="O95" s="85">
        <f>Tabela1[[#This Row],[Pré CK MB U/L]]</f>
        <v>3</v>
      </c>
      <c r="P95" s="85">
        <f>Tabela1[[#This Row],[Pós CK MB U/L]]</f>
        <v>7</v>
      </c>
      <c r="Q95" s="85" t="str">
        <f>Tabela1[[#This Row],[Pré Lactato (mmol/L)]]</f>
        <v>-</v>
      </c>
      <c r="R95" s="85" t="str">
        <f>Tabela1[[#This Row],[Pós Lactato (mmol/L)]]</f>
        <v>-</v>
      </c>
      <c r="S95" s="85">
        <f>Tabela1[[#This Row],[Pré LDH (U/L)]]</f>
        <v>672</v>
      </c>
      <c r="T95" s="85">
        <f>Tabela1[[#This Row],[Pós LDH (U/L)]]</f>
        <v>981</v>
      </c>
      <c r="U95" s="85">
        <f>Tabela1[[#This Row],[Pré AST (U/L)]]</f>
        <v>50</v>
      </c>
      <c r="V95" s="193">
        <f>Tabela1[[#This Row],[Pós AST (U/L)]]</f>
        <v>128</v>
      </c>
      <c r="W95" s="194">
        <f>Tabela1[[#This Row],[Pré Albumina (g/dL)]]</f>
        <v>5.2</v>
      </c>
      <c r="X95" s="125">
        <f>Tabela1[[#This Row],[Pós Albumina (g/dL)]]</f>
        <v>4.5999999999999996</v>
      </c>
      <c r="Y95" s="85">
        <f>Tabela1[[#This Row],[Pré TGP (g/dL)]]</f>
        <v>54</v>
      </c>
      <c r="Z95" s="85">
        <f>Tabela1[[#This Row],[Pós TGP (g/dL)]]</f>
        <v>152</v>
      </c>
      <c r="AA95" s="85">
        <f>Tabela1[[#This Row],[Pré GGT U/L]]</f>
        <v>44</v>
      </c>
      <c r="AB95" s="193">
        <f>Tabela1[[#This Row],[Pós GGT U/L]]</f>
        <v>50</v>
      </c>
      <c r="AC95" s="194">
        <f>Tabela1[[#This Row],[Pré Ac. Úrico (mg/dL)]]</f>
        <v>5.8</v>
      </c>
      <c r="AD95" s="125">
        <f>Tabela1[[#This Row],[Pós Ac. Úrico (mg/dL)2]]</f>
        <v>6.3</v>
      </c>
      <c r="AE9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9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95" s="85">
        <f>Tabela1[[#This Row],[Pré Ureia mg/dL]]</f>
        <v>44</v>
      </c>
      <c r="AH95" s="85">
        <f>Tabela1[[#This Row],[Pós Ureia mg/dL]]</f>
        <v>45</v>
      </c>
      <c r="AI95" s="125">
        <f>Tabela1[[#This Row],[Pré creatinina mg/dL]]</f>
        <v>1.1000000000000001</v>
      </c>
      <c r="AJ95" s="125">
        <f>Tabela1[[#This Row],[Pós creatinina mg/dL]]</f>
        <v>1</v>
      </c>
      <c r="AK95" s="180">
        <f t="shared" si="4"/>
        <v>0</v>
      </c>
      <c r="AL95" s="125">
        <f>Tabela1[[#This Row],[Pré Fósforo mg/dL]]</f>
        <v>3.5</v>
      </c>
      <c r="AM95" s="125">
        <f>Tabela1[[#This Row],[Pós Fósforo mg/dL]]</f>
        <v>2.7</v>
      </c>
      <c r="AN95" s="125">
        <f>Tabela1[[#This Row],[Pré Proteína Total (g/dL)]]</f>
        <v>7.8</v>
      </c>
      <c r="AO95" s="125">
        <f>Tabela1[[#This Row],[Pós Proteína Total (g/dL)]]</f>
        <v>7</v>
      </c>
      <c r="AP95" s="85" t="str">
        <f>Tabela1[[#This Row],[Pré FE (ug/dL)]]</f>
        <v>-</v>
      </c>
      <c r="AQ95" s="193" t="str">
        <f>Tabela1[[#This Row],[Pós FE (ug/dL)]]</f>
        <v>-</v>
      </c>
      <c r="AR95" s="194">
        <f>Tabela1[[#This Row],[Pré calcio mg/dL]]</f>
        <v>10.199999999999999</v>
      </c>
      <c r="AS95" s="125">
        <f>Tabela1[[#This Row],[Pós calcio mg/dL]]</f>
        <v>9.5</v>
      </c>
      <c r="AT95" s="125">
        <f>Tabela1[[#This Row],[Pré Potássio mmol/L]]</f>
        <v>5.8</v>
      </c>
      <c r="AU95" s="125">
        <f>Tabela1[[#This Row],[Pós Potássio mmol/L]]</f>
        <v>4</v>
      </c>
      <c r="AV95" s="85">
        <f>Tabela1[[#This Row],[Glicose pré]]</f>
        <v>98</v>
      </c>
      <c r="AW95" s="85">
        <f>Tabela1[[#This Row],[Glicose pós]]</f>
        <v>90</v>
      </c>
      <c r="AX95" s="85">
        <f>Tabela1[[#This Row],[Pré Sódio mmol/L]]</f>
        <v>143</v>
      </c>
      <c r="AY95" s="85">
        <f>Tabela1[[#This Row],[Pós Sódio mmol/L]]</f>
        <v>146</v>
      </c>
      <c r="AZ95" s="125">
        <f>Tabela1[[#This Row],[Pré Magnésio mg/dL]]</f>
        <v>2</v>
      </c>
      <c r="BA95" s="125">
        <f>Tabela1[[#This Row],[Pós Magnésio mg/dL]]</f>
        <v>2.4</v>
      </c>
      <c r="BB95" s="85">
        <f>Tabela1[[#This Row],[Pré Cloro mmol/L]]</f>
        <v>104</v>
      </c>
      <c r="BC95" s="85">
        <f>Tabela1[[#This Row],[Pós Cloro mmol/L]]</f>
        <v>104</v>
      </c>
      <c r="BD9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304.36244444444446</v>
      </c>
      <c r="BE9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306.25</v>
      </c>
      <c r="BF95" s="194">
        <f>Tabela1[[#This Row],[Pré RBC 10^6/mm³]]</f>
        <v>4.25</v>
      </c>
      <c r="BG95" s="125">
        <f>Tabela1[[#This Row],[Pós RBC 10^6/mm³]]</f>
        <v>3.82</v>
      </c>
      <c r="BH95" s="125">
        <f>Tabela1[[#This Row],[Pré HGB g/dL]]</f>
        <v>14.3</v>
      </c>
      <c r="BI95" s="125">
        <f>Tabela1[[#This Row],[Pós HGB g/dL]]</f>
        <v>12.8</v>
      </c>
      <c r="BJ95" s="125">
        <f>Tabela1[[#This Row],[Pré HCT %]]</f>
        <v>44.7</v>
      </c>
      <c r="BK95" s="125">
        <f>Tabela1[[#This Row],[Pós HCT %]]</f>
        <v>38.5</v>
      </c>
      <c r="BL95" s="125">
        <f>Tabela1[[#This Row],[Pré MCV fL]]</f>
        <v>105.2</v>
      </c>
      <c r="BM95" s="125">
        <f>Tabela1[[#This Row],[Pós MCV fL]]</f>
        <v>100.8</v>
      </c>
      <c r="BN95" s="125">
        <f>Tabela1[[#This Row],[Pré MCH pg]]</f>
        <v>33.6</v>
      </c>
      <c r="BO95" s="125">
        <f>Tabela1[[#This Row],[Pós MCH pg]]</f>
        <v>33.5</v>
      </c>
      <c r="BP95" s="125">
        <f>Tabela1[[#This Row],[Pré MCHC g/dL]]</f>
        <v>32</v>
      </c>
      <c r="BQ95" s="125">
        <f>Tabela1[[#This Row],[Pós MCHC g/dL]]</f>
        <v>33.200000000000003</v>
      </c>
      <c r="BR95" s="85">
        <f>Tabela1[[#This Row],[Pré PLT 10³/mm³]]</f>
        <v>214</v>
      </c>
      <c r="BS95" s="85">
        <f>Tabela1[[#This Row],[Pós PLT 10³/mm³]]</f>
        <v>237</v>
      </c>
      <c r="BT95" s="125">
        <f>Tabela1[[#This Row],[Pré RDW %]]</f>
        <v>12.5</v>
      </c>
      <c r="BU95" s="125">
        <f>Tabela1[[#This Row],[Pós RDW %]]</f>
        <v>12.4</v>
      </c>
      <c r="BV95" s="179" t="str">
        <f>Tabela1[[#This Row],[Pré RET %]]</f>
        <v>-</v>
      </c>
      <c r="BW95" s="196">
        <f>Tabela1[[#This Row],[Pós RET %]]</f>
        <v>2.2599999999999998</v>
      </c>
      <c r="BX95" s="197">
        <f>Tabela1[[#This Row],[Pré WBC 10³/mm³]]</f>
        <v>9.3800000000000008</v>
      </c>
      <c r="BY95" s="179">
        <f>Tabela1[[#This Row],[Pós WBC 10³/mm³]]</f>
        <v>8.9700000000000006</v>
      </c>
      <c r="BZ95" s="125">
        <f>Tabela1[[#This Row],[Pré NEUT %]]</f>
        <v>85.1</v>
      </c>
      <c r="CA95" s="125">
        <f>Tabela1[[#This Row],[Pós NEUT %]]</f>
        <v>81.5</v>
      </c>
      <c r="CB95" s="125">
        <f>Tabela1[[#This Row],[Pré LINF %]]</f>
        <v>10.3</v>
      </c>
      <c r="CC95" s="125">
        <f>Tabela1[[#This Row],[Pós LINF %]]</f>
        <v>11</v>
      </c>
      <c r="CD95" s="125">
        <f>Tabela1[[#This Row],[Pré MONO %]]</f>
        <v>4.0999999999999996</v>
      </c>
      <c r="CE95" s="125">
        <f>Tabela1[[#This Row],[Pós MONO %]]</f>
        <v>6.6</v>
      </c>
      <c r="CF95" s="125">
        <f>Tabela1[[#This Row],[Pré EOS %]]</f>
        <v>0.3</v>
      </c>
      <c r="CG95" s="125">
        <f>Tabela1[[#This Row],[Pós EOS %]]</f>
        <v>0.7</v>
      </c>
      <c r="CH95" s="125">
        <f>Tabela1[[#This Row],[Pré BASO %]]</f>
        <v>0.2</v>
      </c>
      <c r="CI95" s="198">
        <f>Tabela1[[#This Row],[Pós BASO %]]</f>
        <v>0.2</v>
      </c>
      <c r="CJ95" s="199" t="str">
        <f t="shared" si="5"/>
        <v>NÃO</v>
      </c>
      <c r="CK95" s="200" t="str">
        <f t="shared" si="6"/>
        <v>NÃO</v>
      </c>
      <c r="CL95" s="194">
        <f t="shared" si="7"/>
        <v>66.938670000000002</v>
      </c>
      <c r="CM95" s="125">
        <f>Tabela1[[#This Row],[MCT KG]]</f>
        <v>78.3</v>
      </c>
      <c r="CN95" s="85">
        <f>Tabela1[[#This Row],[ESTATURA]]</f>
        <v>174</v>
      </c>
      <c r="CO95" s="85">
        <f>Tabela1[[#This Row],[vo2max estimado]]</f>
        <v>52.94</v>
      </c>
      <c r="CP95" s="85">
        <f>Tabela1[[#This Row],[Handgrip     Dominante]]</f>
        <v>52</v>
      </c>
      <c r="CQ95" s="85">
        <f>Tabela1[[#This Row],[Handgrip Contrário]]</f>
        <v>44.5</v>
      </c>
      <c r="CR95" s="281">
        <f>Tabela1[[#This Row],[% gordura]]</f>
        <v>14.51</v>
      </c>
    </row>
    <row r="96" spans="1:96" ht="15.75" customHeight="1">
      <c r="A96" s="279">
        <f>Tabela1[[#This Row],[Ano]]</f>
        <v>2018</v>
      </c>
      <c r="B96" s="181" t="str">
        <f>Tabela1[[#This Row],[Missão]]</f>
        <v>CIASC</v>
      </c>
      <c r="C96" s="181">
        <f>Tabela1[[#This Row],[Aluno]]</f>
        <v>3186</v>
      </c>
      <c r="D96" s="181">
        <f>Tabela1[[#This Row],[Idade]]</f>
        <v>27</v>
      </c>
      <c r="E96" s="182">
        <f>Tabela1[[#This Row],[Peso Kg]]</f>
        <v>79</v>
      </c>
      <c r="F96" s="191">
        <f>Tabela1[[#This Row],[Cor da pele]]</f>
        <v>2</v>
      </c>
      <c r="G96" s="192" t="str">
        <f>Tabela1[[#This Row],[ACTN3]]</f>
        <v>XX</v>
      </c>
      <c r="H96" s="85" t="str">
        <f>Tabela1[[#This Row],[AGT]]</f>
        <v>MT</v>
      </c>
      <c r="I96" s="85" t="str">
        <f>Tabela1[[#This Row],[ECA]]</f>
        <v>ID</v>
      </c>
      <c r="J96" s="85" t="str">
        <f>Tabela1[[#This Row],[BDKRB2]]</f>
        <v>(-9,-9)</v>
      </c>
      <c r="K96" s="85">
        <f>Tabela1[[#This Row],[Score Força%]]</f>
        <v>25</v>
      </c>
      <c r="L96" s="193">
        <f>Tabela1[[#This Row],[Score Resistência %]]</f>
        <v>75</v>
      </c>
      <c r="M96" s="192">
        <f>Tabela1[[#This Row],[Pré CK (U/L)]]</f>
        <v>652</v>
      </c>
      <c r="N96" s="85">
        <f>Tabela1[[#This Row],[Pós CK (U/L)]]</f>
        <v>2029</v>
      </c>
      <c r="O96" s="85">
        <f>Tabela1[[#This Row],[Pré CK MB U/L]]</f>
        <v>8</v>
      </c>
      <c r="P96" s="85">
        <f>Tabela1[[#This Row],[Pós CK MB U/L]]</f>
        <v>27</v>
      </c>
      <c r="Q96" s="85" t="str">
        <f>Tabela1[[#This Row],[Pré Lactato (mmol/L)]]</f>
        <v>-</v>
      </c>
      <c r="R96" s="85" t="str">
        <f>Tabela1[[#This Row],[Pós Lactato (mmol/L)]]</f>
        <v>-</v>
      </c>
      <c r="S96" s="85">
        <f>Tabela1[[#This Row],[Pré LDH (U/L)]]</f>
        <v>669</v>
      </c>
      <c r="T96" s="85">
        <f>Tabela1[[#This Row],[Pós LDH (U/L)]]</f>
        <v>1082</v>
      </c>
      <c r="U96" s="85">
        <f>Tabela1[[#This Row],[Pré AST (U/L)]]</f>
        <v>55</v>
      </c>
      <c r="V96" s="193">
        <f>Tabela1[[#This Row],[Pós AST (U/L)]]</f>
        <v>126</v>
      </c>
      <c r="W96" s="194">
        <f>Tabela1[[#This Row],[Pré Albumina (g/dL)]]</f>
        <v>5</v>
      </c>
      <c r="X96" s="125">
        <f>Tabela1[[#This Row],[Pós Albumina (g/dL)]]</f>
        <v>4.5</v>
      </c>
      <c r="Y96" s="85">
        <f>Tabela1[[#This Row],[Pré TGP (g/dL)]]</f>
        <v>44</v>
      </c>
      <c r="Z96" s="85">
        <f>Tabela1[[#This Row],[Pós TGP (g/dL)]]</f>
        <v>112</v>
      </c>
      <c r="AA96" s="85">
        <f>Tabela1[[#This Row],[Pré GGT U/L]]</f>
        <v>29</v>
      </c>
      <c r="AB96" s="193">
        <f>Tabela1[[#This Row],[Pós GGT U/L]]</f>
        <v>25</v>
      </c>
      <c r="AC96" s="194">
        <f>Tabela1[[#This Row],[Pré Ac. Úrico (mg/dL)]]</f>
        <v>4.7</v>
      </c>
      <c r="AD96" s="125">
        <f>Tabela1[[#This Row],[Pós Ac. Úrico (mg/dL)2]]</f>
        <v>4.7</v>
      </c>
      <c r="AE9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9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96" s="85">
        <f>Tabela1[[#This Row],[Pré Ureia mg/dL]]</f>
        <v>39</v>
      </c>
      <c r="AH96" s="85">
        <f>Tabela1[[#This Row],[Pós Ureia mg/dL]]</f>
        <v>43</v>
      </c>
      <c r="AI96" s="125">
        <f>Tabela1[[#This Row],[Pré creatinina mg/dL]]</f>
        <v>1.1000000000000001</v>
      </c>
      <c r="AJ96" s="125">
        <f>Tabela1[[#This Row],[Pós creatinina mg/dL]]</f>
        <v>1</v>
      </c>
      <c r="AK96" s="180">
        <f t="shared" si="4"/>
        <v>0</v>
      </c>
      <c r="AL96" s="125">
        <f>Tabela1[[#This Row],[Pré Fósforo mg/dL]]</f>
        <v>4.0999999999999996</v>
      </c>
      <c r="AM96" s="125">
        <f>Tabela1[[#This Row],[Pós Fósforo mg/dL]]</f>
        <v>3.4</v>
      </c>
      <c r="AN96" s="125">
        <f>Tabela1[[#This Row],[Pré Proteína Total (g/dL)]]</f>
        <v>8.3000000000000007</v>
      </c>
      <c r="AO96" s="125">
        <f>Tabela1[[#This Row],[Pós Proteína Total (g/dL)]]</f>
        <v>7.4</v>
      </c>
      <c r="AP96" s="85" t="str">
        <f>Tabela1[[#This Row],[Pré FE (ug/dL)]]</f>
        <v>-</v>
      </c>
      <c r="AQ96" s="193" t="str">
        <f>Tabela1[[#This Row],[Pós FE (ug/dL)]]</f>
        <v>-</v>
      </c>
      <c r="AR96" s="194">
        <f>Tabela1[[#This Row],[Pré calcio mg/dL]]</f>
        <v>10.6</v>
      </c>
      <c r="AS96" s="125">
        <f>Tabela1[[#This Row],[Pós calcio mg/dL]]</f>
        <v>9.8000000000000007</v>
      </c>
      <c r="AT96" s="125">
        <f>Tabela1[[#This Row],[Pré Potássio mmol/L]]</f>
        <v>4.9000000000000004</v>
      </c>
      <c r="AU96" s="125">
        <f>Tabela1[[#This Row],[Pós Potássio mmol/L]]</f>
        <v>4.4000000000000004</v>
      </c>
      <c r="AV96" s="85">
        <f>Tabela1[[#This Row],[Glicose pré]]</f>
        <v>99</v>
      </c>
      <c r="AW96" s="85">
        <f>Tabela1[[#This Row],[Glicose pós]]</f>
        <v>105</v>
      </c>
      <c r="AX96" s="85">
        <f>Tabela1[[#This Row],[Pré Sódio mmol/L]]</f>
        <v>144</v>
      </c>
      <c r="AY96" s="85">
        <f>Tabela1[[#This Row],[Pós Sódio mmol/L]]</f>
        <v>138</v>
      </c>
      <c r="AZ96" s="125">
        <f>Tabela1[[#This Row],[Pré Magnésio mg/dL]]</f>
        <v>2.1</v>
      </c>
      <c r="BA96" s="125">
        <f>Tabela1[[#This Row],[Pós Magnésio mg/dL]]</f>
        <v>2.2000000000000002</v>
      </c>
      <c r="BB96" s="85">
        <f>Tabela1[[#This Row],[Pré Cloro mmol/L]]</f>
        <v>100</v>
      </c>
      <c r="BC96" s="85">
        <f>Tabela1[[#This Row],[Pós Cloro mmol/L]]</f>
        <v>103</v>
      </c>
      <c r="BD9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303.779</v>
      </c>
      <c r="BE9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292.73900000000003</v>
      </c>
      <c r="BF96" s="194">
        <f>Tabela1[[#This Row],[Pré RBC 10^6/mm³]]</f>
        <v>5.01</v>
      </c>
      <c r="BG96" s="125">
        <f>Tabela1[[#This Row],[Pós RBC 10^6/mm³]]</f>
        <v>4.68</v>
      </c>
      <c r="BH96" s="125">
        <f>Tabela1[[#This Row],[Pré HGB g/dL]]</f>
        <v>14.2</v>
      </c>
      <c r="BI96" s="125">
        <f>Tabela1[[#This Row],[Pós HGB g/dL]]</f>
        <v>13.4</v>
      </c>
      <c r="BJ96" s="125">
        <f>Tabela1[[#This Row],[Pré HCT %]]</f>
        <v>45.5</v>
      </c>
      <c r="BK96" s="125">
        <f>Tabela1[[#This Row],[Pós HCT %]]</f>
        <v>41.3</v>
      </c>
      <c r="BL96" s="125">
        <f>Tabela1[[#This Row],[Pré MCV fL]]</f>
        <v>90.8</v>
      </c>
      <c r="BM96" s="125">
        <f>Tabela1[[#This Row],[Pós MCV fL]]</f>
        <v>88.2</v>
      </c>
      <c r="BN96" s="125">
        <f>Tabela1[[#This Row],[Pré MCH pg]]</f>
        <v>28.3</v>
      </c>
      <c r="BO96" s="125">
        <f>Tabela1[[#This Row],[Pós MCH pg]]</f>
        <v>28.6</v>
      </c>
      <c r="BP96" s="125">
        <f>Tabela1[[#This Row],[Pré MCHC g/dL]]</f>
        <v>31.2</v>
      </c>
      <c r="BQ96" s="125">
        <f>Tabela1[[#This Row],[Pós MCHC g/dL]]</f>
        <v>32.4</v>
      </c>
      <c r="BR96" s="85">
        <f>Tabela1[[#This Row],[Pré PLT 10³/mm³]]</f>
        <v>251</v>
      </c>
      <c r="BS96" s="85">
        <f>Tabela1[[#This Row],[Pós PLT 10³/mm³]]</f>
        <v>275</v>
      </c>
      <c r="BT96" s="125">
        <f>Tabela1[[#This Row],[Pré RDW %]]</f>
        <v>13.2</v>
      </c>
      <c r="BU96" s="125">
        <f>Tabela1[[#This Row],[Pós RDW %]]</f>
        <v>13.4</v>
      </c>
      <c r="BV96" s="179" t="str">
        <f>Tabela1[[#This Row],[Pré RET %]]</f>
        <v>-</v>
      </c>
      <c r="BW96" s="196">
        <f>Tabela1[[#This Row],[Pós RET %]]</f>
        <v>1.52</v>
      </c>
      <c r="BX96" s="197">
        <f>Tabela1[[#This Row],[Pré WBC 10³/mm³]]</f>
        <v>8.56</v>
      </c>
      <c r="BY96" s="179">
        <f>Tabela1[[#This Row],[Pós WBC 10³/mm³]]</f>
        <v>8.67</v>
      </c>
      <c r="BZ96" s="125">
        <f>Tabela1[[#This Row],[Pré NEUT %]]</f>
        <v>72.8</v>
      </c>
      <c r="CA96" s="125">
        <f>Tabela1[[#This Row],[Pós NEUT %]]</f>
        <v>71.599999999999994</v>
      </c>
      <c r="CB96" s="125">
        <f>Tabela1[[#This Row],[Pré LINF %]]</f>
        <v>19.5</v>
      </c>
      <c r="CC96" s="125">
        <f>Tabela1[[#This Row],[Pós LINF %]]</f>
        <v>18.5</v>
      </c>
      <c r="CD96" s="125">
        <f>Tabela1[[#This Row],[Pré MONO %]]</f>
        <v>6.8</v>
      </c>
      <c r="CE96" s="125">
        <f>Tabela1[[#This Row],[Pós MONO %]]</f>
        <v>7.6</v>
      </c>
      <c r="CF96" s="125">
        <f>Tabela1[[#This Row],[Pré EOS %]]</f>
        <v>0.7</v>
      </c>
      <c r="CG96" s="125">
        <f>Tabela1[[#This Row],[Pós EOS %]]</f>
        <v>1.6</v>
      </c>
      <c r="CH96" s="125">
        <f>Tabela1[[#This Row],[Pré BASO %]]</f>
        <v>0.2</v>
      </c>
      <c r="CI96" s="198">
        <f>Tabela1[[#This Row],[Pós BASO %]]</f>
        <v>0.7</v>
      </c>
      <c r="CJ96" s="199" t="str">
        <f t="shared" si="5"/>
        <v>NÃO</v>
      </c>
      <c r="CK96" s="200" t="str">
        <f t="shared" si="6"/>
        <v>SIM</v>
      </c>
      <c r="CL96" s="194">
        <f t="shared" si="7"/>
        <v>73.124520000000004</v>
      </c>
      <c r="CM96" s="125">
        <f>Tabela1[[#This Row],[MCT KG]]</f>
        <v>78.900000000000006</v>
      </c>
      <c r="CN96" s="85">
        <f>Tabela1[[#This Row],[ESTATURA]]</f>
        <v>181.5</v>
      </c>
      <c r="CO96" s="85">
        <f>Tabela1[[#This Row],[vo2max estimado]]</f>
        <v>51.65</v>
      </c>
      <c r="CP96" s="85">
        <f>Tabela1[[#This Row],[Handgrip     Dominante]]</f>
        <v>47.5</v>
      </c>
      <c r="CQ96" s="85">
        <f>Tabela1[[#This Row],[Handgrip Contrário]]</f>
        <v>47.5</v>
      </c>
      <c r="CR96" s="281">
        <f>Tabela1[[#This Row],[% gordura]]</f>
        <v>7.32</v>
      </c>
    </row>
    <row r="97" spans="1:96" ht="15.75" customHeight="1">
      <c r="A97" s="279">
        <f>Tabela1[[#This Row],[Ano]]</f>
        <v>2018</v>
      </c>
      <c r="B97" s="181" t="str">
        <f>Tabela1[[#This Row],[Missão]]</f>
        <v>CIASC</v>
      </c>
      <c r="C97" s="181">
        <f>Tabela1[[#This Row],[Aluno]]</f>
        <v>3187</v>
      </c>
      <c r="D97" s="181">
        <f>Tabela1[[#This Row],[Idade]]</f>
        <v>25</v>
      </c>
      <c r="E97" s="182">
        <f>Tabela1[[#This Row],[Peso Kg]]</f>
        <v>90</v>
      </c>
      <c r="F97" s="191">
        <f>Tabela1[[#This Row],[Cor da pele]]</f>
        <v>1</v>
      </c>
      <c r="G97" s="192" t="str">
        <f>Tabela1[[#This Row],[ACTN3]]</f>
        <v>RX</v>
      </c>
      <c r="H97" s="85" t="str">
        <f>Tabela1[[#This Row],[AGT]]</f>
        <v>MM</v>
      </c>
      <c r="I97" s="85" t="str">
        <f>Tabela1[[#This Row],[ECA]]</f>
        <v>II</v>
      </c>
      <c r="J97" s="85" t="str">
        <f>Tabela1[[#This Row],[BDKRB2]]</f>
        <v>(+9,-9)</v>
      </c>
      <c r="K97" s="85">
        <f>Tabela1[[#This Row],[Score Força%]]</f>
        <v>25</v>
      </c>
      <c r="L97" s="193">
        <f>Tabela1[[#This Row],[Score Resistência %]]</f>
        <v>75</v>
      </c>
      <c r="M97" s="192">
        <f>Tabela1[[#This Row],[Pré CK (U/L)]]</f>
        <v>944</v>
      </c>
      <c r="N97" s="85">
        <f>Tabela1[[#This Row],[Pós CK (U/L)]]</f>
        <v>2302</v>
      </c>
      <c r="O97" s="85">
        <f>Tabela1[[#This Row],[Pré CK MB U/L]]</f>
        <v>3</v>
      </c>
      <c r="P97" s="85">
        <f>Tabela1[[#This Row],[Pós CK MB U/L]]</f>
        <v>33</v>
      </c>
      <c r="Q97" s="85" t="str">
        <f>Tabela1[[#This Row],[Pré Lactato (mmol/L)]]</f>
        <v>-</v>
      </c>
      <c r="R97" s="85" t="str">
        <f>Tabela1[[#This Row],[Pós Lactato (mmol/L)]]</f>
        <v>-</v>
      </c>
      <c r="S97" s="85">
        <f>Tabela1[[#This Row],[Pré LDH (U/L)]]</f>
        <v>664</v>
      </c>
      <c r="T97" s="85">
        <f>Tabela1[[#This Row],[Pós LDH (U/L)]]</f>
        <v>974</v>
      </c>
      <c r="U97" s="85">
        <f>Tabela1[[#This Row],[Pré AST (U/L)]]</f>
        <v>57</v>
      </c>
      <c r="V97" s="193">
        <f>Tabela1[[#This Row],[Pós AST (U/L)]]</f>
        <v>93</v>
      </c>
      <c r="W97" s="194">
        <f>Tabela1[[#This Row],[Pré Albumina (g/dL)]]</f>
        <v>5.0999999999999996</v>
      </c>
      <c r="X97" s="125">
        <f>Tabela1[[#This Row],[Pós Albumina (g/dL)]]</f>
        <v>4.5</v>
      </c>
      <c r="Y97" s="85">
        <f>Tabela1[[#This Row],[Pré TGP (g/dL)]]</f>
        <v>45</v>
      </c>
      <c r="Z97" s="85">
        <f>Tabela1[[#This Row],[Pós TGP (g/dL)]]</f>
        <v>74</v>
      </c>
      <c r="AA97" s="85">
        <f>Tabela1[[#This Row],[Pré GGT U/L]]</f>
        <v>33</v>
      </c>
      <c r="AB97" s="193">
        <f>Tabela1[[#This Row],[Pós GGT U/L]]</f>
        <v>27</v>
      </c>
      <c r="AC97" s="194" t="str">
        <f>Tabela1[[#This Row],[Pré Ac. Úrico (mg/dL)]]</f>
        <v>-</v>
      </c>
      <c r="AD97" s="125">
        <f>Tabela1[[#This Row],[Pós Ac. Úrico (mg/dL)2]]</f>
        <v>5.3</v>
      </c>
      <c r="AE9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9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97" s="85">
        <f>Tabela1[[#This Row],[Pré Ureia mg/dL]]</f>
        <v>42</v>
      </c>
      <c r="AH97" s="85">
        <f>Tabela1[[#This Row],[Pós Ureia mg/dL]]</f>
        <v>41</v>
      </c>
      <c r="AI97" s="125">
        <f>Tabela1[[#This Row],[Pré creatinina mg/dL]]</f>
        <v>1.2</v>
      </c>
      <c r="AJ97" s="125">
        <f>Tabela1[[#This Row],[Pós creatinina mg/dL]]</f>
        <v>1.1000000000000001</v>
      </c>
      <c r="AK97" s="180">
        <f t="shared" si="4"/>
        <v>0</v>
      </c>
      <c r="AL97" s="125">
        <f>Tabela1[[#This Row],[Pré Fósforo mg/dL]]</f>
        <v>4.7</v>
      </c>
      <c r="AM97" s="125">
        <f>Tabela1[[#This Row],[Pós Fósforo mg/dL]]</f>
        <v>3.8</v>
      </c>
      <c r="AN97" s="125">
        <f>Tabela1[[#This Row],[Pré Proteína Total (g/dL)]]</f>
        <v>8.5</v>
      </c>
      <c r="AO97" s="125">
        <f>Tabela1[[#This Row],[Pós Proteína Total (g/dL)]]</f>
        <v>7.3</v>
      </c>
      <c r="AP97" s="85" t="str">
        <f>Tabela1[[#This Row],[Pré FE (ug/dL)]]</f>
        <v>-</v>
      </c>
      <c r="AQ97" s="193" t="str">
        <f>Tabela1[[#This Row],[Pós FE (ug/dL)]]</f>
        <v>-</v>
      </c>
      <c r="AR97" s="194">
        <f>Tabela1[[#This Row],[Pré calcio mg/dL]]</f>
        <v>10.4</v>
      </c>
      <c r="AS97" s="125">
        <f>Tabela1[[#This Row],[Pós calcio mg/dL]]</f>
        <v>9.6</v>
      </c>
      <c r="AT97" s="125">
        <f>Tabela1[[#This Row],[Pré Potássio mmol/L]]</f>
        <v>6</v>
      </c>
      <c r="AU97" s="125">
        <f>Tabela1[[#This Row],[Pós Potássio mmol/L]]</f>
        <v>4.2</v>
      </c>
      <c r="AV97" s="85">
        <f>Tabela1[[#This Row],[Glicose pré]]</f>
        <v>100</v>
      </c>
      <c r="AW97" s="85">
        <f>Tabela1[[#This Row],[Glicose pós]]</f>
        <v>93</v>
      </c>
      <c r="AX97" s="85">
        <f>Tabela1[[#This Row],[Pré Sódio mmol/L]]</f>
        <v>144</v>
      </c>
      <c r="AY97" s="85">
        <f>Tabela1[[#This Row],[Pós Sódio mmol/L]]</f>
        <v>142</v>
      </c>
      <c r="AZ97" s="125" t="str">
        <f>Tabela1[[#This Row],[Pré Magnésio mg/dL]]</f>
        <v>-</v>
      </c>
      <c r="BA97" s="125">
        <f>Tabela1[[#This Row],[Pós Magnésio mg/dL]]</f>
        <v>2.2000000000000002</v>
      </c>
      <c r="BB97" s="85" t="str">
        <f>Tabela1[[#This Row],[Pré Cloro mmol/L]]</f>
        <v>-</v>
      </c>
      <c r="BC97" s="85">
        <f>Tabela1[[#This Row],[Pós Cloro mmol/L]]</f>
        <v>103</v>
      </c>
      <c r="BD9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306.38888888888891</v>
      </c>
      <c r="BE9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298.70699999999999</v>
      </c>
      <c r="BF97" s="194">
        <f>Tabela1[[#This Row],[Pré RBC 10^6/mm³]]</f>
        <v>4.84</v>
      </c>
      <c r="BG97" s="125">
        <f>Tabela1[[#This Row],[Pós RBC 10^6/mm³]]</f>
        <v>4.3099999999999996</v>
      </c>
      <c r="BH97" s="125">
        <f>Tabela1[[#This Row],[Pré HGB g/dL]]</f>
        <v>14.3</v>
      </c>
      <c r="BI97" s="125">
        <f>Tabela1[[#This Row],[Pós HGB g/dL]]</f>
        <v>13</v>
      </c>
      <c r="BJ97" s="125">
        <f>Tabela1[[#This Row],[Pré HCT %]]</f>
        <v>44.1</v>
      </c>
      <c r="BK97" s="125">
        <f>Tabela1[[#This Row],[Pós HCT %]]</f>
        <v>37.299999999999997</v>
      </c>
      <c r="BL97" s="125">
        <f>Tabela1[[#This Row],[Pré MCV fL]]</f>
        <v>91.1</v>
      </c>
      <c r="BM97" s="125">
        <f>Tabela1[[#This Row],[Pós MCV fL]]</f>
        <v>86.5</v>
      </c>
      <c r="BN97" s="125">
        <f>Tabela1[[#This Row],[Pré MCH pg]]</f>
        <v>29.5</v>
      </c>
      <c r="BO97" s="125">
        <f>Tabela1[[#This Row],[Pós MCH pg]]</f>
        <v>30.2</v>
      </c>
      <c r="BP97" s="125">
        <f>Tabela1[[#This Row],[Pré MCHC g/dL]]</f>
        <v>32.4</v>
      </c>
      <c r="BQ97" s="125">
        <f>Tabela1[[#This Row],[Pós MCHC g/dL]]</f>
        <v>34.9</v>
      </c>
      <c r="BR97" s="85">
        <f>Tabela1[[#This Row],[Pré PLT 10³/mm³]]</f>
        <v>209</v>
      </c>
      <c r="BS97" s="85">
        <f>Tabela1[[#This Row],[Pós PLT 10³/mm³]]</f>
        <v>278</v>
      </c>
      <c r="BT97" s="125">
        <f>Tabela1[[#This Row],[Pré RDW %]]</f>
        <v>12.8</v>
      </c>
      <c r="BU97" s="125">
        <f>Tabela1[[#This Row],[Pós RDW %]]</f>
        <v>12.7</v>
      </c>
      <c r="BV97" s="179" t="str">
        <f>Tabela1[[#This Row],[Pré RET %]]</f>
        <v>-</v>
      </c>
      <c r="BW97" s="196">
        <f>Tabela1[[#This Row],[Pós RET %]]</f>
        <v>1.26</v>
      </c>
      <c r="BX97" s="197">
        <f>Tabela1[[#This Row],[Pré WBC 10³/mm³]]</f>
        <v>3.7</v>
      </c>
      <c r="BY97" s="179">
        <f>Tabela1[[#This Row],[Pós WBC 10³/mm³]]</f>
        <v>11.37</v>
      </c>
      <c r="BZ97" s="125">
        <f>Tabela1[[#This Row],[Pré NEUT %]]</f>
        <v>53.8</v>
      </c>
      <c r="CA97" s="125">
        <f>Tabela1[[#This Row],[Pós NEUT %]]</f>
        <v>73.099999999999994</v>
      </c>
      <c r="CB97" s="125">
        <f>Tabela1[[#This Row],[Pré LINF %]]</f>
        <v>32.700000000000003</v>
      </c>
      <c r="CC97" s="125">
        <f>Tabela1[[#This Row],[Pós LINF %]]</f>
        <v>17.5</v>
      </c>
      <c r="CD97" s="125">
        <f>Tabela1[[#This Row],[Pré MONO %]]</f>
        <v>8.6</v>
      </c>
      <c r="CE97" s="125">
        <f>Tabela1[[#This Row],[Pós MONO %]]</f>
        <v>5.4</v>
      </c>
      <c r="CF97" s="125">
        <f>Tabela1[[#This Row],[Pré EOS %]]</f>
        <v>4.0999999999999996</v>
      </c>
      <c r="CG97" s="125">
        <f>Tabela1[[#This Row],[Pós EOS %]]</f>
        <v>3.4</v>
      </c>
      <c r="CH97" s="125">
        <f>Tabela1[[#This Row],[Pré BASO %]]</f>
        <v>0.8</v>
      </c>
      <c r="CI97" s="198">
        <f>Tabela1[[#This Row],[Pós BASO %]]</f>
        <v>0.6</v>
      </c>
      <c r="CJ97" s="199" t="str">
        <f t="shared" si="5"/>
        <v>NÃO</v>
      </c>
      <c r="CK97" s="200" t="str">
        <f t="shared" si="6"/>
        <v>SIM</v>
      </c>
      <c r="CL97" s="194">
        <f t="shared" si="7"/>
        <v>79.512460000000004</v>
      </c>
      <c r="CM97" s="125">
        <f>Tabela1[[#This Row],[MCT KG]]</f>
        <v>85.7</v>
      </c>
      <c r="CN97" s="85">
        <f>Tabela1[[#This Row],[ESTATURA]]</f>
        <v>185</v>
      </c>
      <c r="CO97" s="85">
        <f>Tabela1[[#This Row],[vo2max estimado]]</f>
        <v>52.04</v>
      </c>
      <c r="CP97" s="85">
        <f>Tabela1[[#This Row],[Handgrip     Dominante]]</f>
        <v>50</v>
      </c>
      <c r="CQ97" s="85">
        <f>Tabela1[[#This Row],[Handgrip Contrário]]</f>
        <v>50</v>
      </c>
      <c r="CR97" s="281">
        <f>Tabela1[[#This Row],[% gordura]]</f>
        <v>7.22</v>
      </c>
    </row>
    <row r="98" spans="1:96" ht="15.75" customHeight="1">
      <c r="A98" s="279">
        <f>Tabela1[[#This Row],[Ano]]</f>
        <v>2018</v>
      </c>
      <c r="B98" s="181" t="str">
        <f>Tabela1[[#This Row],[Missão]]</f>
        <v>CIASC</v>
      </c>
      <c r="C98" s="181">
        <f>Tabela1[[#This Row],[Aluno]]</f>
        <v>3189</v>
      </c>
      <c r="D98" s="181">
        <f>Tabela1[[#This Row],[Idade]]</f>
        <v>28</v>
      </c>
      <c r="E98" s="182">
        <f>Tabela1[[#This Row],[Peso Kg]]</f>
        <v>78</v>
      </c>
      <c r="F98" s="191">
        <f>Tabela1[[#This Row],[Cor da pele]]</f>
        <v>2</v>
      </c>
      <c r="G98" s="192" t="str">
        <f>Tabela1[[#This Row],[ACTN3]]</f>
        <v>RR</v>
      </c>
      <c r="H98" s="85" t="str">
        <f>Tabela1[[#This Row],[AGT]]</f>
        <v>MT</v>
      </c>
      <c r="I98" s="85" t="str">
        <f>Tabela1[[#This Row],[ECA]]</f>
        <v>ID</v>
      </c>
      <c r="J98" s="85" t="str">
        <f>Tabela1[[#This Row],[BDKRB2]]</f>
        <v>(+9,-9)</v>
      </c>
      <c r="K98" s="85">
        <f>Tabela1[[#This Row],[Score Força%]]</f>
        <v>212.5</v>
      </c>
      <c r="L98" s="193">
        <f>Tabela1[[#This Row],[Score Resistência %]]</f>
        <v>-112.5</v>
      </c>
      <c r="M98" s="192">
        <f>Tabela1[[#This Row],[Pré CK (U/L)]]</f>
        <v>168</v>
      </c>
      <c r="N98" s="85">
        <f>Tabela1[[#This Row],[Pós CK (U/L)]]</f>
        <v>958</v>
      </c>
      <c r="O98" s="85">
        <f>Tabela1[[#This Row],[Pré CK MB U/L]]</f>
        <v>8</v>
      </c>
      <c r="P98" s="85">
        <f>Tabela1[[#This Row],[Pós CK MB U/L]]</f>
        <v>18</v>
      </c>
      <c r="Q98" s="85" t="str">
        <f>Tabela1[[#This Row],[Pré Lactato (mmol/L)]]</f>
        <v>-</v>
      </c>
      <c r="R98" s="85" t="str">
        <f>Tabela1[[#This Row],[Pós Lactato (mmol/L)]]</f>
        <v>-</v>
      </c>
      <c r="S98" s="85">
        <f>Tabela1[[#This Row],[Pré LDH (U/L)]]</f>
        <v>831</v>
      </c>
      <c r="T98" s="85">
        <f>Tabela1[[#This Row],[Pós LDH (U/L)]]</f>
        <v>1341</v>
      </c>
      <c r="U98" s="85">
        <f>Tabela1[[#This Row],[Pré AST (U/L)]]</f>
        <v>60</v>
      </c>
      <c r="V98" s="193">
        <f>Tabela1[[#This Row],[Pós AST (U/L)]]</f>
        <v>160</v>
      </c>
      <c r="W98" s="194">
        <f>Tabela1[[#This Row],[Pré Albumina (g/dL)]]</f>
        <v>5.2</v>
      </c>
      <c r="X98" s="125">
        <f>Tabela1[[#This Row],[Pós Albumina (g/dL)]]</f>
        <v>4.5999999999999996</v>
      </c>
      <c r="Y98" s="85">
        <f>Tabela1[[#This Row],[Pré TGP (g/dL)]]</f>
        <v>67</v>
      </c>
      <c r="Z98" s="85">
        <f>Tabela1[[#This Row],[Pós TGP (g/dL)]]</f>
        <v>176</v>
      </c>
      <c r="AA98" s="85">
        <f>Tabela1[[#This Row],[Pré GGT U/L]]</f>
        <v>82</v>
      </c>
      <c r="AB98" s="193">
        <f>Tabela1[[#This Row],[Pós GGT U/L]]</f>
        <v>113</v>
      </c>
      <c r="AC98" s="194">
        <f>Tabela1[[#This Row],[Pré Ac. Úrico (mg/dL)]]</f>
        <v>6.9</v>
      </c>
      <c r="AD98" s="125">
        <f>Tabela1[[#This Row],[Pós Ac. Úrico (mg/dL)2]]</f>
        <v>5.5</v>
      </c>
      <c r="AE9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9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98" s="85">
        <f>Tabela1[[#This Row],[Pré Ureia mg/dL]]</f>
        <v>42</v>
      </c>
      <c r="AH98" s="85">
        <f>Tabela1[[#This Row],[Pós Ureia mg/dL]]</f>
        <v>42</v>
      </c>
      <c r="AI98" s="125">
        <f>Tabela1[[#This Row],[Pré creatinina mg/dL]]</f>
        <v>1.2</v>
      </c>
      <c r="AJ98" s="125">
        <f>Tabela1[[#This Row],[Pós creatinina mg/dL]]</f>
        <v>0.9</v>
      </c>
      <c r="AK98" s="180">
        <f t="shared" si="4"/>
        <v>0</v>
      </c>
      <c r="AL98" s="125">
        <f>Tabela1[[#This Row],[Pré Fósforo mg/dL]]</f>
        <v>5.0999999999999996</v>
      </c>
      <c r="AM98" s="125">
        <f>Tabela1[[#This Row],[Pós Fósforo mg/dL]]</f>
        <v>3.5</v>
      </c>
      <c r="AN98" s="125">
        <f>Tabela1[[#This Row],[Pré Proteína Total (g/dL)]]</f>
        <v>8.4</v>
      </c>
      <c r="AO98" s="125">
        <f>Tabela1[[#This Row],[Pós Proteína Total (g/dL)]]</f>
        <v>7.2</v>
      </c>
      <c r="AP98" s="85" t="str">
        <f>Tabela1[[#This Row],[Pré FE (ug/dL)]]</f>
        <v>-</v>
      </c>
      <c r="AQ98" s="193" t="str">
        <f>Tabela1[[#This Row],[Pós FE (ug/dL)]]</f>
        <v>-</v>
      </c>
      <c r="AR98" s="194">
        <f>Tabela1[[#This Row],[Pré calcio mg/dL]]</f>
        <v>10.3</v>
      </c>
      <c r="AS98" s="125">
        <f>Tabela1[[#This Row],[Pós calcio mg/dL]]</f>
        <v>9.5</v>
      </c>
      <c r="AT98" s="125">
        <f>Tabela1[[#This Row],[Pré Potássio mmol/L]]</f>
        <v>5.9</v>
      </c>
      <c r="AU98" s="125">
        <f>Tabela1[[#This Row],[Pós Potássio mmol/L]]</f>
        <v>4.8</v>
      </c>
      <c r="AV98" s="85">
        <f>Tabela1[[#This Row],[Glicose pré]]</f>
        <v>95</v>
      </c>
      <c r="AW98" s="85">
        <f>Tabela1[[#This Row],[Glicose pós]]</f>
        <v>100</v>
      </c>
      <c r="AX98" s="85">
        <f>Tabela1[[#This Row],[Pré Sódio mmol/L]]</f>
        <v>143</v>
      </c>
      <c r="AY98" s="85">
        <f>Tabela1[[#This Row],[Pós Sódio mmol/L]]</f>
        <v>145</v>
      </c>
      <c r="AZ98" s="125">
        <f>Tabela1[[#This Row],[Pré Magnésio mg/dL]]</f>
        <v>2.1</v>
      </c>
      <c r="BA98" s="125">
        <f>Tabela1[[#This Row],[Pós Magnésio mg/dL]]</f>
        <v>2.2999999999999998</v>
      </c>
      <c r="BB98" s="85">
        <f>Tabela1[[#This Row],[Pré Cloro mmol/L]]</f>
        <v>101</v>
      </c>
      <c r="BC98" s="85">
        <f>Tabela1[[#This Row],[Pós Cloro mmol/L]]</f>
        <v>106</v>
      </c>
      <c r="BD9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304.02344444444446</v>
      </c>
      <c r="BE9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306.01688888888896</v>
      </c>
      <c r="BF98" s="194">
        <f>Tabela1[[#This Row],[Pré RBC 10^6/mm³]]</f>
        <v>4.9800000000000004</v>
      </c>
      <c r="BG98" s="125">
        <f>Tabela1[[#This Row],[Pós RBC 10^6/mm³]]</f>
        <v>4.34</v>
      </c>
      <c r="BH98" s="125">
        <f>Tabela1[[#This Row],[Pré HGB g/dL]]</f>
        <v>15.6</v>
      </c>
      <c r="BI98" s="125">
        <f>Tabela1[[#This Row],[Pós HGB g/dL]]</f>
        <v>13.7</v>
      </c>
      <c r="BJ98" s="125">
        <f>Tabela1[[#This Row],[Pré HCT %]]</f>
        <v>48.6</v>
      </c>
      <c r="BK98" s="125">
        <f>Tabela1[[#This Row],[Pós HCT %]]</f>
        <v>39.9</v>
      </c>
      <c r="BL98" s="125">
        <f>Tabela1[[#This Row],[Pré MCV fL]]</f>
        <v>97.6</v>
      </c>
      <c r="BM98" s="125">
        <f>Tabela1[[#This Row],[Pós MCV fL]]</f>
        <v>91.9</v>
      </c>
      <c r="BN98" s="125">
        <f>Tabela1[[#This Row],[Pré MCH pg]]</f>
        <v>31.3</v>
      </c>
      <c r="BO98" s="125">
        <f>Tabela1[[#This Row],[Pós MCH pg]]</f>
        <v>31.6</v>
      </c>
      <c r="BP98" s="125">
        <f>Tabela1[[#This Row],[Pré MCHC g/dL]]</f>
        <v>32.1</v>
      </c>
      <c r="BQ98" s="125">
        <f>Tabela1[[#This Row],[Pós MCHC g/dL]]</f>
        <v>34.299999999999997</v>
      </c>
      <c r="BR98" s="85">
        <f>Tabela1[[#This Row],[Pré PLT 10³/mm³]]</f>
        <v>205</v>
      </c>
      <c r="BS98" s="85">
        <f>Tabela1[[#This Row],[Pós PLT 10³/mm³]]</f>
        <v>229</v>
      </c>
      <c r="BT98" s="125">
        <f>Tabela1[[#This Row],[Pré RDW %]]</f>
        <v>13.3</v>
      </c>
      <c r="BU98" s="125">
        <f>Tabela1[[#This Row],[Pós RDW %]]</f>
        <v>13</v>
      </c>
      <c r="BV98" s="179" t="str">
        <f>Tabela1[[#This Row],[Pré RET %]]</f>
        <v>-</v>
      </c>
      <c r="BW98" s="196">
        <f>Tabela1[[#This Row],[Pós RET %]]</f>
        <v>2.39</v>
      </c>
      <c r="BX98" s="197">
        <f>Tabela1[[#This Row],[Pré WBC 10³/mm³]]</f>
        <v>10.09</v>
      </c>
      <c r="BY98" s="179">
        <f>Tabela1[[#This Row],[Pós WBC 10³/mm³]]</f>
        <v>14.12</v>
      </c>
      <c r="BZ98" s="125">
        <f>Tabela1[[#This Row],[Pré NEUT %]]</f>
        <v>72.900000000000006</v>
      </c>
      <c r="CA98" s="125">
        <f>Tabela1[[#This Row],[Pós NEUT %]]</f>
        <v>82.7</v>
      </c>
      <c r="CB98" s="125">
        <f>Tabela1[[#This Row],[Pré LINF %]]</f>
        <v>18.3</v>
      </c>
      <c r="CC98" s="125">
        <f>Tabela1[[#This Row],[Pós LINF %]]</f>
        <v>9.9</v>
      </c>
      <c r="CD98" s="125">
        <f>Tabela1[[#This Row],[Pré MONO %]]</f>
        <v>7.4</v>
      </c>
      <c r="CE98" s="125">
        <f>Tabela1[[#This Row],[Pós MONO %]]</f>
        <v>6.9</v>
      </c>
      <c r="CF98" s="125">
        <f>Tabela1[[#This Row],[Pré EOS %]]</f>
        <v>1.2</v>
      </c>
      <c r="CG98" s="125">
        <f>Tabela1[[#This Row],[Pós EOS %]]</f>
        <v>0.4</v>
      </c>
      <c r="CH98" s="125">
        <f>Tabela1[[#This Row],[Pré BASO %]]</f>
        <v>0.2</v>
      </c>
      <c r="CI98" s="198">
        <f>Tabela1[[#This Row],[Pós BASO %]]</f>
        <v>0.1</v>
      </c>
      <c r="CJ98" s="199" t="str">
        <f t="shared" si="5"/>
        <v>NÃO</v>
      </c>
      <c r="CK98" s="200" t="str">
        <f t="shared" si="6"/>
        <v>NÃO</v>
      </c>
      <c r="CL98" s="194">
        <f t="shared" si="7"/>
        <v>70.76357999999999</v>
      </c>
      <c r="CM98" s="125">
        <f>Tabela1[[#This Row],[MCT KG]]</f>
        <v>78.599999999999994</v>
      </c>
      <c r="CN98" s="85">
        <f>Tabela1[[#This Row],[ESTATURA]]</f>
        <v>179</v>
      </c>
      <c r="CO98" s="85">
        <f>Tabela1[[#This Row],[vo2max estimado]]</f>
        <v>53.31</v>
      </c>
      <c r="CP98" s="85">
        <f>Tabela1[[#This Row],[Handgrip     Dominante]]</f>
        <v>50</v>
      </c>
      <c r="CQ98" s="85">
        <f>Tabela1[[#This Row],[Handgrip Contrário]]</f>
        <v>44</v>
      </c>
      <c r="CR98" s="281">
        <f>Tabela1[[#This Row],[% gordura]]</f>
        <v>9.9700000000000006</v>
      </c>
    </row>
    <row r="99" spans="1:96" ht="15.75" customHeight="1">
      <c r="A99" s="279">
        <f>Tabela1[[#This Row],[Ano]]</f>
        <v>2018</v>
      </c>
      <c r="B99" s="181" t="str">
        <f>Tabela1[[#This Row],[Missão]]</f>
        <v>CIASC</v>
      </c>
      <c r="C99" s="181">
        <f>Tabela1[[#This Row],[Aluno]]</f>
        <v>3190</v>
      </c>
      <c r="D99" s="181">
        <f>Tabela1[[#This Row],[Idade]]</f>
        <v>29</v>
      </c>
      <c r="E99" s="182">
        <f>Tabela1[[#This Row],[Peso Kg]]</f>
        <v>81</v>
      </c>
      <c r="F99" s="191">
        <f>Tabela1[[#This Row],[Cor da pele]]</f>
        <v>1</v>
      </c>
      <c r="G99" s="192" t="str">
        <f>Tabela1[[#This Row],[ACTN3]]</f>
        <v>-</v>
      </c>
      <c r="H99" s="85" t="str">
        <f>Tabela1[[#This Row],[AGT]]</f>
        <v>-</v>
      </c>
      <c r="I99" s="85" t="str">
        <f>Tabela1[[#This Row],[ECA]]</f>
        <v>-</v>
      </c>
      <c r="J99" s="85" t="str">
        <f>Tabela1[[#This Row],[BDKRB2]]</f>
        <v>-</v>
      </c>
      <c r="K99" s="85" t="str">
        <f>Tabela1[[#This Row],[Score Força%]]</f>
        <v>-</v>
      </c>
      <c r="L99" s="193" t="str">
        <f>Tabela1[[#This Row],[Score Resistência %]]</f>
        <v>-</v>
      </c>
      <c r="M99" s="192">
        <f>Tabela1[[#This Row],[Pré CK (U/L)]]</f>
        <v>257</v>
      </c>
      <c r="N99" s="85">
        <f>Tabela1[[#This Row],[Pós CK (U/L)]]</f>
        <v>3061</v>
      </c>
      <c r="O99" s="85">
        <f>Tabela1[[#This Row],[Pré CK MB U/L]]</f>
        <v>17</v>
      </c>
      <c r="P99" s="85">
        <f>Tabela1[[#This Row],[Pós CK MB U/L]]</f>
        <v>41</v>
      </c>
      <c r="Q99" s="85" t="str">
        <f>Tabela1[[#This Row],[Pré Lactato (mmol/L)]]</f>
        <v>-</v>
      </c>
      <c r="R99" s="85" t="str">
        <f>Tabela1[[#This Row],[Pós Lactato (mmol/L)]]</f>
        <v>-</v>
      </c>
      <c r="S99" s="85">
        <f>Tabela1[[#This Row],[Pré LDH (U/L)]]</f>
        <v>1039</v>
      </c>
      <c r="T99" s="85">
        <f>Tabela1[[#This Row],[Pós LDH (U/L)]]</f>
        <v>1764</v>
      </c>
      <c r="U99" s="85">
        <f>Tabela1[[#This Row],[Pré AST (U/L)]]</f>
        <v>89</v>
      </c>
      <c r="V99" s="193">
        <f>Tabela1[[#This Row],[Pós AST (U/L)]]</f>
        <v>154</v>
      </c>
      <c r="W99" s="194">
        <f>Tabela1[[#This Row],[Pré Albumina (g/dL)]]</f>
        <v>4.8</v>
      </c>
      <c r="X99" s="125">
        <f>Tabela1[[#This Row],[Pós Albumina (g/dL)]]</f>
        <v>3.9</v>
      </c>
      <c r="Y99" s="85">
        <f>Tabela1[[#This Row],[Pré TGP (g/dL)]]</f>
        <v>67</v>
      </c>
      <c r="Z99" s="85">
        <f>Tabela1[[#This Row],[Pós TGP (g/dL)]]</f>
        <v>114</v>
      </c>
      <c r="AA99" s="85">
        <f>Tabela1[[#This Row],[Pré GGT U/L]]</f>
        <v>40</v>
      </c>
      <c r="AB99" s="193">
        <f>Tabela1[[#This Row],[Pós GGT U/L]]</f>
        <v>32</v>
      </c>
      <c r="AC99" s="194">
        <f>Tabela1[[#This Row],[Pré Ac. Úrico (mg/dL)]]</f>
        <v>4.5999999999999996</v>
      </c>
      <c r="AD99" s="125">
        <f>Tabela1[[#This Row],[Pós Ac. Úrico (mg/dL)2]]</f>
        <v>3.7</v>
      </c>
      <c r="AE9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9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99" s="85">
        <f>Tabela1[[#This Row],[Pré Ureia mg/dL]]</f>
        <v>37</v>
      </c>
      <c r="AH99" s="85">
        <f>Tabela1[[#This Row],[Pós Ureia mg/dL]]</f>
        <v>34</v>
      </c>
      <c r="AI99" s="125">
        <f>Tabela1[[#This Row],[Pré creatinina mg/dL]]</f>
        <v>0.9</v>
      </c>
      <c r="AJ99" s="125">
        <f>Tabela1[[#This Row],[Pós creatinina mg/dL]]</f>
        <v>0.8</v>
      </c>
      <c r="AK99" s="180">
        <f t="shared" si="4"/>
        <v>0</v>
      </c>
      <c r="AL99" s="125">
        <f>Tabela1[[#This Row],[Pré Fósforo mg/dL]]</f>
        <v>3.4</v>
      </c>
      <c r="AM99" s="125">
        <f>Tabela1[[#This Row],[Pós Fósforo mg/dL]]</f>
        <v>2.9</v>
      </c>
      <c r="AN99" s="125">
        <f>Tabela1[[#This Row],[Pré Proteína Total (g/dL)]]</f>
        <v>8</v>
      </c>
      <c r="AO99" s="125">
        <f>Tabela1[[#This Row],[Pós Proteína Total (g/dL)]]</f>
        <v>6.6</v>
      </c>
      <c r="AP99" s="85" t="str">
        <f>Tabela1[[#This Row],[Pré FE (ug/dL)]]</f>
        <v>-</v>
      </c>
      <c r="AQ99" s="193" t="str">
        <f>Tabela1[[#This Row],[Pós FE (ug/dL)]]</f>
        <v>-</v>
      </c>
      <c r="AR99" s="194">
        <f>Tabela1[[#This Row],[Pré calcio mg/dL]]</f>
        <v>9.6999999999999993</v>
      </c>
      <c r="AS99" s="125">
        <f>Tabela1[[#This Row],[Pós calcio mg/dL]]</f>
        <v>8.9</v>
      </c>
      <c r="AT99" s="125">
        <f>Tabela1[[#This Row],[Pré Potássio mmol/L]]</f>
        <v>5.4</v>
      </c>
      <c r="AU99" s="125">
        <f>Tabela1[[#This Row],[Pós Potássio mmol/L]]</f>
        <v>3.9</v>
      </c>
      <c r="AV99" s="85">
        <f>Tabela1[[#This Row],[Glicose pré]]</f>
        <v>96</v>
      </c>
      <c r="AW99" s="85">
        <f>Tabela1[[#This Row],[Glicose pós]]</f>
        <v>103</v>
      </c>
      <c r="AX99" s="85">
        <f>Tabela1[[#This Row],[Pré Sódio mmol/L]]</f>
        <v>141</v>
      </c>
      <c r="AY99" s="85">
        <f>Tabela1[[#This Row],[Pós Sódio mmol/L]]</f>
        <v>143</v>
      </c>
      <c r="AZ99" s="125">
        <f>Tabela1[[#This Row],[Pré Magnésio mg/dL]]</f>
        <v>2.1</v>
      </c>
      <c r="BA99" s="125">
        <f>Tabela1[[#This Row],[Pós Magnésio mg/dL]]</f>
        <v>2.1</v>
      </c>
      <c r="BB99" s="85">
        <f>Tabela1[[#This Row],[Pré Cloro mmol/L]]</f>
        <v>102</v>
      </c>
      <c r="BC99" s="85">
        <f>Tabela1[[#This Row],[Pós Cloro mmol/L]]</f>
        <v>104</v>
      </c>
      <c r="BD9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298.60400000000004</v>
      </c>
      <c r="BE9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299.4812222222223</v>
      </c>
      <c r="BF99" s="194">
        <f>Tabela1[[#This Row],[Pré RBC 10^6/mm³]]</f>
        <v>4.34</v>
      </c>
      <c r="BG99" s="125">
        <f>Tabela1[[#This Row],[Pós RBC 10^6/mm³]]</f>
        <v>3.78</v>
      </c>
      <c r="BH99" s="125">
        <f>Tabela1[[#This Row],[Pré HGB g/dL]]</f>
        <v>13.2</v>
      </c>
      <c r="BI99" s="125">
        <f>Tabela1[[#This Row],[Pós HGB g/dL]]</f>
        <v>11.6</v>
      </c>
      <c r="BJ99" s="125">
        <f>Tabela1[[#This Row],[Pré HCT %]]</f>
        <v>41.6</v>
      </c>
      <c r="BK99" s="125">
        <f>Tabela1[[#This Row],[Pós HCT %]]</f>
        <v>34.299999999999997</v>
      </c>
      <c r="BL99" s="125">
        <f>Tabela1[[#This Row],[Pré MCV fL]]</f>
        <v>95.9</v>
      </c>
      <c r="BM99" s="125">
        <f>Tabela1[[#This Row],[Pós MCV fL]]</f>
        <v>90.7</v>
      </c>
      <c r="BN99" s="125">
        <f>Tabela1[[#This Row],[Pré MCH pg]]</f>
        <v>30.4</v>
      </c>
      <c r="BO99" s="125">
        <f>Tabela1[[#This Row],[Pós MCH pg]]</f>
        <v>30.7</v>
      </c>
      <c r="BP99" s="125">
        <f>Tabela1[[#This Row],[Pré MCHC g/dL]]</f>
        <v>31.7</v>
      </c>
      <c r="BQ99" s="125">
        <f>Tabela1[[#This Row],[Pós MCHC g/dL]]</f>
        <v>33.799999999999997</v>
      </c>
      <c r="BR99" s="85">
        <f>Tabela1[[#This Row],[Pré PLT 10³/mm³]]</f>
        <v>268</v>
      </c>
      <c r="BS99" s="85">
        <f>Tabela1[[#This Row],[Pós PLT 10³/mm³]]</f>
        <v>266</v>
      </c>
      <c r="BT99" s="125">
        <f>Tabela1[[#This Row],[Pré RDW %]]</f>
        <v>13.6</v>
      </c>
      <c r="BU99" s="125">
        <f>Tabela1[[#This Row],[Pós RDW %]]</f>
        <v>13.7</v>
      </c>
      <c r="BV99" s="179" t="str">
        <f>Tabela1[[#This Row],[Pré RET %]]</f>
        <v>-</v>
      </c>
      <c r="BW99" s="196">
        <f>Tabela1[[#This Row],[Pós RET %]]</f>
        <v>1.1299999999999999</v>
      </c>
      <c r="BX99" s="197">
        <f>Tabela1[[#This Row],[Pré WBC 10³/mm³]]</f>
        <v>8.77</v>
      </c>
      <c r="BY99" s="179">
        <f>Tabela1[[#This Row],[Pós WBC 10³/mm³]]</f>
        <v>7.68</v>
      </c>
      <c r="BZ99" s="125">
        <f>Tabela1[[#This Row],[Pré NEUT %]]</f>
        <v>81.8</v>
      </c>
      <c r="CA99" s="125">
        <f>Tabela1[[#This Row],[Pós NEUT %]]</f>
        <v>82.6</v>
      </c>
      <c r="CB99" s="125">
        <f>Tabela1[[#This Row],[Pré LINF %]]</f>
        <v>12</v>
      </c>
      <c r="CC99" s="125">
        <f>Tabela1[[#This Row],[Pós LINF %]]</f>
        <v>12</v>
      </c>
      <c r="CD99" s="125">
        <f>Tabela1[[#This Row],[Pré MONO %]]</f>
        <v>5.8</v>
      </c>
      <c r="CE99" s="125">
        <f>Tabela1[[#This Row],[Pós MONO %]]</f>
        <v>4.9000000000000004</v>
      </c>
      <c r="CF99" s="125">
        <f>Tabela1[[#This Row],[Pré EOS %]]</f>
        <v>0.2</v>
      </c>
      <c r="CG99" s="125">
        <f>Tabela1[[#This Row],[Pós EOS %]]</f>
        <v>0.4</v>
      </c>
      <c r="CH99" s="125">
        <f>Tabela1[[#This Row],[Pré BASO %]]</f>
        <v>0.2</v>
      </c>
      <c r="CI99" s="198">
        <f>Tabela1[[#This Row],[Pós BASO %]]</f>
        <v>0.1</v>
      </c>
      <c r="CJ99" s="199" t="str">
        <f t="shared" si="5"/>
        <v>NÃO</v>
      </c>
      <c r="CK99" s="200" t="str">
        <f t="shared" si="6"/>
        <v>SIM</v>
      </c>
      <c r="CL99" s="194">
        <f t="shared" si="7"/>
        <v>72.151949999999999</v>
      </c>
      <c r="CM99" s="125">
        <f>Tabela1[[#This Row],[MCT KG]]</f>
        <v>81.5</v>
      </c>
      <c r="CN99" s="85">
        <f>Tabela1[[#This Row],[ESTATURA]]</f>
        <v>175</v>
      </c>
      <c r="CO99" s="85">
        <f>Tabela1[[#This Row],[vo2max estimado]]</f>
        <v>51.49</v>
      </c>
      <c r="CP99" s="85">
        <f>Tabela1[[#This Row],[Handgrip     Dominante]]</f>
        <v>49.5</v>
      </c>
      <c r="CQ99" s="85">
        <f>Tabela1[[#This Row],[Handgrip Contrário]]</f>
        <v>41</v>
      </c>
      <c r="CR99" s="281">
        <f>Tabela1[[#This Row],[% gordura]]</f>
        <v>11.47</v>
      </c>
    </row>
    <row r="100" spans="1:96" ht="15.75" customHeight="1">
      <c r="A100" s="279">
        <f>Tabela1[[#This Row],[Ano]]</f>
        <v>2018</v>
      </c>
      <c r="B100" s="181" t="str">
        <f>Tabela1[[#This Row],[Missão]]</f>
        <v>CIASC</v>
      </c>
      <c r="C100" s="181">
        <f>Tabela1[[#This Row],[Aluno]]</f>
        <v>3192</v>
      </c>
      <c r="D100" s="181">
        <f>Tabela1[[#This Row],[Idade]]</f>
        <v>28</v>
      </c>
      <c r="E100" s="182">
        <f>Tabela1[[#This Row],[Peso Kg]]</f>
        <v>68</v>
      </c>
      <c r="F100" s="191">
        <f>Tabela1[[#This Row],[Cor da pele]]</f>
        <v>2</v>
      </c>
      <c r="G100" s="192" t="str">
        <f>Tabela1[[#This Row],[ACTN3]]</f>
        <v>RX</v>
      </c>
      <c r="H100" s="85" t="str">
        <f>Tabela1[[#This Row],[AGT]]</f>
        <v>MT</v>
      </c>
      <c r="I100" s="85" t="str">
        <f>Tabela1[[#This Row],[ECA]]</f>
        <v>DD</v>
      </c>
      <c r="J100" s="85" t="str">
        <f>Tabela1[[#This Row],[BDKRB2]]</f>
        <v>(-9,-9)</v>
      </c>
      <c r="K100" s="85">
        <f>Tabela1[[#This Row],[Score Força%]]</f>
        <v>45.8333333333333</v>
      </c>
      <c r="L100" s="193">
        <f>Tabela1[[#This Row],[Score Resistência %]]</f>
        <v>54.1666666666667</v>
      </c>
      <c r="M100" s="192">
        <f>Tabela1[[#This Row],[Pré CK (U/L)]]</f>
        <v>298</v>
      </c>
      <c r="N100" s="85">
        <f>Tabela1[[#This Row],[Pós CK (U/L)]]</f>
        <v>2145</v>
      </c>
      <c r="O100" s="85">
        <f>Tabela1[[#This Row],[Pré CK MB U/L]]</f>
        <v>25</v>
      </c>
      <c r="P100" s="85">
        <f>Tabela1[[#This Row],[Pós CK MB U/L]]</f>
        <v>52</v>
      </c>
      <c r="Q100" s="85" t="str">
        <f>Tabela1[[#This Row],[Pré Lactato (mmol/L)]]</f>
        <v>-</v>
      </c>
      <c r="R100" s="85" t="str">
        <f>Tabela1[[#This Row],[Pós Lactato (mmol/L)]]</f>
        <v>-</v>
      </c>
      <c r="S100" s="85">
        <f>Tabela1[[#This Row],[Pré LDH (U/L)]]</f>
        <v>639</v>
      </c>
      <c r="T100" s="85">
        <f>Tabela1[[#This Row],[Pós LDH (U/L)]]</f>
        <v>2012</v>
      </c>
      <c r="U100" s="85">
        <f>Tabela1[[#This Row],[Pré AST (U/L)]]</f>
        <v>67</v>
      </c>
      <c r="V100" s="193">
        <f>Tabela1[[#This Row],[Pós AST (U/L)]]</f>
        <v>229</v>
      </c>
      <c r="W100" s="194">
        <f>Tabela1[[#This Row],[Pré Albumina (g/dL)]]</f>
        <v>5.0999999999999996</v>
      </c>
      <c r="X100" s="125">
        <f>Tabela1[[#This Row],[Pós Albumina (g/dL)]]</f>
        <v>4.0999999999999996</v>
      </c>
      <c r="Y100" s="85">
        <f>Tabela1[[#This Row],[Pré TGP (g/dL)]]</f>
        <v>55</v>
      </c>
      <c r="Z100" s="85">
        <f>Tabela1[[#This Row],[Pós TGP (g/dL)]]</f>
        <v>148</v>
      </c>
      <c r="AA100" s="85">
        <f>Tabela1[[#This Row],[Pré GGT U/L]]</f>
        <v>57</v>
      </c>
      <c r="AB100" s="193">
        <f>Tabela1[[#This Row],[Pós GGT U/L]]</f>
        <v>109</v>
      </c>
      <c r="AC100" s="194">
        <f>Tabela1[[#This Row],[Pré Ac. Úrico (mg/dL)]]</f>
        <v>5.4</v>
      </c>
      <c r="AD100" s="125">
        <f>Tabela1[[#This Row],[Pós Ac. Úrico (mg/dL)2]]</f>
        <v>5.3</v>
      </c>
      <c r="AE10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0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00" s="85">
        <f>Tabela1[[#This Row],[Pré Ureia mg/dL]]</f>
        <v>39</v>
      </c>
      <c r="AH100" s="85">
        <f>Tabela1[[#This Row],[Pós Ureia mg/dL]]</f>
        <v>41</v>
      </c>
      <c r="AI100" s="125">
        <f>Tabela1[[#This Row],[Pré creatinina mg/dL]]</f>
        <v>1</v>
      </c>
      <c r="AJ100" s="125">
        <f>Tabela1[[#This Row],[Pós creatinina mg/dL]]</f>
        <v>0.9</v>
      </c>
      <c r="AK100" s="180">
        <f t="shared" si="4"/>
        <v>0</v>
      </c>
      <c r="AL100" s="125">
        <f>Tabela1[[#This Row],[Pré Fósforo mg/dL]]</f>
        <v>3.7</v>
      </c>
      <c r="AM100" s="125">
        <f>Tabela1[[#This Row],[Pós Fósforo mg/dL]]</f>
        <v>2.5</v>
      </c>
      <c r="AN100" s="125">
        <f>Tabela1[[#This Row],[Pré Proteína Total (g/dL)]]</f>
        <v>8.5</v>
      </c>
      <c r="AO100" s="125">
        <f>Tabela1[[#This Row],[Pós Proteína Total (g/dL)]]</f>
        <v>6.8</v>
      </c>
      <c r="AP100" s="85" t="str">
        <f>Tabela1[[#This Row],[Pré FE (ug/dL)]]</f>
        <v>-</v>
      </c>
      <c r="AQ100" s="193" t="str">
        <f>Tabela1[[#This Row],[Pós FE (ug/dL)]]</f>
        <v>-</v>
      </c>
      <c r="AR100" s="194">
        <f>Tabela1[[#This Row],[Pré calcio mg/dL]]</f>
        <v>9.4</v>
      </c>
      <c r="AS100" s="125">
        <f>Tabela1[[#This Row],[Pós calcio mg/dL]]</f>
        <v>8.6</v>
      </c>
      <c r="AT100" s="125">
        <f>Tabela1[[#This Row],[Pré Potássio mmol/L]]</f>
        <v>4.7</v>
      </c>
      <c r="AU100" s="125">
        <f>Tabela1[[#This Row],[Pós Potássio mmol/L]]</f>
        <v>4.2</v>
      </c>
      <c r="AV100" s="85" t="str">
        <f>Tabela1[[#This Row],[Glicose pré]]</f>
        <v>-</v>
      </c>
      <c r="AW100" s="85">
        <f>Tabela1[[#This Row],[Glicose pós]]</f>
        <v>104</v>
      </c>
      <c r="AX100" s="85">
        <f>Tabela1[[#This Row],[Pré Sódio mmol/L]]</f>
        <v>139</v>
      </c>
      <c r="AY100" s="85">
        <f>Tabela1[[#This Row],[Pós Sódio mmol/L]]</f>
        <v>139</v>
      </c>
      <c r="AZ100" s="125">
        <f>Tabela1[[#This Row],[Pré Magnésio mg/dL]]</f>
        <v>2.2000000000000002</v>
      </c>
      <c r="BA100" s="125">
        <f>Tabela1[[#This Row],[Pós Magnésio mg/dL]]</f>
        <v>1.9</v>
      </c>
      <c r="BB100" s="85">
        <f>Tabela1[[#This Row],[Pré Cloro mmol/L]]</f>
        <v>98</v>
      </c>
      <c r="BC100" s="85">
        <f>Tabela1[[#This Row],[Pós Cloro mmol/L]]</f>
        <v>99</v>
      </c>
      <c r="BD100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10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293.82977777777774</v>
      </c>
      <c r="BF100" s="194">
        <f>Tabela1[[#This Row],[Pré RBC 10^6/mm³]]</f>
        <v>4.67</v>
      </c>
      <c r="BG100" s="125">
        <f>Tabela1[[#This Row],[Pós RBC 10^6/mm³]]</f>
        <v>3.93</v>
      </c>
      <c r="BH100" s="125">
        <f>Tabela1[[#This Row],[Pré HGB g/dL]]</f>
        <v>14.3</v>
      </c>
      <c r="BI100" s="125">
        <f>Tabela1[[#This Row],[Pós HGB g/dL]]</f>
        <v>12.3</v>
      </c>
      <c r="BJ100" s="125">
        <f>Tabela1[[#This Row],[Pré HCT %]]</f>
        <v>45.6</v>
      </c>
      <c r="BK100" s="125">
        <f>Tabela1[[#This Row],[Pós HCT %]]</f>
        <v>36.5</v>
      </c>
      <c r="BL100" s="125">
        <f>Tabela1[[#This Row],[Pré MCV fL]]</f>
        <v>97.6</v>
      </c>
      <c r="BM100" s="125">
        <f>Tabela1[[#This Row],[Pós MCV fL]]</f>
        <v>92.9</v>
      </c>
      <c r="BN100" s="125">
        <f>Tabela1[[#This Row],[Pré MCH pg]]</f>
        <v>30.6</v>
      </c>
      <c r="BO100" s="125">
        <f>Tabela1[[#This Row],[Pós MCH pg]]</f>
        <v>31.3</v>
      </c>
      <c r="BP100" s="125">
        <f>Tabela1[[#This Row],[Pré MCHC g/dL]]</f>
        <v>31.4</v>
      </c>
      <c r="BQ100" s="125">
        <f>Tabela1[[#This Row],[Pós MCHC g/dL]]</f>
        <v>33.700000000000003</v>
      </c>
      <c r="BR100" s="85">
        <f>Tabela1[[#This Row],[Pré PLT 10³/mm³]]</f>
        <v>189</v>
      </c>
      <c r="BS100" s="85">
        <f>Tabela1[[#This Row],[Pós PLT 10³/mm³]]</f>
        <v>215</v>
      </c>
      <c r="BT100" s="125">
        <f>Tabela1[[#This Row],[Pré RDW %]]</f>
        <v>12.1</v>
      </c>
      <c r="BU100" s="125">
        <f>Tabela1[[#This Row],[Pós RDW %]]</f>
        <v>11.9</v>
      </c>
      <c r="BV100" s="179" t="str">
        <f>Tabela1[[#This Row],[Pré RET %]]</f>
        <v>-</v>
      </c>
      <c r="BW100" s="196">
        <f>Tabela1[[#This Row],[Pós RET %]]</f>
        <v>1.19</v>
      </c>
      <c r="BX100" s="197">
        <f>Tabela1[[#This Row],[Pré WBC 10³/mm³]]</f>
        <v>6.89</v>
      </c>
      <c r="BY100" s="179">
        <f>Tabela1[[#This Row],[Pós WBC 10³/mm³]]</f>
        <v>9.33</v>
      </c>
      <c r="BZ100" s="125">
        <f>Tabela1[[#This Row],[Pré NEUT %]]</f>
        <v>83</v>
      </c>
      <c r="CA100" s="125">
        <f>Tabela1[[#This Row],[Pós NEUT %]]</f>
        <v>86.6</v>
      </c>
      <c r="CB100" s="125">
        <f>Tabela1[[#This Row],[Pré LINF %]]</f>
        <v>9.1</v>
      </c>
      <c r="CC100" s="125">
        <f>Tabela1[[#This Row],[Pós LINF %]]</f>
        <v>10.4</v>
      </c>
      <c r="CD100" s="125">
        <f>Tabela1[[#This Row],[Pré MONO %]]</f>
        <v>7.5</v>
      </c>
      <c r="CE100" s="125">
        <f>Tabela1[[#This Row],[Pós MONO %]]</f>
        <v>2.8</v>
      </c>
      <c r="CF100" s="125">
        <f>Tabela1[[#This Row],[Pré EOS %]]</f>
        <v>0.3</v>
      </c>
      <c r="CG100" s="125">
        <f>Tabela1[[#This Row],[Pós EOS %]]</f>
        <v>0.1</v>
      </c>
      <c r="CH100" s="125">
        <f>Tabela1[[#This Row],[Pré BASO %]]</f>
        <v>0.1</v>
      </c>
      <c r="CI100" s="198">
        <f>Tabela1[[#This Row],[Pós BASO %]]</f>
        <v>0.1</v>
      </c>
      <c r="CJ100" s="199" t="str">
        <f t="shared" si="5"/>
        <v>NÃO</v>
      </c>
      <c r="CK100" s="200" t="str">
        <f t="shared" si="6"/>
        <v>SIM</v>
      </c>
      <c r="CL100" s="194">
        <f t="shared" si="7"/>
        <v>54.321839999999995</v>
      </c>
      <c r="CM100" s="125">
        <f>Tabela1[[#This Row],[MCT KG]]</f>
        <v>64.8</v>
      </c>
      <c r="CN100" s="85">
        <f>Tabela1[[#This Row],[ESTATURA]]</f>
        <v>175</v>
      </c>
      <c r="CO100" s="85">
        <f>Tabela1[[#This Row],[vo2max estimado]]</f>
        <v>55.46</v>
      </c>
      <c r="CP100" s="85">
        <f>Tabela1[[#This Row],[Handgrip     Dominante]]</f>
        <v>50</v>
      </c>
      <c r="CQ100" s="85">
        <f>Tabela1[[#This Row],[Handgrip Contrário]]</f>
        <v>46</v>
      </c>
      <c r="CR100" s="281">
        <f>Tabela1[[#This Row],[% gordura]]</f>
        <v>16.170000000000002</v>
      </c>
    </row>
    <row r="101" spans="1:96" ht="15.75" customHeight="1">
      <c r="A101" s="279">
        <f>Tabela1[[#This Row],[Ano]]</f>
        <v>2018</v>
      </c>
      <c r="B101" s="181" t="str">
        <f>Tabela1[[#This Row],[Missão]]</f>
        <v>CIASC</v>
      </c>
      <c r="C101" s="181">
        <f>Tabela1[[#This Row],[Aluno]]</f>
        <v>3193</v>
      </c>
      <c r="D101" s="181">
        <f>Tabela1[[#This Row],[Idade]]</f>
        <v>29</v>
      </c>
      <c r="E101" s="182">
        <f>Tabela1[[#This Row],[Peso Kg]]</f>
        <v>83</v>
      </c>
      <c r="F101" s="191">
        <f>Tabela1[[#This Row],[Cor da pele]]</f>
        <v>0</v>
      </c>
      <c r="G101" s="192" t="str">
        <f>Tabela1[[#This Row],[ACTN3]]</f>
        <v>-</v>
      </c>
      <c r="H101" s="85" t="str">
        <f>Tabela1[[#This Row],[AGT]]</f>
        <v>-</v>
      </c>
      <c r="I101" s="85" t="str">
        <f>Tabela1[[#This Row],[ECA]]</f>
        <v>-</v>
      </c>
      <c r="J101" s="85" t="str">
        <f>Tabela1[[#This Row],[BDKRB2]]</f>
        <v>-</v>
      </c>
      <c r="K101" s="85" t="str">
        <f>Tabela1[[#This Row],[Score Força%]]</f>
        <v>-</v>
      </c>
      <c r="L101" s="193" t="str">
        <f>Tabela1[[#This Row],[Score Resistência %]]</f>
        <v>-</v>
      </c>
      <c r="M101" s="192">
        <f>Tabela1[[#This Row],[Pré CK (U/L)]]</f>
        <v>84</v>
      </c>
      <c r="N101" s="85">
        <f>Tabela1[[#This Row],[Pós CK (U/L)]]</f>
        <v>917</v>
      </c>
      <c r="O101" s="85">
        <f>Tabela1[[#This Row],[Pré CK MB U/L]]</f>
        <v>3</v>
      </c>
      <c r="P101" s="85">
        <f>Tabela1[[#This Row],[Pós CK MB U/L]]</f>
        <v>15</v>
      </c>
      <c r="Q101" s="85" t="str">
        <f>Tabela1[[#This Row],[Pré Lactato (mmol/L)]]</f>
        <v>-</v>
      </c>
      <c r="R101" s="85" t="str">
        <f>Tabela1[[#This Row],[Pós Lactato (mmol/L)]]</f>
        <v>-</v>
      </c>
      <c r="S101" s="85">
        <f>Tabela1[[#This Row],[Pré LDH (U/L)]]</f>
        <v>471</v>
      </c>
      <c r="T101" s="85">
        <f>Tabela1[[#This Row],[Pós LDH (U/L)]]</f>
        <v>757</v>
      </c>
      <c r="U101" s="85">
        <f>Tabela1[[#This Row],[Pré AST (U/L)]]</f>
        <v>26</v>
      </c>
      <c r="V101" s="193">
        <f>Tabela1[[#This Row],[Pós AST (U/L)]]</f>
        <v>65</v>
      </c>
      <c r="W101" s="194">
        <f>Tabela1[[#This Row],[Pré Albumina (g/dL)]]</f>
        <v>4.9000000000000004</v>
      </c>
      <c r="X101" s="125">
        <f>Tabela1[[#This Row],[Pós Albumina (g/dL)]]</f>
        <v>4.4000000000000004</v>
      </c>
      <c r="Y101" s="85">
        <f>Tabela1[[#This Row],[Pré TGP (g/dL)]]</f>
        <v>23</v>
      </c>
      <c r="Z101" s="85">
        <f>Tabela1[[#This Row],[Pós TGP (g/dL)]]</f>
        <v>71</v>
      </c>
      <c r="AA101" s="85">
        <f>Tabela1[[#This Row],[Pré GGT U/L]]</f>
        <v>17</v>
      </c>
      <c r="AB101" s="193">
        <f>Tabela1[[#This Row],[Pós GGT U/L]]</f>
        <v>17</v>
      </c>
      <c r="AC101" s="194">
        <f>Tabela1[[#This Row],[Pré Ac. Úrico (mg/dL)]]</f>
        <v>5.6</v>
      </c>
      <c r="AD101" s="125">
        <f>Tabela1[[#This Row],[Pós Ac. Úrico (mg/dL)2]]</f>
        <v>5.3</v>
      </c>
      <c r="AE10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0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01" s="85">
        <f>Tabela1[[#This Row],[Pré Ureia mg/dL]]</f>
        <v>38</v>
      </c>
      <c r="AH101" s="85">
        <f>Tabela1[[#This Row],[Pós Ureia mg/dL]]</f>
        <v>36</v>
      </c>
      <c r="AI101" s="125">
        <f>Tabela1[[#This Row],[Pré creatinina mg/dL]]</f>
        <v>1.1000000000000001</v>
      </c>
      <c r="AJ101" s="125">
        <f>Tabela1[[#This Row],[Pós creatinina mg/dL]]</f>
        <v>1</v>
      </c>
      <c r="AK101" s="180">
        <f t="shared" si="4"/>
        <v>0</v>
      </c>
      <c r="AL101" s="125">
        <f>Tabela1[[#This Row],[Pré Fósforo mg/dL]]</f>
        <v>4.3</v>
      </c>
      <c r="AM101" s="125">
        <f>Tabela1[[#This Row],[Pós Fósforo mg/dL]]</f>
        <v>3.6</v>
      </c>
      <c r="AN101" s="125">
        <f>Tabela1[[#This Row],[Pré Proteína Total (g/dL)]]</f>
        <v>8.1999999999999993</v>
      </c>
      <c r="AO101" s="125">
        <f>Tabela1[[#This Row],[Pós Proteína Total (g/dL)]]</f>
        <v>7.3</v>
      </c>
      <c r="AP101" s="85" t="str">
        <f>Tabela1[[#This Row],[Pré FE (ug/dL)]]</f>
        <v>-</v>
      </c>
      <c r="AQ101" s="193" t="str">
        <f>Tabela1[[#This Row],[Pós FE (ug/dL)]]</f>
        <v>-</v>
      </c>
      <c r="AR101" s="194">
        <f>Tabela1[[#This Row],[Pré calcio mg/dL]]</f>
        <v>9.8000000000000007</v>
      </c>
      <c r="AS101" s="125">
        <f>Tabela1[[#This Row],[Pós calcio mg/dL]]</f>
        <v>9.5</v>
      </c>
      <c r="AT101" s="125">
        <f>Tabela1[[#This Row],[Pré Potássio mmol/L]]</f>
        <v>6</v>
      </c>
      <c r="AU101" s="125">
        <f>Tabela1[[#This Row],[Pós Potássio mmol/L]]</f>
        <v>5.0999999999999996</v>
      </c>
      <c r="AV101" s="85">
        <f>Tabela1[[#This Row],[Glicose pré]]</f>
        <v>99</v>
      </c>
      <c r="AW101" s="85">
        <f>Tabela1[[#This Row],[Glicose pós]]</f>
        <v>115</v>
      </c>
      <c r="AX101" s="85">
        <f>Tabela1[[#This Row],[Pré Sódio mmol/L]]</f>
        <v>145</v>
      </c>
      <c r="AY101" s="85">
        <f>Tabela1[[#This Row],[Pós Sódio mmol/L]]</f>
        <v>145</v>
      </c>
      <c r="AZ101" s="125">
        <f>Tabela1[[#This Row],[Pré Magnésio mg/dL]]</f>
        <v>2.2000000000000002</v>
      </c>
      <c r="BA101" s="125">
        <f>Tabela1[[#This Row],[Pós Magnésio mg/dL]]</f>
        <v>2.2999999999999998</v>
      </c>
      <c r="BB101" s="85">
        <f>Tabela1[[#This Row],[Pré Cloro mmol/L]]</f>
        <v>104</v>
      </c>
      <c r="BC101" s="85">
        <f>Tabela1[[#This Row],[Pós Cloro mmol/L]]</f>
        <v>103</v>
      </c>
      <c r="BD10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307.51833333333332</v>
      </c>
      <c r="BE10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306.53322222222221</v>
      </c>
      <c r="BF101" s="194">
        <f>Tabela1[[#This Row],[Pré RBC 10^6/mm³]]</f>
        <v>4.5</v>
      </c>
      <c r="BG101" s="125">
        <f>Tabela1[[#This Row],[Pós RBC 10^6/mm³]]</f>
        <v>4.1100000000000003</v>
      </c>
      <c r="BH101" s="125">
        <f>Tabela1[[#This Row],[Pré HGB g/dL]]</f>
        <v>13.5</v>
      </c>
      <c r="BI101" s="125">
        <f>Tabela1[[#This Row],[Pós HGB g/dL]]</f>
        <v>12.5</v>
      </c>
      <c r="BJ101" s="125">
        <f>Tabela1[[#This Row],[Pré HCT %]]</f>
        <v>42.4</v>
      </c>
      <c r="BK101" s="125">
        <f>Tabela1[[#This Row],[Pós HCT %]]</f>
        <v>37.1</v>
      </c>
      <c r="BL101" s="125">
        <f>Tabela1[[#This Row],[Pré MCV fL]]</f>
        <v>94.2</v>
      </c>
      <c r="BM101" s="125">
        <f>Tabela1[[#This Row],[Pós MCV fL]]</f>
        <v>90.3</v>
      </c>
      <c r="BN101" s="125">
        <f>Tabela1[[#This Row],[Pré MCH pg]]</f>
        <v>30</v>
      </c>
      <c r="BO101" s="125">
        <f>Tabela1[[#This Row],[Pós MCH pg]]</f>
        <v>30.4</v>
      </c>
      <c r="BP101" s="125">
        <f>Tabela1[[#This Row],[Pré MCHC g/dL]]</f>
        <v>31.8</v>
      </c>
      <c r="BQ101" s="125">
        <f>Tabela1[[#This Row],[Pós MCHC g/dL]]</f>
        <v>33.700000000000003</v>
      </c>
      <c r="BR101" s="85">
        <f>Tabela1[[#This Row],[Pré PLT 10³/mm³]]</f>
        <v>300</v>
      </c>
      <c r="BS101" s="85">
        <f>Tabela1[[#This Row],[Pós PLT 10³/mm³]]</f>
        <v>318</v>
      </c>
      <c r="BT101" s="125">
        <f>Tabela1[[#This Row],[Pré RDW %]]</f>
        <v>12.6</v>
      </c>
      <c r="BU101" s="125">
        <f>Tabela1[[#This Row],[Pós RDW %]]</f>
        <v>12.8</v>
      </c>
      <c r="BV101" s="179" t="str">
        <f>Tabela1[[#This Row],[Pré RET %]]</f>
        <v>-</v>
      </c>
      <c r="BW101" s="196">
        <f>Tabela1[[#This Row],[Pós RET %]]</f>
        <v>1.75</v>
      </c>
      <c r="BX101" s="197">
        <f>Tabela1[[#This Row],[Pré WBC 10³/mm³]]</f>
        <v>8.11</v>
      </c>
      <c r="BY101" s="179">
        <f>Tabela1[[#This Row],[Pós WBC 10³/mm³]]</f>
        <v>11.22</v>
      </c>
      <c r="BZ101" s="125">
        <f>Tabela1[[#This Row],[Pré NEUT %]]</f>
        <v>73.099999999999994</v>
      </c>
      <c r="CA101" s="125">
        <f>Tabela1[[#This Row],[Pós NEUT %]]</f>
        <v>84.4</v>
      </c>
      <c r="CB101" s="125">
        <f>Tabela1[[#This Row],[Pré LINF %]]</f>
        <v>18.899999999999999</v>
      </c>
      <c r="CC101" s="125">
        <f>Tabela1[[#This Row],[Pós LINF %]]</f>
        <v>9.8000000000000007</v>
      </c>
      <c r="CD101" s="125">
        <f>Tabela1[[#This Row],[Pré MONO %]]</f>
        <v>7.5</v>
      </c>
      <c r="CE101" s="125">
        <f>Tabela1[[#This Row],[Pós MONO %]]</f>
        <v>5.3</v>
      </c>
      <c r="CF101" s="125">
        <f>Tabela1[[#This Row],[Pré EOS %]]</f>
        <v>0.4</v>
      </c>
      <c r="CG101" s="125">
        <f>Tabela1[[#This Row],[Pós EOS %]]</f>
        <v>0.2</v>
      </c>
      <c r="CH101" s="125">
        <f>Tabela1[[#This Row],[Pré BASO %]]</f>
        <v>0.1</v>
      </c>
      <c r="CI101" s="198">
        <f>Tabela1[[#This Row],[Pós BASO %]]</f>
        <v>0.3</v>
      </c>
      <c r="CJ101" s="199" t="str">
        <f t="shared" si="5"/>
        <v>NÃO</v>
      </c>
      <c r="CK101" s="200" t="str">
        <f t="shared" si="6"/>
        <v>NÃO</v>
      </c>
      <c r="CL101" s="194">
        <f t="shared" si="7"/>
        <v>72.809100000000001</v>
      </c>
      <c r="CM101" s="125">
        <f>Tabela1[[#This Row],[MCT KG]]</f>
        <v>81.900000000000006</v>
      </c>
      <c r="CN101" s="85">
        <f>Tabela1[[#This Row],[ESTATURA]]</f>
        <v>180.5</v>
      </c>
      <c r="CO101" s="85">
        <f>Tabela1[[#This Row],[vo2max estimado]]</f>
        <v>51.93</v>
      </c>
      <c r="CP101" s="85">
        <f>Tabela1[[#This Row],[Handgrip     Dominante]]</f>
        <v>44.5</v>
      </c>
      <c r="CQ101" s="85">
        <f>Tabela1[[#This Row],[Handgrip Contrário]]</f>
        <v>46.5</v>
      </c>
      <c r="CR101" s="281">
        <f>Tabela1[[#This Row],[% gordura]]</f>
        <v>11.1</v>
      </c>
    </row>
    <row r="102" spans="1:96" ht="15.75" customHeight="1">
      <c r="A102" s="279">
        <f>Tabela1[[#This Row],[Ano]]</f>
        <v>2018</v>
      </c>
      <c r="B102" s="181" t="str">
        <f>Tabela1[[#This Row],[Missão]]</f>
        <v>CIASC</v>
      </c>
      <c r="C102" s="181">
        <f>Tabela1[[#This Row],[Aluno]]</f>
        <v>3194</v>
      </c>
      <c r="D102" s="181">
        <f>Tabela1[[#This Row],[Idade]]</f>
        <v>28</v>
      </c>
      <c r="E102" s="182">
        <f>Tabela1[[#This Row],[Peso Kg]]</f>
        <v>82</v>
      </c>
      <c r="F102" s="191">
        <f>Tabela1[[#This Row],[Cor da pele]]</f>
        <v>1</v>
      </c>
      <c r="G102" s="192" t="str">
        <f>Tabela1[[#This Row],[ACTN3]]</f>
        <v>-</v>
      </c>
      <c r="H102" s="85" t="str">
        <f>Tabela1[[#This Row],[AGT]]</f>
        <v>-</v>
      </c>
      <c r="I102" s="85" t="str">
        <f>Tabela1[[#This Row],[ECA]]</f>
        <v>-</v>
      </c>
      <c r="J102" s="85" t="str">
        <f>Tabela1[[#This Row],[BDKRB2]]</f>
        <v>-</v>
      </c>
      <c r="K102" s="85" t="str">
        <f>Tabela1[[#This Row],[Score Força%]]</f>
        <v>-</v>
      </c>
      <c r="L102" s="193" t="str">
        <f>Tabela1[[#This Row],[Score Resistência %]]</f>
        <v>-</v>
      </c>
      <c r="M102" s="192">
        <f>Tabela1[[#This Row],[Pré CK (U/L)]]</f>
        <v>113</v>
      </c>
      <c r="N102" s="85">
        <f>Tabela1[[#This Row],[Pós CK (U/L)]]</f>
        <v>1366</v>
      </c>
      <c r="O102" s="85">
        <f>Tabela1[[#This Row],[Pré CK MB U/L]]</f>
        <v>3</v>
      </c>
      <c r="P102" s="85">
        <f>Tabela1[[#This Row],[Pós CK MB U/L]]</f>
        <v>23</v>
      </c>
      <c r="Q102" s="85" t="str">
        <f>Tabela1[[#This Row],[Pré Lactato (mmol/L)]]</f>
        <v>-</v>
      </c>
      <c r="R102" s="85" t="str">
        <f>Tabela1[[#This Row],[Pós Lactato (mmol/L)]]</f>
        <v>-</v>
      </c>
      <c r="S102" s="85">
        <f>Tabela1[[#This Row],[Pré LDH (U/L)]]</f>
        <v>526</v>
      </c>
      <c r="T102" s="85">
        <f>Tabela1[[#This Row],[Pós LDH (U/L)]]</f>
        <v>1089</v>
      </c>
      <c r="U102" s="85">
        <f>Tabela1[[#This Row],[Pré AST (U/L)]]</f>
        <v>38</v>
      </c>
      <c r="V102" s="193">
        <f>Tabela1[[#This Row],[Pós AST (U/L)]]</f>
        <v>87</v>
      </c>
      <c r="W102" s="194">
        <f>Tabela1[[#This Row],[Pré Albumina (g/dL)]]</f>
        <v>4.8</v>
      </c>
      <c r="X102" s="125">
        <f>Tabela1[[#This Row],[Pós Albumina (g/dL)]]</f>
        <v>4.5</v>
      </c>
      <c r="Y102" s="85">
        <f>Tabela1[[#This Row],[Pré TGP (g/dL)]]</f>
        <v>18</v>
      </c>
      <c r="Z102" s="85">
        <f>Tabela1[[#This Row],[Pós TGP (g/dL)]]</f>
        <v>47</v>
      </c>
      <c r="AA102" s="85">
        <f>Tabela1[[#This Row],[Pré GGT U/L]]</f>
        <v>11</v>
      </c>
      <c r="AB102" s="193">
        <f>Tabela1[[#This Row],[Pós GGT U/L]]</f>
        <v>10</v>
      </c>
      <c r="AC102" s="194">
        <f>Tabela1[[#This Row],[Pré Ac. Úrico (mg/dL)]]</f>
        <v>6.8</v>
      </c>
      <c r="AD102" s="125">
        <f>Tabela1[[#This Row],[Pós Ac. Úrico (mg/dL)2]]</f>
        <v>6.5</v>
      </c>
      <c r="AE10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0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02" s="85">
        <f>Tabela1[[#This Row],[Pré Ureia mg/dL]]</f>
        <v>37</v>
      </c>
      <c r="AH102" s="85">
        <f>Tabela1[[#This Row],[Pós Ureia mg/dL]]</f>
        <v>31</v>
      </c>
      <c r="AI102" s="125">
        <f>Tabela1[[#This Row],[Pré creatinina mg/dL]]</f>
        <v>1.1000000000000001</v>
      </c>
      <c r="AJ102" s="125">
        <f>Tabela1[[#This Row],[Pós creatinina mg/dL]]</f>
        <v>1</v>
      </c>
      <c r="AK102" s="180">
        <f t="shared" si="4"/>
        <v>0</v>
      </c>
      <c r="AL102" s="125">
        <f>Tabela1[[#This Row],[Pré Fósforo mg/dL]]</f>
        <v>3.6</v>
      </c>
      <c r="AM102" s="125">
        <f>Tabela1[[#This Row],[Pós Fósforo mg/dL]]</f>
        <v>3.6</v>
      </c>
      <c r="AN102" s="125">
        <f>Tabela1[[#This Row],[Pré Proteína Total (g/dL)]]</f>
        <v>8.3000000000000007</v>
      </c>
      <c r="AO102" s="125">
        <f>Tabela1[[#This Row],[Pós Proteína Total (g/dL)]]</f>
        <v>7.6</v>
      </c>
      <c r="AP102" s="85" t="str">
        <f>Tabela1[[#This Row],[Pré FE (ug/dL)]]</f>
        <v>-</v>
      </c>
      <c r="AQ102" s="193" t="str">
        <f>Tabela1[[#This Row],[Pós FE (ug/dL)]]</f>
        <v>-</v>
      </c>
      <c r="AR102" s="194">
        <f>Tabela1[[#This Row],[Pré calcio mg/dL]]</f>
        <v>9.6999999999999993</v>
      </c>
      <c r="AS102" s="125">
        <f>Tabela1[[#This Row],[Pós calcio mg/dL]]</f>
        <v>9.6</v>
      </c>
      <c r="AT102" s="125">
        <f>Tabela1[[#This Row],[Pré Potássio mmol/L]]</f>
        <v>4.9000000000000004</v>
      </c>
      <c r="AU102" s="125">
        <f>Tabela1[[#This Row],[Pós Potássio mmol/L]]</f>
        <v>4.9000000000000004</v>
      </c>
      <c r="AV102" s="85">
        <f>Tabela1[[#This Row],[Glicose pré]]</f>
        <v>99</v>
      </c>
      <c r="AW102" s="85">
        <f>Tabela1[[#This Row],[Glicose pós]]</f>
        <v>123</v>
      </c>
      <c r="AX102" s="85">
        <f>Tabela1[[#This Row],[Pré Sódio mmol/L]]</f>
        <v>141</v>
      </c>
      <c r="AY102" s="85">
        <f>Tabela1[[#This Row],[Pós Sódio mmol/L]]</f>
        <v>143</v>
      </c>
      <c r="AZ102" s="125">
        <f>Tabela1[[#This Row],[Pré Magnésio mg/dL]]</f>
        <v>2.2000000000000002</v>
      </c>
      <c r="BA102" s="125">
        <f>Tabela1[[#This Row],[Pós Magnésio mg/dL]]</f>
        <v>2.4</v>
      </c>
      <c r="BB102" s="85">
        <f>Tabela1[[#This Row],[Pré Cloro mmol/L]]</f>
        <v>101</v>
      </c>
      <c r="BC102" s="85">
        <f>Tabela1[[#This Row],[Pós Cloro mmol/L]]</f>
        <v>103</v>
      </c>
      <c r="BD10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297.8656666666667</v>
      </c>
      <c r="BE10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302.11900000000009</v>
      </c>
      <c r="BF102" s="194">
        <f>Tabela1[[#This Row],[Pré RBC 10^6/mm³]]</f>
        <v>4.91</v>
      </c>
      <c r="BG102" s="125">
        <f>Tabela1[[#This Row],[Pós RBC 10^6/mm³]]</f>
        <v>4.45</v>
      </c>
      <c r="BH102" s="125">
        <f>Tabela1[[#This Row],[Pré HGB g/dL]]</f>
        <v>14.4</v>
      </c>
      <c r="BI102" s="125">
        <f>Tabela1[[#This Row],[Pós HGB g/dL]]</f>
        <v>13</v>
      </c>
      <c r="BJ102" s="125">
        <f>Tabela1[[#This Row],[Pré HCT %]]</f>
        <v>45</v>
      </c>
      <c r="BK102" s="125">
        <f>Tabela1[[#This Row],[Pós HCT %]]</f>
        <v>38.9</v>
      </c>
      <c r="BL102" s="125">
        <f>Tabela1[[#This Row],[Pré MCV fL]]</f>
        <v>91.6</v>
      </c>
      <c r="BM102" s="125">
        <f>Tabela1[[#This Row],[Pós MCV fL]]</f>
        <v>87.4</v>
      </c>
      <c r="BN102" s="125">
        <f>Tabela1[[#This Row],[Pré MCH pg]]</f>
        <v>29.3</v>
      </c>
      <c r="BO102" s="125">
        <f>Tabela1[[#This Row],[Pós MCH pg]]</f>
        <v>29.2</v>
      </c>
      <c r="BP102" s="125">
        <f>Tabela1[[#This Row],[Pré MCHC g/dL]]</f>
        <v>32</v>
      </c>
      <c r="BQ102" s="125">
        <f>Tabela1[[#This Row],[Pós MCHC g/dL]]</f>
        <v>33.4</v>
      </c>
      <c r="BR102" s="85">
        <f>Tabela1[[#This Row],[Pré PLT 10³/mm³]]</f>
        <v>292</v>
      </c>
      <c r="BS102" s="85">
        <f>Tabela1[[#This Row],[Pós PLT 10³/mm³]]</f>
        <v>334</v>
      </c>
      <c r="BT102" s="125">
        <f>Tabela1[[#This Row],[Pré RDW %]]</f>
        <v>13.5</v>
      </c>
      <c r="BU102" s="125">
        <f>Tabela1[[#This Row],[Pós RDW %]]</f>
        <v>13.4</v>
      </c>
      <c r="BV102" s="179" t="str">
        <f>Tabela1[[#This Row],[Pré RET %]]</f>
        <v>-</v>
      </c>
      <c r="BW102" s="196">
        <f>Tabela1[[#This Row],[Pós RET %]]</f>
        <v>1.74</v>
      </c>
      <c r="BX102" s="197">
        <f>Tabela1[[#This Row],[Pré WBC 10³/mm³]]</f>
        <v>7.67</v>
      </c>
      <c r="BY102" s="179">
        <f>Tabela1[[#This Row],[Pós WBC 10³/mm³]]</f>
        <v>8.34</v>
      </c>
      <c r="BZ102" s="125">
        <f>Tabela1[[#This Row],[Pré NEUT %]]</f>
        <v>76.3</v>
      </c>
      <c r="CA102" s="125">
        <f>Tabela1[[#This Row],[Pós NEUT %]]</f>
        <v>77.8</v>
      </c>
      <c r="CB102" s="125">
        <f>Tabela1[[#This Row],[Pré LINF %]]</f>
        <v>15.1</v>
      </c>
      <c r="CC102" s="125">
        <f>Tabela1[[#This Row],[Pós LINF %]]</f>
        <v>13.3</v>
      </c>
      <c r="CD102" s="125">
        <f>Tabela1[[#This Row],[Pré MONO %]]</f>
        <v>8.1</v>
      </c>
      <c r="CE102" s="125">
        <f>Tabela1[[#This Row],[Pós MONO %]]</f>
        <v>8.1999999999999993</v>
      </c>
      <c r="CF102" s="125">
        <f>Tabela1[[#This Row],[Pré EOS %]]</f>
        <v>0.4</v>
      </c>
      <c r="CG102" s="125">
        <f>Tabela1[[#This Row],[Pós EOS %]]</f>
        <v>0.6</v>
      </c>
      <c r="CH102" s="125">
        <f>Tabela1[[#This Row],[Pré BASO %]]</f>
        <v>0.1</v>
      </c>
      <c r="CI102" s="198">
        <f>Tabela1[[#This Row],[Pós BASO %]]</f>
        <v>0.1</v>
      </c>
      <c r="CJ102" s="199" t="str">
        <f t="shared" si="5"/>
        <v>NÃO</v>
      </c>
      <c r="CK102" s="200" t="str">
        <f t="shared" si="6"/>
        <v>SIM</v>
      </c>
      <c r="CL102" s="194">
        <f t="shared" si="7"/>
        <v>71.943809999999999</v>
      </c>
      <c r="CM102" s="125">
        <f>Tabela1[[#This Row],[MCT KG]]</f>
        <v>81.099999999999994</v>
      </c>
      <c r="CN102" s="85">
        <f>Tabela1[[#This Row],[ESTATURA]]</f>
        <v>178</v>
      </c>
      <c r="CO102" s="85">
        <f>Tabela1[[#This Row],[vo2max estimado]]</f>
        <v>51.6</v>
      </c>
      <c r="CP102" s="85">
        <f>Tabela1[[#This Row],[Handgrip     Dominante]]</f>
        <v>45.5</v>
      </c>
      <c r="CQ102" s="85">
        <f>Tabela1[[#This Row],[Handgrip Contrário]]</f>
        <v>43</v>
      </c>
      <c r="CR102" s="281">
        <f>Tabela1[[#This Row],[% gordura]]</f>
        <v>11.29</v>
      </c>
    </row>
    <row r="103" spans="1:96" ht="15.75" customHeight="1">
      <c r="A103" s="279">
        <f>Tabela1[[#This Row],[Ano]]</f>
        <v>2018</v>
      </c>
      <c r="B103" s="181" t="str">
        <f>Tabela1[[#This Row],[Missão]]</f>
        <v>CIASC</v>
      </c>
      <c r="C103" s="181">
        <f>Tabela1[[#This Row],[Aluno]]</f>
        <v>3195</v>
      </c>
      <c r="D103" s="181">
        <f>Tabela1[[#This Row],[Idade]]</f>
        <v>26</v>
      </c>
      <c r="E103" s="182">
        <f>Tabela1[[#This Row],[Peso Kg]]</f>
        <v>69</v>
      </c>
      <c r="F103" s="191">
        <f>Tabela1[[#This Row],[Cor da pele]]</f>
        <v>1</v>
      </c>
      <c r="G103" s="192" t="str">
        <f>Tabela1[[#This Row],[ACTN3]]</f>
        <v>-</v>
      </c>
      <c r="H103" s="85" t="str">
        <f>Tabela1[[#This Row],[AGT]]</f>
        <v>-</v>
      </c>
      <c r="I103" s="85" t="str">
        <f>Tabela1[[#This Row],[ECA]]</f>
        <v>-</v>
      </c>
      <c r="J103" s="85" t="str">
        <f>Tabela1[[#This Row],[BDKRB2]]</f>
        <v>-</v>
      </c>
      <c r="K103" s="85" t="str">
        <f>Tabela1[[#This Row],[Score Força%]]</f>
        <v>-</v>
      </c>
      <c r="L103" s="193" t="str">
        <f>Tabela1[[#This Row],[Score Resistência %]]</f>
        <v>-</v>
      </c>
      <c r="M103" s="192">
        <f>Tabela1[[#This Row],[Pré CK (U/L)]]</f>
        <v>432</v>
      </c>
      <c r="N103" s="85">
        <f>Tabela1[[#This Row],[Pós CK (U/L)]]</f>
        <v>912</v>
      </c>
      <c r="O103" s="85">
        <f>Tabela1[[#This Row],[Pré CK MB U/L]]</f>
        <v>3</v>
      </c>
      <c r="P103" s="85">
        <f>Tabela1[[#This Row],[Pós CK MB U/L]]</f>
        <v>15</v>
      </c>
      <c r="Q103" s="85" t="str">
        <f>Tabela1[[#This Row],[Pré Lactato (mmol/L)]]</f>
        <v>-</v>
      </c>
      <c r="R103" s="85" t="str">
        <f>Tabela1[[#This Row],[Pós Lactato (mmol/L)]]</f>
        <v>-</v>
      </c>
      <c r="S103" s="85">
        <f>Tabela1[[#This Row],[Pré LDH (U/L)]]</f>
        <v>531</v>
      </c>
      <c r="T103" s="85">
        <f>Tabela1[[#This Row],[Pós LDH (U/L)]]</f>
        <v>807</v>
      </c>
      <c r="U103" s="85">
        <f>Tabela1[[#This Row],[Pré AST (U/L)]]</f>
        <v>36</v>
      </c>
      <c r="V103" s="193">
        <f>Tabela1[[#This Row],[Pós AST (U/L)]]</f>
        <v>66</v>
      </c>
      <c r="W103" s="194">
        <f>Tabela1[[#This Row],[Pré Albumina (g/dL)]]</f>
        <v>5.0999999999999996</v>
      </c>
      <c r="X103" s="125">
        <f>Tabela1[[#This Row],[Pós Albumina (g/dL)]]</f>
        <v>4.7</v>
      </c>
      <c r="Y103" s="85">
        <f>Tabela1[[#This Row],[Pré TGP (g/dL)]]</f>
        <v>34</v>
      </c>
      <c r="Z103" s="85">
        <f>Tabela1[[#This Row],[Pós TGP (g/dL)]]</f>
        <v>65</v>
      </c>
      <c r="AA103" s="85">
        <f>Tabela1[[#This Row],[Pré GGT U/L]]</f>
        <v>20</v>
      </c>
      <c r="AB103" s="193">
        <f>Tabela1[[#This Row],[Pós GGT U/L]]</f>
        <v>18</v>
      </c>
      <c r="AC103" s="194">
        <f>Tabela1[[#This Row],[Pré Ac. Úrico (mg/dL)]]</f>
        <v>4.5999999999999996</v>
      </c>
      <c r="AD103" s="125">
        <f>Tabela1[[#This Row],[Pós Ac. Úrico (mg/dL)2]]</f>
        <v>4.7</v>
      </c>
      <c r="AE10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10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103" s="85">
        <f>Tabela1[[#This Row],[Pré Ureia mg/dL]]</f>
        <v>27</v>
      </c>
      <c r="AH103" s="85">
        <f>Tabela1[[#This Row],[Pós Ureia mg/dL]]</f>
        <v>35</v>
      </c>
      <c r="AI103" s="125">
        <f>Tabela1[[#This Row],[Pré creatinina mg/dL]]</f>
        <v>0.8</v>
      </c>
      <c r="AJ103" s="125">
        <f>Tabela1[[#This Row],[Pós creatinina mg/dL]]</f>
        <v>0.8</v>
      </c>
      <c r="AK103" s="180">
        <f t="shared" si="4"/>
        <v>0</v>
      </c>
      <c r="AL103" s="125">
        <f>Tabela1[[#This Row],[Pré Fósforo mg/dL]]</f>
        <v>3.6</v>
      </c>
      <c r="AM103" s="125">
        <f>Tabela1[[#This Row],[Pós Fósforo mg/dL]]</f>
        <v>3.7</v>
      </c>
      <c r="AN103" s="125">
        <f>Tabela1[[#This Row],[Pré Proteína Total (g/dL)]]</f>
        <v>8.6999999999999993</v>
      </c>
      <c r="AO103" s="125">
        <f>Tabela1[[#This Row],[Pós Proteína Total (g/dL)]]</f>
        <v>7.6</v>
      </c>
      <c r="AP103" s="85" t="str">
        <f>Tabela1[[#This Row],[Pré FE (ug/dL)]]</f>
        <v>-</v>
      </c>
      <c r="AQ103" s="193" t="str">
        <f>Tabela1[[#This Row],[Pós FE (ug/dL)]]</f>
        <v>-</v>
      </c>
      <c r="AR103" s="194">
        <f>Tabela1[[#This Row],[Pré calcio mg/dL]]</f>
        <v>9.6</v>
      </c>
      <c r="AS103" s="125">
        <f>Tabela1[[#This Row],[Pós calcio mg/dL]]</f>
        <v>9.6</v>
      </c>
      <c r="AT103" s="125">
        <f>Tabela1[[#This Row],[Pré Potássio mmol/L]]</f>
        <v>4.4000000000000004</v>
      </c>
      <c r="AU103" s="125">
        <f>Tabela1[[#This Row],[Pós Potássio mmol/L]]</f>
        <v>4.3</v>
      </c>
      <c r="AV103" s="85">
        <f>Tabela1[[#This Row],[Glicose pré]]</f>
        <v>98</v>
      </c>
      <c r="AW103" s="85">
        <f>Tabela1[[#This Row],[Glicose pós]]</f>
        <v>166</v>
      </c>
      <c r="AX103" s="85">
        <f>Tabela1[[#This Row],[Pré Sódio mmol/L]]</f>
        <v>145</v>
      </c>
      <c r="AY103" s="85">
        <f>Tabela1[[#This Row],[Pós Sódio mmol/L]]</f>
        <v>145</v>
      </c>
      <c r="AZ103" s="125">
        <f>Tabela1[[#This Row],[Pré Magnésio mg/dL]]</f>
        <v>2.1</v>
      </c>
      <c r="BA103" s="125">
        <f>Tabela1[[#This Row],[Pós Magnésio mg/dL]]</f>
        <v>2.2000000000000002</v>
      </c>
      <c r="BB103" s="85">
        <f>Tabela1[[#This Row],[Pré Cloro mmol/L]]</f>
        <v>99</v>
      </c>
      <c r="BC103" s="85">
        <f>Tabela1[[#This Row],[Pós Cloro mmol/L]]</f>
        <v>101</v>
      </c>
      <c r="BD10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302.64511111111113</v>
      </c>
      <c r="BE10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308.1368888888889</v>
      </c>
      <c r="BF103" s="194">
        <f>Tabela1[[#This Row],[Pré RBC 10^6/mm³]]</f>
        <v>4.83</v>
      </c>
      <c r="BG103" s="125">
        <f>Tabela1[[#This Row],[Pós RBC 10^6/mm³]]</f>
        <v>4.5199999999999996</v>
      </c>
      <c r="BH103" s="125">
        <f>Tabela1[[#This Row],[Pré HGB g/dL]]</f>
        <v>14.9</v>
      </c>
      <c r="BI103" s="125">
        <f>Tabela1[[#This Row],[Pós HGB g/dL]]</f>
        <v>14.1</v>
      </c>
      <c r="BJ103" s="125">
        <f>Tabela1[[#This Row],[Pré HCT %]]</f>
        <v>47</v>
      </c>
      <c r="BK103" s="125">
        <f>Tabela1[[#This Row],[Pós HCT %]]</f>
        <v>41.5</v>
      </c>
      <c r="BL103" s="125">
        <f>Tabela1[[#This Row],[Pré MCV fL]]</f>
        <v>97.3</v>
      </c>
      <c r="BM103" s="125">
        <f>Tabela1[[#This Row],[Pós MCV fL]]</f>
        <v>91.8</v>
      </c>
      <c r="BN103" s="125">
        <f>Tabela1[[#This Row],[Pré MCH pg]]</f>
        <v>30.8</v>
      </c>
      <c r="BO103" s="125">
        <f>Tabela1[[#This Row],[Pós MCH pg]]</f>
        <v>31.2</v>
      </c>
      <c r="BP103" s="125">
        <f>Tabela1[[#This Row],[Pré MCHC g/dL]]</f>
        <v>31.7</v>
      </c>
      <c r="BQ103" s="125">
        <f>Tabela1[[#This Row],[Pós MCHC g/dL]]</f>
        <v>34</v>
      </c>
      <c r="BR103" s="85">
        <f>Tabela1[[#This Row],[Pré PLT 10³/mm³]]</f>
        <v>294</v>
      </c>
      <c r="BS103" s="85">
        <f>Tabela1[[#This Row],[Pós PLT 10³/mm³]]</f>
        <v>317</v>
      </c>
      <c r="BT103" s="125">
        <f>Tabela1[[#This Row],[Pré RDW %]]</f>
        <v>13.2</v>
      </c>
      <c r="BU103" s="125">
        <f>Tabela1[[#This Row],[Pós RDW %]]</f>
        <v>13.1</v>
      </c>
      <c r="BV103" s="179" t="str">
        <f>Tabela1[[#This Row],[Pré RET %]]</f>
        <v>-</v>
      </c>
      <c r="BW103" s="196">
        <f>Tabela1[[#This Row],[Pós RET %]]</f>
        <v>1.42</v>
      </c>
      <c r="BX103" s="197">
        <f>Tabela1[[#This Row],[Pré WBC 10³/mm³]]</f>
        <v>10.49</v>
      </c>
      <c r="BY103" s="179">
        <f>Tabela1[[#This Row],[Pós WBC 10³/mm³]]</f>
        <v>10.16</v>
      </c>
      <c r="BZ103" s="125">
        <f>Tabela1[[#This Row],[Pré NEUT %]]</f>
        <v>83</v>
      </c>
      <c r="CA103" s="125">
        <f>Tabela1[[#This Row],[Pós NEUT %]]</f>
        <v>74.7</v>
      </c>
      <c r="CB103" s="125">
        <f>Tabela1[[#This Row],[Pré LINF %]]</f>
        <v>9.6</v>
      </c>
      <c r="CC103" s="125">
        <f>Tabela1[[#This Row],[Pós LINF %]]</f>
        <v>15.8</v>
      </c>
      <c r="CD103" s="125">
        <f>Tabela1[[#This Row],[Pré MONO %]]</f>
        <v>7.1</v>
      </c>
      <c r="CE103" s="125">
        <f>Tabela1[[#This Row],[Pós MONO %]]</f>
        <v>8.5</v>
      </c>
      <c r="CF103" s="125">
        <f>Tabela1[[#This Row],[Pré EOS %]]</f>
        <v>0.1</v>
      </c>
      <c r="CG103" s="125">
        <f>Tabela1[[#This Row],[Pós EOS %]]</f>
        <v>0.8</v>
      </c>
      <c r="CH103" s="125">
        <f>Tabela1[[#This Row],[Pré BASO %]]</f>
        <v>0.2</v>
      </c>
      <c r="CI103" s="198">
        <f>Tabela1[[#This Row],[Pós BASO %]]</f>
        <v>0.2</v>
      </c>
      <c r="CJ103" s="199" t="str">
        <f t="shared" si="5"/>
        <v>NÃO</v>
      </c>
      <c r="CK103" s="200" t="str">
        <f t="shared" si="6"/>
        <v>NÃO</v>
      </c>
      <c r="CL103" s="194">
        <f t="shared" si="7"/>
        <v>62.5396</v>
      </c>
      <c r="CM103" s="125">
        <f>Tabela1[[#This Row],[MCT KG]]</f>
        <v>68</v>
      </c>
      <c r="CN103" s="85">
        <f>Tabela1[[#This Row],[ESTATURA]]</f>
        <v>173</v>
      </c>
      <c r="CO103" s="85">
        <f>Tabela1[[#This Row],[vo2max estimado]]</f>
        <v>55.9</v>
      </c>
      <c r="CP103" s="85">
        <f>Tabela1[[#This Row],[Handgrip     Dominante]]</f>
        <v>39</v>
      </c>
      <c r="CQ103" s="85">
        <f>Tabela1[[#This Row],[Handgrip Contrário]]</f>
        <v>39</v>
      </c>
      <c r="CR103" s="281">
        <f>Tabela1[[#This Row],[% gordura]]</f>
        <v>8.0299999999999994</v>
      </c>
    </row>
    <row r="104" spans="1:96" ht="15.75" customHeight="1">
      <c r="A104" s="279">
        <f>Tabela1[[#This Row],[Ano]]</f>
        <v>2018</v>
      </c>
      <c r="B104" s="181" t="str">
        <f>Tabela1[[#This Row],[Missão]]</f>
        <v>CIASC</v>
      </c>
      <c r="C104" s="181">
        <f>Tabela1[[#This Row],[Aluno]]</f>
        <v>3196</v>
      </c>
      <c r="D104" s="181">
        <f>Tabela1[[#This Row],[Idade]]</f>
        <v>27</v>
      </c>
      <c r="E104" s="182">
        <f>Tabela1[[#This Row],[Peso Kg]]</f>
        <v>83</v>
      </c>
      <c r="F104" s="191">
        <f>Tabela1[[#This Row],[Cor da pele]]</f>
        <v>1</v>
      </c>
      <c r="G104" s="192" t="str">
        <f>Tabela1[[#This Row],[ACTN3]]</f>
        <v>-</v>
      </c>
      <c r="H104" s="85" t="str">
        <f>Tabela1[[#This Row],[AGT]]</f>
        <v>-</v>
      </c>
      <c r="I104" s="85" t="str">
        <f>Tabela1[[#This Row],[ECA]]</f>
        <v>-</v>
      </c>
      <c r="J104" s="85" t="str">
        <f>Tabela1[[#This Row],[BDKRB2]]</f>
        <v>-</v>
      </c>
      <c r="K104" s="85" t="str">
        <f>Tabela1[[#This Row],[Score Força%]]</f>
        <v>-</v>
      </c>
      <c r="L104" s="193" t="str">
        <f>Tabela1[[#This Row],[Score Resistência %]]</f>
        <v>-</v>
      </c>
      <c r="M104" s="192">
        <f>Tabela1[[#This Row],[Pré CK (U/L)]]</f>
        <v>220</v>
      </c>
      <c r="N104" s="85">
        <f>Tabela1[[#This Row],[Pós CK (U/L)]]</f>
        <v>1335</v>
      </c>
      <c r="O104" s="85">
        <f>Tabela1[[#This Row],[Pré CK MB U/L]]</f>
        <v>6</v>
      </c>
      <c r="P104" s="85">
        <f>Tabela1[[#This Row],[Pós CK MB U/L]]</f>
        <v>18</v>
      </c>
      <c r="Q104" s="85" t="str">
        <f>Tabela1[[#This Row],[Pré Lactato (mmol/L)]]</f>
        <v>-</v>
      </c>
      <c r="R104" s="85" t="str">
        <f>Tabela1[[#This Row],[Pós Lactato (mmol/L)]]</f>
        <v>-</v>
      </c>
      <c r="S104" s="85">
        <f>Tabela1[[#This Row],[Pré LDH (U/L)]]</f>
        <v>696</v>
      </c>
      <c r="T104" s="85">
        <f>Tabela1[[#This Row],[Pós LDH (U/L)]]</f>
        <v>1032</v>
      </c>
      <c r="U104" s="85">
        <f>Tabela1[[#This Row],[Pré AST (U/L)]]</f>
        <v>50</v>
      </c>
      <c r="V104" s="193">
        <f>Tabela1[[#This Row],[Pós AST (U/L)]]</f>
        <v>56</v>
      </c>
      <c r="W104" s="194">
        <f>Tabela1[[#This Row],[Pré Albumina (g/dL)]]</f>
        <v>5.3</v>
      </c>
      <c r="X104" s="125">
        <f>Tabela1[[#This Row],[Pós Albumina (g/dL)]]</f>
        <v>4.7</v>
      </c>
      <c r="Y104" s="85">
        <f>Tabela1[[#This Row],[Pré TGP (g/dL)]]</f>
        <v>54</v>
      </c>
      <c r="Z104" s="85">
        <f>Tabela1[[#This Row],[Pós TGP (g/dL)]]</f>
        <v>74</v>
      </c>
      <c r="AA104" s="85">
        <f>Tabela1[[#This Row],[Pré GGT U/L]]</f>
        <v>28</v>
      </c>
      <c r="AB104" s="193">
        <f>Tabela1[[#This Row],[Pós GGT U/L]]</f>
        <v>24</v>
      </c>
      <c r="AC104" s="194">
        <f>Tabela1[[#This Row],[Pré Ac. Úrico (mg/dL)]]</f>
        <v>7.3</v>
      </c>
      <c r="AD104" s="125">
        <f>Tabela1[[#This Row],[Pós Ac. Úrico (mg/dL)2]]</f>
        <v>6.4</v>
      </c>
      <c r="AE10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10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04" s="85">
        <f>Tabela1[[#This Row],[Pré Ureia mg/dL]]</f>
        <v>43</v>
      </c>
      <c r="AH104" s="85">
        <f>Tabela1[[#This Row],[Pós Ureia mg/dL]]</f>
        <v>40</v>
      </c>
      <c r="AI104" s="125">
        <f>Tabela1[[#This Row],[Pré creatinina mg/dL]]</f>
        <v>1.2</v>
      </c>
      <c r="AJ104" s="125">
        <f>Tabela1[[#This Row],[Pós creatinina mg/dL]]</f>
        <v>1.1000000000000001</v>
      </c>
      <c r="AK104" s="180">
        <f t="shared" si="4"/>
        <v>0</v>
      </c>
      <c r="AL104" s="125">
        <f>Tabela1[[#This Row],[Pré Fósforo mg/dL]]</f>
        <v>4</v>
      </c>
      <c r="AM104" s="125">
        <f>Tabela1[[#This Row],[Pós Fósforo mg/dL]]</f>
        <v>3.6</v>
      </c>
      <c r="AN104" s="125">
        <f>Tabela1[[#This Row],[Pré Proteína Total (g/dL)]]</f>
        <v>8.9</v>
      </c>
      <c r="AO104" s="125">
        <f>Tabela1[[#This Row],[Pós Proteína Total (g/dL)]]</f>
        <v>7.7</v>
      </c>
      <c r="AP104" s="85" t="str">
        <f>Tabela1[[#This Row],[Pré FE (ug/dL)]]</f>
        <v>-</v>
      </c>
      <c r="AQ104" s="193" t="str">
        <f>Tabela1[[#This Row],[Pós FE (ug/dL)]]</f>
        <v>-</v>
      </c>
      <c r="AR104" s="194">
        <f>Tabela1[[#This Row],[Pré calcio mg/dL]]</f>
        <v>9.9</v>
      </c>
      <c r="AS104" s="125">
        <f>Tabela1[[#This Row],[Pós calcio mg/dL]]</f>
        <v>9.5</v>
      </c>
      <c r="AT104" s="125">
        <f>Tabela1[[#This Row],[Pré Potássio mmol/L]]</f>
        <v>6.1</v>
      </c>
      <c r="AU104" s="125">
        <f>Tabela1[[#This Row],[Pós Potássio mmol/L]]</f>
        <v>4.5999999999999996</v>
      </c>
      <c r="AV104" s="85">
        <f>Tabela1[[#This Row],[Glicose pré]]</f>
        <v>114</v>
      </c>
      <c r="AW104" s="85">
        <f>Tabela1[[#This Row],[Glicose pós]]</f>
        <v>124</v>
      </c>
      <c r="AX104" s="85">
        <f>Tabela1[[#This Row],[Pré Sódio mmol/L]]</f>
        <v>145</v>
      </c>
      <c r="AY104" s="85">
        <f>Tabela1[[#This Row],[Pós Sódio mmol/L]]</f>
        <v>144</v>
      </c>
      <c r="AZ104" s="125">
        <f>Tabela1[[#This Row],[Pré Magnésio mg/dL]]</f>
        <v>2.2999999999999998</v>
      </c>
      <c r="BA104" s="125">
        <f>Tabela1[[#This Row],[Pós Magnésio mg/dL]]</f>
        <v>2.2999999999999998</v>
      </c>
      <c r="BB104" s="85">
        <f>Tabela1[[#This Row],[Pré Cloro mmol/L]]</f>
        <v>103</v>
      </c>
      <c r="BC104" s="85">
        <f>Tabela1[[#This Row],[Pós Cloro mmol/L]]</f>
        <v>101</v>
      </c>
      <c r="BD10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309.49600000000004</v>
      </c>
      <c r="BE10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304.98488888888892</v>
      </c>
      <c r="BF104" s="194">
        <f>Tabela1[[#This Row],[Pré RBC 10^6/mm³]]</f>
        <v>5.51</v>
      </c>
      <c r="BG104" s="125">
        <f>Tabela1[[#This Row],[Pós RBC 10^6/mm³]]</f>
        <v>5.16</v>
      </c>
      <c r="BH104" s="125">
        <f>Tabela1[[#This Row],[Pré HGB g/dL]]</f>
        <v>15.3</v>
      </c>
      <c r="BI104" s="125">
        <f>Tabela1[[#This Row],[Pós HGB g/dL]]</f>
        <v>14.4</v>
      </c>
      <c r="BJ104" s="125">
        <f>Tabela1[[#This Row],[Pré HCT %]]</f>
        <v>47.5</v>
      </c>
      <c r="BK104" s="125">
        <f>Tabela1[[#This Row],[Pós HCT %]]</f>
        <v>42.6</v>
      </c>
      <c r="BL104" s="125">
        <f>Tabela1[[#This Row],[Pré MCV fL]]</f>
        <v>86.2</v>
      </c>
      <c r="BM104" s="125">
        <f>Tabela1[[#This Row],[Pós MCV fL]]</f>
        <v>82.6</v>
      </c>
      <c r="BN104" s="125">
        <f>Tabela1[[#This Row],[Pré MCH pg]]</f>
        <v>27.8</v>
      </c>
      <c r="BO104" s="125">
        <f>Tabela1[[#This Row],[Pós MCH pg]]</f>
        <v>27.9</v>
      </c>
      <c r="BP104" s="125">
        <f>Tabela1[[#This Row],[Pré MCHC g/dL]]</f>
        <v>32.200000000000003</v>
      </c>
      <c r="BQ104" s="125">
        <f>Tabela1[[#This Row],[Pós MCHC g/dL]]</f>
        <v>33.799999999999997</v>
      </c>
      <c r="BR104" s="85">
        <f>Tabela1[[#This Row],[Pré PLT 10³/mm³]]</f>
        <v>187</v>
      </c>
      <c r="BS104" s="85">
        <f>Tabela1[[#This Row],[Pós PLT 10³/mm³]]</f>
        <v>261</v>
      </c>
      <c r="BT104" s="125">
        <f>Tabela1[[#This Row],[Pré RDW %]]</f>
        <v>12.5</v>
      </c>
      <c r="BU104" s="125">
        <f>Tabela1[[#This Row],[Pós RDW %]]</f>
        <v>12.3</v>
      </c>
      <c r="BV104" s="179" t="str">
        <f>Tabela1[[#This Row],[Pré RET %]]</f>
        <v>-</v>
      </c>
      <c r="BW104" s="196">
        <f>Tabela1[[#This Row],[Pós RET %]]</f>
        <v>1.1299999999999999</v>
      </c>
      <c r="BX104" s="197">
        <f>Tabela1[[#This Row],[Pré WBC 10³/mm³]]</f>
        <v>7.45</v>
      </c>
      <c r="BY104" s="179">
        <f>Tabela1[[#This Row],[Pós WBC 10³/mm³]]</f>
        <v>9.69</v>
      </c>
      <c r="BZ104" s="125">
        <f>Tabela1[[#This Row],[Pré NEUT %]]</f>
        <v>77.5</v>
      </c>
      <c r="CA104" s="125">
        <f>Tabela1[[#This Row],[Pós NEUT %]]</f>
        <v>76.3</v>
      </c>
      <c r="CB104" s="125">
        <f>Tabela1[[#This Row],[Pré LINF %]]</f>
        <v>16.8</v>
      </c>
      <c r="CC104" s="125">
        <f>Tabela1[[#This Row],[Pós LINF %]]</f>
        <v>16.2</v>
      </c>
      <c r="CD104" s="125">
        <f>Tabela1[[#This Row],[Pré MONO %]]</f>
        <v>4.7</v>
      </c>
      <c r="CE104" s="125">
        <f>Tabela1[[#This Row],[Pós MONO %]]</f>
        <v>6</v>
      </c>
      <c r="CF104" s="125">
        <f>Tabela1[[#This Row],[Pré EOS %]]</f>
        <v>0.7</v>
      </c>
      <c r="CG104" s="125">
        <f>Tabela1[[#This Row],[Pós EOS %]]</f>
        <v>1.3</v>
      </c>
      <c r="CH104" s="125">
        <f>Tabela1[[#This Row],[Pré BASO %]]</f>
        <v>0.3</v>
      </c>
      <c r="CI104" s="198">
        <f>Tabela1[[#This Row],[Pós BASO %]]</f>
        <v>0.2</v>
      </c>
      <c r="CJ104" s="199" t="str">
        <f t="shared" si="5"/>
        <v>NÃO</v>
      </c>
      <c r="CK104" s="200" t="str">
        <f t="shared" si="6"/>
        <v>SIM</v>
      </c>
      <c r="CL104" s="194">
        <f t="shared" si="7"/>
        <v>70.30368</v>
      </c>
      <c r="CM104" s="125">
        <f>Tabela1[[#This Row],[MCT KG]]</f>
        <v>82.4</v>
      </c>
      <c r="CN104" s="85">
        <f>Tabela1[[#This Row],[ESTATURA]]</f>
        <v>168</v>
      </c>
      <c r="CO104" s="85">
        <f>Tabela1[[#This Row],[vo2max estimado]]</f>
        <v>50.7</v>
      </c>
      <c r="CP104" s="85">
        <f>Tabela1[[#This Row],[Handgrip     Dominante]]</f>
        <v>60</v>
      </c>
      <c r="CQ104" s="85">
        <f>Tabela1[[#This Row],[Handgrip Contrário]]</f>
        <v>58</v>
      </c>
      <c r="CR104" s="281">
        <f>Tabela1[[#This Row],[% gordura]]</f>
        <v>14.68</v>
      </c>
    </row>
    <row r="105" spans="1:96" ht="15.75" customHeight="1">
      <c r="A105" s="279">
        <f>Tabela1[[#This Row],[Ano]]</f>
        <v>2018</v>
      </c>
      <c r="B105" s="181" t="str">
        <f>Tabela1[[#This Row],[Missão]]</f>
        <v>Marambaia</v>
      </c>
      <c r="C105" s="181">
        <f>Tabela1[[#This Row],[Aluno]]</f>
        <v>3155</v>
      </c>
      <c r="D105" s="181">
        <f>Tabela1[[#This Row],[Idade]]</f>
        <v>26</v>
      </c>
      <c r="E105" s="182">
        <f>Tabela1[[#This Row],[Peso Kg]]</f>
        <v>74</v>
      </c>
      <c r="F105" s="191">
        <f>Tabela1[[#This Row],[Cor da pele]]</f>
        <v>1</v>
      </c>
      <c r="G105" s="192" t="str">
        <f>Tabela1[[#This Row],[ACTN3]]</f>
        <v>RR</v>
      </c>
      <c r="H105" s="85" t="str">
        <f>Tabela1[[#This Row],[AGT]]</f>
        <v>MT</v>
      </c>
      <c r="I105" s="85" t="str">
        <f>Tabela1[[#This Row],[ECA]]</f>
        <v>II</v>
      </c>
      <c r="J105" s="85" t="str">
        <f>Tabela1[[#This Row],[BDKRB2]]</f>
        <v>(+9,-9)</v>
      </c>
      <c r="K105" s="85">
        <f>Tabela1[[#This Row],[Score Força%]]</f>
        <v>50</v>
      </c>
      <c r="L105" s="193">
        <f>Tabela1[[#This Row],[Score Resistência %]]</f>
        <v>50</v>
      </c>
      <c r="M105" s="192">
        <f>Tabela1[[#This Row],[Pré CK (U/L)]]</f>
        <v>570</v>
      </c>
      <c r="N105" s="85">
        <f>Tabela1[[#This Row],[Pós CK (U/L)]]</f>
        <v>2493</v>
      </c>
      <c r="O105" s="85">
        <f>Tabela1[[#This Row],[Pré CK MB U/L]]</f>
        <v>32</v>
      </c>
      <c r="P105" s="85">
        <f>Tabela1[[#This Row],[Pós CK MB U/L]]</f>
        <v>79</v>
      </c>
      <c r="Q105" s="85">
        <f>Tabela1[[#This Row],[Pré Lactato (mmol/L)]]</f>
        <v>1.9</v>
      </c>
      <c r="R105" s="85">
        <f>Tabela1[[#This Row],[Pós Lactato (mmol/L)]]</f>
        <v>1.9</v>
      </c>
      <c r="S105" s="85">
        <f>Tabela1[[#This Row],[Pré LDH (U/L)]]</f>
        <v>838</v>
      </c>
      <c r="T105" s="85">
        <f>Tabela1[[#This Row],[Pós LDH (U/L)]]</f>
        <v>1747</v>
      </c>
      <c r="U105" s="85">
        <f>Tabela1[[#This Row],[Pré AST (U/L)]]</f>
        <v>76</v>
      </c>
      <c r="V105" s="193">
        <f>Tabela1[[#This Row],[Pós AST (U/L)]]</f>
        <v>189</v>
      </c>
      <c r="W105" s="194">
        <f>Tabela1[[#This Row],[Pré Albumina (g/dL)]]</f>
        <v>4.2</v>
      </c>
      <c r="X105" s="125">
        <f>Tabela1[[#This Row],[Pós Albumina (g/dL)]]</f>
        <v>4.5</v>
      </c>
      <c r="Y105" s="85">
        <f>Tabela1[[#This Row],[Pré TGP (g/dL)]]</f>
        <v>100</v>
      </c>
      <c r="Z105" s="85">
        <f>Tabela1[[#This Row],[Pós TGP (g/dL)]]</f>
        <v>183</v>
      </c>
      <c r="AA105" s="85">
        <f>Tabela1[[#This Row],[Pré GGT U/L]]</f>
        <v>41</v>
      </c>
      <c r="AB105" s="193">
        <f>Tabela1[[#This Row],[Pós GGT U/L]]</f>
        <v>42</v>
      </c>
      <c r="AC105" s="194" t="str">
        <f>Tabela1[[#This Row],[Pré Ac. Úrico (mg/dL)]]</f>
        <v>-</v>
      </c>
      <c r="AD105" s="125">
        <f>Tabela1[[#This Row],[Pós Ac. Úrico (mg/dL)2]]</f>
        <v>7.9</v>
      </c>
      <c r="AE10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10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05" s="85">
        <f>Tabela1[[#This Row],[Pré Ureia mg/dL]]</f>
        <v>46</v>
      </c>
      <c r="AH105" s="85">
        <f>Tabela1[[#This Row],[Pós Ureia mg/dL]]</f>
        <v>68</v>
      </c>
      <c r="AI105" s="125">
        <f>Tabela1[[#This Row],[Pré creatinina mg/dL]]</f>
        <v>0.8</v>
      </c>
      <c r="AJ105" s="125">
        <f>Tabela1[[#This Row],[Pós creatinina mg/dL]]</f>
        <v>1.1000000000000001</v>
      </c>
      <c r="AK105" s="180">
        <f t="shared" si="4"/>
        <v>0.30000000000000004</v>
      </c>
      <c r="AL105" s="125">
        <f>Tabela1[[#This Row],[Pré Fósforo mg/dL]]</f>
        <v>3.6</v>
      </c>
      <c r="AM105" s="125">
        <f>Tabela1[[#This Row],[Pós Fósforo mg/dL]]</f>
        <v>6.2</v>
      </c>
      <c r="AN105" s="125">
        <f>Tabela1[[#This Row],[Pré Proteína Total (g/dL)]]</f>
        <v>7</v>
      </c>
      <c r="AO105" s="125">
        <f>Tabela1[[#This Row],[Pós Proteína Total (g/dL)]]</f>
        <v>7.8</v>
      </c>
      <c r="AP105" s="85" t="str">
        <f>Tabela1[[#This Row],[Pré FE (ug/dL)]]</f>
        <v>-</v>
      </c>
      <c r="AQ105" s="193">
        <f>Tabela1[[#This Row],[Pós FE (ug/dL)]]</f>
        <v>88</v>
      </c>
      <c r="AR105" s="194">
        <f>Tabela1[[#This Row],[Pré calcio mg/dL]]</f>
        <v>9.5</v>
      </c>
      <c r="AS105" s="125">
        <f>Tabela1[[#This Row],[Pós calcio mg/dL]]</f>
        <v>10.1</v>
      </c>
      <c r="AT105" s="125">
        <f>Tabela1[[#This Row],[Pré Potássio mmol/L]]</f>
        <v>4.2</v>
      </c>
      <c r="AU105" s="125">
        <f>Tabela1[[#This Row],[Pós Potássio mmol/L]]</f>
        <v>4.5</v>
      </c>
      <c r="AV105" s="85">
        <f>Tabela1[[#This Row],[Glicose pré]]</f>
        <v>81</v>
      </c>
      <c r="AW105" s="85">
        <f>Tabela1[[#This Row],[Glicose pós]]</f>
        <v>60</v>
      </c>
      <c r="AX105" s="85">
        <f>Tabela1[[#This Row],[Pré Sódio mmol/L]]</f>
        <v>138</v>
      </c>
      <c r="AY105" s="85">
        <f>Tabela1[[#This Row],[Pós Sódio mmol/L]]</f>
        <v>146</v>
      </c>
      <c r="AZ105" s="125">
        <f>Tabela1[[#This Row],[Pré Magnésio mg/dL]]</f>
        <v>2.1</v>
      </c>
      <c r="BA105" s="125">
        <f>Tabela1[[#This Row],[Pós Magnésio mg/dL]]</f>
        <v>1.8</v>
      </c>
      <c r="BB105" s="85">
        <f>Tabela1[[#This Row],[Pré Cloro mmol/L]]</f>
        <v>101</v>
      </c>
      <c r="BC105" s="85">
        <f>Tabela1[[#This Row],[Pós Cloro mmol/L]]</f>
        <v>104</v>
      </c>
      <c r="BD10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291.33366666666672</v>
      </c>
      <c r="BE10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309.09666666666664</v>
      </c>
      <c r="BF105" s="194">
        <f>Tabela1[[#This Row],[Pré RBC 10^6/mm³]]</f>
        <v>4.41</v>
      </c>
      <c r="BG105" s="125">
        <f>Tabela1[[#This Row],[Pós RBC 10^6/mm³]]</f>
        <v>4.4000000000000004</v>
      </c>
      <c r="BH105" s="125">
        <f>Tabela1[[#This Row],[Pré HGB g/dL]]</f>
        <v>13.2</v>
      </c>
      <c r="BI105" s="125">
        <f>Tabela1[[#This Row],[Pós HGB g/dL]]</f>
        <v>13.2</v>
      </c>
      <c r="BJ105" s="125">
        <f>Tabela1[[#This Row],[Pré HCT %]]</f>
        <v>39.200000000000003</v>
      </c>
      <c r="BK105" s="125">
        <f>Tabela1[[#This Row],[Pós HCT %]]</f>
        <v>39.200000000000003</v>
      </c>
      <c r="BL105" s="125">
        <f>Tabela1[[#This Row],[Pré MCV fL]]</f>
        <v>88.9</v>
      </c>
      <c r="BM105" s="125">
        <f>Tabela1[[#This Row],[Pós MCV fL]]</f>
        <v>89.1</v>
      </c>
      <c r="BN105" s="125">
        <f>Tabela1[[#This Row],[Pré MCH pg]]</f>
        <v>29.9</v>
      </c>
      <c r="BO105" s="125">
        <f>Tabela1[[#This Row],[Pós MCH pg]]</f>
        <v>30</v>
      </c>
      <c r="BP105" s="125">
        <f>Tabela1[[#This Row],[Pré MCHC g/dL]]</f>
        <v>33.700000000000003</v>
      </c>
      <c r="BQ105" s="125">
        <f>Tabela1[[#This Row],[Pós MCHC g/dL]]</f>
        <v>33.700000000000003</v>
      </c>
      <c r="BR105" s="85">
        <f>Tabela1[[#This Row],[Pré PLT 10³/mm³]]</f>
        <v>348</v>
      </c>
      <c r="BS105" s="85">
        <f>Tabela1[[#This Row],[Pós PLT 10³/mm³]]</f>
        <v>421</v>
      </c>
      <c r="BT105" s="125">
        <f>Tabela1[[#This Row],[Pré RDW %]]</f>
        <v>14</v>
      </c>
      <c r="BU105" s="125">
        <f>Tabela1[[#This Row],[Pós RDW %]]</f>
        <v>14.2</v>
      </c>
      <c r="BV105" s="179">
        <f>Tabela1[[#This Row],[Pré RET %]]</f>
        <v>1.92</v>
      </c>
      <c r="BW105" s="196">
        <f>Tabela1[[#This Row],[Pós RET %]]</f>
        <v>1.89</v>
      </c>
      <c r="BX105" s="197">
        <f>Tabela1[[#This Row],[Pré WBC 10³/mm³]]</f>
        <v>7.21</v>
      </c>
      <c r="BY105" s="179">
        <f>Tabela1[[#This Row],[Pós WBC 10³/mm³]]</f>
        <v>12.28</v>
      </c>
      <c r="BZ105" s="125">
        <f>Tabela1[[#This Row],[Pré NEUT %]]</f>
        <v>59.6</v>
      </c>
      <c r="CA105" s="125">
        <f>Tabela1[[#This Row],[Pós NEUT %]]</f>
        <v>75.599999999999994</v>
      </c>
      <c r="CB105" s="125">
        <f>Tabela1[[#This Row],[Pré LINF %]]</f>
        <v>28.4</v>
      </c>
      <c r="CC105" s="125">
        <f>Tabela1[[#This Row],[Pós LINF %]]</f>
        <v>14.7</v>
      </c>
      <c r="CD105" s="125">
        <f>Tabela1[[#This Row],[Pré MONO %]]</f>
        <v>10.3</v>
      </c>
      <c r="CE105" s="125">
        <f>Tabela1[[#This Row],[Pós MONO %]]</f>
        <v>9.5</v>
      </c>
      <c r="CF105" s="125">
        <f>Tabela1[[#This Row],[Pré EOS %]]</f>
        <v>1.1000000000000001</v>
      </c>
      <c r="CG105" s="125">
        <f>Tabela1[[#This Row],[Pós EOS %]]</f>
        <v>0</v>
      </c>
      <c r="CH105" s="125">
        <f>Tabela1[[#This Row],[Pré BASO %]]</f>
        <v>0.6</v>
      </c>
      <c r="CI105" s="198">
        <f>Tabela1[[#This Row],[Pós BASO %]]</f>
        <v>0.2</v>
      </c>
      <c r="CJ105" s="199" t="str">
        <f t="shared" si="5"/>
        <v>SIM</v>
      </c>
      <c r="CK105" s="200" t="str">
        <f t="shared" si="6"/>
        <v>SIM</v>
      </c>
      <c r="CL105" s="194">
        <f t="shared" si="7"/>
        <v>71.28528</v>
      </c>
      <c r="CM105" s="125">
        <f>Tabela1[[#This Row],[MCT KG]]</f>
        <v>75.900000000000006</v>
      </c>
      <c r="CN105" s="85">
        <f>Tabela1[[#This Row],[ESTATURA]]</f>
        <v>171</v>
      </c>
      <c r="CO105" s="85">
        <f>Tabela1[[#This Row],[vo2max estimado]]</f>
        <v>54.68</v>
      </c>
      <c r="CP105" s="85">
        <f>Tabela1[[#This Row],[Handgrip     Dominante]]</f>
        <v>42</v>
      </c>
      <c r="CQ105" s="85">
        <f>Tabela1[[#This Row],[Handgrip Contrário]]</f>
        <v>43</v>
      </c>
      <c r="CR105" s="281">
        <f>Tabela1[[#This Row],[% gordura]]</f>
        <v>6.08</v>
      </c>
    </row>
    <row r="106" spans="1:96" ht="15.75" customHeight="1">
      <c r="A106" s="279">
        <f>Tabela1[[#This Row],[Ano]]</f>
        <v>2018</v>
      </c>
      <c r="B106" s="181" t="str">
        <f>Tabela1[[#This Row],[Missão]]</f>
        <v>Marambaia</v>
      </c>
      <c r="C106" s="181">
        <f>Tabela1[[#This Row],[Aluno]]</f>
        <v>3156</v>
      </c>
      <c r="D106" s="181">
        <f>Tabela1[[#This Row],[Idade]]</f>
        <v>26</v>
      </c>
      <c r="E106" s="182">
        <f>Tabela1[[#This Row],[Peso Kg]]</f>
        <v>76</v>
      </c>
      <c r="F106" s="191">
        <f>Tabela1[[#This Row],[Cor da pele]]</f>
        <v>1</v>
      </c>
      <c r="G106" s="192" t="str">
        <f>Tabela1[[#This Row],[ACTN3]]</f>
        <v>RX</v>
      </c>
      <c r="H106" s="85" t="str">
        <f>Tabela1[[#This Row],[AGT]]</f>
        <v>MM</v>
      </c>
      <c r="I106" s="85" t="str">
        <f>Tabela1[[#This Row],[ECA]]</f>
        <v>ID</v>
      </c>
      <c r="J106" s="85" t="str">
        <f>Tabela1[[#This Row],[BDKRB2]]</f>
        <v>(+9,+9)</v>
      </c>
      <c r="K106" s="85">
        <f>Tabela1[[#This Row],[Score Força%]]</f>
        <v>50</v>
      </c>
      <c r="L106" s="193">
        <f>Tabela1[[#This Row],[Score Resistência %]]</f>
        <v>50</v>
      </c>
      <c r="M106" s="192">
        <f>Tabela1[[#This Row],[Pré CK (U/L)]]</f>
        <v>543</v>
      </c>
      <c r="N106" s="85">
        <f>Tabela1[[#This Row],[Pós CK (U/L)]]</f>
        <v>1600</v>
      </c>
      <c r="O106" s="85">
        <f>Tabela1[[#This Row],[Pré CK MB U/L]]</f>
        <v>31</v>
      </c>
      <c r="P106" s="85">
        <f>Tabela1[[#This Row],[Pós CK MB U/L]]</f>
        <v>111</v>
      </c>
      <c r="Q106" s="85">
        <f>Tabela1[[#This Row],[Pré Lactato (mmol/L)]]</f>
        <v>2.4</v>
      </c>
      <c r="R106" s="85">
        <f>Tabela1[[#This Row],[Pós Lactato (mmol/L)]]</f>
        <v>2.4</v>
      </c>
      <c r="S106" s="85">
        <f>Tabela1[[#This Row],[Pré LDH (U/L)]]</f>
        <v>962</v>
      </c>
      <c r="T106" s="85">
        <f>Tabela1[[#This Row],[Pós LDH (U/L)]]</f>
        <v>1546</v>
      </c>
      <c r="U106" s="85">
        <f>Tabela1[[#This Row],[Pré AST (U/L)]]</f>
        <v>57</v>
      </c>
      <c r="V106" s="193">
        <f>Tabela1[[#This Row],[Pós AST (U/L)]]</f>
        <v>166</v>
      </c>
      <c r="W106" s="194">
        <f>Tabela1[[#This Row],[Pré Albumina (g/dL)]]</f>
        <v>4.5</v>
      </c>
      <c r="X106" s="125">
        <f>Tabela1[[#This Row],[Pós Albumina (g/dL)]]</f>
        <v>4.4000000000000004</v>
      </c>
      <c r="Y106" s="85">
        <f>Tabela1[[#This Row],[Pré TGP (g/dL)]]</f>
        <v>73</v>
      </c>
      <c r="Z106" s="85">
        <f>Tabela1[[#This Row],[Pós TGP (g/dL)]]</f>
        <v>112</v>
      </c>
      <c r="AA106" s="85">
        <f>Tabela1[[#This Row],[Pré GGT U/L]]</f>
        <v>26</v>
      </c>
      <c r="AB106" s="193">
        <f>Tabela1[[#This Row],[Pós GGT U/L]]</f>
        <v>24</v>
      </c>
      <c r="AC106" s="194" t="str">
        <f>Tabela1[[#This Row],[Pré Ac. Úrico (mg/dL)]]</f>
        <v>-</v>
      </c>
      <c r="AD106" s="125">
        <f>Tabela1[[#This Row],[Pós Ac. Úrico (mg/dL)2]]</f>
        <v>5.4</v>
      </c>
      <c r="AE10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0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106" s="85">
        <f>Tabela1[[#This Row],[Pré Ureia mg/dL]]</f>
        <v>48</v>
      </c>
      <c r="AH106" s="85">
        <f>Tabela1[[#This Row],[Pós Ureia mg/dL]]</f>
        <v>60</v>
      </c>
      <c r="AI106" s="125">
        <f>Tabela1[[#This Row],[Pré creatinina mg/dL]]</f>
        <v>1</v>
      </c>
      <c r="AJ106" s="125">
        <f>Tabela1[[#This Row],[Pós creatinina mg/dL]]</f>
        <v>1.2</v>
      </c>
      <c r="AK106" s="180">
        <f t="shared" si="4"/>
        <v>0.19999999999999996</v>
      </c>
      <c r="AL106" s="125">
        <f>Tabela1[[#This Row],[Pré Fósforo mg/dL]]</f>
        <v>3.9</v>
      </c>
      <c r="AM106" s="125">
        <f>Tabela1[[#This Row],[Pós Fósforo mg/dL]]</f>
        <v>4.9000000000000004</v>
      </c>
      <c r="AN106" s="125">
        <f>Tabela1[[#This Row],[Pré Proteína Total (g/dL)]]</f>
        <v>7.6</v>
      </c>
      <c r="AO106" s="125">
        <f>Tabela1[[#This Row],[Pós Proteína Total (g/dL)]]</f>
        <v>7.9</v>
      </c>
      <c r="AP106" s="85" t="str">
        <f>Tabela1[[#This Row],[Pré FE (ug/dL)]]</f>
        <v>-</v>
      </c>
      <c r="AQ106" s="193">
        <f>Tabela1[[#This Row],[Pós FE (ug/dL)]]</f>
        <v>158</v>
      </c>
      <c r="AR106" s="194">
        <f>Tabela1[[#This Row],[Pré calcio mg/dL]]</f>
        <v>9.6999999999999993</v>
      </c>
      <c r="AS106" s="125">
        <f>Tabela1[[#This Row],[Pós calcio mg/dL]]</f>
        <v>9.8000000000000007</v>
      </c>
      <c r="AT106" s="125">
        <f>Tabela1[[#This Row],[Pré Potássio mmol/L]]</f>
        <v>4.7</v>
      </c>
      <c r="AU106" s="125">
        <f>Tabela1[[#This Row],[Pós Potássio mmol/L]]</f>
        <v>4.5</v>
      </c>
      <c r="AV106" s="85">
        <f>Tabela1[[#This Row],[Glicose pré]]</f>
        <v>77</v>
      </c>
      <c r="AW106" s="85">
        <f>Tabela1[[#This Row],[Glicose pós]]</f>
        <v>64</v>
      </c>
      <c r="AX106" s="85">
        <f>Tabela1[[#This Row],[Pré Sódio mmol/L]]</f>
        <v>143</v>
      </c>
      <c r="AY106" s="85">
        <f>Tabela1[[#This Row],[Pós Sódio mmol/L]]</f>
        <v>145</v>
      </c>
      <c r="AZ106" s="125">
        <f>Tabela1[[#This Row],[Pré Magnésio mg/dL]]</f>
        <v>2</v>
      </c>
      <c r="BA106" s="125">
        <f>Tabela1[[#This Row],[Pós Magnésio mg/dL]]</f>
        <v>1.9</v>
      </c>
      <c r="BB106" s="85">
        <f>Tabela1[[#This Row],[Pré Cloro mmol/L]]</f>
        <v>101</v>
      </c>
      <c r="BC106" s="85">
        <f>Tabela1[[#This Row],[Pós Cloro mmol/L]]</f>
        <v>106</v>
      </c>
      <c r="BD10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301.6414444444444</v>
      </c>
      <c r="BE10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306.1588888888889</v>
      </c>
      <c r="BF106" s="194">
        <f>Tabela1[[#This Row],[Pré RBC 10^6/mm³]]</f>
        <v>5.0999999999999996</v>
      </c>
      <c r="BG106" s="125">
        <f>Tabela1[[#This Row],[Pós RBC 10^6/mm³]]</f>
        <v>4.54</v>
      </c>
      <c r="BH106" s="125">
        <f>Tabela1[[#This Row],[Pré HGB g/dL]]</f>
        <v>15.6</v>
      </c>
      <c r="BI106" s="125">
        <f>Tabela1[[#This Row],[Pós HGB g/dL]]</f>
        <v>14</v>
      </c>
      <c r="BJ106" s="125">
        <f>Tabela1[[#This Row],[Pré HCT %]]</f>
        <v>46.3</v>
      </c>
      <c r="BK106" s="125">
        <f>Tabela1[[#This Row],[Pós HCT %]]</f>
        <v>41.1</v>
      </c>
      <c r="BL106" s="125">
        <f>Tabela1[[#This Row],[Pré MCV fL]]</f>
        <v>90.8</v>
      </c>
      <c r="BM106" s="125">
        <f>Tabela1[[#This Row],[Pós MCV fL]]</f>
        <v>90.5</v>
      </c>
      <c r="BN106" s="125">
        <f>Tabela1[[#This Row],[Pré MCH pg]]</f>
        <v>30.6</v>
      </c>
      <c r="BO106" s="125">
        <f>Tabela1[[#This Row],[Pós MCH pg]]</f>
        <v>30.8</v>
      </c>
      <c r="BP106" s="125">
        <f>Tabela1[[#This Row],[Pré MCHC g/dL]]</f>
        <v>33.700000000000003</v>
      </c>
      <c r="BQ106" s="125">
        <f>Tabela1[[#This Row],[Pós MCHC g/dL]]</f>
        <v>34.1</v>
      </c>
      <c r="BR106" s="85">
        <f>Tabela1[[#This Row],[Pré PLT 10³/mm³]]</f>
        <v>272</v>
      </c>
      <c r="BS106" s="85">
        <f>Tabela1[[#This Row],[Pós PLT 10³/mm³]]</f>
        <v>308</v>
      </c>
      <c r="BT106" s="125">
        <f>Tabela1[[#This Row],[Pré RDW %]]</f>
        <v>12.4</v>
      </c>
      <c r="BU106" s="125">
        <f>Tabela1[[#This Row],[Pós RDW %]]</f>
        <v>12.7</v>
      </c>
      <c r="BV106" s="179">
        <f>Tabela1[[#This Row],[Pré RET %]]</f>
        <v>1.39</v>
      </c>
      <c r="BW106" s="196">
        <f>Tabela1[[#This Row],[Pós RET %]]</f>
        <v>1.19</v>
      </c>
      <c r="BX106" s="197">
        <f>Tabela1[[#This Row],[Pré WBC 10³/mm³]]</f>
        <v>4.22</v>
      </c>
      <c r="BY106" s="179">
        <f>Tabela1[[#This Row],[Pós WBC 10³/mm³]]</f>
        <v>11.66</v>
      </c>
      <c r="BZ106" s="125">
        <f>Tabela1[[#This Row],[Pré NEUT %]]</f>
        <v>54.6</v>
      </c>
      <c r="CA106" s="125">
        <f>Tabela1[[#This Row],[Pós NEUT %]]</f>
        <v>76.900000000000006</v>
      </c>
      <c r="CB106" s="125">
        <f>Tabela1[[#This Row],[Pré LINF %]]</f>
        <v>33.9</v>
      </c>
      <c r="CC106" s="125">
        <f>Tabela1[[#This Row],[Pós LINF %]]</f>
        <v>16</v>
      </c>
      <c r="CD106" s="125">
        <f>Tabela1[[#This Row],[Pré MONO %]]</f>
        <v>8.5</v>
      </c>
      <c r="CE106" s="125">
        <f>Tabela1[[#This Row],[Pós MONO %]]</f>
        <v>6.9</v>
      </c>
      <c r="CF106" s="125">
        <f>Tabela1[[#This Row],[Pré EOS %]]</f>
        <v>2.1</v>
      </c>
      <c r="CG106" s="125">
        <f>Tabela1[[#This Row],[Pós EOS %]]</f>
        <v>0</v>
      </c>
      <c r="CH106" s="125">
        <f>Tabela1[[#This Row],[Pré BASO %]]</f>
        <v>0.9</v>
      </c>
      <c r="CI106" s="198">
        <f>Tabela1[[#This Row],[Pós BASO %]]</f>
        <v>0.2</v>
      </c>
      <c r="CJ106" s="199" t="str">
        <f t="shared" si="5"/>
        <v>NÃO</v>
      </c>
      <c r="CK106" s="200" t="str">
        <f t="shared" si="6"/>
        <v>SIM</v>
      </c>
      <c r="CL106" s="194">
        <f t="shared" si="7"/>
        <v>72.293760000000006</v>
      </c>
      <c r="CM106" s="125">
        <f>Tabela1[[#This Row],[MCT KG]]</f>
        <v>79.2</v>
      </c>
      <c r="CN106" s="85">
        <f>Tabela1[[#This Row],[ESTATURA]]</f>
        <v>174</v>
      </c>
      <c r="CO106" s="85">
        <f>Tabela1[[#This Row],[vo2max estimado]]</f>
        <v>53.64</v>
      </c>
      <c r="CP106" s="85">
        <f>Tabela1[[#This Row],[Handgrip     Dominante]]</f>
        <v>49.5</v>
      </c>
      <c r="CQ106" s="85">
        <f>Tabela1[[#This Row],[Handgrip Contrário]]</f>
        <v>49.5</v>
      </c>
      <c r="CR106" s="281">
        <f>Tabela1[[#This Row],[% gordura]]</f>
        <v>8.7200000000000006</v>
      </c>
    </row>
    <row r="107" spans="1:96" ht="15.75" customHeight="1">
      <c r="A107" s="279">
        <f>Tabela1[[#This Row],[Ano]]</f>
        <v>2018</v>
      </c>
      <c r="B107" s="181" t="str">
        <f>Tabela1[[#This Row],[Missão]]</f>
        <v>Marambaia</v>
      </c>
      <c r="C107" s="181">
        <f>Tabela1[[#This Row],[Aluno]]</f>
        <v>3159</v>
      </c>
      <c r="D107" s="181">
        <f>Tabela1[[#This Row],[Idade]]</f>
        <v>25</v>
      </c>
      <c r="E107" s="182">
        <f>Tabela1[[#This Row],[Peso Kg]]</f>
        <v>84</v>
      </c>
      <c r="F107" s="191">
        <f>Tabela1[[#This Row],[Cor da pele]]</f>
        <v>1</v>
      </c>
      <c r="G107" s="192" t="str">
        <f>Tabela1[[#This Row],[ACTN3]]</f>
        <v>RR</v>
      </c>
      <c r="H107" s="85" t="str">
        <f>Tabela1[[#This Row],[AGT]]</f>
        <v>TT</v>
      </c>
      <c r="I107" s="85" t="str">
        <f>Tabela1[[#This Row],[ECA]]</f>
        <v>DD</v>
      </c>
      <c r="J107" s="85" t="str">
        <f>Tabela1[[#This Row],[BDKRB2]]</f>
        <v>(+9,-9)</v>
      </c>
      <c r="K107" s="85">
        <f>Tabela1[[#This Row],[Score Força%]]</f>
        <v>0</v>
      </c>
      <c r="L107" s="193">
        <f>Tabela1[[#This Row],[Score Resistência %]]</f>
        <v>0</v>
      </c>
      <c r="M107" s="192">
        <f>Tabela1[[#This Row],[Pré CK (U/L)]]</f>
        <v>309</v>
      </c>
      <c r="N107" s="85">
        <f>Tabela1[[#This Row],[Pós CK (U/L)]]</f>
        <v>1144</v>
      </c>
      <c r="O107" s="85">
        <f>Tabela1[[#This Row],[Pré CK MB U/L]]</f>
        <v>25</v>
      </c>
      <c r="P107" s="85">
        <f>Tabela1[[#This Row],[Pós CK MB U/L]]</f>
        <v>64</v>
      </c>
      <c r="Q107" s="85">
        <f>Tabela1[[#This Row],[Pré Lactato (mmol/L)]]</f>
        <v>1.6</v>
      </c>
      <c r="R107" s="85">
        <f>Tabela1[[#This Row],[Pós Lactato (mmol/L)]]</f>
        <v>2.8</v>
      </c>
      <c r="S107" s="85">
        <f>Tabela1[[#This Row],[Pré LDH (U/L)]]</f>
        <v>300</v>
      </c>
      <c r="T107" s="85">
        <f>Tabela1[[#This Row],[Pós LDH (U/L)]]</f>
        <v>594</v>
      </c>
      <c r="U107" s="85">
        <f>Tabela1[[#This Row],[Pré AST (U/L)]]</f>
        <v>52</v>
      </c>
      <c r="V107" s="193">
        <f>Tabela1[[#This Row],[Pós AST (U/L)]]</f>
        <v>115</v>
      </c>
      <c r="W107" s="194">
        <f>Tabela1[[#This Row],[Pré Albumina (g/dL)]]</f>
        <v>3.8</v>
      </c>
      <c r="X107" s="125">
        <f>Tabela1[[#This Row],[Pós Albumina (g/dL)]]</f>
        <v>4.5999999999999996</v>
      </c>
      <c r="Y107" s="85">
        <f>Tabela1[[#This Row],[Pré TGP (g/dL)]]</f>
        <v>97</v>
      </c>
      <c r="Z107" s="85">
        <f>Tabela1[[#This Row],[Pós TGP (g/dL)]]</f>
        <v>146</v>
      </c>
      <c r="AA107" s="85">
        <f>Tabela1[[#This Row],[Pré GGT U/L]]</f>
        <v>69</v>
      </c>
      <c r="AB107" s="193">
        <f>Tabela1[[#This Row],[Pós GGT U/L]]</f>
        <v>54</v>
      </c>
      <c r="AC107" s="194" t="str">
        <f>Tabela1[[#This Row],[Pré Ac. Úrico (mg/dL)]]</f>
        <v>-</v>
      </c>
      <c r="AD107" s="125">
        <f>Tabela1[[#This Row],[Pós Ac. Úrico (mg/dL)2]]</f>
        <v>6.8</v>
      </c>
      <c r="AE10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0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107" s="85">
        <f>Tabela1[[#This Row],[Pré Ureia mg/dL]]</f>
        <v>39</v>
      </c>
      <c r="AH107" s="85">
        <f>Tabela1[[#This Row],[Pós Ureia mg/dL]]</f>
        <v>57</v>
      </c>
      <c r="AI107" s="125">
        <f>Tabela1[[#This Row],[Pré creatinina mg/dL]]</f>
        <v>1</v>
      </c>
      <c r="AJ107" s="125">
        <f>Tabela1[[#This Row],[Pós creatinina mg/dL]]</f>
        <v>1.2</v>
      </c>
      <c r="AK107" s="180">
        <f t="shared" si="4"/>
        <v>0.19999999999999996</v>
      </c>
      <c r="AL107" s="125">
        <f>Tabela1[[#This Row],[Pré Fósforo mg/dL]]</f>
        <v>3.5</v>
      </c>
      <c r="AM107" s="125">
        <f>Tabela1[[#This Row],[Pós Fósforo mg/dL]]</f>
        <v>5.3</v>
      </c>
      <c r="AN107" s="125">
        <f>Tabela1[[#This Row],[Pré Proteína Total (g/dL)]]</f>
        <v>6.3</v>
      </c>
      <c r="AO107" s="125">
        <f>Tabela1[[#This Row],[Pós Proteína Total (g/dL)]]</f>
        <v>7.9</v>
      </c>
      <c r="AP107" s="85" t="str">
        <f>Tabela1[[#This Row],[Pré FE (ug/dL)]]</f>
        <v>-</v>
      </c>
      <c r="AQ107" s="193">
        <f>Tabela1[[#This Row],[Pós FE (ug/dL)]]</f>
        <v>125</v>
      </c>
      <c r="AR107" s="194">
        <f>Tabela1[[#This Row],[Pré calcio mg/dL]]</f>
        <v>8.8000000000000007</v>
      </c>
      <c r="AS107" s="125">
        <f>Tabela1[[#This Row],[Pós calcio mg/dL]]</f>
        <v>10.4</v>
      </c>
      <c r="AT107" s="125">
        <f>Tabela1[[#This Row],[Pré Potássio mmol/L]]</f>
        <v>4.5999999999999996</v>
      </c>
      <c r="AU107" s="125">
        <f>Tabela1[[#This Row],[Pós Potássio mmol/L]]</f>
        <v>4.9000000000000004</v>
      </c>
      <c r="AV107" s="85">
        <f>Tabela1[[#This Row],[Glicose pré]]</f>
        <v>82</v>
      </c>
      <c r="AW107" s="85">
        <f>Tabela1[[#This Row],[Glicose pós]]</f>
        <v>72</v>
      </c>
      <c r="AX107" s="85">
        <f>Tabela1[[#This Row],[Pré Sódio mmol/L]]</f>
        <v>142</v>
      </c>
      <c r="AY107" s="85">
        <f>Tabela1[[#This Row],[Pós Sódio mmol/L]]</f>
        <v>141</v>
      </c>
      <c r="AZ107" s="125">
        <f>Tabela1[[#This Row],[Pré Magnésio mg/dL]]</f>
        <v>2</v>
      </c>
      <c r="BA107" s="125">
        <f>Tabela1[[#This Row],[Pós Magnésio mg/dL]]</f>
        <v>1.7</v>
      </c>
      <c r="BB107" s="85">
        <f>Tabela1[[#This Row],[Pré Cloro mmol/L]]</f>
        <v>104</v>
      </c>
      <c r="BC107" s="85">
        <f>Tabela1[[#This Row],[Pós Cloro mmol/L]]</f>
        <v>100</v>
      </c>
      <c r="BD10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298.41488888888887</v>
      </c>
      <c r="BE10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299.47400000000005</v>
      </c>
      <c r="BF107" s="194">
        <f>Tabela1[[#This Row],[Pré RBC 10^6/mm³]]</f>
        <v>4.5999999999999996</v>
      </c>
      <c r="BG107" s="125">
        <f>Tabela1[[#This Row],[Pós RBC 10^6/mm³]]</f>
        <v>4.76</v>
      </c>
      <c r="BH107" s="125">
        <f>Tabela1[[#This Row],[Pré HGB g/dL]]</f>
        <v>13.1</v>
      </c>
      <c r="BI107" s="125">
        <f>Tabela1[[#This Row],[Pós HGB g/dL]]</f>
        <v>13.8</v>
      </c>
      <c r="BJ107" s="125">
        <f>Tabela1[[#This Row],[Pré HCT %]]</f>
        <v>40.200000000000003</v>
      </c>
      <c r="BK107" s="125">
        <f>Tabela1[[#This Row],[Pós HCT %]]</f>
        <v>41</v>
      </c>
      <c r="BL107" s="125">
        <f>Tabela1[[#This Row],[Pré MCV fL]]</f>
        <v>87.4</v>
      </c>
      <c r="BM107" s="125">
        <f>Tabela1[[#This Row],[Pós MCV fL]]</f>
        <v>86.1</v>
      </c>
      <c r="BN107" s="125">
        <f>Tabela1[[#This Row],[Pré MCH pg]]</f>
        <v>28.5</v>
      </c>
      <c r="BO107" s="125">
        <f>Tabela1[[#This Row],[Pós MCH pg]]</f>
        <v>29</v>
      </c>
      <c r="BP107" s="125">
        <f>Tabela1[[#This Row],[Pré MCHC g/dL]]</f>
        <v>32.6</v>
      </c>
      <c r="BQ107" s="125">
        <f>Tabela1[[#This Row],[Pós MCHC g/dL]]</f>
        <v>33.700000000000003</v>
      </c>
      <c r="BR107" s="85">
        <f>Tabela1[[#This Row],[Pré PLT 10³/mm³]]</f>
        <v>281</v>
      </c>
      <c r="BS107" s="85">
        <f>Tabela1[[#This Row],[Pós PLT 10³/mm³]]</f>
        <v>307</v>
      </c>
      <c r="BT107" s="125">
        <f>Tabela1[[#This Row],[Pré RDW %]]</f>
        <v>12.8</v>
      </c>
      <c r="BU107" s="125">
        <f>Tabela1[[#This Row],[Pós RDW %]]</f>
        <v>12.7</v>
      </c>
      <c r="BV107" s="179">
        <f>Tabela1[[#This Row],[Pré RET %]]</f>
        <v>1.29</v>
      </c>
      <c r="BW107" s="196">
        <f>Tabela1[[#This Row],[Pós RET %]]</f>
        <v>1.25</v>
      </c>
      <c r="BX107" s="197">
        <f>Tabela1[[#This Row],[Pré WBC 10³/mm³]]</f>
        <v>4.5</v>
      </c>
      <c r="BY107" s="179">
        <f>Tabela1[[#This Row],[Pós WBC 10³/mm³]]</f>
        <v>7.33</v>
      </c>
      <c r="BZ107" s="125">
        <f>Tabela1[[#This Row],[Pré NEUT %]]</f>
        <v>37.1</v>
      </c>
      <c r="CA107" s="125">
        <f>Tabela1[[#This Row],[Pós NEUT %]]</f>
        <v>65.3</v>
      </c>
      <c r="CB107" s="125">
        <f>Tabela1[[#This Row],[Pré LINF %]]</f>
        <v>47.6</v>
      </c>
      <c r="CC107" s="125">
        <f>Tabela1[[#This Row],[Pós LINF %]]</f>
        <v>26.7</v>
      </c>
      <c r="CD107" s="125">
        <f>Tabela1[[#This Row],[Pré MONO %]]</f>
        <v>9.3000000000000007</v>
      </c>
      <c r="CE107" s="125">
        <f>Tabela1[[#This Row],[Pós MONO %]]</f>
        <v>7</v>
      </c>
      <c r="CF107" s="125">
        <f>Tabela1[[#This Row],[Pré EOS %]]</f>
        <v>4.7</v>
      </c>
      <c r="CG107" s="125">
        <f>Tabela1[[#This Row],[Pós EOS %]]</f>
        <v>0.3</v>
      </c>
      <c r="CH107" s="125">
        <f>Tabela1[[#This Row],[Pré BASO %]]</f>
        <v>1.3</v>
      </c>
      <c r="CI107" s="198">
        <f>Tabela1[[#This Row],[Pós BASO %]]</f>
        <v>0.7</v>
      </c>
      <c r="CJ107" s="199" t="str">
        <f t="shared" si="5"/>
        <v>NÃO</v>
      </c>
      <c r="CK107" s="200" t="str">
        <f t="shared" si="6"/>
        <v>SIM</v>
      </c>
      <c r="CL107" s="194">
        <f t="shared" si="7"/>
        <v>75.355769999999993</v>
      </c>
      <c r="CM107" s="125">
        <f>Tabela1[[#This Row],[MCT KG]]</f>
        <v>84.3</v>
      </c>
      <c r="CN107" s="85">
        <f>Tabela1[[#This Row],[ESTATURA]]</f>
        <v>178</v>
      </c>
      <c r="CO107" s="85">
        <f>Tabela1[[#This Row],[vo2max estimado]]</f>
        <v>52.69</v>
      </c>
      <c r="CP107" s="85">
        <f>Tabela1[[#This Row],[Handgrip     Dominante]]</f>
        <v>60</v>
      </c>
      <c r="CQ107" s="85">
        <f>Tabela1[[#This Row],[Handgrip Contrário]]</f>
        <v>57</v>
      </c>
      <c r="CR107" s="281">
        <f>Tabela1[[#This Row],[% gordura]]</f>
        <v>10.61</v>
      </c>
    </row>
    <row r="108" spans="1:96" ht="15.75" customHeight="1">
      <c r="A108" s="279">
        <f>Tabela1[[#This Row],[Ano]]</f>
        <v>2018</v>
      </c>
      <c r="B108" s="181" t="str">
        <f>Tabela1[[#This Row],[Missão]]</f>
        <v>Marambaia</v>
      </c>
      <c r="C108" s="181">
        <f>Tabela1[[#This Row],[Aluno]]</f>
        <v>3165</v>
      </c>
      <c r="D108" s="181">
        <f>Tabela1[[#This Row],[Idade]]</f>
        <v>33</v>
      </c>
      <c r="E108" s="182">
        <f>Tabela1[[#This Row],[Peso Kg]]</f>
        <v>82</v>
      </c>
      <c r="F108" s="191">
        <f>Tabela1[[#This Row],[Cor da pele]]</f>
        <v>1</v>
      </c>
      <c r="G108" s="192" t="str">
        <f>Tabela1[[#This Row],[ACTN3]]</f>
        <v>RR</v>
      </c>
      <c r="H108" s="85" t="str">
        <f>Tabela1[[#This Row],[AGT]]</f>
        <v>MT</v>
      </c>
      <c r="I108" s="85" t="str">
        <f>Tabela1[[#This Row],[ECA]]</f>
        <v>II</v>
      </c>
      <c r="J108" s="85" t="str">
        <f>Tabela1[[#This Row],[BDKRB2]]</f>
        <v>(+9,-9)</v>
      </c>
      <c r="K108" s="85">
        <f>Tabela1[[#This Row],[Score Força%]]</f>
        <v>50</v>
      </c>
      <c r="L108" s="193">
        <f>Tabela1[[#This Row],[Score Resistência %]]</f>
        <v>50</v>
      </c>
      <c r="M108" s="192">
        <f>Tabela1[[#This Row],[Pré CK (U/L)]]</f>
        <v>187</v>
      </c>
      <c r="N108" s="85">
        <f>Tabela1[[#This Row],[Pós CK (U/L)]]</f>
        <v>1419</v>
      </c>
      <c r="O108" s="85">
        <f>Tabela1[[#This Row],[Pré CK MB U/L]]</f>
        <v>11</v>
      </c>
      <c r="P108" s="85">
        <f>Tabela1[[#This Row],[Pós CK MB U/L]]</f>
        <v>56</v>
      </c>
      <c r="Q108" s="85">
        <f>Tabela1[[#This Row],[Pré Lactato (mmol/L)]]</f>
        <v>2.1</v>
      </c>
      <c r="R108" s="85">
        <f>Tabela1[[#This Row],[Pós Lactato (mmol/L)]]</f>
        <v>3.3</v>
      </c>
      <c r="S108" s="85">
        <f>Tabela1[[#This Row],[Pré LDH (U/L)]]</f>
        <v>626</v>
      </c>
      <c r="T108" s="85">
        <f>Tabela1[[#This Row],[Pós LDH (U/L)]]</f>
        <v>1666</v>
      </c>
      <c r="U108" s="85">
        <f>Tabela1[[#This Row],[Pré AST (U/L)]]</f>
        <v>45</v>
      </c>
      <c r="V108" s="193">
        <f>Tabela1[[#This Row],[Pós AST (U/L)]]</f>
        <v>113</v>
      </c>
      <c r="W108" s="194">
        <f>Tabela1[[#This Row],[Pré Albumina (g/dL)]]</f>
        <v>4</v>
      </c>
      <c r="X108" s="125">
        <f>Tabela1[[#This Row],[Pós Albumina (g/dL)]]</f>
        <v>4.0999999999999996</v>
      </c>
      <c r="Y108" s="85">
        <f>Tabela1[[#This Row],[Pré TGP (g/dL)]]</f>
        <v>63</v>
      </c>
      <c r="Z108" s="85">
        <f>Tabela1[[#This Row],[Pós TGP (g/dL)]]</f>
        <v>149</v>
      </c>
      <c r="AA108" s="85">
        <f>Tabela1[[#This Row],[Pré GGT U/L]]</f>
        <v>41</v>
      </c>
      <c r="AB108" s="193">
        <f>Tabela1[[#This Row],[Pós GGT U/L]]</f>
        <v>85</v>
      </c>
      <c r="AC108" s="194" t="str">
        <f>Tabela1[[#This Row],[Pré Ac. Úrico (mg/dL)]]</f>
        <v>-</v>
      </c>
      <c r="AD108" s="125">
        <f>Tabela1[[#This Row],[Pós Ac. Úrico (mg/dL)2]]</f>
        <v>6.9</v>
      </c>
      <c r="AE10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0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08" s="85">
        <f>Tabela1[[#This Row],[Pré Ureia mg/dL]]</f>
        <v>43</v>
      </c>
      <c r="AH108" s="85">
        <f>Tabela1[[#This Row],[Pós Ureia mg/dL]]</f>
        <v>80</v>
      </c>
      <c r="AI108" s="125">
        <f>Tabela1[[#This Row],[Pré creatinina mg/dL]]</f>
        <v>0.9</v>
      </c>
      <c r="AJ108" s="125">
        <f>Tabela1[[#This Row],[Pós creatinina mg/dL]]</f>
        <v>1.1000000000000001</v>
      </c>
      <c r="AK108" s="180">
        <f t="shared" si="4"/>
        <v>0.20000000000000007</v>
      </c>
      <c r="AL108" s="125">
        <f>Tabela1[[#This Row],[Pré Fósforo mg/dL]]</f>
        <v>4.0999999999999996</v>
      </c>
      <c r="AM108" s="125">
        <f>Tabela1[[#This Row],[Pós Fósforo mg/dL]]</f>
        <v>5.2</v>
      </c>
      <c r="AN108" s="125">
        <f>Tabela1[[#This Row],[Pré Proteína Total (g/dL)]]</f>
        <v>6.5</v>
      </c>
      <c r="AO108" s="125">
        <f>Tabela1[[#This Row],[Pós Proteína Total (g/dL)]]</f>
        <v>7.4</v>
      </c>
      <c r="AP108" s="85" t="str">
        <f>Tabela1[[#This Row],[Pré FE (ug/dL)]]</f>
        <v>-</v>
      </c>
      <c r="AQ108" s="193">
        <f>Tabela1[[#This Row],[Pós FE (ug/dL)]]</f>
        <v>134</v>
      </c>
      <c r="AR108" s="194">
        <f>Tabela1[[#This Row],[Pré calcio mg/dL]]</f>
        <v>9.1</v>
      </c>
      <c r="AS108" s="125">
        <f>Tabela1[[#This Row],[Pós calcio mg/dL]]</f>
        <v>10.199999999999999</v>
      </c>
      <c r="AT108" s="125">
        <f>Tabela1[[#This Row],[Pré Potássio mmol/L]]</f>
        <v>3.9</v>
      </c>
      <c r="AU108" s="125">
        <f>Tabela1[[#This Row],[Pós Potássio mmol/L]]</f>
        <v>5.2</v>
      </c>
      <c r="AV108" s="85">
        <f>Tabela1[[#This Row],[Glicose pré]]</f>
        <v>88</v>
      </c>
      <c r="AW108" s="85">
        <f>Tabela1[[#This Row],[Glicose pós]]</f>
        <v>57</v>
      </c>
      <c r="AX108" s="85">
        <f>Tabela1[[#This Row],[Pré Sódio mmol/L]]</f>
        <v>143</v>
      </c>
      <c r="AY108" s="85">
        <f>Tabela1[[#This Row],[Pós Sódio mmol/L]]</f>
        <v>144</v>
      </c>
      <c r="AZ108" s="125">
        <f>Tabela1[[#This Row],[Pré Magnésio mg/dL]]</f>
        <v>1.9</v>
      </c>
      <c r="BA108" s="125">
        <f>Tabela1[[#This Row],[Pós Magnésio mg/dL]]</f>
        <v>1.9</v>
      </c>
      <c r="BB108" s="85">
        <f>Tabela1[[#This Row],[Pré Cloro mmol/L]]</f>
        <v>104</v>
      </c>
      <c r="BC108" s="85">
        <f>Tabela1[[#This Row],[Pós Cloro mmol/L]]</f>
        <v>101</v>
      </c>
      <c r="BD10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300.02288888888893</v>
      </c>
      <c r="BE10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308.48699999999997</v>
      </c>
      <c r="BF108" s="194">
        <f>Tabela1[[#This Row],[Pré RBC 10^6/mm³]]</f>
        <v>4.09</v>
      </c>
      <c r="BG108" s="125">
        <f>Tabela1[[#This Row],[Pós RBC 10^6/mm³]]</f>
        <v>3.96</v>
      </c>
      <c r="BH108" s="125">
        <f>Tabela1[[#This Row],[Pré HGB g/dL]]</f>
        <v>12.6</v>
      </c>
      <c r="BI108" s="125">
        <f>Tabela1[[#This Row],[Pós HGB g/dL]]</f>
        <v>12.3</v>
      </c>
      <c r="BJ108" s="125">
        <f>Tabela1[[#This Row],[Pré HCT %]]</f>
        <v>38.799999999999997</v>
      </c>
      <c r="BK108" s="125">
        <f>Tabela1[[#This Row],[Pós HCT %]]</f>
        <v>37.200000000000003</v>
      </c>
      <c r="BL108" s="125">
        <f>Tabela1[[#This Row],[Pré MCV fL]]</f>
        <v>94.9</v>
      </c>
      <c r="BM108" s="125">
        <f>Tabela1[[#This Row],[Pós MCV fL]]</f>
        <v>93.9</v>
      </c>
      <c r="BN108" s="125">
        <f>Tabela1[[#This Row],[Pré MCH pg]]</f>
        <v>30.8</v>
      </c>
      <c r="BO108" s="125">
        <f>Tabela1[[#This Row],[Pós MCH pg]]</f>
        <v>31.3</v>
      </c>
      <c r="BP108" s="125">
        <f>Tabela1[[#This Row],[Pré MCHC g/dL]]</f>
        <v>32.5</v>
      </c>
      <c r="BQ108" s="125">
        <f>Tabela1[[#This Row],[Pós MCHC g/dL]]</f>
        <v>33.1</v>
      </c>
      <c r="BR108" s="85">
        <f>Tabela1[[#This Row],[Pré PLT 10³/mm³]]</f>
        <v>231</v>
      </c>
      <c r="BS108" s="85">
        <f>Tabela1[[#This Row],[Pós PLT 10³/mm³]]</f>
        <v>375</v>
      </c>
      <c r="BT108" s="125">
        <f>Tabela1[[#This Row],[Pré RDW %]]</f>
        <v>12.4</v>
      </c>
      <c r="BU108" s="125">
        <f>Tabela1[[#This Row],[Pós RDW %]]</f>
        <v>12.5</v>
      </c>
      <c r="BV108" s="179">
        <f>Tabela1[[#This Row],[Pré RET %]]</f>
        <v>2.89</v>
      </c>
      <c r="BW108" s="196">
        <f>Tabela1[[#This Row],[Pós RET %]]</f>
        <v>2.2200000000000002</v>
      </c>
      <c r="BX108" s="197">
        <f>Tabela1[[#This Row],[Pré WBC 10³/mm³]]</f>
        <v>6.31</v>
      </c>
      <c r="BY108" s="179">
        <f>Tabela1[[#This Row],[Pós WBC 10³/mm³]]</f>
        <v>18.93</v>
      </c>
      <c r="BZ108" s="125">
        <f>Tabela1[[#This Row],[Pré NEUT %]]</f>
        <v>55.5</v>
      </c>
      <c r="CA108" s="125">
        <f>Tabela1[[#This Row],[Pós NEUT %]]</f>
        <v>78.8</v>
      </c>
      <c r="CB108" s="125">
        <f>Tabela1[[#This Row],[Pré LINF %]]</f>
        <v>32</v>
      </c>
      <c r="CC108" s="125">
        <f>Tabela1[[#This Row],[Pós LINF %]]</f>
        <v>11.5</v>
      </c>
      <c r="CD108" s="125">
        <f>Tabela1[[#This Row],[Pré MONO %]]</f>
        <v>7.4</v>
      </c>
      <c r="CE108" s="125">
        <f>Tabela1[[#This Row],[Pós MONO %]]</f>
        <v>9.6</v>
      </c>
      <c r="CF108" s="125">
        <f>Tabela1[[#This Row],[Pré EOS %]]</f>
        <v>4.5999999999999996</v>
      </c>
      <c r="CG108" s="125">
        <f>Tabela1[[#This Row],[Pós EOS %]]</f>
        <v>0</v>
      </c>
      <c r="CH108" s="125">
        <f>Tabela1[[#This Row],[Pré BASO %]]</f>
        <v>0.5</v>
      </c>
      <c r="CI108" s="198">
        <f>Tabela1[[#This Row],[Pós BASO %]]</f>
        <v>0.1</v>
      </c>
      <c r="CJ108" s="199" t="str">
        <f t="shared" si="5"/>
        <v>NÃO</v>
      </c>
      <c r="CK108" s="200" t="str">
        <f t="shared" si="6"/>
        <v>SIM</v>
      </c>
      <c r="CL108" s="194">
        <f t="shared" si="7"/>
        <v>67.787359999999993</v>
      </c>
      <c r="CM108" s="125">
        <f>Tabela1[[#This Row],[MCT KG]]</f>
        <v>79.599999999999994</v>
      </c>
      <c r="CN108" s="85">
        <f>Tabela1[[#This Row],[ESTATURA]]</f>
        <v>182</v>
      </c>
      <c r="CO108" s="85">
        <f>Tabela1[[#This Row],[vo2max estimado]]</f>
        <v>51.21</v>
      </c>
      <c r="CP108" s="85">
        <f>Tabela1[[#This Row],[Handgrip     Dominante]]</f>
        <v>51</v>
      </c>
      <c r="CQ108" s="85">
        <f>Tabela1[[#This Row],[Handgrip Contrário]]</f>
        <v>49</v>
      </c>
      <c r="CR108" s="281">
        <f>Tabela1[[#This Row],[% gordura]]</f>
        <v>14.84</v>
      </c>
    </row>
    <row r="109" spans="1:96" ht="15.75" customHeight="1">
      <c r="A109" s="279">
        <f>Tabela1[[#This Row],[Ano]]</f>
        <v>2018</v>
      </c>
      <c r="B109" s="181" t="str">
        <f>Tabela1[[#This Row],[Missão]]</f>
        <v>Marambaia</v>
      </c>
      <c r="C109" s="181">
        <f>Tabela1[[#This Row],[Aluno]]</f>
        <v>3169</v>
      </c>
      <c r="D109" s="181">
        <f>Tabela1[[#This Row],[Idade]]</f>
        <v>31</v>
      </c>
      <c r="E109" s="182">
        <f>Tabela1[[#This Row],[Peso Kg]]</f>
        <v>92</v>
      </c>
      <c r="F109" s="191">
        <f>Tabela1[[#This Row],[Cor da pele]]</f>
        <v>1</v>
      </c>
      <c r="G109" s="192" t="str">
        <f>Tabela1[[#This Row],[ACTN3]]</f>
        <v>XX</v>
      </c>
      <c r="H109" s="85" t="str">
        <f>Tabela1[[#This Row],[AGT]]</f>
        <v>MT</v>
      </c>
      <c r="I109" s="85" t="str">
        <f>Tabela1[[#This Row],[ECA]]</f>
        <v>ID</v>
      </c>
      <c r="J109" s="85" t="str">
        <f>Tabela1[[#This Row],[BDKRB2]]</f>
        <v>(-9,-9)</v>
      </c>
      <c r="K109" s="85">
        <f>Tabela1[[#This Row],[Score Força%]]</f>
        <v>100</v>
      </c>
      <c r="L109" s="193">
        <f>Tabela1[[#This Row],[Score Resistência %]]</f>
        <v>0</v>
      </c>
      <c r="M109" s="192">
        <f>Tabela1[[#This Row],[Pré CK (U/L)]]</f>
        <v>993</v>
      </c>
      <c r="N109" s="85">
        <f>Tabela1[[#This Row],[Pós CK (U/L)]]</f>
        <v>1392</v>
      </c>
      <c r="O109" s="85">
        <f>Tabela1[[#This Row],[Pré CK MB U/L]]</f>
        <v>35</v>
      </c>
      <c r="P109" s="85">
        <f>Tabela1[[#This Row],[Pós CK MB U/L]]</f>
        <v>50</v>
      </c>
      <c r="Q109" s="85">
        <f>Tabela1[[#This Row],[Pré Lactato (mmol/L)]]</f>
        <v>1.5</v>
      </c>
      <c r="R109" s="85">
        <f>Tabela1[[#This Row],[Pós Lactato (mmol/L)]]</f>
        <v>1.8</v>
      </c>
      <c r="S109" s="85">
        <f>Tabela1[[#This Row],[Pré LDH (U/L)]]</f>
        <v>964</v>
      </c>
      <c r="T109" s="85">
        <f>Tabela1[[#This Row],[Pós LDH (U/L)]]</f>
        <v>1380</v>
      </c>
      <c r="U109" s="85">
        <f>Tabela1[[#This Row],[Pré AST (U/L)]]</f>
        <v>121</v>
      </c>
      <c r="V109" s="193">
        <f>Tabela1[[#This Row],[Pós AST (U/L)]]</f>
        <v>137</v>
      </c>
      <c r="W109" s="194">
        <f>Tabela1[[#This Row],[Pré Albumina (g/dL)]]</f>
        <v>3.8</v>
      </c>
      <c r="X109" s="125">
        <f>Tabela1[[#This Row],[Pós Albumina (g/dL)]]</f>
        <v>4.3</v>
      </c>
      <c r="Y109" s="85">
        <f>Tabela1[[#This Row],[Pré TGP (g/dL)]]</f>
        <v>114</v>
      </c>
      <c r="Z109" s="85">
        <f>Tabela1[[#This Row],[Pós TGP (g/dL)]]</f>
        <v>122</v>
      </c>
      <c r="AA109" s="85">
        <f>Tabela1[[#This Row],[Pré GGT U/L]]</f>
        <v>17</v>
      </c>
      <c r="AB109" s="193">
        <f>Tabela1[[#This Row],[Pós GGT U/L]]</f>
        <v>20</v>
      </c>
      <c r="AC109" s="194" t="str">
        <f>Tabela1[[#This Row],[Pré Ac. Úrico (mg/dL)]]</f>
        <v>-</v>
      </c>
      <c r="AD109" s="125">
        <f>Tabela1[[#This Row],[Pós Ac. Úrico (mg/dL)2]]</f>
        <v>9.3000000000000007</v>
      </c>
      <c r="AE10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0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09" s="85">
        <f>Tabela1[[#This Row],[Pré Ureia mg/dL]]</f>
        <v>42</v>
      </c>
      <c r="AH109" s="85">
        <f>Tabela1[[#This Row],[Pós Ureia mg/dL]]</f>
        <v>49</v>
      </c>
      <c r="AI109" s="125">
        <f>Tabela1[[#This Row],[Pré creatinina mg/dL]]</f>
        <v>1</v>
      </c>
      <c r="AJ109" s="125">
        <f>Tabela1[[#This Row],[Pós creatinina mg/dL]]</f>
        <v>1.1000000000000001</v>
      </c>
      <c r="AK109" s="180">
        <f t="shared" si="4"/>
        <v>0.10000000000000009</v>
      </c>
      <c r="AL109" s="125">
        <f>Tabela1[[#This Row],[Pré Fósforo mg/dL]]</f>
        <v>3.7</v>
      </c>
      <c r="AM109" s="125">
        <f>Tabela1[[#This Row],[Pós Fósforo mg/dL]]</f>
        <v>4.7</v>
      </c>
      <c r="AN109" s="125">
        <f>Tabela1[[#This Row],[Pré Proteína Total (g/dL)]]</f>
        <v>6.9</v>
      </c>
      <c r="AO109" s="125">
        <f>Tabela1[[#This Row],[Pós Proteína Total (g/dL)]]</f>
        <v>7.9</v>
      </c>
      <c r="AP109" s="85" t="str">
        <f>Tabela1[[#This Row],[Pré FE (ug/dL)]]</f>
        <v>-</v>
      </c>
      <c r="AQ109" s="193">
        <f>Tabela1[[#This Row],[Pós FE (ug/dL)]]</f>
        <v>42</v>
      </c>
      <c r="AR109" s="194">
        <f>Tabela1[[#This Row],[Pré calcio mg/dL]]</f>
        <v>8.9</v>
      </c>
      <c r="AS109" s="125">
        <f>Tabela1[[#This Row],[Pós calcio mg/dL]]</f>
        <v>9.9</v>
      </c>
      <c r="AT109" s="125">
        <f>Tabela1[[#This Row],[Pré Potássio mmol/L]]</f>
        <v>4.5999999999999996</v>
      </c>
      <c r="AU109" s="125">
        <f>Tabela1[[#This Row],[Pós Potássio mmol/L]]</f>
        <v>4.5999999999999996</v>
      </c>
      <c r="AV109" s="85" t="str">
        <f>Tabela1[[#This Row],[Glicose pré]]</f>
        <v>-</v>
      </c>
      <c r="AW109" s="85">
        <f>Tabela1[[#This Row],[Glicose pós]]</f>
        <v>77</v>
      </c>
      <c r="AX109" s="85">
        <f>Tabela1[[#This Row],[Pré Sódio mmol/L]]</f>
        <v>141</v>
      </c>
      <c r="AY109" s="85">
        <f>Tabela1[[#This Row],[Pós Sódio mmol/L]]</f>
        <v>148</v>
      </c>
      <c r="AZ109" s="125">
        <f>Tabela1[[#This Row],[Pré Magnésio mg/dL]]</f>
        <v>1.9</v>
      </c>
      <c r="BA109" s="125">
        <f>Tabela1[[#This Row],[Pós Magnésio mg/dL]]</f>
        <v>1.8</v>
      </c>
      <c r="BB109" s="85">
        <f>Tabela1[[#This Row],[Pré Cloro mmol/L]]</f>
        <v>107</v>
      </c>
      <c r="BC109" s="85">
        <f>Tabela1[[#This Row],[Pós Cloro mmol/L]]</f>
        <v>105</v>
      </c>
      <c r="BD109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10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310.92211111111112</v>
      </c>
      <c r="BF109" s="194">
        <f>Tabela1[[#This Row],[Pré RBC 10^6/mm³]]</f>
        <v>4.05</v>
      </c>
      <c r="BG109" s="125">
        <f>Tabela1[[#This Row],[Pós RBC 10^6/mm³]]</f>
        <v>4.17</v>
      </c>
      <c r="BH109" s="125">
        <f>Tabela1[[#This Row],[Pré HGB g/dL]]</f>
        <v>11.8</v>
      </c>
      <c r="BI109" s="125">
        <f>Tabela1[[#This Row],[Pós HGB g/dL]]</f>
        <v>12.1</v>
      </c>
      <c r="BJ109" s="125">
        <f>Tabela1[[#This Row],[Pré HCT %]]</f>
        <v>37.1</v>
      </c>
      <c r="BK109" s="125">
        <f>Tabela1[[#This Row],[Pós HCT %]]</f>
        <v>38.1</v>
      </c>
      <c r="BL109" s="125">
        <f>Tabela1[[#This Row],[Pré MCV fL]]</f>
        <v>91.6</v>
      </c>
      <c r="BM109" s="125">
        <f>Tabela1[[#This Row],[Pós MCV fL]]</f>
        <v>91.4</v>
      </c>
      <c r="BN109" s="125">
        <f>Tabela1[[#This Row],[Pré MCH pg]]</f>
        <v>29.1</v>
      </c>
      <c r="BO109" s="125">
        <f>Tabela1[[#This Row],[Pós MCH pg]]</f>
        <v>29</v>
      </c>
      <c r="BP109" s="125">
        <f>Tabela1[[#This Row],[Pré MCHC g/dL]]</f>
        <v>31.8</v>
      </c>
      <c r="BQ109" s="125">
        <f>Tabela1[[#This Row],[Pós MCHC g/dL]]</f>
        <v>31.8</v>
      </c>
      <c r="BR109" s="85">
        <f>Tabela1[[#This Row],[Pré PLT 10³/mm³]]</f>
        <v>286</v>
      </c>
      <c r="BS109" s="85">
        <f>Tabela1[[#This Row],[Pós PLT 10³/mm³]]</f>
        <v>344</v>
      </c>
      <c r="BT109" s="125">
        <f>Tabela1[[#This Row],[Pré RDW %]]</f>
        <v>13.9</v>
      </c>
      <c r="BU109" s="125">
        <f>Tabela1[[#This Row],[Pós RDW %]]</f>
        <v>14.1</v>
      </c>
      <c r="BV109" s="179" t="str">
        <f>Tabela1[[#This Row],[Pré RET %]]</f>
        <v>-</v>
      </c>
      <c r="BW109" s="196">
        <f>Tabela1[[#This Row],[Pós RET %]]</f>
        <v>1.39</v>
      </c>
      <c r="BX109" s="197">
        <f>Tabela1[[#This Row],[Pré WBC 10³/mm³]]</f>
        <v>7.48</v>
      </c>
      <c r="BY109" s="179">
        <f>Tabela1[[#This Row],[Pós WBC 10³/mm³]]</f>
        <v>11.99</v>
      </c>
      <c r="BZ109" s="125">
        <f>Tabela1[[#This Row],[Pré NEUT %]]</f>
        <v>64.3</v>
      </c>
      <c r="CA109" s="125">
        <f>Tabela1[[#This Row],[Pós NEUT %]]</f>
        <v>76.8</v>
      </c>
      <c r="CB109" s="125">
        <f>Tabela1[[#This Row],[Pré LINF %]]</f>
        <v>19.5</v>
      </c>
      <c r="CC109" s="125">
        <f>Tabela1[[#This Row],[Pós LINF %]]</f>
        <v>15.3</v>
      </c>
      <c r="CD109" s="125">
        <f>Tabela1[[#This Row],[Pré MONO %]]</f>
        <v>13.5</v>
      </c>
      <c r="CE109" s="125">
        <f>Tabela1[[#This Row],[Pós MONO %]]</f>
        <v>7.3</v>
      </c>
      <c r="CF109" s="125">
        <f>Tabela1[[#This Row],[Pré EOS %]]</f>
        <v>2.4</v>
      </c>
      <c r="CG109" s="125">
        <f>Tabela1[[#This Row],[Pós EOS %]]</f>
        <v>0.3</v>
      </c>
      <c r="CH109" s="125">
        <f>Tabela1[[#This Row],[Pré BASO %]]</f>
        <v>0.3</v>
      </c>
      <c r="CI109" s="198">
        <f>Tabela1[[#This Row],[Pós BASO %]]</f>
        <v>0.3</v>
      </c>
      <c r="CJ109" s="199" t="str">
        <f t="shared" si="5"/>
        <v>NÃO</v>
      </c>
      <c r="CK109" s="200" t="str">
        <f t="shared" si="6"/>
        <v>SIM</v>
      </c>
      <c r="CL109" s="194">
        <f t="shared" si="7"/>
        <v>74.95620000000001</v>
      </c>
      <c r="CM109" s="125">
        <f>Tabela1[[#This Row],[MCT KG]]</f>
        <v>90.2</v>
      </c>
      <c r="CN109" s="85">
        <f>Tabela1[[#This Row],[ESTATURA]]</f>
        <v>184.5</v>
      </c>
      <c r="CO109" s="85">
        <f>Tabela1[[#This Row],[vo2max estimado]]</f>
        <v>48.67</v>
      </c>
      <c r="CP109" s="85">
        <f>Tabela1[[#This Row],[Handgrip     Dominante]]</f>
        <v>54</v>
      </c>
      <c r="CQ109" s="85">
        <f>Tabela1[[#This Row],[Handgrip Contrário]]</f>
        <v>47</v>
      </c>
      <c r="CR109" s="281">
        <f>Tabela1[[#This Row],[% gordura]]</f>
        <v>16.899999999999999</v>
      </c>
    </row>
    <row r="110" spans="1:96" ht="15.75" customHeight="1">
      <c r="A110" s="279">
        <f>Tabela1[[#This Row],[Ano]]</f>
        <v>2018</v>
      </c>
      <c r="B110" s="181" t="str">
        <f>Tabela1[[#This Row],[Missão]]</f>
        <v>Marambaia</v>
      </c>
      <c r="C110" s="181">
        <f>Tabela1[[#This Row],[Aluno]]</f>
        <v>3175</v>
      </c>
      <c r="D110" s="181">
        <f>Tabela1[[#This Row],[Idade]]</f>
        <v>32</v>
      </c>
      <c r="E110" s="182">
        <f>Tabela1[[#This Row],[Peso Kg]]</f>
        <v>96</v>
      </c>
      <c r="F110" s="191">
        <f>Tabela1[[#This Row],[Cor da pele]]</f>
        <v>2</v>
      </c>
      <c r="G110" s="192" t="str">
        <f>Tabela1[[#This Row],[ACTN3]]</f>
        <v>RX</v>
      </c>
      <c r="H110" s="85" t="str">
        <f>Tabela1[[#This Row],[AGT]]</f>
        <v>MM</v>
      </c>
      <c r="I110" s="85" t="str">
        <f>Tabela1[[#This Row],[ECA]]</f>
        <v>ID</v>
      </c>
      <c r="J110" s="85" t="str">
        <f>Tabela1[[#This Row],[BDKRB2]]</f>
        <v>(+9,+9)</v>
      </c>
      <c r="K110" s="85">
        <f>Tabela1[[#This Row],[Score Força%]]</f>
        <v>45.8333333333333</v>
      </c>
      <c r="L110" s="193">
        <f>Tabela1[[#This Row],[Score Resistência %]]</f>
        <v>54.1666666666667</v>
      </c>
      <c r="M110" s="192">
        <f>Tabela1[[#This Row],[Pré CK (U/L)]]</f>
        <v>1190</v>
      </c>
      <c r="N110" s="85">
        <f>Tabela1[[#This Row],[Pós CK (U/L)]]</f>
        <v>2464</v>
      </c>
      <c r="O110" s="85">
        <f>Tabela1[[#This Row],[Pré CK MB U/L]]</f>
        <v>48</v>
      </c>
      <c r="P110" s="85">
        <f>Tabela1[[#This Row],[Pós CK MB U/L]]</f>
        <v>69</v>
      </c>
      <c r="Q110" s="85">
        <f>Tabela1[[#This Row],[Pré Lactato (mmol/L)]]</f>
        <v>1.6</v>
      </c>
      <c r="R110" s="85">
        <f>Tabela1[[#This Row],[Pós Lactato (mmol/L)]]</f>
        <v>2.8</v>
      </c>
      <c r="S110" s="85">
        <f>Tabela1[[#This Row],[Pré LDH (U/L)]]</f>
        <v>982</v>
      </c>
      <c r="T110" s="85">
        <f>Tabela1[[#This Row],[Pós LDH (U/L)]]</f>
        <v>1419</v>
      </c>
      <c r="U110" s="85">
        <f>Tabela1[[#This Row],[Pré AST (U/L)]]</f>
        <v>95</v>
      </c>
      <c r="V110" s="193">
        <f>Tabela1[[#This Row],[Pós AST (U/L)]]</f>
        <v>134</v>
      </c>
      <c r="W110" s="194">
        <f>Tabela1[[#This Row],[Pré Albumina (g/dL)]]</f>
        <v>4.3</v>
      </c>
      <c r="X110" s="125">
        <f>Tabela1[[#This Row],[Pós Albumina (g/dL)]]</f>
        <v>4.5999999999999996</v>
      </c>
      <c r="Y110" s="85">
        <f>Tabela1[[#This Row],[Pré TGP (g/dL)]]</f>
        <v>159</v>
      </c>
      <c r="Z110" s="85">
        <f>Tabela1[[#This Row],[Pós TGP (g/dL)]]</f>
        <v>153</v>
      </c>
      <c r="AA110" s="85">
        <f>Tabela1[[#This Row],[Pré GGT U/L]]</f>
        <v>32</v>
      </c>
      <c r="AB110" s="193">
        <f>Tabela1[[#This Row],[Pós GGT U/L]]</f>
        <v>30</v>
      </c>
      <c r="AC110" s="194" t="str">
        <f>Tabela1[[#This Row],[Pré Ac. Úrico (mg/dL)]]</f>
        <v>-</v>
      </c>
      <c r="AD110" s="125">
        <f>Tabela1[[#This Row],[Pós Ac. Úrico (mg/dL)2]]</f>
        <v>5.2</v>
      </c>
      <c r="AE11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1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10" s="85">
        <f>Tabela1[[#This Row],[Pré Ureia mg/dL]]</f>
        <v>39</v>
      </c>
      <c r="AH110" s="85">
        <f>Tabela1[[#This Row],[Pós Ureia mg/dL]]</f>
        <v>59</v>
      </c>
      <c r="AI110" s="125">
        <f>Tabela1[[#This Row],[Pré creatinina mg/dL]]</f>
        <v>0.9</v>
      </c>
      <c r="AJ110" s="125">
        <f>Tabela1[[#This Row],[Pós creatinina mg/dL]]</f>
        <v>1.1000000000000001</v>
      </c>
      <c r="AK110" s="180">
        <f t="shared" si="4"/>
        <v>0.20000000000000007</v>
      </c>
      <c r="AL110" s="125">
        <f>Tabela1[[#This Row],[Pré Fósforo mg/dL]]</f>
        <v>3.7</v>
      </c>
      <c r="AM110" s="125">
        <f>Tabela1[[#This Row],[Pós Fósforo mg/dL]]</f>
        <v>5.0999999999999996</v>
      </c>
      <c r="AN110" s="125">
        <f>Tabela1[[#This Row],[Pré Proteína Total (g/dL)]]</f>
        <v>7.4</v>
      </c>
      <c r="AO110" s="125">
        <f>Tabela1[[#This Row],[Pós Proteína Total (g/dL)]]</f>
        <v>8.3000000000000007</v>
      </c>
      <c r="AP110" s="85" t="str">
        <f>Tabela1[[#This Row],[Pré FE (ug/dL)]]</f>
        <v>-</v>
      </c>
      <c r="AQ110" s="193">
        <f>Tabela1[[#This Row],[Pós FE (ug/dL)]]</f>
        <v>113</v>
      </c>
      <c r="AR110" s="194">
        <f>Tabela1[[#This Row],[Pré calcio mg/dL]]</f>
        <v>9.5</v>
      </c>
      <c r="AS110" s="125">
        <f>Tabela1[[#This Row],[Pós calcio mg/dL]]</f>
        <v>10.4</v>
      </c>
      <c r="AT110" s="125">
        <f>Tabela1[[#This Row],[Pré Potássio mmol/L]]</f>
        <v>4.4000000000000004</v>
      </c>
      <c r="AU110" s="125">
        <f>Tabela1[[#This Row],[Pós Potássio mmol/L]]</f>
        <v>4.7</v>
      </c>
      <c r="AV110" s="85">
        <f>Tabela1[[#This Row],[Glicose pré]]</f>
        <v>56</v>
      </c>
      <c r="AW110" s="85">
        <f>Tabela1[[#This Row],[Glicose pós]]</f>
        <v>77</v>
      </c>
      <c r="AX110" s="85">
        <f>Tabela1[[#This Row],[Pré Sódio mmol/L]]</f>
        <v>144</v>
      </c>
      <c r="AY110" s="85">
        <f>Tabela1[[#This Row],[Pós Sódio mmol/L]]</f>
        <v>142</v>
      </c>
      <c r="AZ110" s="125">
        <f>Tabela1[[#This Row],[Pré Magnésio mg/dL]]</f>
        <v>1.9</v>
      </c>
      <c r="BA110" s="125">
        <f>Tabela1[[#This Row],[Pós Magnésio mg/dL]]</f>
        <v>1.9</v>
      </c>
      <c r="BB110" s="85">
        <f>Tabela1[[#This Row],[Pré Cloro mmol/L]]</f>
        <v>109</v>
      </c>
      <c r="BC110" s="85">
        <f>Tabela1[[#This Row],[Pós Cloro mmol/L]]</f>
        <v>106</v>
      </c>
      <c r="BD11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300.10177777777778</v>
      </c>
      <c r="BE11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301.6147777777777</v>
      </c>
      <c r="BF110" s="194">
        <f>Tabela1[[#This Row],[Pré RBC 10^6/mm³]]</f>
        <v>4.5599999999999996</v>
      </c>
      <c r="BG110" s="125">
        <f>Tabela1[[#This Row],[Pós RBC 10^6/mm³]]</f>
        <v>4.3899999999999997</v>
      </c>
      <c r="BH110" s="125">
        <f>Tabela1[[#This Row],[Pré HGB g/dL]]</f>
        <v>13.5</v>
      </c>
      <c r="BI110" s="125">
        <f>Tabela1[[#This Row],[Pós HGB g/dL]]</f>
        <v>13.3</v>
      </c>
      <c r="BJ110" s="125">
        <f>Tabela1[[#This Row],[Pré HCT %]]</f>
        <v>41.7</v>
      </c>
      <c r="BK110" s="125">
        <f>Tabela1[[#This Row],[Pós HCT %]]</f>
        <v>39.5</v>
      </c>
      <c r="BL110" s="125">
        <f>Tabela1[[#This Row],[Pré MCV fL]]</f>
        <v>91.4</v>
      </c>
      <c r="BM110" s="125">
        <f>Tabela1[[#This Row],[Pós MCV fL]]</f>
        <v>90</v>
      </c>
      <c r="BN110" s="125">
        <f>Tabela1[[#This Row],[Pré MCH pg]]</f>
        <v>29.6</v>
      </c>
      <c r="BO110" s="125">
        <f>Tabela1[[#This Row],[Pós MCH pg]]</f>
        <v>30.3</v>
      </c>
      <c r="BP110" s="125">
        <f>Tabela1[[#This Row],[Pré MCHC g/dL]]</f>
        <v>32.4</v>
      </c>
      <c r="BQ110" s="125">
        <f>Tabela1[[#This Row],[Pós MCHC g/dL]]</f>
        <v>33.700000000000003</v>
      </c>
      <c r="BR110" s="85">
        <f>Tabela1[[#This Row],[Pré PLT 10³/mm³]]</f>
        <v>224</v>
      </c>
      <c r="BS110" s="85">
        <f>Tabela1[[#This Row],[Pós PLT 10³/mm³]]</f>
        <v>238</v>
      </c>
      <c r="BT110" s="125">
        <f>Tabela1[[#This Row],[Pré RDW %]]</f>
        <v>13.3</v>
      </c>
      <c r="BU110" s="125">
        <f>Tabela1[[#This Row],[Pós RDW %]]</f>
        <v>13.4</v>
      </c>
      <c r="BV110" s="179">
        <f>Tabela1[[#This Row],[Pré RET %]]</f>
        <v>1.26</v>
      </c>
      <c r="BW110" s="196">
        <f>Tabela1[[#This Row],[Pós RET %]]</f>
        <v>0.92</v>
      </c>
      <c r="BX110" s="197">
        <f>Tabela1[[#This Row],[Pré WBC 10³/mm³]]</f>
        <v>7.57</v>
      </c>
      <c r="BY110" s="179">
        <f>Tabela1[[#This Row],[Pós WBC 10³/mm³]]</f>
        <v>9.69</v>
      </c>
      <c r="BZ110" s="125">
        <f>Tabela1[[#This Row],[Pré NEUT %]]</f>
        <v>57.8</v>
      </c>
      <c r="CA110" s="125">
        <f>Tabela1[[#This Row],[Pós NEUT %]]</f>
        <v>71.5</v>
      </c>
      <c r="CB110" s="125">
        <f>Tabela1[[#This Row],[Pré LINF %]]</f>
        <v>32.200000000000003</v>
      </c>
      <c r="CC110" s="125">
        <f>Tabela1[[#This Row],[Pós LINF %]]</f>
        <v>21.4</v>
      </c>
      <c r="CD110" s="125">
        <f>Tabela1[[#This Row],[Pré MONO %]]</f>
        <v>7.5</v>
      </c>
      <c r="CE110" s="125">
        <f>Tabela1[[#This Row],[Pós MONO %]]</f>
        <v>6.6</v>
      </c>
      <c r="CF110" s="125">
        <f>Tabela1[[#This Row],[Pré EOS %]]</f>
        <v>2.1</v>
      </c>
      <c r="CG110" s="125">
        <f>Tabela1[[#This Row],[Pós EOS %]]</f>
        <v>0.3</v>
      </c>
      <c r="CH110" s="125">
        <f>Tabela1[[#This Row],[Pré BASO %]]</f>
        <v>0.4</v>
      </c>
      <c r="CI110" s="198">
        <f>Tabela1[[#This Row],[Pós BASO %]]</f>
        <v>0.2</v>
      </c>
      <c r="CJ110" s="199" t="str">
        <f t="shared" si="5"/>
        <v>NÃO</v>
      </c>
      <c r="CK110" s="200" t="str">
        <f t="shared" si="6"/>
        <v>SIM</v>
      </c>
      <c r="CL110" s="194">
        <f t="shared" si="7"/>
        <v>82.029080000000008</v>
      </c>
      <c r="CM110" s="125">
        <f>Tabela1[[#This Row],[MCT KG]]</f>
        <v>90.7</v>
      </c>
      <c r="CN110" s="85">
        <f>Tabela1[[#This Row],[ESTATURA]]</f>
        <v>191</v>
      </c>
      <c r="CO110" s="85">
        <f>Tabela1[[#This Row],[vo2max estimado]]</f>
        <v>50.01</v>
      </c>
      <c r="CP110" s="85">
        <f>Tabela1[[#This Row],[Handgrip     Dominante]]</f>
        <v>56.5</v>
      </c>
      <c r="CQ110" s="85">
        <f>Tabela1[[#This Row],[Handgrip Contrário]]</f>
        <v>54.5</v>
      </c>
      <c r="CR110" s="281">
        <f>Tabela1[[#This Row],[% gordura]]</f>
        <v>9.56</v>
      </c>
    </row>
    <row r="111" spans="1:96" ht="15.75" customHeight="1">
      <c r="A111" s="279">
        <f>Tabela1[[#This Row],[Ano]]</f>
        <v>2018</v>
      </c>
      <c r="B111" s="181" t="str">
        <f>Tabela1[[#This Row],[Missão]]</f>
        <v>Marambaia</v>
      </c>
      <c r="C111" s="181">
        <f>Tabela1[[#This Row],[Aluno]]</f>
        <v>3180</v>
      </c>
      <c r="D111" s="181">
        <f>Tabela1[[#This Row],[Idade]]</f>
        <v>39</v>
      </c>
      <c r="E111" s="182">
        <f>Tabela1[[#This Row],[Peso Kg]]</f>
        <v>78</v>
      </c>
      <c r="F111" s="191">
        <f>Tabela1[[#This Row],[Cor da pele]]</f>
        <v>1</v>
      </c>
      <c r="G111" s="192" t="str">
        <f>Tabela1[[#This Row],[ACTN3]]</f>
        <v>RX</v>
      </c>
      <c r="H111" s="85" t="str">
        <f>Tabela1[[#This Row],[AGT]]</f>
        <v>TT</v>
      </c>
      <c r="I111" s="85" t="str">
        <f>Tabela1[[#This Row],[ECA]]</f>
        <v>DD</v>
      </c>
      <c r="J111" s="85" t="str">
        <f>Tabela1[[#This Row],[BDKRB2]]</f>
        <v>(-9,-9)</v>
      </c>
      <c r="K111" s="85">
        <f>Tabela1[[#This Row],[Score Força%]]</f>
        <v>54.1666666666667</v>
      </c>
      <c r="L111" s="193">
        <f>Tabela1[[#This Row],[Score Resistência %]]</f>
        <v>45.8333333333333</v>
      </c>
      <c r="M111" s="192">
        <f>Tabela1[[#This Row],[Pré CK (U/L)]]</f>
        <v>335</v>
      </c>
      <c r="N111" s="85">
        <f>Tabela1[[#This Row],[Pós CK (U/L)]]</f>
        <v>3073</v>
      </c>
      <c r="O111" s="85">
        <f>Tabela1[[#This Row],[Pré CK MB U/L]]</f>
        <v>19</v>
      </c>
      <c r="P111" s="85">
        <f>Tabela1[[#This Row],[Pós CK MB U/L]]</f>
        <v>59</v>
      </c>
      <c r="Q111" s="85">
        <f>Tabela1[[#This Row],[Pré Lactato (mmol/L)]]</f>
        <v>1.6</v>
      </c>
      <c r="R111" s="85">
        <f>Tabela1[[#This Row],[Pós Lactato (mmol/L)]]</f>
        <v>2.4</v>
      </c>
      <c r="S111" s="85">
        <f>Tabela1[[#This Row],[Pré LDH (U/L)]]</f>
        <v>653</v>
      </c>
      <c r="T111" s="85">
        <f>Tabela1[[#This Row],[Pós LDH (U/L)]]</f>
        <v>1532</v>
      </c>
      <c r="U111" s="85">
        <f>Tabela1[[#This Row],[Pré AST (U/L)]]</f>
        <v>43</v>
      </c>
      <c r="V111" s="193">
        <f>Tabela1[[#This Row],[Pós AST (U/L)]]</f>
        <v>194</v>
      </c>
      <c r="W111" s="194">
        <f>Tabela1[[#This Row],[Pré Albumina (g/dL)]]</f>
        <v>3.7</v>
      </c>
      <c r="X111" s="125">
        <f>Tabela1[[#This Row],[Pós Albumina (g/dL)]]</f>
        <v>4.0999999999999996</v>
      </c>
      <c r="Y111" s="85">
        <f>Tabela1[[#This Row],[Pré TGP (g/dL)]]</f>
        <v>57</v>
      </c>
      <c r="Z111" s="85">
        <f>Tabela1[[#This Row],[Pós TGP (g/dL)]]</f>
        <v>138</v>
      </c>
      <c r="AA111" s="85">
        <f>Tabela1[[#This Row],[Pré GGT U/L]]</f>
        <v>19</v>
      </c>
      <c r="AB111" s="193">
        <f>Tabela1[[#This Row],[Pós GGT U/L]]</f>
        <v>32</v>
      </c>
      <c r="AC111" s="194" t="str">
        <f>Tabela1[[#This Row],[Pré Ac. Úrico (mg/dL)]]</f>
        <v>-</v>
      </c>
      <c r="AD111" s="125">
        <f>Tabela1[[#This Row],[Pós Ac. Úrico (mg/dL)2]]</f>
        <v>8.6999999999999993</v>
      </c>
      <c r="AE11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1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111" s="85">
        <f>Tabela1[[#This Row],[Pré Ureia mg/dL]]</f>
        <v>42</v>
      </c>
      <c r="AH111" s="85">
        <f>Tabela1[[#This Row],[Pós Ureia mg/dL]]</f>
        <v>64</v>
      </c>
      <c r="AI111" s="125">
        <f>Tabela1[[#This Row],[Pré creatinina mg/dL]]</f>
        <v>1.1000000000000001</v>
      </c>
      <c r="AJ111" s="125">
        <f>Tabela1[[#This Row],[Pós creatinina mg/dL]]</f>
        <v>1.2</v>
      </c>
      <c r="AK111" s="180">
        <f t="shared" si="4"/>
        <v>9.9999999999999867E-2</v>
      </c>
      <c r="AL111" s="125">
        <f>Tabela1[[#This Row],[Pré Fósforo mg/dL]]</f>
        <v>3.5</v>
      </c>
      <c r="AM111" s="125">
        <f>Tabela1[[#This Row],[Pós Fósforo mg/dL]]</f>
        <v>4.8</v>
      </c>
      <c r="AN111" s="125">
        <f>Tabela1[[#This Row],[Pré Proteína Total (g/dL)]]</f>
        <v>5.9</v>
      </c>
      <c r="AO111" s="125">
        <f>Tabela1[[#This Row],[Pós Proteína Total (g/dL)]]</f>
        <v>6.5</v>
      </c>
      <c r="AP111" s="85" t="str">
        <f>Tabela1[[#This Row],[Pré FE (ug/dL)]]</f>
        <v>-</v>
      </c>
      <c r="AQ111" s="193">
        <f>Tabela1[[#This Row],[Pós FE (ug/dL)]]</f>
        <v>102</v>
      </c>
      <c r="AR111" s="194">
        <f>Tabela1[[#This Row],[Pré calcio mg/dL]]</f>
        <v>8.6999999999999993</v>
      </c>
      <c r="AS111" s="125">
        <f>Tabela1[[#This Row],[Pós calcio mg/dL]]</f>
        <v>9.6999999999999993</v>
      </c>
      <c r="AT111" s="125">
        <f>Tabela1[[#This Row],[Pré Potássio mmol/L]]</f>
        <v>4.5</v>
      </c>
      <c r="AU111" s="125">
        <f>Tabela1[[#This Row],[Pós Potássio mmol/L]]</f>
        <v>4.8</v>
      </c>
      <c r="AV111" s="85">
        <f>Tabela1[[#This Row],[Glicose pré]]</f>
        <v>83</v>
      </c>
      <c r="AW111" s="85">
        <f>Tabela1[[#This Row],[Glicose pós]]</f>
        <v>96</v>
      </c>
      <c r="AX111" s="85">
        <f>Tabela1[[#This Row],[Pré Sódio mmol/L]]</f>
        <v>143</v>
      </c>
      <c r="AY111" s="85">
        <f>Tabela1[[#This Row],[Pós Sódio mmol/L]]</f>
        <v>148</v>
      </c>
      <c r="AZ111" s="125">
        <f>Tabela1[[#This Row],[Pré Magnésio mg/dL]]</f>
        <v>1.9</v>
      </c>
      <c r="BA111" s="125">
        <f>Tabela1[[#This Row],[Pós Magnésio mg/dL]]</f>
        <v>2.1</v>
      </c>
      <c r="BB111" s="85">
        <f>Tabela1[[#This Row],[Pré Cloro mmol/L]]</f>
        <v>108</v>
      </c>
      <c r="BC111" s="85">
        <f>Tabela1[[#This Row],[Pós Cloro mmol/L]]</f>
        <v>105</v>
      </c>
      <c r="BD11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300.65277777777783</v>
      </c>
      <c r="BE11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315.00800000000004</v>
      </c>
      <c r="BF111" s="194">
        <f>Tabela1[[#This Row],[Pré RBC 10^6/mm³]]</f>
        <v>4.63</v>
      </c>
      <c r="BG111" s="125">
        <f>Tabela1[[#This Row],[Pós RBC 10^6/mm³]]</f>
        <v>4.67</v>
      </c>
      <c r="BH111" s="125">
        <f>Tabela1[[#This Row],[Pré HGB g/dL]]</f>
        <v>14.2</v>
      </c>
      <c r="BI111" s="125">
        <f>Tabela1[[#This Row],[Pós HGB g/dL]]</f>
        <v>14.3</v>
      </c>
      <c r="BJ111" s="125">
        <f>Tabela1[[#This Row],[Pré HCT %]]</f>
        <v>43.4</v>
      </c>
      <c r="BK111" s="125">
        <f>Tabela1[[#This Row],[Pós HCT %]]</f>
        <v>43.5</v>
      </c>
      <c r="BL111" s="125">
        <f>Tabela1[[#This Row],[Pré MCV fL]]</f>
        <v>93.7</v>
      </c>
      <c r="BM111" s="125">
        <f>Tabela1[[#This Row],[Pós MCV fL]]</f>
        <v>93.1</v>
      </c>
      <c r="BN111" s="125">
        <f>Tabela1[[#This Row],[Pré MCH pg]]</f>
        <v>30.7</v>
      </c>
      <c r="BO111" s="125">
        <f>Tabela1[[#This Row],[Pós MCH pg]]</f>
        <v>30.6</v>
      </c>
      <c r="BP111" s="125">
        <f>Tabela1[[#This Row],[Pré MCHC g/dL]]</f>
        <v>32.700000000000003</v>
      </c>
      <c r="BQ111" s="125">
        <f>Tabela1[[#This Row],[Pós MCHC g/dL]]</f>
        <v>32.9</v>
      </c>
      <c r="BR111" s="85">
        <f>Tabela1[[#This Row],[Pré PLT 10³/mm³]]</f>
        <v>212</v>
      </c>
      <c r="BS111" s="85">
        <f>Tabela1[[#This Row],[Pós PLT 10³/mm³]]</f>
        <v>274</v>
      </c>
      <c r="BT111" s="125">
        <f>Tabela1[[#This Row],[Pré RDW %]]</f>
        <v>14.3</v>
      </c>
      <c r="BU111" s="125">
        <f>Tabela1[[#This Row],[Pós RDW %]]</f>
        <v>14.3</v>
      </c>
      <c r="BV111" s="179">
        <f>Tabela1[[#This Row],[Pré RET %]]</f>
        <v>2</v>
      </c>
      <c r="BW111" s="196">
        <f>Tabela1[[#This Row],[Pós RET %]]</f>
        <v>1.6</v>
      </c>
      <c r="BX111" s="197">
        <f>Tabela1[[#This Row],[Pré WBC 10³/mm³]]</f>
        <v>5.99</v>
      </c>
      <c r="BY111" s="179">
        <f>Tabela1[[#This Row],[Pós WBC 10³/mm³]]</f>
        <v>13.87</v>
      </c>
      <c r="BZ111" s="125">
        <f>Tabela1[[#This Row],[Pré NEUT %]]</f>
        <v>51.6</v>
      </c>
      <c r="CA111" s="125">
        <f>Tabela1[[#This Row],[Pós NEUT %]]</f>
        <v>89</v>
      </c>
      <c r="CB111" s="125">
        <f>Tabela1[[#This Row],[Pré LINF %]]</f>
        <v>33.200000000000003</v>
      </c>
      <c r="CC111" s="125">
        <f>Tabela1[[#This Row],[Pós LINF %]]</f>
        <v>7.4</v>
      </c>
      <c r="CD111" s="125">
        <f>Tabela1[[#This Row],[Pré MONO %]]</f>
        <v>11.4</v>
      </c>
      <c r="CE111" s="125">
        <f>Tabela1[[#This Row],[Pós MONO %]]</f>
        <v>3.5</v>
      </c>
      <c r="CF111" s="125">
        <f>Tabela1[[#This Row],[Pré EOS %]]</f>
        <v>2.8</v>
      </c>
      <c r="CG111" s="125">
        <f>Tabela1[[#This Row],[Pós EOS %]]</f>
        <v>0</v>
      </c>
      <c r="CH111" s="125">
        <f>Tabela1[[#This Row],[Pré BASO %]]</f>
        <v>1</v>
      </c>
      <c r="CI111" s="198">
        <f>Tabela1[[#This Row],[Pós BASO %]]</f>
        <v>0.1</v>
      </c>
      <c r="CJ111" s="199" t="str">
        <f t="shared" si="5"/>
        <v>NÃO</v>
      </c>
      <c r="CK111" s="200" t="str">
        <f t="shared" si="6"/>
        <v>SIM</v>
      </c>
      <c r="CL111" s="194">
        <f t="shared" si="7"/>
        <v>67.7637</v>
      </c>
      <c r="CM111" s="125">
        <f>Tabela1[[#This Row],[MCT KG]]</f>
        <v>76.5</v>
      </c>
      <c r="CN111" s="85">
        <f>Tabela1[[#This Row],[ESTATURA]]</f>
        <v>177</v>
      </c>
      <c r="CO111" s="85">
        <f>Tabela1[[#This Row],[vo2max estimado]]</f>
        <v>51.95</v>
      </c>
      <c r="CP111" s="85">
        <f>Tabela1[[#This Row],[Handgrip     Dominante]]</f>
        <v>41</v>
      </c>
      <c r="CQ111" s="85">
        <f>Tabela1[[#This Row],[Handgrip Contrário]]</f>
        <v>38</v>
      </c>
      <c r="CR111" s="281">
        <f>Tabela1[[#This Row],[% gordura]]</f>
        <v>11.42</v>
      </c>
    </row>
    <row r="112" spans="1:96" ht="15.75" customHeight="1">
      <c r="A112" s="279">
        <f>Tabela1[[#This Row],[Ano]]</f>
        <v>2018</v>
      </c>
      <c r="B112" s="181" t="str">
        <f>Tabela1[[#This Row],[Missão]]</f>
        <v>Marambaia</v>
      </c>
      <c r="C112" s="181">
        <f>Tabela1[[#This Row],[Aluno]]</f>
        <v>3181</v>
      </c>
      <c r="D112" s="181">
        <f>Tabela1[[#This Row],[Idade]]</f>
        <v>28</v>
      </c>
      <c r="E112" s="182">
        <f>Tabela1[[#This Row],[Peso Kg]]</f>
        <v>86.6</v>
      </c>
      <c r="F112" s="191">
        <f>Tabela1[[#This Row],[Cor da pele]]</f>
        <v>0</v>
      </c>
      <c r="G112" s="192" t="str">
        <f>Tabela1[[#This Row],[ACTN3]]</f>
        <v>RX</v>
      </c>
      <c r="H112" s="85" t="str">
        <f>Tabela1[[#This Row],[AGT]]</f>
        <v>MT</v>
      </c>
      <c r="I112" s="85" t="str">
        <f>Tabela1[[#This Row],[ECA]]</f>
        <v>ID</v>
      </c>
      <c r="J112" s="85" t="str">
        <f>Tabela1[[#This Row],[BDKRB2]]</f>
        <v>(+9,-9)</v>
      </c>
      <c r="K112" s="85">
        <f>Tabela1[[#This Row],[Score Força%]]</f>
        <v>54.1666666666667</v>
      </c>
      <c r="L112" s="193">
        <f>Tabela1[[#This Row],[Score Resistência %]]</f>
        <v>45.8333333333333</v>
      </c>
      <c r="M112" s="192">
        <f>Tabela1[[#This Row],[Pré CK (U/L)]]</f>
        <v>278</v>
      </c>
      <c r="N112" s="85">
        <f>Tabela1[[#This Row],[Pós CK (U/L)]]</f>
        <v>939</v>
      </c>
      <c r="O112" s="85">
        <f>Tabela1[[#This Row],[Pré CK MB U/L]]</f>
        <v>13</v>
      </c>
      <c r="P112" s="85">
        <f>Tabela1[[#This Row],[Pós CK MB U/L]]</f>
        <v>46</v>
      </c>
      <c r="Q112" s="85">
        <f>Tabela1[[#This Row],[Pré Lactato (mmol/L)]]</f>
        <v>2.2999999999999998</v>
      </c>
      <c r="R112" s="85">
        <f>Tabela1[[#This Row],[Pós Lactato (mmol/L)]]</f>
        <v>2.5</v>
      </c>
      <c r="S112" s="85">
        <f>Tabela1[[#This Row],[Pré LDH (U/L)]]</f>
        <v>630</v>
      </c>
      <c r="T112" s="85">
        <f>Tabela1[[#This Row],[Pós LDH (U/L)]]</f>
        <v>1105</v>
      </c>
      <c r="U112" s="85">
        <f>Tabela1[[#This Row],[Pré AST (U/L)]]</f>
        <v>39</v>
      </c>
      <c r="V112" s="193">
        <f>Tabela1[[#This Row],[Pós AST (U/L)]]</f>
        <v>88</v>
      </c>
      <c r="W112" s="194">
        <f>Tabela1[[#This Row],[Pré Albumina (g/dL)]]</f>
        <v>4.2</v>
      </c>
      <c r="X112" s="125">
        <f>Tabela1[[#This Row],[Pós Albumina (g/dL)]]</f>
        <v>4.3</v>
      </c>
      <c r="Y112" s="85">
        <f>Tabela1[[#This Row],[Pré TGP (g/dL)]]</f>
        <v>56</v>
      </c>
      <c r="Z112" s="85">
        <f>Tabela1[[#This Row],[Pós TGP (g/dL)]]</f>
        <v>114</v>
      </c>
      <c r="AA112" s="85">
        <f>Tabela1[[#This Row],[Pré GGT U/L]]</f>
        <v>26</v>
      </c>
      <c r="AB112" s="193">
        <f>Tabela1[[#This Row],[Pós GGT U/L]]</f>
        <v>36</v>
      </c>
      <c r="AC112" s="194" t="str">
        <f>Tabela1[[#This Row],[Pré Ac. Úrico (mg/dL)]]</f>
        <v>-</v>
      </c>
      <c r="AD112" s="125">
        <f>Tabela1[[#This Row],[Pós Ac. Úrico (mg/dL)2]]</f>
        <v>5.5</v>
      </c>
      <c r="AE11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76.739527424440993</v>
      </c>
      <c r="AF11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112" s="85">
        <f>Tabela1[[#This Row],[Pré Ureia mg/dL]]</f>
        <v>61</v>
      </c>
      <c r="AH112" s="85">
        <f>Tabela1[[#This Row],[Pós Ureia mg/dL]]</f>
        <v>55</v>
      </c>
      <c r="AI112" s="125">
        <f>Tabela1[[#This Row],[Pré creatinina mg/dL]]</f>
        <v>1.3</v>
      </c>
      <c r="AJ112" s="125">
        <f>Tabela1[[#This Row],[Pós creatinina mg/dL]]</f>
        <v>1.2</v>
      </c>
      <c r="AK112" s="180">
        <f t="shared" si="4"/>
        <v>0</v>
      </c>
      <c r="AL112" s="125">
        <f>Tabela1[[#This Row],[Pré Fósforo mg/dL]]</f>
        <v>4.0999999999999996</v>
      </c>
      <c r="AM112" s="125">
        <f>Tabela1[[#This Row],[Pós Fósforo mg/dL]]</f>
        <v>5.3</v>
      </c>
      <c r="AN112" s="125">
        <f>Tabela1[[#This Row],[Pré Proteína Total (g/dL)]]</f>
        <v>6.8</v>
      </c>
      <c r="AO112" s="125">
        <f>Tabela1[[#This Row],[Pós Proteína Total (g/dL)]]</f>
        <v>7.6</v>
      </c>
      <c r="AP112" s="85" t="str">
        <f>Tabela1[[#This Row],[Pré FE (ug/dL)]]</f>
        <v>-</v>
      </c>
      <c r="AQ112" s="193">
        <f>Tabela1[[#This Row],[Pós FE (ug/dL)]]</f>
        <v>137</v>
      </c>
      <c r="AR112" s="194">
        <f>Tabela1[[#This Row],[Pré calcio mg/dL]]</f>
        <v>9.5</v>
      </c>
      <c r="AS112" s="125">
        <f>Tabela1[[#This Row],[Pós calcio mg/dL]]</f>
        <v>10.199999999999999</v>
      </c>
      <c r="AT112" s="125">
        <f>Tabela1[[#This Row],[Pré Potássio mmol/L]]</f>
        <v>4.8</v>
      </c>
      <c r="AU112" s="125">
        <f>Tabela1[[#This Row],[Pós Potássio mmol/L]]</f>
        <v>4.7</v>
      </c>
      <c r="AV112" s="85">
        <f>Tabela1[[#This Row],[Glicose pré]]</f>
        <v>84</v>
      </c>
      <c r="AW112" s="85">
        <f>Tabela1[[#This Row],[Glicose pós]]</f>
        <v>91</v>
      </c>
      <c r="AX112" s="85">
        <f>Tabela1[[#This Row],[Pré Sódio mmol/L]]</f>
        <v>144</v>
      </c>
      <c r="AY112" s="85">
        <f>Tabela1[[#This Row],[Pós Sódio mmol/L]]</f>
        <v>141</v>
      </c>
      <c r="AZ112" s="125">
        <f>Tabela1[[#This Row],[Pré Magnésio mg/dL]]</f>
        <v>1.9</v>
      </c>
      <c r="BA112" s="125">
        <f>Tabela1[[#This Row],[Pós Magnésio mg/dL]]</f>
        <v>1.9</v>
      </c>
      <c r="BB112" s="85">
        <f>Tabela1[[#This Row],[Pré Cloro mmol/L]]</f>
        <v>106</v>
      </c>
      <c r="BC112" s="85">
        <f>Tabela1[[#This Row],[Pós Cloro mmol/L]]</f>
        <v>100</v>
      </c>
      <c r="BD11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306.30133333333339</v>
      </c>
      <c r="BE11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299.98255555555556</v>
      </c>
      <c r="BF112" s="194">
        <f>Tabela1[[#This Row],[Pré RBC 10^6/mm³]]</f>
        <v>4.92</v>
      </c>
      <c r="BG112" s="125">
        <f>Tabela1[[#This Row],[Pós RBC 10^6/mm³]]</f>
        <v>4.72</v>
      </c>
      <c r="BH112" s="125">
        <f>Tabela1[[#This Row],[Pré HGB g/dL]]</f>
        <v>15.2</v>
      </c>
      <c r="BI112" s="125">
        <f>Tabela1[[#This Row],[Pós HGB g/dL]]</f>
        <v>14.4</v>
      </c>
      <c r="BJ112" s="125">
        <f>Tabela1[[#This Row],[Pré HCT %]]</f>
        <v>45.8</v>
      </c>
      <c r="BK112" s="125">
        <f>Tabela1[[#This Row],[Pós HCT %]]</f>
        <v>43.2</v>
      </c>
      <c r="BL112" s="125">
        <f>Tabela1[[#This Row],[Pré MCV fL]]</f>
        <v>93.1</v>
      </c>
      <c r="BM112" s="125">
        <f>Tabela1[[#This Row],[Pós MCV fL]]</f>
        <v>91.5</v>
      </c>
      <c r="BN112" s="125">
        <f>Tabela1[[#This Row],[Pré MCH pg]]</f>
        <v>30.9</v>
      </c>
      <c r="BO112" s="125">
        <f>Tabela1[[#This Row],[Pós MCH pg]]</f>
        <v>30.5</v>
      </c>
      <c r="BP112" s="125">
        <f>Tabela1[[#This Row],[Pré MCHC g/dL]]</f>
        <v>33.200000000000003</v>
      </c>
      <c r="BQ112" s="125">
        <f>Tabela1[[#This Row],[Pós MCHC g/dL]]</f>
        <v>33.299999999999997</v>
      </c>
      <c r="BR112" s="85">
        <f>Tabela1[[#This Row],[Pré PLT 10³/mm³]]</f>
        <v>287</v>
      </c>
      <c r="BS112" s="85">
        <f>Tabela1[[#This Row],[Pós PLT 10³/mm³]]</f>
        <v>331</v>
      </c>
      <c r="BT112" s="125">
        <f>Tabela1[[#This Row],[Pré RDW %]]</f>
        <v>13.5</v>
      </c>
      <c r="BU112" s="125">
        <f>Tabela1[[#This Row],[Pós RDW %]]</f>
        <v>13.3</v>
      </c>
      <c r="BV112" s="179">
        <f>Tabela1[[#This Row],[Pré RET %]]</f>
        <v>1.43</v>
      </c>
      <c r="BW112" s="196">
        <f>Tabela1[[#This Row],[Pós RET %]]</f>
        <v>1.19</v>
      </c>
      <c r="BX112" s="197">
        <f>Tabela1[[#This Row],[Pré WBC 10³/mm³]]</f>
        <v>7.26</v>
      </c>
      <c r="BY112" s="179">
        <f>Tabela1[[#This Row],[Pós WBC 10³/mm³]]</f>
        <v>10.35</v>
      </c>
      <c r="BZ112" s="125">
        <f>Tabela1[[#This Row],[Pré NEUT %]]</f>
        <v>64</v>
      </c>
      <c r="CA112" s="125">
        <f>Tabela1[[#This Row],[Pós NEUT %]]</f>
        <v>72.7</v>
      </c>
      <c r="CB112" s="125">
        <f>Tabela1[[#This Row],[Pré LINF %]]</f>
        <v>22.3</v>
      </c>
      <c r="CC112" s="125">
        <f>Tabela1[[#This Row],[Pós LINF %]]</f>
        <v>15</v>
      </c>
      <c r="CD112" s="125">
        <f>Tabela1[[#This Row],[Pré MONO %]]</f>
        <v>9.9</v>
      </c>
      <c r="CE112" s="125">
        <f>Tabela1[[#This Row],[Pós MONO %]]</f>
        <v>11.8</v>
      </c>
      <c r="CF112" s="125">
        <f>Tabela1[[#This Row],[Pré EOS %]]</f>
        <v>3.2</v>
      </c>
      <c r="CG112" s="125">
        <f>Tabela1[[#This Row],[Pós EOS %]]</f>
        <v>0.3</v>
      </c>
      <c r="CH112" s="125">
        <f>Tabela1[[#This Row],[Pré BASO %]]</f>
        <v>0.6</v>
      </c>
      <c r="CI112" s="198">
        <f>Tabela1[[#This Row],[Pós BASO %]]</f>
        <v>0.2</v>
      </c>
      <c r="CJ112" s="199" t="str">
        <f t="shared" si="5"/>
        <v>NÃO</v>
      </c>
      <c r="CK112" s="200" t="str">
        <f t="shared" si="6"/>
        <v>NÃO</v>
      </c>
      <c r="CL112" s="194">
        <f t="shared" si="7"/>
        <v>77.353679999999997</v>
      </c>
      <c r="CM112" s="125">
        <f>Tabela1[[#This Row],[MCT KG]]</f>
        <v>84.3</v>
      </c>
      <c r="CN112" s="85">
        <f>Tabela1[[#This Row],[ESTATURA]]</f>
        <v>190</v>
      </c>
      <c r="CO112" s="85">
        <f>Tabela1[[#This Row],[vo2max estimado]]</f>
        <v>51.12</v>
      </c>
      <c r="CP112" s="85">
        <f>Tabela1[[#This Row],[Handgrip     Dominante]]</f>
        <v>54.5</v>
      </c>
      <c r="CQ112" s="85">
        <f>Tabela1[[#This Row],[Handgrip Contrário]]</f>
        <v>50.5</v>
      </c>
      <c r="CR112" s="281">
        <f>Tabela1[[#This Row],[% gordura]]</f>
        <v>8.24</v>
      </c>
    </row>
    <row r="113" spans="1:96" ht="15.75" customHeight="1">
      <c r="A113" s="279">
        <f>Tabela1[[#This Row],[Ano]]</f>
        <v>2018</v>
      </c>
      <c r="B113" s="181" t="str">
        <f>Tabela1[[#This Row],[Missão]]</f>
        <v>Marambaia</v>
      </c>
      <c r="C113" s="181">
        <f>Tabela1[[#This Row],[Aluno]]</f>
        <v>3183</v>
      </c>
      <c r="D113" s="181">
        <f>Tabela1[[#This Row],[Idade]]</f>
        <v>26</v>
      </c>
      <c r="E113" s="182">
        <f>Tabela1[[#This Row],[Peso Kg]]</f>
        <v>65</v>
      </c>
      <c r="F113" s="191">
        <f>Tabela1[[#This Row],[Cor da pele]]</f>
        <v>1</v>
      </c>
      <c r="G113" s="192" t="str">
        <f>Tabela1[[#This Row],[ACTN3]]</f>
        <v>-</v>
      </c>
      <c r="H113" s="85" t="str">
        <f>Tabela1[[#This Row],[AGT]]</f>
        <v>-</v>
      </c>
      <c r="I113" s="85" t="str">
        <f>Tabela1[[#This Row],[ECA]]</f>
        <v>-</v>
      </c>
      <c r="J113" s="85" t="str">
        <f>Tabela1[[#This Row],[BDKRB2]]</f>
        <v>-</v>
      </c>
      <c r="K113" s="85" t="str">
        <f>Tabela1[[#This Row],[Score Força%]]</f>
        <v>-</v>
      </c>
      <c r="L113" s="193" t="str">
        <f>Tabela1[[#This Row],[Score Resistência %]]</f>
        <v>-</v>
      </c>
      <c r="M113" s="192">
        <f>Tabela1[[#This Row],[Pré CK (U/L)]]</f>
        <v>486</v>
      </c>
      <c r="N113" s="85">
        <f>Tabela1[[#This Row],[Pós CK (U/L)]]</f>
        <v>5161</v>
      </c>
      <c r="O113" s="85">
        <f>Tabela1[[#This Row],[Pré CK MB U/L]]</f>
        <v>28</v>
      </c>
      <c r="P113" s="85">
        <f>Tabela1[[#This Row],[Pós CK MB U/L]]</f>
        <v>107</v>
      </c>
      <c r="Q113" s="85">
        <f>Tabela1[[#This Row],[Pré Lactato (mmol/L)]]</f>
        <v>2</v>
      </c>
      <c r="R113" s="85">
        <f>Tabela1[[#This Row],[Pós Lactato (mmol/L)]]</f>
        <v>3.6</v>
      </c>
      <c r="S113" s="85">
        <f>Tabela1[[#This Row],[Pré LDH (U/L)]]</f>
        <v>788</v>
      </c>
      <c r="T113" s="85">
        <f>Tabela1[[#This Row],[Pós LDH (U/L)]]</f>
        <v>1761</v>
      </c>
      <c r="U113" s="85">
        <f>Tabela1[[#This Row],[Pré AST (U/L)]]</f>
        <v>52</v>
      </c>
      <c r="V113" s="193">
        <f>Tabela1[[#This Row],[Pós AST (U/L)]]</f>
        <v>202</v>
      </c>
      <c r="W113" s="194">
        <f>Tabela1[[#This Row],[Pré Albumina (g/dL)]]</f>
        <v>4.5</v>
      </c>
      <c r="X113" s="125">
        <f>Tabela1[[#This Row],[Pós Albumina (g/dL)]]</f>
        <v>4.3</v>
      </c>
      <c r="Y113" s="85">
        <f>Tabela1[[#This Row],[Pré TGP (g/dL)]]</f>
        <v>84</v>
      </c>
      <c r="Z113" s="85">
        <f>Tabela1[[#This Row],[Pós TGP (g/dL)]]</f>
        <v>139</v>
      </c>
      <c r="AA113" s="85">
        <f>Tabela1[[#This Row],[Pré GGT U/L]]</f>
        <v>31</v>
      </c>
      <c r="AB113" s="193">
        <f>Tabela1[[#This Row],[Pós GGT U/L]]</f>
        <v>25</v>
      </c>
      <c r="AC113" s="194" t="str">
        <f>Tabela1[[#This Row],[Pré Ac. Úrico (mg/dL)]]</f>
        <v>-</v>
      </c>
      <c r="AD113" s="125">
        <f>Tabela1[[#This Row],[Pós Ac. Úrico (mg/dL)2]]</f>
        <v>7.2</v>
      </c>
      <c r="AE11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1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13" s="85">
        <f>Tabela1[[#This Row],[Pré Ureia mg/dL]]</f>
        <v>34</v>
      </c>
      <c r="AH113" s="85">
        <f>Tabela1[[#This Row],[Pós Ureia mg/dL]]</f>
        <v>47</v>
      </c>
      <c r="AI113" s="125">
        <f>Tabela1[[#This Row],[Pré creatinina mg/dL]]</f>
        <v>0.9</v>
      </c>
      <c r="AJ113" s="125">
        <f>Tabela1[[#This Row],[Pós creatinina mg/dL]]</f>
        <v>1</v>
      </c>
      <c r="AK113" s="180">
        <f t="shared" si="4"/>
        <v>9.9999999999999978E-2</v>
      </c>
      <c r="AL113" s="125">
        <f>Tabela1[[#This Row],[Pré Fósforo mg/dL]]</f>
        <v>4.4000000000000004</v>
      </c>
      <c r="AM113" s="125">
        <f>Tabela1[[#This Row],[Pós Fósforo mg/dL]]</f>
        <v>4.5999999999999996</v>
      </c>
      <c r="AN113" s="125">
        <f>Tabela1[[#This Row],[Pré Proteína Total (g/dL)]]</f>
        <v>7.6</v>
      </c>
      <c r="AO113" s="125">
        <f>Tabela1[[#This Row],[Pós Proteína Total (g/dL)]]</f>
        <v>7.4</v>
      </c>
      <c r="AP113" s="85" t="str">
        <f>Tabela1[[#This Row],[Pré FE (ug/dL)]]</f>
        <v>-</v>
      </c>
      <c r="AQ113" s="193">
        <f>Tabela1[[#This Row],[Pós FE (ug/dL)]]</f>
        <v>48</v>
      </c>
      <c r="AR113" s="194">
        <f>Tabela1[[#This Row],[Pré calcio mg/dL]]</f>
        <v>9.4</v>
      </c>
      <c r="AS113" s="125">
        <f>Tabela1[[#This Row],[Pós calcio mg/dL]]</f>
        <v>9.5</v>
      </c>
      <c r="AT113" s="125">
        <f>Tabela1[[#This Row],[Pré Potássio mmol/L]]</f>
        <v>4.4000000000000004</v>
      </c>
      <c r="AU113" s="125">
        <f>Tabela1[[#This Row],[Pós Potássio mmol/L]]</f>
        <v>4.3</v>
      </c>
      <c r="AV113" s="85">
        <f>Tabela1[[#This Row],[Glicose pré]]</f>
        <v>70</v>
      </c>
      <c r="AW113" s="85">
        <f>Tabela1[[#This Row],[Glicose pós]]</f>
        <v>83</v>
      </c>
      <c r="AX113" s="85">
        <f>Tabela1[[#This Row],[Pré Sódio mmol/L]]</f>
        <v>143</v>
      </c>
      <c r="AY113" s="85">
        <f>Tabela1[[#This Row],[Pós Sódio mmol/L]]</f>
        <v>141</v>
      </c>
      <c r="AZ113" s="125">
        <f>Tabela1[[#This Row],[Pré Magnésio mg/dL]]</f>
        <v>2.1</v>
      </c>
      <c r="BA113" s="125">
        <f>Tabela1[[#This Row],[Pós Magnésio mg/dL]]</f>
        <v>1.7</v>
      </c>
      <c r="BB113" s="85">
        <f>Tabela1[[#This Row],[Pré Cloro mmol/L]]</f>
        <v>105</v>
      </c>
      <c r="BC113" s="85">
        <f>Tabela1[[#This Row],[Pós Cloro mmol/L]]</f>
        <v>100</v>
      </c>
      <c r="BD11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298.30288888888896</v>
      </c>
      <c r="BE11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297.39411111111116</v>
      </c>
      <c r="BF113" s="194">
        <f>Tabela1[[#This Row],[Pré RBC 10^6/mm³]]</f>
        <v>4.68</v>
      </c>
      <c r="BG113" s="125">
        <f>Tabela1[[#This Row],[Pós RBC 10^6/mm³]]</f>
        <v>4.26</v>
      </c>
      <c r="BH113" s="125">
        <f>Tabela1[[#This Row],[Pré HGB g/dL]]</f>
        <v>13.4</v>
      </c>
      <c r="BI113" s="125">
        <f>Tabela1[[#This Row],[Pós HGB g/dL]]</f>
        <v>13.8</v>
      </c>
      <c r="BJ113" s="125">
        <f>Tabela1[[#This Row],[Pré HCT %]]</f>
        <v>41.4</v>
      </c>
      <c r="BK113" s="125">
        <f>Tabela1[[#This Row],[Pós HCT %]]</f>
        <v>40.200000000000003</v>
      </c>
      <c r="BL113" s="125">
        <f>Tabela1[[#This Row],[Pré MCV fL]]</f>
        <v>88.5</v>
      </c>
      <c r="BM113" s="125">
        <f>Tabela1[[#This Row],[Pós MCV fL]]</f>
        <v>94.4</v>
      </c>
      <c r="BN113" s="125">
        <f>Tabela1[[#This Row],[Pré MCH pg]]</f>
        <v>28.6</v>
      </c>
      <c r="BO113" s="125">
        <f>Tabela1[[#This Row],[Pós MCH pg]]</f>
        <v>32.4</v>
      </c>
      <c r="BP113" s="125">
        <f>Tabela1[[#This Row],[Pré MCHC g/dL]]</f>
        <v>32.4</v>
      </c>
      <c r="BQ113" s="125">
        <f>Tabela1[[#This Row],[Pós MCHC g/dL]]</f>
        <v>34.299999999999997</v>
      </c>
      <c r="BR113" s="85">
        <f>Tabela1[[#This Row],[Pré PLT 10³/mm³]]</f>
        <v>279</v>
      </c>
      <c r="BS113" s="85">
        <f>Tabela1[[#This Row],[Pós PLT 10³/mm³]]</f>
        <v>286</v>
      </c>
      <c r="BT113" s="125">
        <f>Tabela1[[#This Row],[Pré RDW %]]</f>
        <v>12.9</v>
      </c>
      <c r="BU113" s="125">
        <f>Tabela1[[#This Row],[Pós RDW %]]</f>
        <v>14.1</v>
      </c>
      <c r="BV113" s="179">
        <f>Tabela1[[#This Row],[Pré RET %]]</f>
        <v>1.55</v>
      </c>
      <c r="BW113" s="196">
        <f>Tabela1[[#This Row],[Pós RET %]]</f>
        <v>2.2000000000000002</v>
      </c>
      <c r="BX113" s="197">
        <f>Tabela1[[#This Row],[Pré WBC 10³/mm³]]</f>
        <v>6.96</v>
      </c>
      <c r="BY113" s="179">
        <f>Tabela1[[#This Row],[Pós WBC 10³/mm³]]</f>
        <v>13.09</v>
      </c>
      <c r="BZ113" s="125">
        <f>Tabela1[[#This Row],[Pré NEUT %]]</f>
        <v>52.1</v>
      </c>
      <c r="CA113" s="125">
        <f>Tabela1[[#This Row],[Pós NEUT %]]</f>
        <v>76.5</v>
      </c>
      <c r="CB113" s="125">
        <f>Tabela1[[#This Row],[Pré LINF %]]</f>
        <v>31.6</v>
      </c>
      <c r="CC113" s="125">
        <f>Tabela1[[#This Row],[Pós LINF %]]</f>
        <v>15.1</v>
      </c>
      <c r="CD113" s="125">
        <f>Tabela1[[#This Row],[Pré MONO %]]</f>
        <v>9.8000000000000007</v>
      </c>
      <c r="CE113" s="125">
        <f>Tabela1[[#This Row],[Pós MONO %]]</f>
        <v>8.1999999999999993</v>
      </c>
      <c r="CF113" s="125">
        <f>Tabela1[[#This Row],[Pré EOS %]]</f>
        <v>6.2</v>
      </c>
      <c r="CG113" s="125">
        <f>Tabela1[[#This Row],[Pós EOS %]]</f>
        <v>0.1</v>
      </c>
      <c r="CH113" s="125">
        <f>Tabela1[[#This Row],[Pré BASO %]]</f>
        <v>0.3</v>
      </c>
      <c r="CI113" s="198">
        <f>Tabela1[[#This Row],[Pós BASO %]]</f>
        <v>0.1</v>
      </c>
      <c r="CJ113" s="199" t="str">
        <f t="shared" si="5"/>
        <v>NÃO</v>
      </c>
      <c r="CK113" s="200" t="str">
        <f t="shared" si="6"/>
        <v>SIM</v>
      </c>
      <c r="CL113" s="194">
        <f t="shared" si="7"/>
        <v>82.441199999999995</v>
      </c>
      <c r="CM113" s="125">
        <f>Tabela1[[#This Row],[MCT KG]]</f>
        <v>92</v>
      </c>
      <c r="CN113" s="85">
        <f>Tabela1[[#This Row],[ESTATURA]]</f>
        <v>174.4</v>
      </c>
      <c r="CO113" s="85">
        <f>Tabela1[[#This Row],[vo2max estimado]]</f>
        <v>49.71</v>
      </c>
      <c r="CP113" s="85">
        <f>Tabela1[[#This Row],[Handgrip     Dominante]]</f>
        <v>55</v>
      </c>
      <c r="CQ113" s="85">
        <f>Tabela1[[#This Row],[Handgrip Contrário]]</f>
        <v>55.5</v>
      </c>
      <c r="CR113" s="281">
        <f>Tabela1[[#This Row],[% gordura]]</f>
        <v>10.39</v>
      </c>
    </row>
    <row r="114" spans="1:96" ht="15.75" customHeight="1">
      <c r="A114" s="279">
        <f>Tabela1[[#This Row],[Ano]]</f>
        <v>2018</v>
      </c>
      <c r="B114" s="181" t="str">
        <f>Tabela1[[#This Row],[Missão]]</f>
        <v>Marambaia</v>
      </c>
      <c r="C114" s="181">
        <f>Tabela1[[#This Row],[Aluno]]</f>
        <v>3184</v>
      </c>
      <c r="D114" s="181">
        <f>Tabela1[[#This Row],[Idade]]</f>
        <v>29</v>
      </c>
      <c r="E114" s="182">
        <f>Tabela1[[#This Row],[Peso Kg]]</f>
        <v>76</v>
      </c>
      <c r="F114" s="191">
        <f>Tabela1[[#This Row],[Cor da pele]]</f>
        <v>1</v>
      </c>
      <c r="G114" s="192" t="str">
        <f>Tabela1[[#This Row],[ACTN3]]</f>
        <v>RR</v>
      </c>
      <c r="H114" s="85" t="str">
        <f>Tabela1[[#This Row],[AGT]]</f>
        <v>MT</v>
      </c>
      <c r="I114" s="85" t="str">
        <f>Tabela1[[#This Row],[ECA]]</f>
        <v>II</v>
      </c>
      <c r="J114" s="85" t="str">
        <f>Tabela1[[#This Row],[BDKRB2]]</f>
        <v>(+9,-9)</v>
      </c>
      <c r="K114" s="85">
        <f>Tabela1[[#This Row],[Score Força%]]</f>
        <v>51</v>
      </c>
      <c r="L114" s="193">
        <f>Tabela1[[#This Row],[Score Resistência %]]</f>
        <v>51</v>
      </c>
      <c r="M114" s="192">
        <f>Tabela1[[#This Row],[Pré CK (U/L)]]</f>
        <v>582</v>
      </c>
      <c r="N114" s="85">
        <f>Tabela1[[#This Row],[Pós CK (U/L)]]</f>
        <v>1379</v>
      </c>
      <c r="O114" s="85">
        <f>Tabela1[[#This Row],[Pré CK MB U/L]]</f>
        <v>17</v>
      </c>
      <c r="P114" s="85">
        <f>Tabela1[[#This Row],[Pós CK MB U/L]]</f>
        <v>42</v>
      </c>
      <c r="Q114" s="85">
        <f>Tabela1[[#This Row],[Pré Lactato (mmol/L)]]</f>
        <v>1.9</v>
      </c>
      <c r="R114" s="85">
        <f>Tabela1[[#This Row],[Pós Lactato (mmol/L)]]</f>
        <v>3.5</v>
      </c>
      <c r="S114" s="85">
        <f>Tabela1[[#This Row],[Pré LDH (U/L)]]</f>
        <v>876</v>
      </c>
      <c r="T114" s="85">
        <f>Tabela1[[#This Row],[Pós LDH (U/L)]]</f>
        <v>1719</v>
      </c>
      <c r="U114" s="85">
        <f>Tabela1[[#This Row],[Pré AST (U/L)]]</f>
        <v>47</v>
      </c>
      <c r="V114" s="193">
        <f>Tabela1[[#This Row],[Pós AST (U/L)]]</f>
        <v>89</v>
      </c>
      <c r="W114" s="194">
        <f>Tabela1[[#This Row],[Pré Albumina (g/dL)]]</f>
        <v>4</v>
      </c>
      <c r="X114" s="125">
        <f>Tabela1[[#This Row],[Pós Albumina (g/dL)]]</f>
        <v>4.3</v>
      </c>
      <c r="Y114" s="85">
        <f>Tabela1[[#This Row],[Pré TGP (g/dL)]]</f>
        <v>60</v>
      </c>
      <c r="Z114" s="85">
        <f>Tabela1[[#This Row],[Pós TGP (g/dL)]]</f>
        <v>103</v>
      </c>
      <c r="AA114" s="85">
        <f>Tabela1[[#This Row],[Pré GGT U/L]]</f>
        <v>119</v>
      </c>
      <c r="AB114" s="193">
        <f>Tabela1[[#This Row],[Pós GGT U/L]]</f>
        <v>106</v>
      </c>
      <c r="AC114" s="194" t="str">
        <f>Tabela1[[#This Row],[Pré Ac. Úrico (mg/dL)]]</f>
        <v>-</v>
      </c>
      <c r="AD114" s="125">
        <f>Tabela1[[#This Row],[Pós Ac. Úrico (mg/dL)2]]</f>
        <v>8.6999999999999993</v>
      </c>
      <c r="AE11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1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114" s="85">
        <f>Tabela1[[#This Row],[Pré Ureia mg/dL]]</f>
        <v>24</v>
      </c>
      <c r="AH114" s="85">
        <f>Tabela1[[#This Row],[Pós Ureia mg/dL]]</f>
        <v>50</v>
      </c>
      <c r="AI114" s="125">
        <f>Tabela1[[#This Row],[Pré creatinina mg/dL]]</f>
        <v>0.9</v>
      </c>
      <c r="AJ114" s="125">
        <f>Tabela1[[#This Row],[Pós creatinina mg/dL]]</f>
        <v>1.3</v>
      </c>
      <c r="AK114" s="180">
        <f t="shared" si="4"/>
        <v>0.4</v>
      </c>
      <c r="AL114" s="125">
        <f>Tabela1[[#This Row],[Pré Fósforo mg/dL]]</f>
        <v>3.5</v>
      </c>
      <c r="AM114" s="125">
        <f>Tabela1[[#This Row],[Pós Fósforo mg/dL]]</f>
        <v>5.5</v>
      </c>
      <c r="AN114" s="125">
        <f>Tabela1[[#This Row],[Pré Proteína Total (g/dL)]]</f>
        <v>6.3</v>
      </c>
      <c r="AO114" s="125">
        <f>Tabela1[[#This Row],[Pós Proteína Total (g/dL)]]</f>
        <v>7.8</v>
      </c>
      <c r="AP114" s="85" t="str">
        <f>Tabela1[[#This Row],[Pré FE (ug/dL)]]</f>
        <v>-</v>
      </c>
      <c r="AQ114" s="193">
        <f>Tabela1[[#This Row],[Pós FE (ug/dL)]]</f>
        <v>71</v>
      </c>
      <c r="AR114" s="194">
        <f>Tabela1[[#This Row],[Pré calcio mg/dL]]</f>
        <v>9.3000000000000007</v>
      </c>
      <c r="AS114" s="125">
        <f>Tabela1[[#This Row],[Pós calcio mg/dL]]</f>
        <v>10.1</v>
      </c>
      <c r="AT114" s="125">
        <f>Tabela1[[#This Row],[Pré Potássio mmol/L]]</f>
        <v>3.8</v>
      </c>
      <c r="AU114" s="125">
        <f>Tabela1[[#This Row],[Pós Potássio mmol/L]]</f>
        <v>4.4000000000000004</v>
      </c>
      <c r="AV114" s="85">
        <f>Tabela1[[#This Row],[Glicose pré]]</f>
        <v>60</v>
      </c>
      <c r="AW114" s="85">
        <f>Tabela1[[#This Row],[Glicose pós]]</f>
        <v>71</v>
      </c>
      <c r="AX114" s="85">
        <f>Tabela1[[#This Row],[Pré Sódio mmol/L]]</f>
        <v>142</v>
      </c>
      <c r="AY114" s="85">
        <f>Tabela1[[#This Row],[Pós Sódio mmol/L]]</f>
        <v>146</v>
      </c>
      <c r="AZ114" s="125">
        <f>Tabela1[[#This Row],[Pré Magnésio mg/dL]]</f>
        <v>2</v>
      </c>
      <c r="BA114" s="125">
        <f>Tabela1[[#This Row],[Pós Magnésio mg/dL]]</f>
        <v>2.1</v>
      </c>
      <c r="BB114" s="85">
        <f>Tabela1[[#This Row],[Pré Cloro mmol/L]]</f>
        <v>105</v>
      </c>
      <c r="BC114" s="85">
        <f>Tabela1[[#This Row],[Pós Cloro mmol/L]]</f>
        <v>103</v>
      </c>
      <c r="BD11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293.02133333333336</v>
      </c>
      <c r="BE11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306.61344444444444</v>
      </c>
      <c r="BF114" s="194" t="str">
        <f>Tabela1[[#This Row],[Pré RBC 10^6/mm³]]</f>
        <v>-</v>
      </c>
      <c r="BG114" s="125">
        <f>Tabela1[[#This Row],[Pós RBC 10^6/mm³]]</f>
        <v>4.8499999999999996</v>
      </c>
      <c r="BH114" s="125" t="str">
        <f>Tabela1[[#This Row],[Pré HGB g/dL]]</f>
        <v>-</v>
      </c>
      <c r="BI114" s="125">
        <f>Tabela1[[#This Row],[Pós HGB g/dL]]</f>
        <v>13.1</v>
      </c>
      <c r="BJ114" s="125" t="str">
        <f>Tabela1[[#This Row],[Pré HCT %]]</f>
        <v>-</v>
      </c>
      <c r="BK114" s="125">
        <f>Tabela1[[#This Row],[Pós HCT %]]</f>
        <v>40.299999999999997</v>
      </c>
      <c r="BL114" s="125" t="str">
        <f>Tabela1[[#This Row],[Pré MCV fL]]</f>
        <v>-</v>
      </c>
      <c r="BM114" s="125">
        <f>Tabela1[[#This Row],[Pós MCV fL]]</f>
        <v>83.1</v>
      </c>
      <c r="BN114" s="125" t="str">
        <f>Tabela1[[#This Row],[Pré MCH pg]]</f>
        <v>-</v>
      </c>
      <c r="BO114" s="125">
        <f>Tabela1[[#This Row],[Pós MCH pg]]</f>
        <v>27</v>
      </c>
      <c r="BP114" s="125" t="str">
        <f>Tabela1[[#This Row],[Pré MCHC g/dL]]</f>
        <v>-</v>
      </c>
      <c r="BQ114" s="125">
        <f>Tabela1[[#This Row],[Pós MCHC g/dL]]</f>
        <v>32.5</v>
      </c>
      <c r="BR114" s="85" t="str">
        <f>Tabela1[[#This Row],[Pré PLT 10³/mm³]]</f>
        <v>-</v>
      </c>
      <c r="BS114" s="85">
        <f>Tabela1[[#This Row],[Pós PLT 10³/mm³]]</f>
        <v>305</v>
      </c>
      <c r="BT114" s="125" t="str">
        <f>Tabela1[[#This Row],[Pré RDW %]]</f>
        <v>-</v>
      </c>
      <c r="BU114" s="125">
        <f>Tabela1[[#This Row],[Pós RDW %]]</f>
        <v>15.1</v>
      </c>
      <c r="BV114" s="179" t="str">
        <f>Tabela1[[#This Row],[Pré RET %]]</f>
        <v>-</v>
      </c>
      <c r="BW114" s="196">
        <f>Tabela1[[#This Row],[Pós RET %]]</f>
        <v>1.43</v>
      </c>
      <c r="BX114" s="197" t="str">
        <f>Tabela1[[#This Row],[Pré WBC 10³/mm³]]</f>
        <v>-</v>
      </c>
      <c r="BY114" s="179">
        <f>Tabela1[[#This Row],[Pós WBC 10³/mm³]]</f>
        <v>15.71</v>
      </c>
      <c r="BZ114" s="125" t="str">
        <f>Tabela1[[#This Row],[Pré NEUT %]]</f>
        <v>-</v>
      </c>
      <c r="CA114" s="125">
        <f>Tabela1[[#This Row],[Pós NEUT %]]</f>
        <v>80.900000000000006</v>
      </c>
      <c r="CB114" s="125" t="str">
        <f>Tabela1[[#This Row],[Pré LINF %]]</f>
        <v>-</v>
      </c>
      <c r="CC114" s="125">
        <f>Tabela1[[#This Row],[Pós LINF %]]</f>
        <v>13.4</v>
      </c>
      <c r="CD114" s="125" t="str">
        <f>Tabela1[[#This Row],[Pré MONO %]]</f>
        <v>-</v>
      </c>
      <c r="CE114" s="125">
        <f>Tabela1[[#This Row],[Pós MONO %]]</f>
        <v>5.2</v>
      </c>
      <c r="CF114" s="125" t="str">
        <f>Tabela1[[#This Row],[Pré EOS %]]</f>
        <v>-</v>
      </c>
      <c r="CG114" s="125">
        <f>Tabela1[[#This Row],[Pós EOS %]]</f>
        <v>0.4</v>
      </c>
      <c r="CH114" s="125" t="str">
        <f>Tabela1[[#This Row],[Pré BASO %]]</f>
        <v>-</v>
      </c>
      <c r="CI114" s="198">
        <f>Tabela1[[#This Row],[Pós BASO %]]</f>
        <v>0.1</v>
      </c>
      <c r="CJ114" s="199" t="str">
        <f t="shared" si="5"/>
        <v>SIM</v>
      </c>
      <c r="CK114" s="200" t="str">
        <f t="shared" si="6"/>
        <v>SIM</v>
      </c>
      <c r="CL114" s="194">
        <f t="shared" si="7"/>
        <v>68.507199999999997</v>
      </c>
      <c r="CM114" s="125">
        <f>Tabela1[[#This Row],[MCT KG]]</f>
        <v>75.2</v>
      </c>
      <c r="CN114" s="85">
        <f>Tabela1[[#This Row],[ESTATURA]]</f>
        <v>177.6</v>
      </c>
      <c r="CO114" s="85">
        <f>Tabela1[[#This Row],[vo2max estimado]]</f>
        <v>52.26</v>
      </c>
      <c r="CP114" s="85">
        <f>Tabela1[[#This Row],[Handgrip     Dominante]]</f>
        <v>47.5</v>
      </c>
      <c r="CQ114" s="85">
        <f>Tabela1[[#This Row],[Handgrip Contrário]]</f>
        <v>46</v>
      </c>
      <c r="CR114" s="281">
        <f>Tabela1[[#This Row],[% gordura]]</f>
        <v>8.9</v>
      </c>
    </row>
    <row r="115" spans="1:96" ht="15.75" customHeight="1">
      <c r="A115" s="279">
        <f>Tabela1[[#This Row],[Ano]]</f>
        <v>2018</v>
      </c>
      <c r="B115" s="181" t="str">
        <f>Tabela1[[#This Row],[Missão]]</f>
        <v>Marambaia</v>
      </c>
      <c r="C115" s="181">
        <f>Tabela1[[#This Row],[Aluno]]</f>
        <v>3186</v>
      </c>
      <c r="D115" s="181">
        <f>Tabela1[[#This Row],[Idade]]</f>
        <v>27</v>
      </c>
      <c r="E115" s="182">
        <f>Tabela1[[#This Row],[Peso Kg]]</f>
        <v>79</v>
      </c>
      <c r="F115" s="191">
        <f>Tabela1[[#This Row],[Cor da pele]]</f>
        <v>2</v>
      </c>
      <c r="G115" s="192" t="str">
        <f>Tabela1[[#This Row],[ACTN3]]</f>
        <v>XX</v>
      </c>
      <c r="H115" s="85" t="str">
        <f>Tabela1[[#This Row],[AGT]]</f>
        <v>MT</v>
      </c>
      <c r="I115" s="85" t="str">
        <f>Tabela1[[#This Row],[ECA]]</f>
        <v>ID</v>
      </c>
      <c r="J115" s="85" t="str">
        <f>Tabela1[[#This Row],[BDKRB2]]</f>
        <v>(-9,-9)</v>
      </c>
      <c r="K115" s="85">
        <f>Tabela1[[#This Row],[Score Força%]]</f>
        <v>25</v>
      </c>
      <c r="L115" s="193">
        <f>Tabela1[[#This Row],[Score Resistência %]]</f>
        <v>75</v>
      </c>
      <c r="M115" s="192">
        <f>Tabela1[[#This Row],[Pré CK (U/L)]]</f>
        <v>979</v>
      </c>
      <c r="N115" s="85">
        <f>Tabela1[[#This Row],[Pós CK (U/L)]]</f>
        <v>2274</v>
      </c>
      <c r="O115" s="85">
        <f>Tabela1[[#This Row],[Pré CK MB U/L]]</f>
        <v>28</v>
      </c>
      <c r="P115" s="85">
        <f>Tabela1[[#This Row],[Pós CK MB U/L]]</f>
        <v>64</v>
      </c>
      <c r="Q115" s="85">
        <f>Tabela1[[#This Row],[Pré Lactato (mmol/L)]]</f>
        <v>2.2000000000000002</v>
      </c>
      <c r="R115" s="85">
        <f>Tabela1[[#This Row],[Pós Lactato (mmol/L)]]</f>
        <v>2</v>
      </c>
      <c r="S115" s="85">
        <f>Tabela1[[#This Row],[Pré LDH (U/L)]]</f>
        <v>903</v>
      </c>
      <c r="T115" s="85">
        <f>Tabela1[[#This Row],[Pós LDH (U/L)]]</f>
        <v>1752</v>
      </c>
      <c r="U115" s="85">
        <f>Tabela1[[#This Row],[Pré AST (U/L)]]</f>
        <v>97</v>
      </c>
      <c r="V115" s="193">
        <f>Tabela1[[#This Row],[Pós AST (U/L)]]</f>
        <v>182</v>
      </c>
      <c r="W115" s="194">
        <f>Tabela1[[#This Row],[Pré Albumina (g/dL)]]</f>
        <v>3.8</v>
      </c>
      <c r="X115" s="125">
        <f>Tabela1[[#This Row],[Pós Albumina (g/dL)]]</f>
        <v>4.5</v>
      </c>
      <c r="Y115" s="85">
        <f>Tabela1[[#This Row],[Pré TGP (g/dL)]]</f>
        <v>87</v>
      </c>
      <c r="Z115" s="85">
        <f>Tabela1[[#This Row],[Pós TGP (g/dL)]]</f>
        <v>172</v>
      </c>
      <c r="AA115" s="85">
        <f>Tabela1[[#This Row],[Pré GGT U/L]]</f>
        <v>21</v>
      </c>
      <c r="AB115" s="193">
        <f>Tabela1[[#This Row],[Pós GGT U/L]]</f>
        <v>28</v>
      </c>
      <c r="AC115" s="194" t="str">
        <f>Tabela1[[#This Row],[Pré Ac. Úrico (mg/dL)]]</f>
        <v>-</v>
      </c>
      <c r="AD115" s="125">
        <f>Tabela1[[#This Row],[Pós Ac. Úrico (mg/dL)2]]</f>
        <v>6</v>
      </c>
      <c r="AE11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1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15" s="85">
        <f>Tabela1[[#This Row],[Pré Ureia mg/dL]]</f>
        <v>47</v>
      </c>
      <c r="AH115" s="85">
        <f>Tabela1[[#This Row],[Pós Ureia mg/dL]]</f>
        <v>55</v>
      </c>
      <c r="AI115" s="125">
        <f>Tabela1[[#This Row],[Pré creatinina mg/dL]]</f>
        <v>0.9</v>
      </c>
      <c r="AJ115" s="125">
        <f>Tabela1[[#This Row],[Pós creatinina mg/dL]]</f>
        <v>0.9</v>
      </c>
      <c r="AK115" s="180">
        <f t="shared" si="4"/>
        <v>0</v>
      </c>
      <c r="AL115" s="125">
        <f>Tabela1[[#This Row],[Pré Fósforo mg/dL]]</f>
        <v>4.0999999999999996</v>
      </c>
      <c r="AM115" s="125">
        <f>Tabela1[[#This Row],[Pós Fósforo mg/dL]]</f>
        <v>5</v>
      </c>
      <c r="AN115" s="125">
        <f>Tabela1[[#This Row],[Pré Proteína Total (g/dL)]]</f>
        <v>6.4</v>
      </c>
      <c r="AO115" s="125">
        <f>Tabela1[[#This Row],[Pós Proteína Total (g/dL)]]</f>
        <v>8</v>
      </c>
      <c r="AP115" s="85" t="str">
        <f>Tabela1[[#This Row],[Pré FE (ug/dL)]]</f>
        <v>-</v>
      </c>
      <c r="AQ115" s="193">
        <f>Tabela1[[#This Row],[Pós FE (ug/dL)]]</f>
        <v>94</v>
      </c>
      <c r="AR115" s="194">
        <f>Tabela1[[#This Row],[Pré calcio mg/dL]]</f>
        <v>9.3000000000000007</v>
      </c>
      <c r="AS115" s="125">
        <f>Tabela1[[#This Row],[Pós calcio mg/dL]]</f>
        <v>10.4</v>
      </c>
      <c r="AT115" s="125">
        <f>Tabela1[[#This Row],[Pré Potássio mmol/L]]</f>
        <v>4.9000000000000004</v>
      </c>
      <c r="AU115" s="125">
        <f>Tabela1[[#This Row],[Pós Potássio mmol/L]]</f>
        <v>4.5999999999999996</v>
      </c>
      <c r="AV115" s="85">
        <f>Tabela1[[#This Row],[Glicose pré]]</f>
        <v>83</v>
      </c>
      <c r="AW115" s="85">
        <f>Tabela1[[#This Row],[Glicose pós]]</f>
        <v>92</v>
      </c>
      <c r="AX115" s="85">
        <f>Tabela1[[#This Row],[Pré Sódio mmol/L]]</f>
        <v>142</v>
      </c>
      <c r="AY115" s="85">
        <f>Tabela1[[#This Row],[Pós Sódio mmol/L]]</f>
        <v>140</v>
      </c>
      <c r="AZ115" s="125">
        <f>Tabela1[[#This Row],[Pré Magnésio mg/dL]]</f>
        <v>2.1</v>
      </c>
      <c r="BA115" s="125">
        <f>Tabela1[[#This Row],[Pós Magnésio mg/dL]]</f>
        <v>2</v>
      </c>
      <c r="BB115" s="85">
        <f>Tabela1[[#This Row],[Pré Cloro mmol/L]]</f>
        <v>102</v>
      </c>
      <c r="BC115" s="85">
        <f>Tabela1[[#This Row],[Pós Cloro mmol/L]]</f>
        <v>98</v>
      </c>
      <c r="BD11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300.37011111111116</v>
      </c>
      <c r="BE11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298.0004444444445</v>
      </c>
      <c r="BF115" s="194">
        <f>Tabela1[[#This Row],[Pré RBC 10^6/mm³]]</f>
        <v>4.45</v>
      </c>
      <c r="BG115" s="125">
        <f>Tabela1[[#This Row],[Pós RBC 10^6/mm³]]</f>
        <v>4.6399999999999997</v>
      </c>
      <c r="BH115" s="125">
        <f>Tabela1[[#This Row],[Pré HGB g/dL]]</f>
        <v>12.6</v>
      </c>
      <c r="BI115" s="125">
        <f>Tabela1[[#This Row],[Pós HGB g/dL]]</f>
        <v>13.5</v>
      </c>
      <c r="BJ115" s="125">
        <f>Tabela1[[#This Row],[Pré HCT %]]</f>
        <v>40.299999999999997</v>
      </c>
      <c r="BK115" s="125">
        <f>Tabela1[[#This Row],[Pós HCT %]]</f>
        <v>41.6</v>
      </c>
      <c r="BL115" s="125">
        <f>Tabela1[[#This Row],[Pré MCV fL]]</f>
        <v>90.6</v>
      </c>
      <c r="BM115" s="125">
        <f>Tabela1[[#This Row],[Pós MCV fL]]</f>
        <v>89.7</v>
      </c>
      <c r="BN115" s="125">
        <f>Tabela1[[#This Row],[Pré MCH pg]]</f>
        <v>28.3</v>
      </c>
      <c r="BO115" s="125">
        <f>Tabela1[[#This Row],[Pós MCH pg]]</f>
        <v>29.1</v>
      </c>
      <c r="BP115" s="125">
        <f>Tabela1[[#This Row],[Pré MCHC g/dL]]</f>
        <v>31.3</v>
      </c>
      <c r="BQ115" s="125">
        <f>Tabela1[[#This Row],[Pós MCHC g/dL]]</f>
        <v>32.5</v>
      </c>
      <c r="BR115" s="85">
        <f>Tabela1[[#This Row],[Pré PLT 10³/mm³]]</f>
        <v>275</v>
      </c>
      <c r="BS115" s="85">
        <f>Tabela1[[#This Row],[Pós PLT 10³/mm³]]</f>
        <v>313</v>
      </c>
      <c r="BT115" s="125">
        <f>Tabela1[[#This Row],[Pré RDW %]]</f>
        <v>14</v>
      </c>
      <c r="BU115" s="125">
        <f>Tabela1[[#This Row],[Pós RDW %]]</f>
        <v>14.2</v>
      </c>
      <c r="BV115" s="179">
        <f>Tabela1[[#This Row],[Pré RET %]]</f>
        <v>2</v>
      </c>
      <c r="BW115" s="196">
        <f>Tabela1[[#This Row],[Pós RET %]]</f>
        <v>1.96</v>
      </c>
      <c r="BX115" s="197">
        <f>Tabela1[[#This Row],[Pré WBC 10³/mm³]]</f>
        <v>5.59</v>
      </c>
      <c r="BY115" s="179">
        <f>Tabela1[[#This Row],[Pós WBC 10³/mm³]]</f>
        <v>11.89</v>
      </c>
      <c r="BZ115" s="125">
        <f>Tabela1[[#This Row],[Pré NEUT %]]</f>
        <v>46.9</v>
      </c>
      <c r="CA115" s="125">
        <f>Tabela1[[#This Row],[Pós NEUT %]]</f>
        <v>89.5</v>
      </c>
      <c r="CB115" s="125">
        <f>Tabela1[[#This Row],[Pré LINF %]]</f>
        <v>41.7</v>
      </c>
      <c r="CC115" s="125">
        <f>Tabela1[[#This Row],[Pós LINF %]]</f>
        <v>5.0999999999999996</v>
      </c>
      <c r="CD115" s="125">
        <f>Tabela1[[#This Row],[Pré MONO %]]</f>
        <v>9.1</v>
      </c>
      <c r="CE115" s="125">
        <f>Tabela1[[#This Row],[Pós MONO %]]</f>
        <v>5.3</v>
      </c>
      <c r="CF115" s="125">
        <f>Tabela1[[#This Row],[Pré EOS %]]</f>
        <v>1.8</v>
      </c>
      <c r="CG115" s="125">
        <f>Tabela1[[#This Row],[Pós EOS %]]</f>
        <v>0</v>
      </c>
      <c r="CH115" s="125">
        <f>Tabela1[[#This Row],[Pré BASO %]]</f>
        <v>0.5</v>
      </c>
      <c r="CI115" s="198">
        <f>Tabela1[[#This Row],[Pós BASO %]]</f>
        <v>0.1</v>
      </c>
      <c r="CJ115" s="199" t="str">
        <f t="shared" si="5"/>
        <v>NÃO</v>
      </c>
      <c r="CK115" s="200" t="str">
        <f t="shared" si="6"/>
        <v>SIM</v>
      </c>
      <c r="CL115" s="194">
        <f t="shared" si="7"/>
        <v>73.124520000000004</v>
      </c>
      <c r="CM115" s="125">
        <f>Tabela1[[#This Row],[MCT KG]]</f>
        <v>78.900000000000006</v>
      </c>
      <c r="CN115" s="85">
        <f>Tabela1[[#This Row],[ESTATURA]]</f>
        <v>181.5</v>
      </c>
      <c r="CO115" s="85">
        <f>Tabela1[[#This Row],[vo2max estimado]]</f>
        <v>51.65</v>
      </c>
      <c r="CP115" s="85">
        <f>Tabela1[[#This Row],[Handgrip     Dominante]]</f>
        <v>47.5</v>
      </c>
      <c r="CQ115" s="85">
        <f>Tabela1[[#This Row],[Handgrip Contrário]]</f>
        <v>47.5</v>
      </c>
      <c r="CR115" s="281">
        <f>Tabela1[[#This Row],[% gordura]]</f>
        <v>7.32</v>
      </c>
    </row>
    <row r="116" spans="1:96" ht="15.75" customHeight="1">
      <c r="A116" s="279">
        <f>Tabela1[[#This Row],[Ano]]</f>
        <v>2018</v>
      </c>
      <c r="B116" s="181" t="str">
        <f>Tabela1[[#This Row],[Missão]]</f>
        <v>Marambaia</v>
      </c>
      <c r="C116" s="181">
        <f>Tabela1[[#This Row],[Aluno]]</f>
        <v>3187</v>
      </c>
      <c r="D116" s="181">
        <f>Tabela1[[#This Row],[Idade]]</f>
        <v>25</v>
      </c>
      <c r="E116" s="182">
        <f>Tabela1[[#This Row],[Peso Kg]]</f>
        <v>90</v>
      </c>
      <c r="F116" s="191">
        <f>Tabela1[[#This Row],[Cor da pele]]</f>
        <v>1</v>
      </c>
      <c r="G116" s="192" t="str">
        <f>Tabela1[[#This Row],[ACTN3]]</f>
        <v>RX</v>
      </c>
      <c r="H116" s="85" t="str">
        <f>Tabela1[[#This Row],[AGT]]</f>
        <v>MM</v>
      </c>
      <c r="I116" s="85" t="str">
        <f>Tabela1[[#This Row],[ECA]]</f>
        <v>II</v>
      </c>
      <c r="J116" s="85" t="str">
        <f>Tabela1[[#This Row],[BDKRB2]]</f>
        <v>(+9,-9)</v>
      </c>
      <c r="K116" s="85">
        <f>Tabela1[[#This Row],[Score Força%]]</f>
        <v>25</v>
      </c>
      <c r="L116" s="193">
        <f>Tabela1[[#This Row],[Score Resistência %]]</f>
        <v>75</v>
      </c>
      <c r="M116" s="192">
        <f>Tabela1[[#This Row],[Pré CK (U/L)]]</f>
        <v>589</v>
      </c>
      <c r="N116" s="85">
        <f>Tabela1[[#This Row],[Pós CK (U/L)]]</f>
        <v>1538</v>
      </c>
      <c r="O116" s="85">
        <f>Tabela1[[#This Row],[Pré CK MB U/L]]</f>
        <v>26</v>
      </c>
      <c r="P116" s="85">
        <f>Tabela1[[#This Row],[Pós CK MB U/L]]</f>
        <v>50</v>
      </c>
      <c r="Q116" s="85">
        <f>Tabela1[[#This Row],[Pré Lactato (mmol/L)]]</f>
        <v>1.9</v>
      </c>
      <c r="R116" s="85">
        <f>Tabela1[[#This Row],[Pós Lactato (mmol/L)]]</f>
        <v>2.8</v>
      </c>
      <c r="S116" s="85">
        <f>Tabela1[[#This Row],[Pré LDH (U/L)]]</f>
        <v>687</v>
      </c>
      <c r="T116" s="85">
        <f>Tabela1[[#This Row],[Pós LDH (U/L)]]</f>
        <v>1093</v>
      </c>
      <c r="U116" s="85">
        <f>Tabela1[[#This Row],[Pré AST (U/L)]]</f>
        <v>64</v>
      </c>
      <c r="V116" s="193">
        <f>Tabela1[[#This Row],[Pós AST (U/L)]]</f>
        <v>114</v>
      </c>
      <c r="W116" s="194">
        <f>Tabela1[[#This Row],[Pré Albumina (g/dL)]]</f>
        <v>4.0999999999999996</v>
      </c>
      <c r="X116" s="125">
        <f>Tabela1[[#This Row],[Pós Albumina (g/dL)]]</f>
        <v>4.7</v>
      </c>
      <c r="Y116" s="85">
        <f>Tabela1[[#This Row],[Pré TGP (g/dL)]]</f>
        <v>76</v>
      </c>
      <c r="Z116" s="85">
        <f>Tabela1[[#This Row],[Pós TGP (g/dL)]]</f>
        <v>128</v>
      </c>
      <c r="AA116" s="85">
        <f>Tabela1[[#This Row],[Pré GGT U/L]]</f>
        <v>35</v>
      </c>
      <c r="AB116" s="193">
        <f>Tabela1[[#This Row],[Pós GGT U/L]]</f>
        <v>52</v>
      </c>
      <c r="AC116" s="194" t="str">
        <f>Tabela1[[#This Row],[Pré Ac. Úrico (mg/dL)]]</f>
        <v>-</v>
      </c>
      <c r="AD116" s="125">
        <f>Tabela1[[#This Row],[Pós Ac. Úrico (mg/dL)2]]</f>
        <v>6.8</v>
      </c>
      <c r="AE11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1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116" s="85">
        <f>Tabela1[[#This Row],[Pré Ureia mg/dL]]</f>
        <v>43</v>
      </c>
      <c r="AH116" s="85">
        <f>Tabela1[[#This Row],[Pós Ureia mg/dL]]</f>
        <v>58</v>
      </c>
      <c r="AI116" s="125">
        <f>Tabela1[[#This Row],[Pré creatinina mg/dL]]</f>
        <v>1</v>
      </c>
      <c r="AJ116" s="125">
        <f>Tabela1[[#This Row],[Pós creatinina mg/dL]]</f>
        <v>1.3</v>
      </c>
      <c r="AK116" s="180">
        <f t="shared" si="4"/>
        <v>0.30000000000000004</v>
      </c>
      <c r="AL116" s="125">
        <f>Tabela1[[#This Row],[Pré Fósforo mg/dL]]</f>
        <v>3.7</v>
      </c>
      <c r="AM116" s="125">
        <f>Tabela1[[#This Row],[Pós Fósforo mg/dL]]</f>
        <v>5.5</v>
      </c>
      <c r="AN116" s="125">
        <f>Tabela1[[#This Row],[Pré Proteína Total (g/dL)]]</f>
        <v>7.3</v>
      </c>
      <c r="AO116" s="125">
        <f>Tabela1[[#This Row],[Pós Proteína Total (g/dL)]]</f>
        <v>8.6999999999999993</v>
      </c>
      <c r="AP116" s="85" t="str">
        <f>Tabela1[[#This Row],[Pré FE (ug/dL)]]</f>
        <v>-</v>
      </c>
      <c r="AQ116" s="193">
        <f>Tabela1[[#This Row],[Pós FE (ug/dL)]]</f>
        <v>45</v>
      </c>
      <c r="AR116" s="194">
        <f>Tabela1[[#This Row],[Pré calcio mg/dL]]</f>
        <v>9.1999999999999993</v>
      </c>
      <c r="AS116" s="125">
        <f>Tabela1[[#This Row],[Pós calcio mg/dL]]</f>
        <v>10.6</v>
      </c>
      <c r="AT116" s="125">
        <f>Tabela1[[#This Row],[Pré Potássio mmol/L]]</f>
        <v>4.5</v>
      </c>
      <c r="AU116" s="125">
        <f>Tabela1[[#This Row],[Pós Potássio mmol/L]]</f>
        <v>4.5999999999999996</v>
      </c>
      <c r="AV116" s="85">
        <f>Tabela1[[#This Row],[Glicose pré]]</f>
        <v>86</v>
      </c>
      <c r="AW116" s="85">
        <f>Tabela1[[#This Row],[Glicose pós]]</f>
        <v>67</v>
      </c>
      <c r="AX116" s="85">
        <f>Tabela1[[#This Row],[Pré Sódio mmol/L]]</f>
        <v>140</v>
      </c>
      <c r="AY116" s="85">
        <f>Tabela1[[#This Row],[Pós Sódio mmol/L]]</f>
        <v>146</v>
      </c>
      <c r="AZ116" s="125">
        <f>Tabela1[[#This Row],[Pré Magnésio mg/dL]]</f>
        <v>1.9</v>
      </c>
      <c r="BA116" s="125">
        <f>Tabela1[[#This Row],[Pós Magnésio mg/dL]]</f>
        <v>2</v>
      </c>
      <c r="BB116" s="85">
        <f>Tabela1[[#This Row],[Pré Cloro mmol/L]]</f>
        <v>105</v>
      </c>
      <c r="BC116" s="85">
        <f>Tabela1[[#This Row],[Pós Cloro mmol/L]]</f>
        <v>104</v>
      </c>
      <c r="BD11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295.43111111111119</v>
      </c>
      <c r="BE11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308.06322222222224</v>
      </c>
      <c r="BF116" s="194">
        <f>Tabela1[[#This Row],[Pré RBC 10^6/mm³]]</f>
        <v>4.34</v>
      </c>
      <c r="BG116" s="125">
        <f>Tabela1[[#This Row],[Pós RBC 10^6/mm³]]</f>
        <v>4.3899999999999997</v>
      </c>
      <c r="BH116" s="125">
        <f>Tabela1[[#This Row],[Pré HGB g/dL]]</f>
        <v>12.8</v>
      </c>
      <c r="BI116" s="125">
        <f>Tabela1[[#This Row],[Pós HGB g/dL]]</f>
        <v>13.1</v>
      </c>
      <c r="BJ116" s="125">
        <f>Tabela1[[#This Row],[Pré HCT %]]</f>
        <v>38.1</v>
      </c>
      <c r="BK116" s="125">
        <f>Tabela1[[#This Row],[Pós HCT %]]</f>
        <v>38.4</v>
      </c>
      <c r="BL116" s="125">
        <f>Tabela1[[#This Row],[Pré MCV fL]]</f>
        <v>87.8</v>
      </c>
      <c r="BM116" s="125">
        <f>Tabela1[[#This Row],[Pós MCV fL]]</f>
        <v>87.5</v>
      </c>
      <c r="BN116" s="125">
        <f>Tabela1[[#This Row],[Pré MCH pg]]</f>
        <v>29.5</v>
      </c>
      <c r="BO116" s="125">
        <f>Tabela1[[#This Row],[Pós MCH pg]]</f>
        <v>29.8</v>
      </c>
      <c r="BP116" s="125">
        <f>Tabela1[[#This Row],[Pré MCHC g/dL]]</f>
        <v>33.6</v>
      </c>
      <c r="BQ116" s="125">
        <f>Tabela1[[#This Row],[Pós MCHC g/dL]]</f>
        <v>34.1</v>
      </c>
      <c r="BR116" s="85">
        <f>Tabela1[[#This Row],[Pré PLT 10³/mm³]]</f>
        <v>319</v>
      </c>
      <c r="BS116" s="85">
        <f>Tabela1[[#This Row],[Pós PLT 10³/mm³]]</f>
        <v>385</v>
      </c>
      <c r="BT116" s="125">
        <f>Tabela1[[#This Row],[Pré RDW %]]</f>
        <v>12.8</v>
      </c>
      <c r="BU116" s="125">
        <f>Tabela1[[#This Row],[Pós RDW %]]</f>
        <v>13.2</v>
      </c>
      <c r="BV116" s="179">
        <f>Tabela1[[#This Row],[Pré RET %]]</f>
        <v>1.24</v>
      </c>
      <c r="BW116" s="196">
        <f>Tabela1[[#This Row],[Pós RET %]]</f>
        <v>1.29</v>
      </c>
      <c r="BX116" s="197">
        <f>Tabela1[[#This Row],[Pré WBC 10³/mm³]]</f>
        <v>7.24</v>
      </c>
      <c r="BY116" s="179">
        <f>Tabela1[[#This Row],[Pós WBC 10³/mm³]]</f>
        <v>15.27</v>
      </c>
      <c r="BZ116" s="125">
        <f>Tabela1[[#This Row],[Pré NEUT %]]</f>
        <v>60</v>
      </c>
      <c r="CA116" s="125">
        <f>Tabela1[[#This Row],[Pós NEUT %]]</f>
        <v>82.4</v>
      </c>
      <c r="CB116" s="125">
        <f>Tabela1[[#This Row],[Pré LINF %]]</f>
        <v>26.9</v>
      </c>
      <c r="CC116" s="125">
        <f>Tabela1[[#This Row],[Pós LINF %]]</f>
        <v>9.1999999999999993</v>
      </c>
      <c r="CD116" s="125">
        <f>Tabela1[[#This Row],[Pré MONO %]]</f>
        <v>7.6</v>
      </c>
      <c r="CE116" s="125">
        <f>Tabela1[[#This Row],[Pós MONO %]]</f>
        <v>8.1</v>
      </c>
      <c r="CF116" s="125">
        <f>Tabela1[[#This Row],[Pré EOS %]]</f>
        <v>4.8</v>
      </c>
      <c r="CG116" s="125">
        <f>Tabela1[[#This Row],[Pós EOS %]]</f>
        <v>0.1</v>
      </c>
      <c r="CH116" s="125">
        <f>Tabela1[[#This Row],[Pré BASO %]]</f>
        <v>0.7</v>
      </c>
      <c r="CI116" s="198">
        <f>Tabela1[[#This Row],[Pós BASO %]]</f>
        <v>0.2</v>
      </c>
      <c r="CJ116" s="199" t="str">
        <f t="shared" si="5"/>
        <v>SIM</v>
      </c>
      <c r="CK116" s="200" t="str">
        <f t="shared" si="6"/>
        <v>SIM</v>
      </c>
      <c r="CL116" s="194">
        <f t="shared" si="7"/>
        <v>79.512460000000004</v>
      </c>
      <c r="CM116" s="125">
        <f>Tabela1[[#This Row],[MCT KG]]</f>
        <v>85.7</v>
      </c>
      <c r="CN116" s="85">
        <f>Tabela1[[#This Row],[ESTATURA]]</f>
        <v>185</v>
      </c>
      <c r="CO116" s="85">
        <f>Tabela1[[#This Row],[vo2max estimado]]</f>
        <v>52.04</v>
      </c>
      <c r="CP116" s="85">
        <f>Tabela1[[#This Row],[Handgrip     Dominante]]</f>
        <v>50</v>
      </c>
      <c r="CQ116" s="85">
        <f>Tabela1[[#This Row],[Handgrip Contrário]]</f>
        <v>50</v>
      </c>
      <c r="CR116" s="281">
        <f>Tabela1[[#This Row],[% gordura]]</f>
        <v>7.22</v>
      </c>
    </row>
    <row r="117" spans="1:96" ht="15.75" customHeight="1">
      <c r="A117" s="279">
        <f>Tabela1[[#This Row],[Ano]]</f>
        <v>2018</v>
      </c>
      <c r="B117" s="181" t="str">
        <f>Tabela1[[#This Row],[Missão]]</f>
        <v>Marambaia</v>
      </c>
      <c r="C117" s="181">
        <f>Tabela1[[#This Row],[Aluno]]</f>
        <v>3189</v>
      </c>
      <c r="D117" s="181">
        <f>Tabela1[[#This Row],[Idade]]</f>
        <v>28</v>
      </c>
      <c r="E117" s="182">
        <f>Tabela1[[#This Row],[Peso Kg]]</f>
        <v>77</v>
      </c>
      <c r="F117" s="191">
        <f>Tabela1[[#This Row],[Cor da pele]]</f>
        <v>2</v>
      </c>
      <c r="G117" s="192" t="str">
        <f>Tabela1[[#This Row],[ACTN3]]</f>
        <v>RR</v>
      </c>
      <c r="H117" s="85" t="str">
        <f>Tabela1[[#This Row],[AGT]]</f>
        <v>MT</v>
      </c>
      <c r="I117" s="85" t="str">
        <f>Tabela1[[#This Row],[ECA]]</f>
        <v>ID</v>
      </c>
      <c r="J117" s="85" t="str">
        <f>Tabela1[[#This Row],[BDKRB2]]</f>
        <v>(+9,-9)</v>
      </c>
      <c r="K117" s="85">
        <f>Tabela1[[#This Row],[Score Força%]]</f>
        <v>212.5</v>
      </c>
      <c r="L117" s="193">
        <f>Tabela1[[#This Row],[Score Resistência %]]</f>
        <v>-112.5</v>
      </c>
      <c r="M117" s="192">
        <f>Tabela1[[#This Row],[Pré CK (U/L)]]</f>
        <v>316</v>
      </c>
      <c r="N117" s="85">
        <f>Tabela1[[#This Row],[Pós CK (U/L)]]</f>
        <v>1048</v>
      </c>
      <c r="O117" s="85" t="str">
        <f>Tabela1[[#This Row],[Pré CK MB U/L]]</f>
        <v>-</v>
      </c>
      <c r="P117" s="85">
        <f>Tabela1[[#This Row],[Pós CK MB U/L]]</f>
        <v>47</v>
      </c>
      <c r="Q117" s="85">
        <f>Tabela1[[#This Row],[Pré Lactato (mmol/L)]]</f>
        <v>1.2</v>
      </c>
      <c r="R117" s="85">
        <f>Tabela1[[#This Row],[Pós Lactato (mmol/L)]]</f>
        <v>4</v>
      </c>
      <c r="S117" s="85">
        <f>Tabela1[[#This Row],[Pré LDH (U/L)]]</f>
        <v>816</v>
      </c>
      <c r="T117" s="85">
        <f>Tabela1[[#This Row],[Pós LDH (U/L)]]</f>
        <v>1581</v>
      </c>
      <c r="U117" s="85">
        <f>Tabela1[[#This Row],[Pré AST (U/L)]]</f>
        <v>79</v>
      </c>
      <c r="V117" s="193">
        <f>Tabela1[[#This Row],[Pós AST (U/L)]]</f>
        <v>102</v>
      </c>
      <c r="W117" s="194">
        <f>Tabela1[[#This Row],[Pré Albumina (g/dL)]]</f>
        <v>4.2</v>
      </c>
      <c r="X117" s="125">
        <f>Tabela1[[#This Row],[Pós Albumina (g/dL)]]</f>
        <v>4.8</v>
      </c>
      <c r="Y117" s="85">
        <f>Tabela1[[#This Row],[Pré TGP (g/dL)]]</f>
        <v>155</v>
      </c>
      <c r="Z117" s="85">
        <f>Tabela1[[#This Row],[Pós TGP (g/dL)]]</f>
        <v>127</v>
      </c>
      <c r="AA117" s="85">
        <f>Tabela1[[#This Row],[Pré GGT U/L]]</f>
        <v>135</v>
      </c>
      <c r="AB117" s="193">
        <f>Tabela1[[#This Row],[Pós GGT U/L]]</f>
        <v>109</v>
      </c>
      <c r="AC117" s="194" t="str">
        <f>Tabela1[[#This Row],[Pré Ac. Úrico (mg/dL)]]</f>
        <v>-</v>
      </c>
      <c r="AD117" s="125">
        <f>Tabela1[[#This Row],[Pós Ac. Úrico (mg/dL)2]]</f>
        <v>8.3000000000000007</v>
      </c>
      <c r="AE11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1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117" s="85">
        <f>Tabela1[[#This Row],[Pré Ureia mg/dL]]</f>
        <v>37</v>
      </c>
      <c r="AH117" s="85">
        <f>Tabela1[[#This Row],[Pós Ureia mg/dL]]</f>
        <v>54</v>
      </c>
      <c r="AI117" s="125">
        <f>Tabela1[[#This Row],[Pré creatinina mg/dL]]</f>
        <v>0.9</v>
      </c>
      <c r="AJ117" s="125">
        <f>Tabela1[[#This Row],[Pós creatinina mg/dL]]</f>
        <v>1.2</v>
      </c>
      <c r="AK117" s="180">
        <f t="shared" si="4"/>
        <v>0.29999999999999993</v>
      </c>
      <c r="AL117" s="125">
        <f>Tabela1[[#This Row],[Pré Fósforo mg/dL]]</f>
        <v>5.0999999999999996</v>
      </c>
      <c r="AM117" s="125">
        <f>Tabela1[[#This Row],[Pós Fósforo mg/dL]]</f>
        <v>5.8</v>
      </c>
      <c r="AN117" s="125">
        <f>Tabela1[[#This Row],[Pré Proteína Total (g/dL)]]</f>
        <v>6.9</v>
      </c>
      <c r="AO117" s="125">
        <f>Tabela1[[#This Row],[Pós Proteína Total (g/dL)]]</f>
        <v>7.9</v>
      </c>
      <c r="AP117" s="85" t="str">
        <f>Tabela1[[#This Row],[Pré FE (ug/dL)]]</f>
        <v>-</v>
      </c>
      <c r="AQ117" s="193">
        <f>Tabela1[[#This Row],[Pós FE (ug/dL)]]</f>
        <v>156</v>
      </c>
      <c r="AR117" s="194">
        <f>Tabela1[[#This Row],[Pré calcio mg/dL]]</f>
        <v>9.1999999999999993</v>
      </c>
      <c r="AS117" s="125">
        <f>Tabela1[[#This Row],[Pós calcio mg/dL]]</f>
        <v>10.199999999999999</v>
      </c>
      <c r="AT117" s="125">
        <f>Tabela1[[#This Row],[Pré Potássio mmol/L]]</f>
        <v>4.8</v>
      </c>
      <c r="AU117" s="125">
        <f>Tabela1[[#This Row],[Pós Potássio mmol/L]]</f>
        <v>4.9000000000000004</v>
      </c>
      <c r="AV117" s="85">
        <f>Tabela1[[#This Row],[Glicose pré]]</f>
        <v>91</v>
      </c>
      <c r="AW117" s="85">
        <f>Tabela1[[#This Row],[Glicose pós]]</f>
        <v>32</v>
      </c>
      <c r="AX117" s="85">
        <f>Tabela1[[#This Row],[Pré Sódio mmol/L]]</f>
        <v>145</v>
      </c>
      <c r="AY117" s="85">
        <f>Tabela1[[#This Row],[Pós Sódio mmol/L]]</f>
        <v>147</v>
      </c>
      <c r="AZ117" s="125">
        <f>Tabela1[[#This Row],[Pré Magnésio mg/dL]]</f>
        <v>2.1</v>
      </c>
      <c r="BA117" s="125">
        <f>Tabela1[[#This Row],[Pós Magnésio mg/dL]]</f>
        <v>2</v>
      </c>
      <c r="BB117" s="85">
        <f>Tabela1[[#This Row],[Pré Cloro mmol/L]]</f>
        <v>104</v>
      </c>
      <c r="BC117" s="85">
        <f>Tabela1[[#This Row],[Pós Cloro mmol/L]]</f>
        <v>103</v>
      </c>
      <c r="BD11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304.6085555555556</v>
      </c>
      <c r="BE11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307.57844444444447</v>
      </c>
      <c r="BF117" s="194">
        <f>Tabela1[[#This Row],[Pré RBC 10^6/mm³]]</f>
        <v>4.3099999999999996</v>
      </c>
      <c r="BG117" s="125">
        <f>Tabela1[[#This Row],[Pós RBC 10^6/mm³]]</f>
        <v>4.32</v>
      </c>
      <c r="BH117" s="125">
        <f>Tabela1[[#This Row],[Pré HGB g/dL]]</f>
        <v>13.4</v>
      </c>
      <c r="BI117" s="125">
        <f>Tabela1[[#This Row],[Pós HGB g/dL]]</f>
        <v>13.8</v>
      </c>
      <c r="BJ117" s="125">
        <f>Tabela1[[#This Row],[Pré HCT %]]</f>
        <v>40.700000000000003</v>
      </c>
      <c r="BK117" s="125">
        <f>Tabela1[[#This Row],[Pós HCT %]]</f>
        <v>40.700000000000003</v>
      </c>
      <c r="BL117" s="125">
        <f>Tabela1[[#This Row],[Pré MCV fL]]</f>
        <v>94.4</v>
      </c>
      <c r="BM117" s="125">
        <f>Tabela1[[#This Row],[Pós MCV fL]]</f>
        <v>94.2</v>
      </c>
      <c r="BN117" s="125">
        <f>Tabela1[[#This Row],[Pré MCH pg]]</f>
        <v>31.1</v>
      </c>
      <c r="BO117" s="125">
        <f>Tabela1[[#This Row],[Pós MCH pg]]</f>
        <v>31.9</v>
      </c>
      <c r="BP117" s="125">
        <f>Tabela1[[#This Row],[Pré MCHC g/dL]]</f>
        <v>32.9</v>
      </c>
      <c r="BQ117" s="125">
        <f>Tabela1[[#This Row],[Pós MCHC g/dL]]</f>
        <v>33.9</v>
      </c>
      <c r="BR117" s="85">
        <f>Tabela1[[#This Row],[Pré PLT 10³/mm³]]</f>
        <v>229</v>
      </c>
      <c r="BS117" s="85">
        <f>Tabela1[[#This Row],[Pós PLT 10³/mm³]]</f>
        <v>286</v>
      </c>
      <c r="BT117" s="125">
        <f>Tabela1[[#This Row],[Pré RDW %]]</f>
        <v>13.8</v>
      </c>
      <c r="BU117" s="125">
        <f>Tabela1[[#This Row],[Pós RDW %]]</f>
        <v>14.1</v>
      </c>
      <c r="BV117" s="179">
        <f>Tabela1[[#This Row],[Pré RET %]]</f>
        <v>2.16</v>
      </c>
      <c r="BW117" s="196">
        <f>Tabela1[[#This Row],[Pós RET %]]</f>
        <v>2.4500000000000002</v>
      </c>
      <c r="BX117" s="197">
        <f>Tabela1[[#This Row],[Pré WBC 10³/mm³]]</f>
        <v>6.36</v>
      </c>
      <c r="BY117" s="179">
        <f>Tabela1[[#This Row],[Pós WBC 10³/mm³]]</f>
        <v>13.19</v>
      </c>
      <c r="BZ117" s="125">
        <f>Tabela1[[#This Row],[Pré NEUT %]]</f>
        <v>57.7</v>
      </c>
      <c r="CA117" s="125">
        <f>Tabela1[[#This Row],[Pós NEUT %]]</f>
        <v>76.8</v>
      </c>
      <c r="CB117" s="125">
        <f>Tabela1[[#This Row],[Pré LINF %]]</f>
        <v>29.1</v>
      </c>
      <c r="CC117" s="125">
        <f>Tabela1[[#This Row],[Pós LINF %]]</f>
        <v>14.9</v>
      </c>
      <c r="CD117" s="125">
        <f>Tabela1[[#This Row],[Pré MONO %]]</f>
        <v>11</v>
      </c>
      <c r="CE117" s="125">
        <f>Tabela1[[#This Row],[Pós MONO %]]</f>
        <v>8.1</v>
      </c>
      <c r="CF117" s="125">
        <f>Tabela1[[#This Row],[Pré EOS %]]</f>
        <v>2</v>
      </c>
      <c r="CG117" s="125">
        <f>Tabela1[[#This Row],[Pós EOS %]]</f>
        <v>0.1</v>
      </c>
      <c r="CH117" s="125">
        <f>Tabela1[[#This Row],[Pré BASO %]]</f>
        <v>0.2</v>
      </c>
      <c r="CI117" s="198">
        <f>Tabela1[[#This Row],[Pós BASO %]]</f>
        <v>0.1</v>
      </c>
      <c r="CJ117" s="199" t="str">
        <f t="shared" si="5"/>
        <v>SIM</v>
      </c>
      <c r="CK117" s="200" t="str">
        <f t="shared" si="6"/>
        <v>SIM</v>
      </c>
      <c r="CL117" s="194">
        <f t="shared" si="7"/>
        <v>70.76357999999999</v>
      </c>
      <c r="CM117" s="125">
        <f>Tabela1[[#This Row],[MCT KG]]</f>
        <v>78.599999999999994</v>
      </c>
      <c r="CN117" s="85">
        <f>Tabela1[[#This Row],[ESTATURA]]</f>
        <v>179</v>
      </c>
      <c r="CO117" s="85">
        <f>Tabela1[[#This Row],[vo2max estimado]]</f>
        <v>53.31</v>
      </c>
      <c r="CP117" s="85">
        <f>Tabela1[[#This Row],[Handgrip     Dominante]]</f>
        <v>50</v>
      </c>
      <c r="CQ117" s="85">
        <f>Tabela1[[#This Row],[Handgrip Contrário]]</f>
        <v>44</v>
      </c>
      <c r="CR117" s="281">
        <f>Tabela1[[#This Row],[% gordura]]</f>
        <v>9.9700000000000006</v>
      </c>
    </row>
    <row r="118" spans="1:96" ht="15.75" customHeight="1">
      <c r="A118" s="279">
        <f>Tabela1[[#This Row],[Ano]]</f>
        <v>2018</v>
      </c>
      <c r="B118" s="181" t="str">
        <f>Tabela1[[#This Row],[Missão]]</f>
        <v>Marambaia</v>
      </c>
      <c r="C118" s="181">
        <f>Tabela1[[#This Row],[Aluno]]</f>
        <v>3190</v>
      </c>
      <c r="D118" s="181">
        <f>Tabela1[[#This Row],[Idade]]</f>
        <v>29</v>
      </c>
      <c r="E118" s="182">
        <f>Tabela1[[#This Row],[Peso Kg]]</f>
        <v>81</v>
      </c>
      <c r="F118" s="191">
        <f>Tabela1[[#This Row],[Cor da pele]]</f>
        <v>1</v>
      </c>
      <c r="G118" s="192" t="str">
        <f>Tabela1[[#This Row],[ACTN3]]</f>
        <v>-</v>
      </c>
      <c r="H118" s="85" t="str">
        <f>Tabela1[[#This Row],[AGT]]</f>
        <v>-</v>
      </c>
      <c r="I118" s="85" t="str">
        <f>Tabela1[[#This Row],[ECA]]</f>
        <v>-</v>
      </c>
      <c r="J118" s="85" t="str">
        <f>Tabela1[[#This Row],[BDKRB2]]</f>
        <v>-</v>
      </c>
      <c r="K118" s="85" t="str">
        <f>Tabela1[[#This Row],[Score Força%]]</f>
        <v>-</v>
      </c>
      <c r="L118" s="193" t="str">
        <f>Tabela1[[#This Row],[Score Resistência %]]</f>
        <v>-</v>
      </c>
      <c r="M118" s="192">
        <f>Tabela1[[#This Row],[Pré CK (U/L)]]</f>
        <v>731</v>
      </c>
      <c r="N118" s="85">
        <f>Tabela1[[#This Row],[Pós CK (U/L)]]</f>
        <v>3200</v>
      </c>
      <c r="O118" s="85">
        <f>Tabela1[[#This Row],[Pré CK MB U/L]]</f>
        <v>31</v>
      </c>
      <c r="P118" s="85">
        <f>Tabela1[[#This Row],[Pós CK MB U/L]]</f>
        <v>102</v>
      </c>
      <c r="Q118" s="85">
        <f>Tabela1[[#This Row],[Pré Lactato (mmol/L)]]</f>
        <v>1.3</v>
      </c>
      <c r="R118" s="85">
        <f>Tabela1[[#This Row],[Pós Lactato (mmol/L)]]</f>
        <v>2.2999999999999998</v>
      </c>
      <c r="S118" s="85">
        <f>Tabela1[[#This Row],[Pré LDH (U/L)]]</f>
        <v>1221</v>
      </c>
      <c r="T118" s="85">
        <f>Tabela1[[#This Row],[Pós LDH (U/L)]]</f>
        <v>2672</v>
      </c>
      <c r="U118" s="85">
        <f>Tabela1[[#This Row],[Pré AST (U/L)]]</f>
        <v>96</v>
      </c>
      <c r="V118" s="193">
        <f>Tabela1[[#This Row],[Pós AST (U/L)]]</f>
        <v>301</v>
      </c>
      <c r="W118" s="194">
        <f>Tabela1[[#This Row],[Pré Albumina (g/dL)]]</f>
        <v>4</v>
      </c>
      <c r="X118" s="125">
        <f>Tabela1[[#This Row],[Pós Albumina (g/dL)]]</f>
        <v>4.3</v>
      </c>
      <c r="Y118" s="85">
        <f>Tabela1[[#This Row],[Pré TGP (g/dL)]]</f>
        <v>101</v>
      </c>
      <c r="Z118" s="85">
        <f>Tabela1[[#This Row],[Pós TGP (g/dL)]]</f>
        <v>148</v>
      </c>
      <c r="AA118" s="85">
        <f>Tabela1[[#This Row],[Pré GGT U/L]]</f>
        <v>37</v>
      </c>
      <c r="AB118" s="193">
        <f>Tabela1[[#This Row],[Pós GGT U/L]]</f>
        <v>36</v>
      </c>
      <c r="AC118" s="194" t="str">
        <f>Tabela1[[#This Row],[Pré Ac. Úrico (mg/dL)]]</f>
        <v>-</v>
      </c>
      <c r="AD118" s="125">
        <f>Tabela1[[#This Row],[Pós Ac. Úrico (mg/dL)2]]</f>
        <v>5.8</v>
      </c>
      <c r="AE11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11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18" s="85">
        <f>Tabela1[[#This Row],[Pré Ureia mg/dL]]</f>
        <v>31</v>
      </c>
      <c r="AH118" s="85">
        <f>Tabela1[[#This Row],[Pós Ureia mg/dL]]</f>
        <v>55</v>
      </c>
      <c r="AI118" s="125">
        <f>Tabela1[[#This Row],[Pré creatinina mg/dL]]</f>
        <v>0.7</v>
      </c>
      <c r="AJ118" s="125">
        <f>Tabela1[[#This Row],[Pós creatinina mg/dL]]</f>
        <v>1</v>
      </c>
      <c r="AK118" s="180">
        <f t="shared" si="4"/>
        <v>0.30000000000000004</v>
      </c>
      <c r="AL118" s="125">
        <f>Tabela1[[#This Row],[Pré Fósforo mg/dL]]</f>
        <v>3.4</v>
      </c>
      <c r="AM118" s="125">
        <f>Tabela1[[#This Row],[Pós Fósforo mg/dL]]</f>
        <v>5.0999999999999996</v>
      </c>
      <c r="AN118" s="125">
        <f>Tabela1[[#This Row],[Pré Proteína Total (g/dL)]]</f>
        <v>6.7</v>
      </c>
      <c r="AO118" s="125">
        <f>Tabela1[[#This Row],[Pós Proteína Total (g/dL)]]</f>
        <v>7.8</v>
      </c>
      <c r="AP118" s="85" t="str">
        <f>Tabela1[[#This Row],[Pré FE (ug/dL)]]</f>
        <v>-</v>
      </c>
      <c r="AQ118" s="193">
        <f>Tabela1[[#This Row],[Pós FE (ug/dL)]]</f>
        <v>39</v>
      </c>
      <c r="AR118" s="194">
        <f>Tabela1[[#This Row],[Pré calcio mg/dL]]</f>
        <v>8.9</v>
      </c>
      <c r="AS118" s="125">
        <f>Tabela1[[#This Row],[Pós calcio mg/dL]]</f>
        <v>9.6999999999999993</v>
      </c>
      <c r="AT118" s="125">
        <f>Tabela1[[#This Row],[Pré Potássio mmol/L]]</f>
        <v>3.4</v>
      </c>
      <c r="AU118" s="125">
        <f>Tabela1[[#This Row],[Pós Potássio mmol/L]]</f>
        <v>5.0999999999999996</v>
      </c>
      <c r="AV118" s="85">
        <f>Tabela1[[#This Row],[Glicose pré]]</f>
        <v>93</v>
      </c>
      <c r="AW118" s="85">
        <f>Tabela1[[#This Row],[Glicose pós]]</f>
        <v>97</v>
      </c>
      <c r="AX118" s="85">
        <f>Tabela1[[#This Row],[Pré Sódio mmol/L]]</f>
        <v>143</v>
      </c>
      <c r="AY118" s="85">
        <f>Tabela1[[#This Row],[Pós Sódio mmol/L]]</f>
        <v>141</v>
      </c>
      <c r="AZ118" s="125">
        <f>Tabela1[[#This Row],[Pré Magnésio mg/dL]]</f>
        <v>1.3</v>
      </c>
      <c r="BA118" s="125">
        <f>Tabela1[[#This Row],[Pós Magnésio mg/dL]]</f>
        <v>1.9</v>
      </c>
      <c r="BB118" s="85">
        <f>Tabela1[[#This Row],[Pré Cloro mmol/L]]</f>
        <v>102</v>
      </c>
      <c r="BC118" s="85">
        <f>Tabela1[[#This Row],[Pós Cloro mmol/L]]</f>
        <v>99</v>
      </c>
      <c r="BD11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297.41233333333338</v>
      </c>
      <c r="BE11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301.10988888888886</v>
      </c>
      <c r="BF118" s="194">
        <f>Tabela1[[#This Row],[Pré RBC 10^6/mm³]]</f>
        <v>4.09</v>
      </c>
      <c r="BG118" s="125">
        <f>Tabela1[[#This Row],[Pós RBC 10^6/mm³]]</f>
        <v>3.97</v>
      </c>
      <c r="BH118" s="125">
        <f>Tabela1[[#This Row],[Pré HGB g/dL]]</f>
        <v>12.5</v>
      </c>
      <c r="BI118" s="125">
        <f>Tabela1[[#This Row],[Pós HGB g/dL]]</f>
        <v>12.1</v>
      </c>
      <c r="BJ118" s="125">
        <f>Tabela1[[#This Row],[Pré HCT %]]</f>
        <v>38.4</v>
      </c>
      <c r="BK118" s="125">
        <f>Tabela1[[#This Row],[Pós HCT %]]</f>
        <v>36.5</v>
      </c>
      <c r="BL118" s="125">
        <f>Tabela1[[#This Row],[Pré MCV fL]]</f>
        <v>93.9</v>
      </c>
      <c r="BM118" s="125">
        <f>Tabela1[[#This Row],[Pós MCV fL]]</f>
        <v>91.9</v>
      </c>
      <c r="BN118" s="125">
        <f>Tabela1[[#This Row],[Pré MCH pg]]</f>
        <v>30.6</v>
      </c>
      <c r="BO118" s="125">
        <f>Tabela1[[#This Row],[Pós MCH pg]]</f>
        <v>30.5</v>
      </c>
      <c r="BP118" s="125">
        <f>Tabela1[[#This Row],[Pré MCHC g/dL]]</f>
        <v>32.6</v>
      </c>
      <c r="BQ118" s="125">
        <f>Tabela1[[#This Row],[Pós MCHC g/dL]]</f>
        <v>33.200000000000003</v>
      </c>
      <c r="BR118" s="85">
        <f>Tabela1[[#This Row],[Pré PLT 10³/mm³]]</f>
        <v>286</v>
      </c>
      <c r="BS118" s="85">
        <f>Tabela1[[#This Row],[Pós PLT 10³/mm³]]</f>
        <v>338</v>
      </c>
      <c r="BT118" s="125">
        <f>Tabela1[[#This Row],[Pré RDW %]]</f>
        <v>14.8</v>
      </c>
      <c r="BU118" s="125">
        <f>Tabela1[[#This Row],[Pós RDW %]]</f>
        <v>14</v>
      </c>
      <c r="BV118" s="179">
        <f>Tabela1[[#This Row],[Pré RET %]]</f>
        <v>1.52</v>
      </c>
      <c r="BW118" s="196">
        <f>Tabela1[[#This Row],[Pós RET %]]</f>
        <v>0.93</v>
      </c>
      <c r="BX118" s="197">
        <f>Tabela1[[#This Row],[Pré WBC 10³/mm³]]</f>
        <v>4.78</v>
      </c>
      <c r="BY118" s="179">
        <f>Tabela1[[#This Row],[Pós WBC 10³/mm³]]</f>
        <v>10.38</v>
      </c>
      <c r="BZ118" s="125">
        <f>Tabela1[[#This Row],[Pré NEUT %]]</f>
        <v>62</v>
      </c>
      <c r="CA118" s="125">
        <f>Tabela1[[#This Row],[Pós NEUT %]]</f>
        <v>80</v>
      </c>
      <c r="CB118" s="125">
        <f>Tabela1[[#This Row],[Pré LINF %]]</f>
        <v>26.4</v>
      </c>
      <c r="CC118" s="125">
        <f>Tabela1[[#This Row],[Pós LINF %]]</f>
        <v>11.8</v>
      </c>
      <c r="CD118" s="125">
        <f>Tabela1[[#This Row],[Pré MONO %]]</f>
        <v>7.9</v>
      </c>
      <c r="CE118" s="125">
        <f>Tabela1[[#This Row],[Pós MONO %]]</f>
        <v>8.1</v>
      </c>
      <c r="CF118" s="125">
        <f>Tabela1[[#This Row],[Pré EOS %]]</f>
        <v>3.3</v>
      </c>
      <c r="CG118" s="125">
        <f>Tabela1[[#This Row],[Pós EOS %]]</f>
        <v>0</v>
      </c>
      <c r="CH118" s="125">
        <f>Tabela1[[#This Row],[Pré BASO %]]</f>
        <v>0.4</v>
      </c>
      <c r="CI118" s="198">
        <f>Tabela1[[#This Row],[Pós BASO %]]</f>
        <v>0.1</v>
      </c>
      <c r="CJ118" s="199" t="str">
        <f t="shared" si="5"/>
        <v>SIM</v>
      </c>
      <c r="CK118" s="200" t="str">
        <f t="shared" si="6"/>
        <v>SIM</v>
      </c>
      <c r="CL118" s="194">
        <f t="shared" si="7"/>
        <v>72.151949999999999</v>
      </c>
      <c r="CM118" s="125">
        <f>Tabela1[[#This Row],[MCT KG]]</f>
        <v>81.5</v>
      </c>
      <c r="CN118" s="85">
        <f>Tabela1[[#This Row],[ESTATURA]]</f>
        <v>175</v>
      </c>
      <c r="CO118" s="85">
        <f>Tabela1[[#This Row],[vo2max estimado]]</f>
        <v>51.49</v>
      </c>
      <c r="CP118" s="85">
        <f>Tabela1[[#This Row],[Handgrip     Dominante]]</f>
        <v>49.5</v>
      </c>
      <c r="CQ118" s="85">
        <f>Tabela1[[#This Row],[Handgrip Contrário]]</f>
        <v>41</v>
      </c>
      <c r="CR118" s="281">
        <f>Tabela1[[#This Row],[% gordura]]</f>
        <v>11.47</v>
      </c>
    </row>
    <row r="119" spans="1:96" ht="15.75" customHeight="1">
      <c r="A119" s="279">
        <f>Tabela1[[#This Row],[Ano]]</f>
        <v>2018</v>
      </c>
      <c r="B119" s="181" t="str">
        <f>Tabela1[[#This Row],[Missão]]</f>
        <v>Marambaia</v>
      </c>
      <c r="C119" s="181">
        <f>Tabela1[[#This Row],[Aluno]]</f>
        <v>3193</v>
      </c>
      <c r="D119" s="181">
        <f>Tabela1[[#This Row],[Idade]]</f>
        <v>29</v>
      </c>
      <c r="E119" s="182">
        <f>Tabela1[[#This Row],[Peso Kg]]</f>
        <v>83</v>
      </c>
      <c r="F119" s="191">
        <f>Tabela1[[#This Row],[Cor da pele]]</f>
        <v>0</v>
      </c>
      <c r="G119" s="192" t="str">
        <f>Tabela1[[#This Row],[ACTN3]]</f>
        <v>-</v>
      </c>
      <c r="H119" s="85" t="str">
        <f>Tabela1[[#This Row],[AGT]]</f>
        <v>-</v>
      </c>
      <c r="I119" s="85" t="str">
        <f>Tabela1[[#This Row],[ECA]]</f>
        <v>-</v>
      </c>
      <c r="J119" s="85" t="str">
        <f>Tabela1[[#This Row],[BDKRB2]]</f>
        <v>-</v>
      </c>
      <c r="K119" s="85" t="str">
        <f>Tabela1[[#This Row],[Score Força%]]</f>
        <v>-</v>
      </c>
      <c r="L119" s="193" t="str">
        <f>Tabela1[[#This Row],[Score Resistência %]]</f>
        <v>-</v>
      </c>
      <c r="M119" s="192">
        <f>Tabela1[[#This Row],[Pré CK (U/L)]]</f>
        <v>261</v>
      </c>
      <c r="N119" s="85">
        <f>Tabela1[[#This Row],[Pós CK (U/L)]]</f>
        <v>843</v>
      </c>
      <c r="O119" s="85">
        <f>Tabela1[[#This Row],[Pré CK MB U/L]]</f>
        <v>17</v>
      </c>
      <c r="P119" s="85">
        <f>Tabela1[[#This Row],[Pós CK MB U/L]]</f>
        <v>36</v>
      </c>
      <c r="Q119" s="85">
        <f>Tabela1[[#This Row],[Pré Lactato (mmol/L)]]</f>
        <v>1.7</v>
      </c>
      <c r="R119" s="85">
        <f>Tabela1[[#This Row],[Pós Lactato (mmol/L)]]</f>
        <v>4.3</v>
      </c>
      <c r="S119" s="85">
        <f>Tabela1[[#This Row],[Pré LDH (U/L)]]</f>
        <v>476</v>
      </c>
      <c r="T119" s="85">
        <f>Tabela1[[#This Row],[Pós LDH (U/L)]]</f>
        <v>854</v>
      </c>
      <c r="U119" s="85">
        <f>Tabela1[[#This Row],[Pré AST (U/L)]]</f>
        <v>36</v>
      </c>
      <c r="V119" s="193">
        <f>Tabela1[[#This Row],[Pós AST (U/L)]]</f>
        <v>65</v>
      </c>
      <c r="W119" s="194">
        <f>Tabela1[[#This Row],[Pré Albumina (g/dL)]]</f>
        <v>4.5</v>
      </c>
      <c r="X119" s="125">
        <f>Tabela1[[#This Row],[Pós Albumina (g/dL)]]</f>
        <v>4.5999999999999996</v>
      </c>
      <c r="Y119" s="85">
        <f>Tabela1[[#This Row],[Pré TGP (g/dL)]]</f>
        <v>46</v>
      </c>
      <c r="Z119" s="85">
        <f>Tabela1[[#This Row],[Pós TGP (g/dL)]]</f>
        <v>74</v>
      </c>
      <c r="AA119" s="85">
        <f>Tabela1[[#This Row],[Pré GGT U/L]]</f>
        <v>21</v>
      </c>
      <c r="AB119" s="193">
        <f>Tabela1[[#This Row],[Pós GGT U/L]]</f>
        <v>28</v>
      </c>
      <c r="AC119" s="194" t="str">
        <f>Tabela1[[#This Row],[Pré Ac. Úrico (mg/dL)]]</f>
        <v>-</v>
      </c>
      <c r="AD119" s="125">
        <f>Tabela1[[#This Row],[Pós Ac. Úrico (mg/dL)2]]</f>
        <v>5</v>
      </c>
      <c r="AE11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11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19" s="85">
        <f>Tabela1[[#This Row],[Pré Ureia mg/dL]]</f>
        <v>34</v>
      </c>
      <c r="AH119" s="85">
        <f>Tabela1[[#This Row],[Pós Ureia mg/dL]]</f>
        <v>46</v>
      </c>
      <c r="AI119" s="125">
        <f>Tabela1[[#This Row],[Pré creatinina mg/dL]]</f>
        <v>0.8</v>
      </c>
      <c r="AJ119" s="125">
        <f>Tabela1[[#This Row],[Pós creatinina mg/dL]]</f>
        <v>1</v>
      </c>
      <c r="AK119" s="180">
        <f t="shared" si="4"/>
        <v>0.19999999999999996</v>
      </c>
      <c r="AL119" s="125">
        <f>Tabela1[[#This Row],[Pré Fósforo mg/dL]]</f>
        <v>3.6</v>
      </c>
      <c r="AM119" s="125">
        <f>Tabela1[[#This Row],[Pós Fósforo mg/dL]]</f>
        <v>5.2</v>
      </c>
      <c r="AN119" s="125">
        <f>Tabela1[[#This Row],[Pré Proteína Total (g/dL)]]</f>
        <v>7.3</v>
      </c>
      <c r="AO119" s="125">
        <f>Tabela1[[#This Row],[Pós Proteína Total (g/dL)]]</f>
        <v>8</v>
      </c>
      <c r="AP119" s="85" t="str">
        <f>Tabela1[[#This Row],[Pré FE (ug/dL)]]</f>
        <v>-</v>
      </c>
      <c r="AQ119" s="193">
        <f>Tabela1[[#This Row],[Pós FE (ug/dL)]]</f>
        <v>42</v>
      </c>
      <c r="AR119" s="194">
        <f>Tabela1[[#This Row],[Pré calcio mg/dL]]</f>
        <v>9.6</v>
      </c>
      <c r="AS119" s="125">
        <f>Tabela1[[#This Row],[Pós calcio mg/dL]]</f>
        <v>9.9</v>
      </c>
      <c r="AT119" s="125">
        <f>Tabela1[[#This Row],[Pré Potássio mmol/L]]</f>
        <v>5</v>
      </c>
      <c r="AU119" s="125">
        <f>Tabela1[[#This Row],[Pós Potássio mmol/L]]</f>
        <v>4.8</v>
      </c>
      <c r="AV119" s="85">
        <f>Tabela1[[#This Row],[Glicose pré]]</f>
        <v>86</v>
      </c>
      <c r="AW119" s="85">
        <f>Tabela1[[#This Row],[Glicose pós]]</f>
        <v>115</v>
      </c>
      <c r="AX119" s="85">
        <f>Tabela1[[#This Row],[Pré Sódio mmol/L]]</f>
        <v>144</v>
      </c>
      <c r="AY119" s="85">
        <f>Tabela1[[#This Row],[Pós Sódio mmol/L]]</f>
        <v>144</v>
      </c>
      <c r="AZ119" s="125">
        <f>Tabela1[[#This Row],[Pré Magnésio mg/dL]]</f>
        <v>2.2000000000000002</v>
      </c>
      <c r="BA119" s="125">
        <f>Tabela1[[#This Row],[Pós Magnésio mg/dL]]</f>
        <v>1.8</v>
      </c>
      <c r="BB119" s="85">
        <f>Tabela1[[#This Row],[Pré Cloro mmol/L]]</f>
        <v>103</v>
      </c>
      <c r="BC119" s="85">
        <f>Tabela1[[#This Row],[Pós Cloro mmol/L]]</f>
        <v>103</v>
      </c>
      <c r="BD11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302.30111111111114</v>
      </c>
      <c r="BE11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305.78188888888894</v>
      </c>
      <c r="BF119" s="194">
        <f>Tabela1[[#This Row],[Pré RBC 10^6/mm³]]</f>
        <v>4.6100000000000003</v>
      </c>
      <c r="BG119" s="125">
        <f>Tabela1[[#This Row],[Pós RBC 10^6/mm³]]</f>
        <v>4.1100000000000003</v>
      </c>
      <c r="BH119" s="125">
        <f>Tabela1[[#This Row],[Pré HGB g/dL]]</f>
        <v>14.1</v>
      </c>
      <c r="BI119" s="125">
        <f>Tabela1[[#This Row],[Pós HGB g/dL]]</f>
        <v>12.6</v>
      </c>
      <c r="BJ119" s="125">
        <f>Tabela1[[#This Row],[Pré HCT %]]</f>
        <v>42.1</v>
      </c>
      <c r="BK119" s="125">
        <f>Tabela1[[#This Row],[Pós HCT %]]</f>
        <v>37.5</v>
      </c>
      <c r="BL119" s="125">
        <f>Tabela1[[#This Row],[Pré MCV fL]]</f>
        <v>91.3</v>
      </c>
      <c r="BM119" s="125">
        <f>Tabela1[[#This Row],[Pós MCV fL]]</f>
        <v>91.2</v>
      </c>
      <c r="BN119" s="125">
        <f>Tabela1[[#This Row],[Pré MCH pg]]</f>
        <v>30.6</v>
      </c>
      <c r="BO119" s="125">
        <f>Tabela1[[#This Row],[Pós MCH pg]]</f>
        <v>30.7</v>
      </c>
      <c r="BP119" s="125">
        <f>Tabela1[[#This Row],[Pré MCHC g/dL]]</f>
        <v>33.5</v>
      </c>
      <c r="BQ119" s="125">
        <f>Tabela1[[#This Row],[Pós MCHC g/dL]]</f>
        <v>33.6</v>
      </c>
      <c r="BR119" s="85">
        <f>Tabela1[[#This Row],[Pré PLT 10³/mm³]]</f>
        <v>365</v>
      </c>
      <c r="BS119" s="85">
        <f>Tabela1[[#This Row],[Pós PLT 10³/mm³]]</f>
        <v>403</v>
      </c>
      <c r="BT119" s="125">
        <f>Tabela1[[#This Row],[Pré RDW %]]</f>
        <v>13.1</v>
      </c>
      <c r="BU119" s="125">
        <f>Tabela1[[#This Row],[Pós RDW %]]</f>
        <v>13.1</v>
      </c>
      <c r="BV119" s="179">
        <f>Tabela1[[#This Row],[Pré RET %]]</f>
        <v>1.43</v>
      </c>
      <c r="BW119" s="196">
        <f>Tabela1[[#This Row],[Pós RET %]]</f>
        <v>1.37</v>
      </c>
      <c r="BX119" s="197">
        <f>Tabela1[[#This Row],[Pré WBC 10³/mm³]]</f>
        <v>6.24</v>
      </c>
      <c r="BY119" s="179">
        <f>Tabela1[[#This Row],[Pós WBC 10³/mm³]]</f>
        <v>15.92</v>
      </c>
      <c r="BZ119" s="125">
        <f>Tabela1[[#This Row],[Pré NEUT %]]</f>
        <v>57.3</v>
      </c>
      <c r="CA119" s="125">
        <f>Tabela1[[#This Row],[Pós NEUT %]]</f>
        <v>78.2</v>
      </c>
      <c r="CB119" s="125">
        <f>Tabela1[[#This Row],[Pré LINF %]]</f>
        <v>30.6</v>
      </c>
      <c r="CC119" s="125">
        <f>Tabela1[[#This Row],[Pós LINF %]]</f>
        <v>12.9</v>
      </c>
      <c r="CD119" s="125">
        <f>Tabela1[[#This Row],[Pré MONO %]]</f>
        <v>9</v>
      </c>
      <c r="CE119" s="125">
        <f>Tabela1[[#This Row],[Pós MONO %]]</f>
        <v>8.6999999999999993</v>
      </c>
      <c r="CF119" s="125">
        <f>Tabela1[[#This Row],[Pré EOS %]]</f>
        <v>2.6</v>
      </c>
      <c r="CG119" s="125">
        <f>Tabela1[[#This Row],[Pós EOS %]]</f>
        <v>0</v>
      </c>
      <c r="CH119" s="125">
        <f>Tabela1[[#This Row],[Pré BASO %]]</f>
        <v>0.5</v>
      </c>
      <c r="CI119" s="198">
        <f>Tabela1[[#This Row],[Pós BASO %]]</f>
        <v>0.2</v>
      </c>
      <c r="CJ119" s="199" t="str">
        <f t="shared" si="5"/>
        <v>NÃO</v>
      </c>
      <c r="CK119" s="200" t="str">
        <f t="shared" si="6"/>
        <v>NÃO</v>
      </c>
      <c r="CL119" s="194">
        <f t="shared" si="7"/>
        <v>72.809100000000001</v>
      </c>
      <c r="CM119" s="125">
        <f>Tabela1[[#This Row],[MCT KG]]</f>
        <v>81.900000000000006</v>
      </c>
      <c r="CN119" s="85">
        <f>Tabela1[[#This Row],[ESTATURA]]</f>
        <v>180.5</v>
      </c>
      <c r="CO119" s="85">
        <f>Tabela1[[#This Row],[vo2max estimado]]</f>
        <v>51.93</v>
      </c>
      <c r="CP119" s="85">
        <f>Tabela1[[#This Row],[Handgrip     Dominante]]</f>
        <v>44.5</v>
      </c>
      <c r="CQ119" s="85">
        <f>Tabela1[[#This Row],[Handgrip Contrário]]</f>
        <v>46.5</v>
      </c>
      <c r="CR119" s="281">
        <f>Tabela1[[#This Row],[% gordura]]</f>
        <v>11.1</v>
      </c>
    </row>
    <row r="120" spans="1:96" ht="15.75" customHeight="1">
      <c r="A120" s="279">
        <f>Tabela1[[#This Row],[Ano]]</f>
        <v>2018</v>
      </c>
      <c r="B120" s="181" t="str">
        <f>Tabela1[[#This Row],[Missão]]</f>
        <v>Marambaia</v>
      </c>
      <c r="C120" s="181">
        <f>Tabela1[[#This Row],[Aluno]]</f>
        <v>3194</v>
      </c>
      <c r="D120" s="181">
        <f>Tabela1[[#This Row],[Idade]]</f>
        <v>28</v>
      </c>
      <c r="E120" s="182">
        <f>Tabela1[[#This Row],[Peso Kg]]</f>
        <v>81</v>
      </c>
      <c r="F120" s="191">
        <f>Tabela1[[#This Row],[Cor da pele]]</f>
        <v>1</v>
      </c>
      <c r="G120" s="192" t="str">
        <f>Tabela1[[#This Row],[ACTN3]]</f>
        <v>-</v>
      </c>
      <c r="H120" s="85" t="str">
        <f>Tabela1[[#This Row],[AGT]]</f>
        <v>-</v>
      </c>
      <c r="I120" s="85" t="str">
        <f>Tabela1[[#This Row],[ECA]]</f>
        <v>-</v>
      </c>
      <c r="J120" s="85" t="str">
        <f>Tabela1[[#This Row],[BDKRB2]]</f>
        <v>-</v>
      </c>
      <c r="K120" s="85" t="str">
        <f>Tabela1[[#This Row],[Score Força%]]</f>
        <v>-</v>
      </c>
      <c r="L120" s="193" t="str">
        <f>Tabela1[[#This Row],[Score Resistência %]]</f>
        <v>-</v>
      </c>
      <c r="M120" s="192">
        <f>Tabela1[[#This Row],[Pré CK (U/L)]]</f>
        <v>274</v>
      </c>
      <c r="N120" s="85">
        <f>Tabela1[[#This Row],[Pós CK (U/L)]]</f>
        <v>1224</v>
      </c>
      <c r="O120" s="85">
        <f>Tabela1[[#This Row],[Pré CK MB U/L]]</f>
        <v>19</v>
      </c>
      <c r="P120" s="85">
        <f>Tabela1[[#This Row],[Pós CK MB U/L]]</f>
        <v>48</v>
      </c>
      <c r="Q120" s="85">
        <f>Tabela1[[#This Row],[Pré Lactato (mmol/L)]]</f>
        <v>1.7</v>
      </c>
      <c r="R120" s="85">
        <f>Tabela1[[#This Row],[Pós Lactato (mmol/L)]]</f>
        <v>2.4</v>
      </c>
      <c r="S120" s="85">
        <f>Tabela1[[#This Row],[Pré LDH (U/L)]]</f>
        <v>643</v>
      </c>
      <c r="T120" s="85">
        <f>Tabela1[[#This Row],[Pós LDH (U/L)]]</f>
        <v>1211</v>
      </c>
      <c r="U120" s="85">
        <f>Tabela1[[#This Row],[Pré AST (U/L)]]</f>
        <v>51</v>
      </c>
      <c r="V120" s="193">
        <f>Tabela1[[#This Row],[Pós AST (U/L)]]</f>
        <v>99</v>
      </c>
      <c r="W120" s="194">
        <f>Tabela1[[#This Row],[Pré Albumina (g/dL)]]</f>
        <v>4.5</v>
      </c>
      <c r="X120" s="125">
        <f>Tabela1[[#This Row],[Pós Albumina (g/dL)]]</f>
        <v>4.4000000000000004</v>
      </c>
      <c r="Y120" s="85">
        <f>Tabela1[[#This Row],[Pré TGP (g/dL)]]</f>
        <v>37</v>
      </c>
      <c r="Z120" s="85">
        <f>Tabela1[[#This Row],[Pós TGP (g/dL)]]</f>
        <v>55</v>
      </c>
      <c r="AA120" s="85">
        <f>Tabela1[[#This Row],[Pré GGT U/L]]</f>
        <v>12</v>
      </c>
      <c r="AB120" s="193">
        <f>Tabela1[[#This Row],[Pós GGT U/L]]</f>
        <v>15</v>
      </c>
      <c r="AC120" s="194" t="str">
        <f>Tabela1[[#This Row],[Pré Ac. Úrico (mg/dL)]]</f>
        <v>-</v>
      </c>
      <c r="AD120" s="125">
        <f>Tabela1[[#This Row],[Pós Ac. Úrico (mg/dL)2]]</f>
        <v>7.2</v>
      </c>
      <c r="AE12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2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20" s="85">
        <f>Tabela1[[#This Row],[Pré Ureia mg/dL]]</f>
        <v>24</v>
      </c>
      <c r="AH120" s="85">
        <f>Tabela1[[#This Row],[Pós Ureia mg/dL]]</f>
        <v>46</v>
      </c>
      <c r="AI120" s="125">
        <f>Tabela1[[#This Row],[Pré creatinina mg/dL]]</f>
        <v>0.9</v>
      </c>
      <c r="AJ120" s="125">
        <f>Tabela1[[#This Row],[Pós creatinina mg/dL]]</f>
        <v>1.1000000000000001</v>
      </c>
      <c r="AK120" s="180">
        <f t="shared" si="4"/>
        <v>0.20000000000000007</v>
      </c>
      <c r="AL120" s="125">
        <f>Tabela1[[#This Row],[Pré Fósforo mg/dL]]</f>
        <v>4.2</v>
      </c>
      <c r="AM120" s="125">
        <f>Tabela1[[#This Row],[Pós Fósforo mg/dL]]</f>
        <v>4.3</v>
      </c>
      <c r="AN120" s="125">
        <f>Tabela1[[#This Row],[Pré Proteína Total (g/dL)]]</f>
        <v>7.5</v>
      </c>
      <c r="AO120" s="125">
        <f>Tabela1[[#This Row],[Pós Proteína Total (g/dL)]]</f>
        <v>8.1</v>
      </c>
      <c r="AP120" s="85" t="str">
        <f>Tabela1[[#This Row],[Pré FE (ug/dL)]]</f>
        <v>-</v>
      </c>
      <c r="AQ120" s="193">
        <f>Tabela1[[#This Row],[Pós FE (ug/dL)]]</f>
        <v>107</v>
      </c>
      <c r="AR120" s="194">
        <f>Tabela1[[#This Row],[Pré calcio mg/dL]]</f>
        <v>9.8000000000000007</v>
      </c>
      <c r="AS120" s="125">
        <f>Tabela1[[#This Row],[Pós calcio mg/dL]]</f>
        <v>10</v>
      </c>
      <c r="AT120" s="125">
        <f>Tabela1[[#This Row],[Pré Potássio mmol/L]]</f>
        <v>4.5</v>
      </c>
      <c r="AU120" s="125">
        <f>Tabela1[[#This Row],[Pós Potássio mmol/L]]</f>
        <v>4.9000000000000004</v>
      </c>
      <c r="AV120" s="85">
        <f>Tabela1[[#This Row],[Glicose pré]]</f>
        <v>61</v>
      </c>
      <c r="AW120" s="85">
        <f>Tabela1[[#This Row],[Glicose pós]]</f>
        <v>97</v>
      </c>
      <c r="AX120" s="85">
        <f>Tabela1[[#This Row],[Pré Sódio mmol/L]]</f>
        <v>144</v>
      </c>
      <c r="AY120" s="85">
        <f>Tabela1[[#This Row],[Pós Sódio mmol/L]]</f>
        <v>144</v>
      </c>
      <c r="AZ120" s="125">
        <f>Tabela1[[#This Row],[Pré Magnésio mg/dL]]</f>
        <v>2.2999999999999998</v>
      </c>
      <c r="BA120" s="125">
        <f>Tabela1[[#This Row],[Pós Magnésio mg/dL]]</f>
        <v>1.9</v>
      </c>
      <c r="BB120" s="85">
        <f>Tabela1[[#This Row],[Pré Cloro mmol/L]]</f>
        <v>101</v>
      </c>
      <c r="BC120" s="85">
        <f>Tabela1[[#This Row],[Pós Cloro mmol/L]]</f>
        <v>102</v>
      </c>
      <c r="BD12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298.10722222222228</v>
      </c>
      <c r="BE12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304.81788888888889</v>
      </c>
      <c r="BF120" s="194">
        <f>Tabela1[[#This Row],[Pré RBC 10^6/mm³]]</f>
        <v>4.79</v>
      </c>
      <c r="BG120" s="125">
        <f>Tabela1[[#This Row],[Pós RBC 10^6/mm³]]</f>
        <v>4.4000000000000004</v>
      </c>
      <c r="BH120" s="125">
        <f>Tabela1[[#This Row],[Pré HGB g/dL]]</f>
        <v>13.9</v>
      </c>
      <c r="BI120" s="125">
        <f>Tabela1[[#This Row],[Pós HGB g/dL]]</f>
        <v>12.9</v>
      </c>
      <c r="BJ120" s="125">
        <f>Tabela1[[#This Row],[Pré HCT %]]</f>
        <v>43.1</v>
      </c>
      <c r="BK120" s="125">
        <f>Tabela1[[#This Row],[Pós HCT %]]</f>
        <v>39</v>
      </c>
      <c r="BL120" s="125">
        <f>Tabela1[[#This Row],[Pré MCV fL]]</f>
        <v>90</v>
      </c>
      <c r="BM120" s="125">
        <f>Tabela1[[#This Row],[Pós MCV fL]]</f>
        <v>88.6</v>
      </c>
      <c r="BN120" s="125">
        <f>Tabela1[[#This Row],[Pré MCH pg]]</f>
        <v>29</v>
      </c>
      <c r="BO120" s="125">
        <f>Tabela1[[#This Row],[Pós MCH pg]]</f>
        <v>29.3</v>
      </c>
      <c r="BP120" s="125">
        <f>Tabela1[[#This Row],[Pré MCHC g/dL]]</f>
        <v>32.299999999999997</v>
      </c>
      <c r="BQ120" s="125">
        <f>Tabela1[[#This Row],[Pós MCHC g/dL]]</f>
        <v>33.1</v>
      </c>
      <c r="BR120" s="85">
        <f>Tabela1[[#This Row],[Pré PLT 10³/mm³]]</f>
        <v>331</v>
      </c>
      <c r="BS120" s="85">
        <f>Tabela1[[#This Row],[Pós PLT 10³/mm³]]</f>
        <v>377</v>
      </c>
      <c r="BT120" s="125">
        <f>Tabela1[[#This Row],[Pré RDW %]]</f>
        <v>13.8</v>
      </c>
      <c r="BU120" s="125">
        <f>Tabela1[[#This Row],[Pós RDW %]]</f>
        <v>13.8</v>
      </c>
      <c r="BV120" s="179">
        <f>Tabela1[[#This Row],[Pré RET %]]</f>
        <v>1.46</v>
      </c>
      <c r="BW120" s="196">
        <f>Tabela1[[#This Row],[Pós RET %]]</f>
        <v>1.18</v>
      </c>
      <c r="BX120" s="197">
        <f>Tabela1[[#This Row],[Pré WBC 10³/mm³]]</f>
        <v>4.78</v>
      </c>
      <c r="BY120" s="179">
        <f>Tabela1[[#This Row],[Pós WBC 10³/mm³]]</f>
        <v>8.25</v>
      </c>
      <c r="BZ120" s="125">
        <f>Tabela1[[#This Row],[Pré NEUT %]]</f>
        <v>45.4</v>
      </c>
      <c r="CA120" s="125">
        <f>Tabela1[[#This Row],[Pós NEUT %]]</f>
        <v>70.3</v>
      </c>
      <c r="CB120" s="125">
        <f>Tabela1[[#This Row],[Pré LINF %]]</f>
        <v>41.2</v>
      </c>
      <c r="CC120" s="125">
        <f>Tabela1[[#This Row],[Pós LINF %]]</f>
        <v>19.899999999999999</v>
      </c>
      <c r="CD120" s="125">
        <f>Tabela1[[#This Row],[Pré MONO %]]</f>
        <v>11.3</v>
      </c>
      <c r="CE120" s="125">
        <f>Tabela1[[#This Row],[Pós MONO %]]</f>
        <v>9.5</v>
      </c>
      <c r="CF120" s="125">
        <f>Tabela1[[#This Row],[Pré EOS %]]</f>
        <v>1.7</v>
      </c>
      <c r="CG120" s="125">
        <f>Tabela1[[#This Row],[Pós EOS %]]</f>
        <v>0.1</v>
      </c>
      <c r="CH120" s="125">
        <f>Tabela1[[#This Row],[Pré BASO %]]</f>
        <v>0.4</v>
      </c>
      <c r="CI120" s="198">
        <f>Tabela1[[#This Row],[Pós BASO %]]</f>
        <v>0.2</v>
      </c>
      <c r="CJ120" s="199" t="str">
        <f t="shared" si="5"/>
        <v>NÃO</v>
      </c>
      <c r="CK120" s="200" t="str">
        <f t="shared" si="6"/>
        <v>SIM</v>
      </c>
      <c r="CL120" s="194">
        <f t="shared" si="7"/>
        <v>71.943809999999999</v>
      </c>
      <c r="CM120" s="125">
        <f>Tabela1[[#This Row],[MCT KG]]</f>
        <v>81.099999999999994</v>
      </c>
      <c r="CN120" s="85">
        <f>Tabela1[[#This Row],[ESTATURA]]</f>
        <v>178</v>
      </c>
      <c r="CO120" s="85">
        <f>Tabela1[[#This Row],[vo2max estimado]]</f>
        <v>51.6</v>
      </c>
      <c r="CP120" s="85">
        <f>Tabela1[[#This Row],[Handgrip     Dominante]]</f>
        <v>45.5</v>
      </c>
      <c r="CQ120" s="85">
        <f>Tabela1[[#This Row],[Handgrip Contrário]]</f>
        <v>43</v>
      </c>
      <c r="CR120" s="281">
        <f>Tabela1[[#This Row],[% gordura]]</f>
        <v>11.29</v>
      </c>
    </row>
    <row r="121" spans="1:96" ht="15.75" customHeight="1">
      <c r="A121" s="279">
        <f>Tabela1[[#This Row],[Ano]]</f>
        <v>2018</v>
      </c>
      <c r="B121" s="181" t="str">
        <f>Tabela1[[#This Row],[Missão]]</f>
        <v>Marambaia</v>
      </c>
      <c r="C121" s="181">
        <f>Tabela1[[#This Row],[Aluno]]</f>
        <v>3195</v>
      </c>
      <c r="D121" s="181">
        <f>Tabela1[[#This Row],[Idade]]</f>
        <v>26</v>
      </c>
      <c r="E121" s="182">
        <f>Tabela1[[#This Row],[Peso Kg]]</f>
        <v>68</v>
      </c>
      <c r="F121" s="191">
        <f>Tabela1[[#This Row],[Cor da pele]]</f>
        <v>1</v>
      </c>
      <c r="G121" s="192" t="str">
        <f>Tabela1[[#This Row],[ACTN3]]</f>
        <v>-</v>
      </c>
      <c r="H121" s="85" t="str">
        <f>Tabela1[[#This Row],[AGT]]</f>
        <v>-</v>
      </c>
      <c r="I121" s="85" t="str">
        <f>Tabela1[[#This Row],[ECA]]</f>
        <v>-</v>
      </c>
      <c r="J121" s="85" t="str">
        <f>Tabela1[[#This Row],[BDKRB2]]</f>
        <v>-</v>
      </c>
      <c r="K121" s="85" t="str">
        <f>Tabela1[[#This Row],[Score Força%]]</f>
        <v>-</v>
      </c>
      <c r="L121" s="193" t="str">
        <f>Tabela1[[#This Row],[Score Resistência %]]</f>
        <v>-</v>
      </c>
      <c r="M121" s="192">
        <f>Tabela1[[#This Row],[Pré CK (U/L)]]</f>
        <v>224</v>
      </c>
      <c r="N121" s="85">
        <f>Tabela1[[#This Row],[Pós CK (U/L)]]</f>
        <v>592</v>
      </c>
      <c r="O121" s="85">
        <f>Tabela1[[#This Row],[Pré CK MB U/L]]</f>
        <v>16</v>
      </c>
      <c r="P121" s="85">
        <f>Tabela1[[#This Row],[Pós CK MB U/L]]</f>
        <v>33</v>
      </c>
      <c r="Q121" s="85">
        <f>Tabela1[[#This Row],[Pré Lactato (mmol/L)]]</f>
        <v>2.5</v>
      </c>
      <c r="R121" s="85">
        <f>Tabela1[[#This Row],[Pós Lactato (mmol/L)]]</f>
        <v>1.5</v>
      </c>
      <c r="S121" s="85">
        <f>Tabela1[[#This Row],[Pré LDH (U/L)]]</f>
        <v>569</v>
      </c>
      <c r="T121" s="85">
        <f>Tabela1[[#This Row],[Pós LDH (U/L)]]</f>
        <v>704</v>
      </c>
      <c r="U121" s="85">
        <f>Tabela1[[#This Row],[Pré AST (U/L)]]</f>
        <v>40</v>
      </c>
      <c r="V121" s="193">
        <f>Tabela1[[#This Row],[Pós AST (U/L)]]</f>
        <v>63</v>
      </c>
      <c r="W121" s="194">
        <f>Tabela1[[#This Row],[Pré Albumina (g/dL)]]</f>
        <v>4.7</v>
      </c>
      <c r="X121" s="125">
        <f>Tabela1[[#This Row],[Pós Albumina (g/dL)]]</f>
        <v>4.0999999999999996</v>
      </c>
      <c r="Y121" s="85">
        <f>Tabela1[[#This Row],[Pré TGP (g/dL)]]</f>
        <v>51</v>
      </c>
      <c r="Z121" s="85">
        <f>Tabela1[[#This Row],[Pós TGP (g/dL)]]</f>
        <v>63</v>
      </c>
      <c r="AA121" s="85">
        <f>Tabela1[[#This Row],[Pré GGT U/L]]</f>
        <v>21</v>
      </c>
      <c r="AB121" s="193">
        <f>Tabela1[[#This Row],[Pós GGT U/L]]</f>
        <v>22</v>
      </c>
      <c r="AC121" s="194" t="str">
        <f>Tabela1[[#This Row],[Pré Ac. Úrico (mg/dL)]]</f>
        <v>-</v>
      </c>
      <c r="AD121" s="125">
        <f>Tabela1[[#This Row],[Pós Ac. Úrico (mg/dL)2]]</f>
        <v>4.9000000000000004</v>
      </c>
      <c r="AE12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12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121" s="85">
        <f>Tabela1[[#This Row],[Pré Ureia mg/dL]]</f>
        <v>31</v>
      </c>
      <c r="AH121" s="85">
        <f>Tabela1[[#This Row],[Pós Ureia mg/dL]]</f>
        <v>43</v>
      </c>
      <c r="AI121" s="125">
        <f>Tabela1[[#This Row],[Pré creatinina mg/dL]]</f>
        <v>0.7</v>
      </c>
      <c r="AJ121" s="125">
        <f>Tabela1[[#This Row],[Pós creatinina mg/dL]]</f>
        <v>0.8</v>
      </c>
      <c r="AK121" s="180">
        <f t="shared" si="4"/>
        <v>0.10000000000000009</v>
      </c>
      <c r="AL121" s="125">
        <f>Tabela1[[#This Row],[Pré Fósforo mg/dL]]</f>
        <v>3.5</v>
      </c>
      <c r="AM121" s="125">
        <f>Tabela1[[#This Row],[Pós Fósforo mg/dL]]</f>
        <v>4.0999999999999996</v>
      </c>
      <c r="AN121" s="125">
        <f>Tabela1[[#This Row],[Pré Proteína Total (g/dL)]]</f>
        <v>7.7</v>
      </c>
      <c r="AO121" s="125">
        <f>Tabela1[[#This Row],[Pós Proteína Total (g/dL)]]</f>
        <v>7.4</v>
      </c>
      <c r="AP121" s="85" t="str">
        <f>Tabela1[[#This Row],[Pré FE (ug/dL)]]</f>
        <v>-</v>
      </c>
      <c r="AQ121" s="193">
        <f>Tabela1[[#This Row],[Pós FE (ug/dL)]]</f>
        <v>38</v>
      </c>
      <c r="AR121" s="194">
        <f>Tabela1[[#This Row],[Pré calcio mg/dL]]</f>
        <v>9.6</v>
      </c>
      <c r="AS121" s="125">
        <f>Tabela1[[#This Row],[Pós calcio mg/dL]]</f>
        <v>9.8000000000000007</v>
      </c>
      <c r="AT121" s="125">
        <f>Tabela1[[#This Row],[Pré Potássio mmol/L]]</f>
        <v>4.2</v>
      </c>
      <c r="AU121" s="125">
        <f>Tabela1[[#This Row],[Pós Potássio mmol/L]]</f>
        <v>4.3</v>
      </c>
      <c r="AV121" s="85">
        <f>Tabela1[[#This Row],[Glicose pré]]</f>
        <v>83</v>
      </c>
      <c r="AW121" s="85">
        <f>Tabela1[[#This Row],[Glicose pós]]</f>
        <v>119</v>
      </c>
      <c r="AX121" s="85">
        <f>Tabela1[[#This Row],[Pré Sódio mmol/L]]</f>
        <v>144</v>
      </c>
      <c r="AY121" s="85">
        <f>Tabela1[[#This Row],[Pós Sódio mmol/L]]</f>
        <v>139</v>
      </c>
      <c r="AZ121" s="125">
        <f>Tabela1[[#This Row],[Pré Magnésio mg/dL]]</f>
        <v>2.1</v>
      </c>
      <c r="BA121" s="125">
        <f>Tabela1[[#This Row],[Pós Magnésio mg/dL]]</f>
        <v>1.7</v>
      </c>
      <c r="BB121" s="85">
        <f>Tabela1[[#This Row],[Pré Cloro mmol/L]]</f>
        <v>101</v>
      </c>
      <c r="BC121" s="85">
        <f>Tabela1[[#This Row],[Pós Cloro mmol/L]]</f>
        <v>97</v>
      </c>
      <c r="BD12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300.12144444444442</v>
      </c>
      <c r="BE12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295.30744444444446</v>
      </c>
      <c r="BF121" s="194">
        <f>Tabela1[[#This Row],[Pré RBC 10^6/mm³]]</f>
        <v>4.53</v>
      </c>
      <c r="BG121" s="125">
        <f>Tabela1[[#This Row],[Pós RBC 10^6/mm³]]</f>
        <v>4.3899999999999997</v>
      </c>
      <c r="BH121" s="125">
        <f>Tabela1[[#This Row],[Pré HGB g/dL]]</f>
        <v>14</v>
      </c>
      <c r="BI121" s="125">
        <f>Tabela1[[#This Row],[Pós HGB g/dL]]</f>
        <v>13.5</v>
      </c>
      <c r="BJ121" s="125">
        <f>Tabela1[[#This Row],[Pré HCT %]]</f>
        <v>42.5</v>
      </c>
      <c r="BK121" s="125">
        <f>Tabela1[[#This Row],[Pós HCT %]]</f>
        <v>40.299999999999997</v>
      </c>
      <c r="BL121" s="125">
        <f>Tabela1[[#This Row],[Pré MCV fL]]</f>
        <v>93.8</v>
      </c>
      <c r="BM121" s="125">
        <f>Tabela1[[#This Row],[Pós MCV fL]]</f>
        <v>91.8</v>
      </c>
      <c r="BN121" s="125">
        <f>Tabela1[[#This Row],[Pré MCH pg]]</f>
        <v>30.9</v>
      </c>
      <c r="BO121" s="125">
        <f>Tabela1[[#This Row],[Pós MCH pg]]</f>
        <v>30.8</v>
      </c>
      <c r="BP121" s="125">
        <f>Tabela1[[#This Row],[Pré MCHC g/dL]]</f>
        <v>32.9</v>
      </c>
      <c r="BQ121" s="125">
        <f>Tabela1[[#This Row],[Pós MCHC g/dL]]</f>
        <v>33.5</v>
      </c>
      <c r="BR121" s="85">
        <f>Tabela1[[#This Row],[Pré PLT 10³/mm³]]</f>
        <v>294</v>
      </c>
      <c r="BS121" s="85">
        <f>Tabela1[[#This Row],[Pós PLT 10³/mm³]]</f>
        <v>351</v>
      </c>
      <c r="BT121" s="125">
        <f>Tabela1[[#This Row],[Pré RDW %]]</f>
        <v>13.7</v>
      </c>
      <c r="BU121" s="125">
        <f>Tabela1[[#This Row],[Pós RDW %]]</f>
        <v>13.4</v>
      </c>
      <c r="BV121" s="179">
        <f>Tabela1[[#This Row],[Pré RET %]]</f>
        <v>1.72</v>
      </c>
      <c r="BW121" s="196">
        <f>Tabela1[[#This Row],[Pós RET %]]</f>
        <v>1.32</v>
      </c>
      <c r="BX121" s="197">
        <f>Tabela1[[#This Row],[Pré WBC 10³/mm³]]</f>
        <v>7.62</v>
      </c>
      <c r="BY121" s="179">
        <f>Tabela1[[#This Row],[Pós WBC 10³/mm³]]</f>
        <v>10.66</v>
      </c>
      <c r="BZ121" s="125">
        <f>Tabela1[[#This Row],[Pré NEUT %]]</f>
        <v>59.7</v>
      </c>
      <c r="CA121" s="125">
        <f>Tabela1[[#This Row],[Pós NEUT %]]</f>
        <v>76.900000000000006</v>
      </c>
      <c r="CB121" s="125">
        <f>Tabela1[[#This Row],[Pré LINF %]]</f>
        <v>27.3</v>
      </c>
      <c r="CC121" s="125">
        <f>Tabela1[[#This Row],[Pós LINF %]]</f>
        <v>12</v>
      </c>
      <c r="CD121" s="125">
        <f>Tabela1[[#This Row],[Pré MONO %]]</f>
        <v>9.6999999999999993</v>
      </c>
      <c r="CE121" s="125">
        <f>Tabela1[[#This Row],[Pós MONO %]]</f>
        <v>10.9</v>
      </c>
      <c r="CF121" s="125">
        <f>Tabela1[[#This Row],[Pré EOS %]]</f>
        <v>2.9</v>
      </c>
      <c r="CG121" s="125">
        <f>Tabela1[[#This Row],[Pós EOS %]]</f>
        <v>0</v>
      </c>
      <c r="CH121" s="125">
        <f>Tabela1[[#This Row],[Pré BASO %]]</f>
        <v>0.4</v>
      </c>
      <c r="CI121" s="198">
        <f>Tabela1[[#This Row],[Pós BASO %]]</f>
        <v>0.2</v>
      </c>
      <c r="CJ121" s="199" t="str">
        <f t="shared" si="5"/>
        <v>NÃO</v>
      </c>
      <c r="CK121" s="200" t="str">
        <f t="shared" si="6"/>
        <v>NÃO</v>
      </c>
      <c r="CL121" s="194">
        <f t="shared" si="7"/>
        <v>62.5396</v>
      </c>
      <c r="CM121" s="125">
        <f>Tabela1[[#This Row],[MCT KG]]</f>
        <v>68</v>
      </c>
      <c r="CN121" s="85">
        <f>Tabela1[[#This Row],[ESTATURA]]</f>
        <v>173</v>
      </c>
      <c r="CO121" s="85">
        <f>Tabela1[[#This Row],[vo2max estimado]]</f>
        <v>55.9</v>
      </c>
      <c r="CP121" s="85">
        <f>Tabela1[[#This Row],[Handgrip     Dominante]]</f>
        <v>39</v>
      </c>
      <c r="CQ121" s="85">
        <f>Tabela1[[#This Row],[Handgrip Contrário]]</f>
        <v>39</v>
      </c>
      <c r="CR121" s="281">
        <f>Tabela1[[#This Row],[% gordura]]</f>
        <v>8.0299999999999994</v>
      </c>
    </row>
    <row r="122" spans="1:96" ht="15.75" customHeight="1">
      <c r="A122" s="279">
        <f>Tabela1[[#This Row],[Ano]]</f>
        <v>2018</v>
      </c>
      <c r="B122" s="181" t="str">
        <f>Tabela1[[#This Row],[Missão]]</f>
        <v>Marambaia</v>
      </c>
      <c r="C122" s="181">
        <f>Tabela1[[#This Row],[Aluno]]</f>
        <v>3196</v>
      </c>
      <c r="D122" s="181">
        <f>Tabela1[[#This Row],[Idade]]</f>
        <v>27</v>
      </c>
      <c r="E122" s="182">
        <f>Tabela1[[#This Row],[Peso Kg]]</f>
        <v>80</v>
      </c>
      <c r="F122" s="191">
        <f>Tabela1[[#This Row],[Cor da pele]]</f>
        <v>1</v>
      </c>
      <c r="G122" s="192" t="str">
        <f>Tabela1[[#This Row],[ACTN3]]</f>
        <v>-</v>
      </c>
      <c r="H122" s="85" t="str">
        <f>Tabela1[[#This Row],[AGT]]</f>
        <v>-</v>
      </c>
      <c r="I122" s="85" t="str">
        <f>Tabela1[[#This Row],[ECA]]</f>
        <v>-</v>
      </c>
      <c r="J122" s="85" t="str">
        <f>Tabela1[[#This Row],[BDKRB2]]</f>
        <v>-</v>
      </c>
      <c r="K122" s="85" t="str">
        <f>Tabela1[[#This Row],[Score Força%]]</f>
        <v>-</v>
      </c>
      <c r="L122" s="193" t="str">
        <f>Tabela1[[#This Row],[Score Resistência %]]</f>
        <v>-</v>
      </c>
      <c r="M122" s="192">
        <f>Tabela1[[#This Row],[Pré CK (U/L)]]</f>
        <v>532</v>
      </c>
      <c r="N122" s="85">
        <f>Tabela1[[#This Row],[Pós CK (U/L)]]</f>
        <v>2695</v>
      </c>
      <c r="O122" s="85">
        <f>Tabela1[[#This Row],[Pré CK MB U/L]]</f>
        <v>20</v>
      </c>
      <c r="P122" s="85">
        <f>Tabela1[[#This Row],[Pós CK MB U/L]]</f>
        <v>60</v>
      </c>
      <c r="Q122" s="85">
        <f>Tabela1[[#This Row],[Pré Lactato (mmol/L)]]</f>
        <v>1.8</v>
      </c>
      <c r="R122" s="85">
        <f>Tabela1[[#This Row],[Pós Lactato (mmol/L)]]</f>
        <v>2.4</v>
      </c>
      <c r="S122" s="85">
        <f>Tabela1[[#This Row],[Pré LDH (U/L)]]</f>
        <v>932</v>
      </c>
      <c r="T122" s="85">
        <f>Tabela1[[#This Row],[Pós LDH (U/L)]]</f>
        <v>1526</v>
      </c>
      <c r="U122" s="85">
        <f>Tabela1[[#This Row],[Pré AST (U/L)]]</f>
        <v>39</v>
      </c>
      <c r="V122" s="193">
        <f>Tabela1[[#This Row],[Pós AST (U/L)]]</f>
        <v>113</v>
      </c>
      <c r="W122" s="194">
        <f>Tabela1[[#This Row],[Pré Albumina (g/dL)]]</f>
        <v>4.3</v>
      </c>
      <c r="X122" s="125">
        <f>Tabela1[[#This Row],[Pós Albumina (g/dL)]]</f>
        <v>4.8</v>
      </c>
      <c r="Y122" s="85">
        <f>Tabela1[[#This Row],[Pré TGP (g/dL)]]</f>
        <v>62</v>
      </c>
      <c r="Z122" s="85">
        <f>Tabela1[[#This Row],[Pós TGP (g/dL)]]</f>
        <v>99</v>
      </c>
      <c r="AA122" s="85">
        <f>Tabela1[[#This Row],[Pré GGT U/L]]</f>
        <v>25</v>
      </c>
      <c r="AB122" s="193">
        <f>Tabela1[[#This Row],[Pós GGT U/L]]</f>
        <v>29</v>
      </c>
      <c r="AC122" s="194" t="str">
        <f>Tabela1[[#This Row],[Pré Ac. Úrico (mg/dL)]]</f>
        <v>-</v>
      </c>
      <c r="AD122" s="125">
        <f>Tabela1[[#This Row],[Pós Ac. Úrico (mg/dL)2]]</f>
        <v>7.8</v>
      </c>
      <c r="AE12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12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122" s="85">
        <f>Tabela1[[#This Row],[Pré Ureia mg/dL]]</f>
        <v>35</v>
      </c>
      <c r="AH122" s="85">
        <f>Tabela1[[#This Row],[Pós Ureia mg/dL]]</f>
        <v>54</v>
      </c>
      <c r="AI122" s="125">
        <f>Tabela1[[#This Row],[Pré creatinina mg/dL]]</f>
        <v>1.2</v>
      </c>
      <c r="AJ122" s="125">
        <f>Tabela1[[#This Row],[Pós creatinina mg/dL]]</f>
        <v>1.2</v>
      </c>
      <c r="AK122" s="180">
        <f t="shared" si="4"/>
        <v>0</v>
      </c>
      <c r="AL122" s="125">
        <f>Tabela1[[#This Row],[Pré Fósforo mg/dL]]</f>
        <v>3.6</v>
      </c>
      <c r="AM122" s="125">
        <f>Tabela1[[#This Row],[Pós Fósforo mg/dL]]</f>
        <v>5.3</v>
      </c>
      <c r="AN122" s="125">
        <f>Tabela1[[#This Row],[Pré Proteína Total (g/dL)]]</f>
        <v>7</v>
      </c>
      <c r="AO122" s="125">
        <f>Tabela1[[#This Row],[Pós Proteína Total (g/dL)]]</f>
        <v>8.6</v>
      </c>
      <c r="AP122" s="85" t="str">
        <f>Tabela1[[#This Row],[Pré FE (ug/dL)]]</f>
        <v>-</v>
      </c>
      <c r="AQ122" s="193">
        <f>Tabela1[[#This Row],[Pós FE (ug/dL)]]</f>
        <v>68</v>
      </c>
      <c r="AR122" s="194">
        <f>Tabela1[[#This Row],[Pré calcio mg/dL]]</f>
        <v>9.1</v>
      </c>
      <c r="AS122" s="125">
        <f>Tabela1[[#This Row],[Pós calcio mg/dL]]</f>
        <v>10.3</v>
      </c>
      <c r="AT122" s="125">
        <f>Tabela1[[#This Row],[Pré Potássio mmol/L]]</f>
        <v>5.9</v>
      </c>
      <c r="AU122" s="125">
        <f>Tabela1[[#This Row],[Pós Potássio mmol/L]]</f>
        <v>4.9000000000000004</v>
      </c>
      <c r="AV122" s="85">
        <f>Tabela1[[#This Row],[Glicose pré]]</f>
        <v>86</v>
      </c>
      <c r="AW122" s="85">
        <f>Tabela1[[#This Row],[Glicose pós]]</f>
        <v>78</v>
      </c>
      <c r="AX122" s="85">
        <f>Tabela1[[#This Row],[Pré Sódio mmol/L]]</f>
        <v>144</v>
      </c>
      <c r="AY122" s="85">
        <f>Tabela1[[#This Row],[Pós Sódio mmol/L]]</f>
        <v>143</v>
      </c>
      <c r="AZ122" s="125">
        <f>Tabela1[[#This Row],[Pré Magnésio mg/dL]]</f>
        <v>2.1</v>
      </c>
      <c r="BA122" s="125">
        <f>Tabela1[[#This Row],[Pós Magnésio mg/dL]]</f>
        <v>1.9</v>
      </c>
      <c r="BB122" s="85">
        <f>Tabela1[[#This Row],[Pré Cloro mmol/L]]</f>
        <v>102</v>
      </c>
      <c r="BC122" s="85">
        <f>Tabela1[[#This Row],[Pós Cloro mmol/L]]</f>
        <v>99</v>
      </c>
      <c r="BD12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304.1417777777778</v>
      </c>
      <c r="BE12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303.0773333333334</v>
      </c>
      <c r="BF122" s="194">
        <f>Tabela1[[#This Row],[Pré RBC 10^6/mm³]]</f>
        <v>5.0999999999999996</v>
      </c>
      <c r="BG122" s="125">
        <f>Tabela1[[#This Row],[Pós RBC 10^6/mm³]]</f>
        <v>5.23</v>
      </c>
      <c r="BH122" s="125">
        <f>Tabela1[[#This Row],[Pré HGB g/dL]]</f>
        <v>14.1</v>
      </c>
      <c r="BI122" s="125">
        <f>Tabela1[[#This Row],[Pós HGB g/dL]]</f>
        <v>14.7</v>
      </c>
      <c r="BJ122" s="125">
        <f>Tabela1[[#This Row],[Pré HCT %]]</f>
        <v>42.9</v>
      </c>
      <c r="BK122" s="125">
        <f>Tabela1[[#This Row],[Pós HCT %]]</f>
        <v>43.4</v>
      </c>
      <c r="BL122" s="125">
        <f>Tabela1[[#This Row],[Pré MCV fL]]</f>
        <v>84.1</v>
      </c>
      <c r="BM122" s="125">
        <f>Tabela1[[#This Row],[Pós MCV fL]]</f>
        <v>83</v>
      </c>
      <c r="BN122" s="125">
        <f>Tabela1[[#This Row],[Pré MCH pg]]</f>
        <v>27.6</v>
      </c>
      <c r="BO122" s="125">
        <f>Tabela1[[#This Row],[Pós MCH pg]]</f>
        <v>28.1</v>
      </c>
      <c r="BP122" s="125">
        <f>Tabela1[[#This Row],[Pré MCHC g/dL]]</f>
        <v>32.9</v>
      </c>
      <c r="BQ122" s="125">
        <f>Tabela1[[#This Row],[Pós MCHC g/dL]]</f>
        <v>33.9</v>
      </c>
      <c r="BR122" s="85">
        <f>Tabela1[[#This Row],[Pré PLT 10³/mm³]]</f>
        <v>277</v>
      </c>
      <c r="BS122" s="85">
        <f>Tabela1[[#This Row],[Pós PLT 10³/mm³]]</f>
        <v>278</v>
      </c>
      <c r="BT122" s="125">
        <f>Tabela1[[#This Row],[Pré RDW %]]</f>
        <v>13</v>
      </c>
      <c r="BU122" s="125">
        <f>Tabela1[[#This Row],[Pós RDW %]]</f>
        <v>13.1</v>
      </c>
      <c r="BV122" s="179">
        <f>Tabela1[[#This Row],[Pré RET %]]</f>
        <v>1.22</v>
      </c>
      <c r="BW122" s="196">
        <f>Tabela1[[#This Row],[Pós RET %]]</f>
        <v>1.31</v>
      </c>
      <c r="BX122" s="197">
        <f>Tabela1[[#This Row],[Pré WBC 10³/mm³]]</f>
        <v>5.66</v>
      </c>
      <c r="BY122" s="179">
        <f>Tabela1[[#This Row],[Pós WBC 10³/mm³]]</f>
        <v>10.64</v>
      </c>
      <c r="BZ122" s="125">
        <f>Tabela1[[#This Row],[Pré NEUT %]]</f>
        <v>42.4</v>
      </c>
      <c r="CA122" s="125">
        <f>Tabela1[[#This Row],[Pós NEUT %]]</f>
        <v>69.3</v>
      </c>
      <c r="CB122" s="125">
        <f>Tabela1[[#This Row],[Pré LINF %]]</f>
        <v>43.5</v>
      </c>
      <c r="CC122" s="125">
        <f>Tabela1[[#This Row],[Pós LINF %]]</f>
        <v>21.7</v>
      </c>
      <c r="CD122" s="125">
        <f>Tabela1[[#This Row],[Pré MONO %]]</f>
        <v>9.5</v>
      </c>
      <c r="CE122" s="125">
        <f>Tabela1[[#This Row],[Pós MONO %]]</f>
        <v>7</v>
      </c>
      <c r="CF122" s="125">
        <f>Tabela1[[#This Row],[Pré EOS %]]</f>
        <v>4.0999999999999996</v>
      </c>
      <c r="CG122" s="125">
        <f>Tabela1[[#This Row],[Pós EOS %]]</f>
        <v>1.5</v>
      </c>
      <c r="CH122" s="125">
        <f>Tabela1[[#This Row],[Pré BASO %]]</f>
        <v>0.5</v>
      </c>
      <c r="CI122" s="198">
        <f>Tabela1[[#This Row],[Pós BASO %]]</f>
        <v>0.5</v>
      </c>
      <c r="CJ122" s="199" t="str">
        <f t="shared" si="5"/>
        <v>NÃO</v>
      </c>
      <c r="CK122" s="200" t="str">
        <f t="shared" si="6"/>
        <v>SIM</v>
      </c>
      <c r="CL122" s="194">
        <f t="shared" si="7"/>
        <v>70.30368</v>
      </c>
      <c r="CM122" s="125">
        <f>Tabela1[[#This Row],[MCT KG]]</f>
        <v>82.4</v>
      </c>
      <c r="CN122" s="85">
        <f>Tabela1[[#This Row],[ESTATURA]]</f>
        <v>168</v>
      </c>
      <c r="CO122" s="85">
        <f>Tabela1[[#This Row],[vo2max estimado]]</f>
        <v>50.7</v>
      </c>
      <c r="CP122" s="85">
        <f>Tabela1[[#This Row],[Handgrip     Dominante]]</f>
        <v>60</v>
      </c>
      <c r="CQ122" s="85">
        <f>Tabela1[[#This Row],[Handgrip Contrário]]</f>
        <v>58</v>
      </c>
      <c r="CR122" s="281">
        <f>Tabela1[[#This Row],[% gordura]]</f>
        <v>14.68</v>
      </c>
    </row>
    <row r="123" spans="1:96" ht="15.75" customHeight="1">
      <c r="A123" s="279">
        <f>Tabela1[[#This Row],[Ano]]</f>
        <v>2018</v>
      </c>
      <c r="B123" s="181" t="str">
        <f>Tabela1[[#This Row],[Missão]]</f>
        <v>Itatiaia</v>
      </c>
      <c r="C123" s="181">
        <f>Tabela1[[#This Row],[Aluno]]</f>
        <v>3155</v>
      </c>
      <c r="D123" s="181">
        <f>Tabela1[[#This Row],[Idade]]</f>
        <v>26</v>
      </c>
      <c r="E123" s="182">
        <f>Tabela1[[#This Row],[Peso Kg]]</f>
        <v>70</v>
      </c>
      <c r="F123" s="191">
        <f>Tabela1[[#This Row],[Cor da pele]]</f>
        <v>1</v>
      </c>
      <c r="G123" s="192" t="str">
        <f>Tabela1[[#This Row],[ACTN3]]</f>
        <v>RR</v>
      </c>
      <c r="H123" s="85" t="str">
        <f>Tabela1[[#This Row],[AGT]]</f>
        <v>MT</v>
      </c>
      <c r="I123" s="85" t="str">
        <f>Tabela1[[#This Row],[ECA]]</f>
        <v>II</v>
      </c>
      <c r="J123" s="85" t="str">
        <f>Tabela1[[#This Row],[BDKRB2]]</f>
        <v>(+9,-9)</v>
      </c>
      <c r="K123" s="85">
        <f>Tabela1[[#This Row],[Score Força%]]</f>
        <v>50</v>
      </c>
      <c r="L123" s="193">
        <f>Tabela1[[#This Row],[Score Resistência %]]</f>
        <v>50</v>
      </c>
      <c r="M123" s="192">
        <f>Tabela1[[#This Row],[Pré CK (U/L)]]</f>
        <v>258</v>
      </c>
      <c r="N123" s="85">
        <f>Tabela1[[#This Row],[Pós CK (U/L)]]</f>
        <v>932</v>
      </c>
      <c r="O123" s="85">
        <f>Tabela1[[#This Row],[Pré CK MB U/L]]</f>
        <v>15</v>
      </c>
      <c r="P123" s="85">
        <f>Tabela1[[#This Row],[Pós CK MB U/L]]</f>
        <v>36</v>
      </c>
      <c r="Q123" s="85">
        <f>Tabela1[[#This Row],[Pré Lactato (mmol/L)]]</f>
        <v>1.7</v>
      </c>
      <c r="R123" s="85">
        <f>Tabela1[[#This Row],[Pós Lactato (mmol/L)]]</f>
        <v>1.8</v>
      </c>
      <c r="S123" s="85">
        <f>Tabela1[[#This Row],[Pré LDH (U/L)]]</f>
        <v>507</v>
      </c>
      <c r="T123" s="85">
        <f>Tabela1[[#This Row],[Pós LDH (U/L)]]</f>
        <v>719</v>
      </c>
      <c r="U123" s="85">
        <f>Tabela1[[#This Row],[Pré AST (U/L)]]</f>
        <v>28</v>
      </c>
      <c r="V123" s="193">
        <f>Tabela1[[#This Row],[Pós AST (U/L)]]</f>
        <v>67</v>
      </c>
      <c r="W123" s="194">
        <f>Tabela1[[#This Row],[Pré Albumina (g/dL)]]</f>
        <v>4.8</v>
      </c>
      <c r="X123" s="125">
        <f>Tabela1[[#This Row],[Pós Albumina (g/dL)]]</f>
        <v>4.5</v>
      </c>
      <c r="Y123" s="85">
        <f>Tabela1[[#This Row],[Pré TGP (g/dL)]]</f>
        <v>50</v>
      </c>
      <c r="Z123" s="85">
        <f>Tabela1[[#This Row],[Pós TGP (g/dL)]]</f>
        <v>61</v>
      </c>
      <c r="AA123" s="85">
        <f>Tabela1[[#This Row],[Pré GGT U/L]]</f>
        <v>28</v>
      </c>
      <c r="AB123" s="193">
        <f>Tabela1[[#This Row],[Pós GGT U/L]]</f>
        <v>27</v>
      </c>
      <c r="AC123" s="194">
        <f>Tabela1[[#This Row],[Pré Ac. Úrico (mg/dL)]]</f>
        <v>4.4000000000000004</v>
      </c>
      <c r="AD123" s="125">
        <f>Tabela1[[#This Row],[Pós Ac. Úrico (mg/dL)2]]</f>
        <v>5.2</v>
      </c>
      <c r="AE12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2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23" s="85">
        <f>Tabela1[[#This Row],[Pré Ureia mg/dL]]</f>
        <v>64</v>
      </c>
      <c r="AH123" s="85">
        <f>Tabela1[[#This Row],[Pós Ureia mg/dL]]</f>
        <v>50</v>
      </c>
      <c r="AI123" s="125">
        <f>Tabela1[[#This Row],[Pré creatinina mg/dL]]</f>
        <v>0.9</v>
      </c>
      <c r="AJ123" s="125">
        <f>Tabela1[[#This Row],[Pós creatinina mg/dL]]</f>
        <v>0.9</v>
      </c>
      <c r="AK123" s="180">
        <f t="shared" si="4"/>
        <v>0</v>
      </c>
      <c r="AL123" s="125">
        <f>Tabela1[[#This Row],[Pré Fósforo mg/dL]]</f>
        <v>4.2</v>
      </c>
      <c r="AM123" s="125">
        <f>Tabela1[[#This Row],[Pós Fósforo mg/dL]]</f>
        <v>5.0999999999999996</v>
      </c>
      <c r="AN123" s="125">
        <f>Tabela1[[#This Row],[Pré Proteína Total (g/dL)]]</f>
        <v>7.9</v>
      </c>
      <c r="AO123" s="125">
        <f>Tabela1[[#This Row],[Pós Proteína Total (g/dL)]]</f>
        <v>7.6</v>
      </c>
      <c r="AP123" s="85">
        <f>Tabela1[[#This Row],[Pré FE (ug/dL)]]</f>
        <v>103</v>
      </c>
      <c r="AQ123" s="193">
        <f>Tabela1[[#This Row],[Pós FE (ug/dL)]]</f>
        <v>80</v>
      </c>
      <c r="AR123" s="194">
        <f>Tabela1[[#This Row],[Pré calcio mg/dL]]</f>
        <v>10.1</v>
      </c>
      <c r="AS123" s="125">
        <f>Tabela1[[#This Row],[Pós calcio mg/dL]]</f>
        <v>10</v>
      </c>
      <c r="AT123" s="125">
        <f>Tabela1[[#This Row],[Pré Potássio mmol/L]]</f>
        <v>4.3</v>
      </c>
      <c r="AU123" s="125">
        <f>Tabela1[[#This Row],[Pós Potássio mmol/L]]</f>
        <v>4.4000000000000004</v>
      </c>
      <c r="AV123" s="85">
        <f>Tabela1[[#This Row],[Glicose pré]]</f>
        <v>116</v>
      </c>
      <c r="AW123" s="85">
        <f>Tabela1[[#This Row],[Glicose pós]]</f>
        <v>96</v>
      </c>
      <c r="AX123" s="85">
        <f>Tabela1[[#This Row],[Pré Sódio mmol/L]]</f>
        <v>145</v>
      </c>
      <c r="AY123" s="85">
        <f>Tabela1[[#This Row],[Pós Sódio mmol/L]]</f>
        <v>144</v>
      </c>
      <c r="AZ123" s="125">
        <f>Tabela1[[#This Row],[Pré Magnésio mg/dL]]</f>
        <v>1.5</v>
      </c>
      <c r="BA123" s="125">
        <f>Tabela1[[#This Row],[Pós Magnésio mg/dL]]</f>
        <v>2</v>
      </c>
      <c r="BB123" s="85">
        <f>Tabela1[[#This Row],[Pré Cloro mmol/L]]</f>
        <v>100</v>
      </c>
      <c r="BC123" s="85">
        <f>Tabela1[[#This Row],[Pós Cloro mmol/L]]</f>
        <v>102</v>
      </c>
      <c r="BD12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309.77577777777782</v>
      </c>
      <c r="BE12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304.49066666666664</v>
      </c>
      <c r="BF123" s="194">
        <f>Tabela1[[#This Row],[Pré RBC 10^6/mm³]]</f>
        <v>5.08</v>
      </c>
      <c r="BG123" s="125">
        <f>Tabela1[[#This Row],[Pós RBC 10^6/mm³]]</f>
        <v>4.75</v>
      </c>
      <c r="BH123" s="125">
        <f>Tabela1[[#This Row],[Pré HGB g/dL]]</f>
        <v>14.7</v>
      </c>
      <c r="BI123" s="125">
        <f>Tabela1[[#This Row],[Pós HGB g/dL]]</f>
        <v>13.8</v>
      </c>
      <c r="BJ123" s="125">
        <f>Tabela1[[#This Row],[Pré HCT %]]</f>
        <v>44.6</v>
      </c>
      <c r="BK123" s="125">
        <f>Tabela1[[#This Row],[Pós HCT %]]</f>
        <v>42.2</v>
      </c>
      <c r="BL123" s="125" t="str">
        <f>Tabela1[[#This Row],[Pré MCV fL]]</f>
        <v>-</v>
      </c>
      <c r="BM123" s="125">
        <f>Tabela1[[#This Row],[Pós MCV fL]]</f>
        <v>88.8</v>
      </c>
      <c r="BN123" s="125" t="str">
        <f>Tabela1[[#This Row],[Pré MCH pg]]</f>
        <v>-</v>
      </c>
      <c r="BO123" s="125">
        <f>Tabela1[[#This Row],[Pós MCH pg]]</f>
        <v>29.1</v>
      </c>
      <c r="BP123" s="125" t="str">
        <f>Tabela1[[#This Row],[Pré MCHC g/dL]]</f>
        <v>-</v>
      </c>
      <c r="BQ123" s="125">
        <f>Tabela1[[#This Row],[Pós MCHC g/dL]]</f>
        <v>32.700000000000003</v>
      </c>
      <c r="BR123" s="85" t="str">
        <f>Tabela1[[#This Row],[Pré PLT 10³/mm³]]</f>
        <v>-</v>
      </c>
      <c r="BS123" s="85">
        <f>Tabela1[[#This Row],[Pós PLT 10³/mm³]]</f>
        <v>268</v>
      </c>
      <c r="BT123" s="125" t="str">
        <f>Tabela1[[#This Row],[Pré RDW %]]</f>
        <v>-</v>
      </c>
      <c r="BU123" s="125">
        <f>Tabela1[[#This Row],[Pós RDW %]]</f>
        <v>13.4</v>
      </c>
      <c r="BV123" s="179">
        <f>Tabela1[[#This Row],[Pré RET %]]</f>
        <v>1.44</v>
      </c>
      <c r="BW123" s="196">
        <f>Tabela1[[#This Row],[Pós RET %]]</f>
        <v>1.42</v>
      </c>
      <c r="BX123" s="197">
        <f>Tabela1[[#This Row],[Pré WBC 10³/mm³]]</f>
        <v>7.33</v>
      </c>
      <c r="BY123" s="179">
        <f>Tabela1[[#This Row],[Pós WBC 10³/mm³]]</f>
        <v>6.98</v>
      </c>
      <c r="BZ123" s="125" t="str">
        <f>Tabela1[[#This Row],[Pré NEUT %]]</f>
        <v>-</v>
      </c>
      <c r="CA123" s="125">
        <f>Tabela1[[#This Row],[Pós NEUT %]]</f>
        <v>71.599999999999994</v>
      </c>
      <c r="CB123" s="125" t="str">
        <f>Tabela1[[#This Row],[Pré LINF %]]</f>
        <v>-</v>
      </c>
      <c r="CC123" s="125">
        <f>Tabela1[[#This Row],[Pós LINF %]]</f>
        <v>18.5</v>
      </c>
      <c r="CD123" s="125" t="str">
        <f>Tabela1[[#This Row],[Pré MONO %]]</f>
        <v>-</v>
      </c>
      <c r="CE123" s="125">
        <f>Tabela1[[#This Row],[Pós MONO %]]</f>
        <v>8.6999999999999993</v>
      </c>
      <c r="CF123" s="125" t="str">
        <f>Tabela1[[#This Row],[Pré EOS %]]</f>
        <v>-</v>
      </c>
      <c r="CG123" s="125">
        <f>Tabela1[[#This Row],[Pós EOS %]]</f>
        <v>0.9</v>
      </c>
      <c r="CH123" s="125" t="str">
        <f>Tabela1[[#This Row],[Pré BASO %]]</f>
        <v>-</v>
      </c>
      <c r="CI123" s="198">
        <f>Tabela1[[#This Row],[Pós BASO %]]</f>
        <v>0.3</v>
      </c>
      <c r="CJ123" s="199" t="str">
        <f t="shared" si="5"/>
        <v>NÃO</v>
      </c>
      <c r="CK123" s="200" t="str">
        <f t="shared" si="6"/>
        <v>NÃO</v>
      </c>
      <c r="CL123" s="194">
        <f t="shared" si="7"/>
        <v>71.28528</v>
      </c>
      <c r="CM123" s="125">
        <f>Tabela1[[#This Row],[MCT KG]]</f>
        <v>75.900000000000006</v>
      </c>
      <c r="CN123" s="85">
        <f>Tabela1[[#This Row],[ESTATURA]]</f>
        <v>171</v>
      </c>
      <c r="CO123" s="85">
        <f>Tabela1[[#This Row],[vo2max estimado]]</f>
        <v>54.68</v>
      </c>
      <c r="CP123" s="85">
        <f>Tabela1[[#This Row],[Handgrip     Dominante]]</f>
        <v>42</v>
      </c>
      <c r="CQ123" s="85">
        <f>Tabela1[[#This Row],[Handgrip Contrário]]</f>
        <v>43</v>
      </c>
      <c r="CR123" s="281">
        <f>Tabela1[[#This Row],[% gordura]]</f>
        <v>6.08</v>
      </c>
    </row>
    <row r="124" spans="1:96" ht="15.75" customHeight="1">
      <c r="A124" s="279">
        <f>Tabela1[[#This Row],[Ano]]</f>
        <v>2018</v>
      </c>
      <c r="B124" s="181" t="str">
        <f>Tabela1[[#This Row],[Missão]]</f>
        <v>Itatiaia</v>
      </c>
      <c r="C124" s="181">
        <f>Tabela1[[#This Row],[Aluno]]</f>
        <v>3156</v>
      </c>
      <c r="D124" s="181">
        <f>Tabela1[[#This Row],[Idade]]</f>
        <v>26</v>
      </c>
      <c r="E124" s="182">
        <f>Tabela1[[#This Row],[Peso Kg]]</f>
        <v>74</v>
      </c>
      <c r="F124" s="191">
        <f>Tabela1[[#This Row],[Cor da pele]]</f>
        <v>1</v>
      </c>
      <c r="G124" s="192" t="str">
        <f>Tabela1[[#This Row],[ACTN3]]</f>
        <v>RX</v>
      </c>
      <c r="H124" s="85" t="str">
        <f>Tabela1[[#This Row],[AGT]]</f>
        <v>MM</v>
      </c>
      <c r="I124" s="85" t="str">
        <f>Tabela1[[#This Row],[ECA]]</f>
        <v>ID</v>
      </c>
      <c r="J124" s="85" t="str">
        <f>Tabela1[[#This Row],[BDKRB2]]</f>
        <v>(+9,+9)</v>
      </c>
      <c r="K124" s="85">
        <f>Tabela1[[#This Row],[Score Força%]]</f>
        <v>50</v>
      </c>
      <c r="L124" s="193">
        <f>Tabela1[[#This Row],[Score Resistência %]]</f>
        <v>50</v>
      </c>
      <c r="M124" s="192">
        <f>Tabela1[[#This Row],[Pré CK (U/L)]]</f>
        <v>234</v>
      </c>
      <c r="N124" s="85">
        <f>Tabela1[[#This Row],[Pós CK (U/L)]]</f>
        <v>936</v>
      </c>
      <c r="O124" s="85">
        <f>Tabela1[[#This Row],[Pré CK MB U/L]]</f>
        <v>15</v>
      </c>
      <c r="P124" s="85">
        <f>Tabela1[[#This Row],[Pós CK MB U/L]]</f>
        <v>37</v>
      </c>
      <c r="Q124" s="85">
        <f>Tabela1[[#This Row],[Pré Lactato (mmol/L)]]</f>
        <v>2.7</v>
      </c>
      <c r="R124" s="85">
        <f>Tabela1[[#This Row],[Pós Lactato (mmol/L)]]</f>
        <v>2.6</v>
      </c>
      <c r="S124" s="85">
        <f>Tabela1[[#This Row],[Pré LDH (U/L)]]</f>
        <v>528</v>
      </c>
      <c r="T124" s="85">
        <f>Tabela1[[#This Row],[Pós LDH (U/L)]]</f>
        <v>672</v>
      </c>
      <c r="U124" s="85">
        <f>Tabela1[[#This Row],[Pré AST (U/L)]]</f>
        <v>27</v>
      </c>
      <c r="V124" s="193">
        <f>Tabela1[[#This Row],[Pós AST (U/L)]]</f>
        <v>64</v>
      </c>
      <c r="W124" s="194">
        <f>Tabela1[[#This Row],[Pré Albumina (g/dL)]]</f>
        <v>4.9000000000000004</v>
      </c>
      <c r="X124" s="125">
        <f>Tabela1[[#This Row],[Pós Albumina (g/dL)]]</f>
        <v>4.5</v>
      </c>
      <c r="Y124" s="85">
        <f>Tabela1[[#This Row],[Pré TGP (g/dL)]]</f>
        <v>40</v>
      </c>
      <c r="Z124" s="85">
        <f>Tabela1[[#This Row],[Pós TGP (g/dL)]]</f>
        <v>52</v>
      </c>
      <c r="AA124" s="85">
        <f>Tabela1[[#This Row],[Pré GGT U/L]]</f>
        <v>28</v>
      </c>
      <c r="AB124" s="193">
        <f>Tabela1[[#This Row],[Pós GGT U/L]]</f>
        <v>27</v>
      </c>
      <c r="AC124" s="194">
        <f>Tabela1[[#This Row],[Pré Ac. Úrico (mg/dL)]]</f>
        <v>4</v>
      </c>
      <c r="AD124" s="125">
        <f>Tabela1[[#This Row],[Pós Ac. Úrico (mg/dL)2]]</f>
        <v>4.7</v>
      </c>
      <c r="AE12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2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24" s="85">
        <f>Tabela1[[#This Row],[Pré Ureia mg/dL]]</f>
        <v>41</v>
      </c>
      <c r="AH124" s="85">
        <f>Tabela1[[#This Row],[Pós Ureia mg/dL]]</f>
        <v>40</v>
      </c>
      <c r="AI124" s="125">
        <f>Tabela1[[#This Row],[Pré creatinina mg/dL]]</f>
        <v>1.1000000000000001</v>
      </c>
      <c r="AJ124" s="125">
        <f>Tabela1[[#This Row],[Pós creatinina mg/dL]]</f>
        <v>1.1000000000000001</v>
      </c>
      <c r="AK124" s="180">
        <f t="shared" si="4"/>
        <v>0</v>
      </c>
      <c r="AL124" s="125">
        <f>Tabela1[[#This Row],[Pré Fósforo mg/dL]]</f>
        <v>3.5</v>
      </c>
      <c r="AM124" s="125">
        <f>Tabela1[[#This Row],[Pós Fósforo mg/dL]]</f>
        <v>4.2</v>
      </c>
      <c r="AN124" s="125">
        <f>Tabela1[[#This Row],[Pré Proteína Total (g/dL)]]</f>
        <v>8.1</v>
      </c>
      <c r="AO124" s="125">
        <f>Tabela1[[#This Row],[Pós Proteína Total (g/dL)]]</f>
        <v>7.4</v>
      </c>
      <c r="AP124" s="85">
        <f>Tabela1[[#This Row],[Pré FE (ug/dL)]]</f>
        <v>83</v>
      </c>
      <c r="AQ124" s="193">
        <f>Tabela1[[#This Row],[Pós FE (ug/dL)]]</f>
        <v>117</v>
      </c>
      <c r="AR124" s="194">
        <f>Tabela1[[#This Row],[Pré calcio mg/dL]]</f>
        <v>10.199999999999999</v>
      </c>
      <c r="AS124" s="125">
        <f>Tabela1[[#This Row],[Pós calcio mg/dL]]</f>
        <v>9.9</v>
      </c>
      <c r="AT124" s="125">
        <f>Tabela1[[#This Row],[Pré Potássio mmol/L]]</f>
        <v>4</v>
      </c>
      <c r="AU124" s="125">
        <f>Tabela1[[#This Row],[Pós Potássio mmol/L]]</f>
        <v>4.7</v>
      </c>
      <c r="AV124" s="85">
        <f>Tabela1[[#This Row],[Glicose pré]]</f>
        <v>108</v>
      </c>
      <c r="AW124" s="85">
        <f>Tabela1[[#This Row],[Glicose pós]]</f>
        <v>116</v>
      </c>
      <c r="AX124" s="85">
        <f>Tabela1[[#This Row],[Pré Sódio mmol/L]]</f>
        <v>147</v>
      </c>
      <c r="AY124" s="85">
        <f>Tabela1[[#This Row],[Pós Sódio mmol/L]]</f>
        <v>147</v>
      </c>
      <c r="AZ124" s="125">
        <f>Tabela1[[#This Row],[Pré Magnésio mg/dL]]</f>
        <v>2.1</v>
      </c>
      <c r="BA124" s="125">
        <f>Tabela1[[#This Row],[Pós Magnésio mg/dL]]</f>
        <v>2.2000000000000002</v>
      </c>
      <c r="BB124" s="85">
        <f>Tabela1[[#This Row],[Pré Cloro mmol/L]]</f>
        <v>98</v>
      </c>
      <c r="BC124" s="85">
        <f>Tabela1[[#This Row],[Pós Cloro mmol/L]]</f>
        <v>105</v>
      </c>
      <c r="BD12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308.59333333333331</v>
      </c>
      <c r="BE12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310.23977777777776</v>
      </c>
      <c r="BF124" s="194">
        <f>Tabela1[[#This Row],[Pré RBC 10^6/mm³]]</f>
        <v>5.26</v>
      </c>
      <c r="BG124" s="125">
        <f>Tabela1[[#This Row],[Pós RBC 10^6/mm³]]</f>
        <v>4.96</v>
      </c>
      <c r="BH124" s="125">
        <f>Tabela1[[#This Row],[Pré HGB g/dL]]</f>
        <v>15.9</v>
      </c>
      <c r="BI124" s="125">
        <f>Tabela1[[#This Row],[Pós HGB g/dL]]</f>
        <v>14.9</v>
      </c>
      <c r="BJ124" s="125">
        <f>Tabela1[[#This Row],[Pré HCT %]]</f>
        <v>47.4</v>
      </c>
      <c r="BK124" s="125">
        <f>Tabela1[[#This Row],[Pós HCT %]]</f>
        <v>45</v>
      </c>
      <c r="BL124" s="125" t="str">
        <f>Tabela1[[#This Row],[Pré MCV fL]]</f>
        <v>-</v>
      </c>
      <c r="BM124" s="125">
        <f>Tabela1[[#This Row],[Pós MCV fL]]</f>
        <v>90.7</v>
      </c>
      <c r="BN124" s="125" t="str">
        <f>Tabela1[[#This Row],[Pré MCH pg]]</f>
        <v>-</v>
      </c>
      <c r="BO124" s="125">
        <f>Tabela1[[#This Row],[Pós MCH pg]]</f>
        <v>30</v>
      </c>
      <c r="BP124" s="125" t="str">
        <f>Tabela1[[#This Row],[Pré MCHC g/dL]]</f>
        <v>-</v>
      </c>
      <c r="BQ124" s="125">
        <f>Tabela1[[#This Row],[Pós MCHC g/dL]]</f>
        <v>33.1</v>
      </c>
      <c r="BR124" s="85" t="str">
        <f>Tabela1[[#This Row],[Pré PLT 10³/mm³]]</f>
        <v>-</v>
      </c>
      <c r="BS124" s="85">
        <f>Tabela1[[#This Row],[Pós PLT 10³/mm³]]</f>
        <v>220</v>
      </c>
      <c r="BT124" s="125" t="str">
        <f>Tabela1[[#This Row],[Pré RDW %]]</f>
        <v>-</v>
      </c>
      <c r="BU124" s="125">
        <f>Tabela1[[#This Row],[Pós RDW %]]</f>
        <v>12.5</v>
      </c>
      <c r="BV124" s="179">
        <f>Tabela1[[#This Row],[Pré RET %]]</f>
        <v>1.7</v>
      </c>
      <c r="BW124" s="196">
        <f>Tabela1[[#This Row],[Pós RET %]]</f>
        <v>1.05</v>
      </c>
      <c r="BX124" s="197">
        <f>Tabela1[[#This Row],[Pré WBC 10³/mm³]]</f>
        <v>6.3</v>
      </c>
      <c r="BY124" s="179">
        <f>Tabela1[[#This Row],[Pós WBC 10³/mm³]]</f>
        <v>5.69</v>
      </c>
      <c r="BZ124" s="125" t="str">
        <f>Tabela1[[#This Row],[Pré NEUT %]]</f>
        <v>-</v>
      </c>
      <c r="CA124" s="125">
        <f>Tabela1[[#This Row],[Pós NEUT %]]</f>
        <v>71.099999999999994</v>
      </c>
      <c r="CB124" s="125" t="str">
        <f>Tabela1[[#This Row],[Pré LINF %]]</f>
        <v>-</v>
      </c>
      <c r="CC124" s="125">
        <f>Tabela1[[#This Row],[Pós LINF %]]</f>
        <v>19.7</v>
      </c>
      <c r="CD124" s="125" t="str">
        <f>Tabela1[[#This Row],[Pré MONO %]]</f>
        <v>-</v>
      </c>
      <c r="CE124" s="125">
        <f>Tabela1[[#This Row],[Pós MONO %]]</f>
        <v>8.1</v>
      </c>
      <c r="CF124" s="125" t="str">
        <f>Tabela1[[#This Row],[Pré EOS %]]</f>
        <v>-</v>
      </c>
      <c r="CG124" s="125">
        <f>Tabela1[[#This Row],[Pós EOS %]]</f>
        <v>0.7</v>
      </c>
      <c r="CH124" s="125" t="str">
        <f>Tabela1[[#This Row],[Pré BASO %]]</f>
        <v>-</v>
      </c>
      <c r="CI124" s="198">
        <f>Tabela1[[#This Row],[Pós BASO %]]</f>
        <v>0.4</v>
      </c>
      <c r="CJ124" s="199" t="str">
        <f t="shared" si="5"/>
        <v>NÃO</v>
      </c>
      <c r="CK124" s="200" t="str">
        <f t="shared" si="6"/>
        <v>NÃO</v>
      </c>
      <c r="CL124" s="194">
        <f t="shared" si="7"/>
        <v>72.293760000000006</v>
      </c>
      <c r="CM124" s="125">
        <f>Tabela1[[#This Row],[MCT KG]]</f>
        <v>79.2</v>
      </c>
      <c r="CN124" s="85">
        <f>Tabela1[[#This Row],[ESTATURA]]</f>
        <v>174</v>
      </c>
      <c r="CO124" s="85">
        <f>Tabela1[[#This Row],[vo2max estimado]]</f>
        <v>53.64</v>
      </c>
      <c r="CP124" s="85">
        <f>Tabela1[[#This Row],[Handgrip     Dominante]]</f>
        <v>49.5</v>
      </c>
      <c r="CQ124" s="85">
        <f>Tabela1[[#This Row],[Handgrip Contrário]]</f>
        <v>49.5</v>
      </c>
      <c r="CR124" s="281">
        <f>Tabela1[[#This Row],[% gordura]]</f>
        <v>8.7200000000000006</v>
      </c>
    </row>
    <row r="125" spans="1:96" ht="15.75" customHeight="1">
      <c r="A125" s="279">
        <f>Tabela1[[#This Row],[Ano]]</f>
        <v>2018</v>
      </c>
      <c r="B125" s="181" t="str">
        <f>Tabela1[[#This Row],[Missão]]</f>
        <v>Itatiaia</v>
      </c>
      <c r="C125" s="181">
        <f>Tabela1[[#This Row],[Aluno]]</f>
        <v>3159</v>
      </c>
      <c r="D125" s="181">
        <f>Tabela1[[#This Row],[Idade]]</f>
        <v>25</v>
      </c>
      <c r="E125" s="182">
        <f>Tabela1[[#This Row],[Peso Kg]]</f>
        <v>84</v>
      </c>
      <c r="F125" s="191">
        <f>Tabela1[[#This Row],[Cor da pele]]</f>
        <v>1</v>
      </c>
      <c r="G125" s="192" t="str">
        <f>Tabela1[[#This Row],[ACTN3]]</f>
        <v>RR</v>
      </c>
      <c r="H125" s="85" t="str">
        <f>Tabela1[[#This Row],[AGT]]</f>
        <v>TT</v>
      </c>
      <c r="I125" s="85" t="str">
        <f>Tabela1[[#This Row],[ECA]]</f>
        <v>DD</v>
      </c>
      <c r="J125" s="85" t="str">
        <f>Tabela1[[#This Row],[BDKRB2]]</f>
        <v>(+9,-9)</v>
      </c>
      <c r="K125" s="85" t="str">
        <f>Tabela1[[#This Row],[Score Força%]]</f>
        <v>-</v>
      </c>
      <c r="L125" s="193" t="str">
        <f>Tabela1[[#This Row],[Score Resistência %]]</f>
        <v>-</v>
      </c>
      <c r="M125" s="192">
        <f>Tabela1[[#This Row],[Pré CK (U/L)]]</f>
        <v>230</v>
      </c>
      <c r="N125" s="85">
        <f>Tabela1[[#This Row],[Pós CK (U/L)]]</f>
        <v>446</v>
      </c>
      <c r="O125" s="85">
        <f>Tabela1[[#This Row],[Pré CK MB U/L]]</f>
        <v>14</v>
      </c>
      <c r="P125" s="85">
        <f>Tabela1[[#This Row],[Pós CK MB U/L]]</f>
        <v>26</v>
      </c>
      <c r="Q125" s="85">
        <f>Tabela1[[#This Row],[Pré Lactato (mmol/L)]]</f>
        <v>1.2</v>
      </c>
      <c r="R125" s="85">
        <f>Tabela1[[#This Row],[Pós Lactato (mmol/L)]]</f>
        <v>2.5</v>
      </c>
      <c r="S125" s="85">
        <f>Tabela1[[#This Row],[Pré LDH (U/L)]]</f>
        <v>220</v>
      </c>
      <c r="T125" s="85">
        <f>Tabela1[[#This Row],[Pós LDH (U/L)]]</f>
        <v>303</v>
      </c>
      <c r="U125" s="85">
        <f>Tabela1[[#This Row],[Pré AST (U/L)]]</f>
        <v>32</v>
      </c>
      <c r="V125" s="193">
        <f>Tabela1[[#This Row],[Pós AST (U/L)]]</f>
        <v>44</v>
      </c>
      <c r="W125" s="194">
        <f>Tabela1[[#This Row],[Pré Albumina (g/dL)]]</f>
        <v>4.4000000000000004</v>
      </c>
      <c r="X125" s="125">
        <f>Tabela1[[#This Row],[Pós Albumina (g/dL)]]</f>
        <v>4.3</v>
      </c>
      <c r="Y125" s="85">
        <f>Tabela1[[#This Row],[Pré TGP (g/dL)]]</f>
        <v>51</v>
      </c>
      <c r="Z125" s="85">
        <f>Tabela1[[#This Row],[Pós TGP (g/dL)]]</f>
        <v>50</v>
      </c>
      <c r="AA125" s="85">
        <f>Tabela1[[#This Row],[Pré GGT U/L]]</f>
        <v>23</v>
      </c>
      <c r="AB125" s="193">
        <f>Tabela1[[#This Row],[Pós GGT U/L]]</f>
        <v>21</v>
      </c>
      <c r="AC125" s="194">
        <f>Tabela1[[#This Row],[Pré Ac. Úrico (mg/dL)]]</f>
        <v>6.1</v>
      </c>
      <c r="AD125" s="125">
        <f>Tabela1[[#This Row],[Pós Ac. Úrico (mg/dL)2]]</f>
        <v>5.7</v>
      </c>
      <c r="AE12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76.739527424440993</v>
      </c>
      <c r="AF12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25" s="85">
        <f>Tabela1[[#This Row],[Pré Ureia mg/dL]]</f>
        <v>50</v>
      </c>
      <c r="AH125" s="85">
        <f>Tabela1[[#This Row],[Pós Ureia mg/dL]]</f>
        <v>47</v>
      </c>
      <c r="AI125" s="125">
        <f>Tabela1[[#This Row],[Pré creatinina mg/dL]]</f>
        <v>1.3</v>
      </c>
      <c r="AJ125" s="125">
        <f>Tabela1[[#This Row],[Pós creatinina mg/dL]]</f>
        <v>1.1000000000000001</v>
      </c>
      <c r="AK125" s="180">
        <f t="shared" si="4"/>
        <v>0</v>
      </c>
      <c r="AL125" s="125">
        <f>Tabela1[[#This Row],[Pré Fósforo mg/dL]]</f>
        <v>4.2</v>
      </c>
      <c r="AM125" s="125">
        <f>Tabela1[[#This Row],[Pós Fósforo mg/dL]]</f>
        <v>4.5</v>
      </c>
      <c r="AN125" s="125">
        <f>Tabela1[[#This Row],[Pré Proteína Total (g/dL)]]</f>
        <v>7.4</v>
      </c>
      <c r="AO125" s="125">
        <f>Tabela1[[#This Row],[Pós Proteína Total (g/dL)]]</f>
        <v>7.2</v>
      </c>
      <c r="AP125" s="85">
        <f>Tabela1[[#This Row],[Pré FE (ug/dL)]]</f>
        <v>65</v>
      </c>
      <c r="AQ125" s="193">
        <f>Tabela1[[#This Row],[Pós FE (ug/dL)]]</f>
        <v>109</v>
      </c>
      <c r="AR125" s="194">
        <f>Tabela1[[#This Row],[Pré calcio mg/dL]]</f>
        <v>10.1</v>
      </c>
      <c r="AS125" s="125">
        <f>Tabela1[[#This Row],[Pós calcio mg/dL]]</f>
        <v>9.8000000000000007</v>
      </c>
      <c r="AT125" s="125">
        <f>Tabela1[[#This Row],[Pré Potássio mmol/L]]</f>
        <v>4.0999999999999996</v>
      </c>
      <c r="AU125" s="125">
        <f>Tabela1[[#This Row],[Pós Potássio mmol/L]]</f>
        <v>4.7</v>
      </c>
      <c r="AV125" s="85">
        <f>Tabela1[[#This Row],[Glicose pré]]</f>
        <v>56</v>
      </c>
      <c r="AW125" s="85">
        <f>Tabela1[[#This Row],[Glicose pós]]</f>
        <v>89</v>
      </c>
      <c r="AX125" s="85">
        <f>Tabela1[[#This Row],[Pré Sódio mmol/L]]</f>
        <v>148</v>
      </c>
      <c r="AY125" s="85">
        <f>Tabela1[[#This Row],[Pós Sódio mmol/L]]</f>
        <v>145</v>
      </c>
      <c r="AZ125" s="125">
        <f>Tabela1[[#This Row],[Pré Magnésio mg/dL]]</f>
        <v>2</v>
      </c>
      <c r="BA125" s="125">
        <f>Tabela1[[#This Row],[Pós Magnésio mg/dL]]</f>
        <v>1.7</v>
      </c>
      <c r="BB125" s="85">
        <f>Tabela1[[#This Row],[Pré Cloro mmol/L]]</f>
        <v>102</v>
      </c>
      <c r="BC125" s="85">
        <f>Tabela1[[#This Row],[Pós Cloro mmol/L]]</f>
        <v>106</v>
      </c>
      <c r="BD12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308.8171111111111</v>
      </c>
      <c r="BE12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305.96144444444445</v>
      </c>
      <c r="BF125" s="194">
        <f>Tabela1[[#This Row],[Pré RBC 10^6/mm³]]</f>
        <v>5.16</v>
      </c>
      <c r="BG125" s="125">
        <f>Tabela1[[#This Row],[Pós RBC 10^6/mm³]]</f>
        <v>4.8499999999999996</v>
      </c>
      <c r="BH125" s="125">
        <f>Tabela1[[#This Row],[Pré HGB g/dL]]</f>
        <v>14.4</v>
      </c>
      <c r="BI125" s="125">
        <f>Tabela1[[#This Row],[Pós HGB g/dL]]</f>
        <v>13.5</v>
      </c>
      <c r="BJ125" s="125">
        <f>Tabela1[[#This Row],[Pré HCT %]]</f>
        <v>45.3</v>
      </c>
      <c r="BK125" s="125">
        <f>Tabela1[[#This Row],[Pós HCT %]]</f>
        <v>42.4</v>
      </c>
      <c r="BL125" s="125" t="str">
        <f>Tabela1[[#This Row],[Pré MCV fL]]</f>
        <v>-</v>
      </c>
      <c r="BM125" s="125">
        <f>Tabela1[[#This Row],[Pós MCV fL]]</f>
        <v>87.4</v>
      </c>
      <c r="BN125" s="125" t="str">
        <f>Tabela1[[#This Row],[Pré MCH pg]]</f>
        <v>-</v>
      </c>
      <c r="BO125" s="125">
        <f>Tabela1[[#This Row],[Pós MCH pg]]</f>
        <v>27.8</v>
      </c>
      <c r="BP125" s="125" t="str">
        <f>Tabela1[[#This Row],[Pré MCHC g/dL]]</f>
        <v>-</v>
      </c>
      <c r="BQ125" s="125">
        <f>Tabela1[[#This Row],[Pós MCHC g/dL]]</f>
        <v>31.8</v>
      </c>
      <c r="BR125" s="85" t="str">
        <f>Tabela1[[#This Row],[Pré PLT 10³/mm³]]</f>
        <v>-</v>
      </c>
      <c r="BS125" s="85">
        <f>Tabela1[[#This Row],[Pós PLT 10³/mm³]]</f>
        <v>238</v>
      </c>
      <c r="BT125" s="125" t="str">
        <f>Tabela1[[#This Row],[Pré RDW %]]</f>
        <v>-</v>
      </c>
      <c r="BU125" s="125">
        <f>Tabela1[[#This Row],[Pós RDW %]]</f>
        <v>13.2</v>
      </c>
      <c r="BV125" s="179">
        <f>Tabela1[[#This Row],[Pré RET %]]</f>
        <v>1.52</v>
      </c>
      <c r="BW125" s="196">
        <f>Tabela1[[#This Row],[Pós RET %]]</f>
        <v>1.1399999999999999</v>
      </c>
      <c r="BX125" s="197">
        <f>Tabela1[[#This Row],[Pré WBC 10³/mm³]]</f>
        <v>4.2300000000000004</v>
      </c>
      <c r="BY125" s="179">
        <f>Tabela1[[#This Row],[Pós WBC 10³/mm³]]</f>
        <v>5.62</v>
      </c>
      <c r="BZ125" s="125" t="str">
        <f>Tabela1[[#This Row],[Pré NEUT %]]</f>
        <v>-</v>
      </c>
      <c r="CA125" s="125">
        <f>Tabela1[[#This Row],[Pós NEUT %]]</f>
        <v>60.6</v>
      </c>
      <c r="CB125" s="125" t="str">
        <f>Tabela1[[#This Row],[Pré LINF %]]</f>
        <v>-</v>
      </c>
      <c r="CC125" s="125">
        <f>Tabela1[[#This Row],[Pós LINF %]]</f>
        <v>25.4</v>
      </c>
      <c r="CD125" s="125" t="str">
        <f>Tabela1[[#This Row],[Pré MONO %]]</f>
        <v>-</v>
      </c>
      <c r="CE125" s="125">
        <f>Tabela1[[#This Row],[Pós MONO %]]</f>
        <v>8.5</v>
      </c>
      <c r="CF125" s="125" t="str">
        <f>Tabela1[[#This Row],[Pré EOS %]]</f>
        <v>-</v>
      </c>
      <c r="CG125" s="125">
        <f>Tabela1[[#This Row],[Pós EOS %]]</f>
        <v>4.8</v>
      </c>
      <c r="CH125" s="125" t="str">
        <f>Tabela1[[#This Row],[Pré BASO %]]</f>
        <v>-</v>
      </c>
      <c r="CI125" s="198">
        <f>Tabela1[[#This Row],[Pós BASO %]]</f>
        <v>0.7</v>
      </c>
      <c r="CJ125" s="199" t="str">
        <f t="shared" si="5"/>
        <v>NÃO</v>
      </c>
      <c r="CK125" s="200" t="str">
        <f t="shared" si="6"/>
        <v>NÃO</v>
      </c>
      <c r="CL125" s="194">
        <f t="shared" si="7"/>
        <v>75.355769999999993</v>
      </c>
      <c r="CM125" s="125">
        <f>Tabela1[[#This Row],[MCT KG]]</f>
        <v>84.3</v>
      </c>
      <c r="CN125" s="85">
        <f>Tabela1[[#This Row],[ESTATURA]]</f>
        <v>178</v>
      </c>
      <c r="CO125" s="85">
        <f>Tabela1[[#This Row],[vo2max estimado]]</f>
        <v>52.69</v>
      </c>
      <c r="CP125" s="85">
        <f>Tabela1[[#This Row],[Handgrip     Dominante]]</f>
        <v>60</v>
      </c>
      <c r="CQ125" s="85">
        <f>Tabela1[[#This Row],[Handgrip Contrário]]</f>
        <v>57</v>
      </c>
      <c r="CR125" s="281">
        <f>Tabela1[[#This Row],[% gordura]]</f>
        <v>10.61</v>
      </c>
    </row>
    <row r="126" spans="1:96" ht="15.75" customHeight="1">
      <c r="A126" s="279">
        <f>Tabela1[[#This Row],[Ano]]</f>
        <v>2018</v>
      </c>
      <c r="B126" s="181" t="str">
        <f>Tabela1[[#This Row],[Missão]]</f>
        <v>Itatiaia</v>
      </c>
      <c r="C126" s="181">
        <f>Tabela1[[#This Row],[Aluno]]</f>
        <v>3165</v>
      </c>
      <c r="D126" s="181">
        <f>Tabela1[[#This Row],[Idade]]</f>
        <v>33</v>
      </c>
      <c r="E126" s="182">
        <f>Tabela1[[#This Row],[Peso Kg]]</f>
        <v>82</v>
      </c>
      <c r="F126" s="191">
        <f>Tabela1[[#This Row],[Cor da pele]]</f>
        <v>1</v>
      </c>
      <c r="G126" s="192" t="str">
        <f>Tabela1[[#This Row],[ACTN3]]</f>
        <v>RR</v>
      </c>
      <c r="H126" s="85" t="str">
        <f>Tabela1[[#This Row],[AGT]]</f>
        <v>MT</v>
      </c>
      <c r="I126" s="85" t="str">
        <f>Tabela1[[#This Row],[ECA]]</f>
        <v>II</v>
      </c>
      <c r="J126" s="85" t="str">
        <f>Tabela1[[#This Row],[BDKRB2]]</f>
        <v>(+9,-9)</v>
      </c>
      <c r="K126" s="85">
        <f>Tabela1[[#This Row],[Score Força%]]</f>
        <v>50</v>
      </c>
      <c r="L126" s="193">
        <f>Tabela1[[#This Row],[Score Resistência %]]</f>
        <v>50</v>
      </c>
      <c r="M126" s="192">
        <f>Tabela1[[#This Row],[Pré CK (U/L)]]</f>
        <v>467</v>
      </c>
      <c r="N126" s="85">
        <f>Tabela1[[#This Row],[Pós CK (U/L)]]</f>
        <v>550</v>
      </c>
      <c r="O126" s="85">
        <f>Tabela1[[#This Row],[Pré CK MB U/L]]</f>
        <v>4</v>
      </c>
      <c r="P126" s="85">
        <f>Tabela1[[#This Row],[Pós CK MB U/L]]</f>
        <v>19</v>
      </c>
      <c r="Q126" s="85">
        <f>Tabela1[[#This Row],[Pré Lactato (mmol/L)]]</f>
        <v>1.4</v>
      </c>
      <c r="R126" s="85">
        <f>Tabela1[[#This Row],[Pós Lactato (mmol/L)]]</f>
        <v>2.6</v>
      </c>
      <c r="S126" s="85">
        <f>Tabela1[[#This Row],[Pré LDH (U/L)]]</f>
        <v>477</v>
      </c>
      <c r="T126" s="85">
        <f>Tabela1[[#This Row],[Pós LDH (U/L)]]</f>
        <v>599</v>
      </c>
      <c r="U126" s="85">
        <f>Tabela1[[#This Row],[Pré AST (U/L)]]</f>
        <v>40</v>
      </c>
      <c r="V126" s="193">
        <f>Tabela1[[#This Row],[Pós AST (U/L)]]</f>
        <v>46</v>
      </c>
      <c r="W126" s="194">
        <f>Tabela1[[#This Row],[Pré Albumina (g/dL)]]</f>
        <v>4.7</v>
      </c>
      <c r="X126" s="125">
        <f>Tabela1[[#This Row],[Pós Albumina (g/dL)]]</f>
        <v>4.4000000000000004</v>
      </c>
      <c r="Y126" s="85">
        <f>Tabela1[[#This Row],[Pré TGP (g/dL)]]</f>
        <v>46</v>
      </c>
      <c r="Z126" s="85">
        <f>Tabela1[[#This Row],[Pós TGP (g/dL)]]</f>
        <v>45</v>
      </c>
      <c r="AA126" s="85">
        <f>Tabela1[[#This Row],[Pré GGT U/L]]</f>
        <v>41</v>
      </c>
      <c r="AB126" s="193">
        <f>Tabela1[[#This Row],[Pós GGT U/L]]</f>
        <v>38</v>
      </c>
      <c r="AC126" s="194">
        <f>Tabela1[[#This Row],[Pré Ac. Úrico (mg/dL)]]</f>
        <v>6.8</v>
      </c>
      <c r="AD126" s="125">
        <f>Tabela1[[#This Row],[Pós Ac. Úrico (mg/dL)2]]</f>
        <v>6.2</v>
      </c>
      <c r="AE12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2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26" s="85">
        <f>Tabela1[[#This Row],[Pré Ureia mg/dL]]</f>
        <v>52</v>
      </c>
      <c r="AH126" s="85">
        <f>Tabela1[[#This Row],[Pós Ureia mg/dL]]</f>
        <v>48</v>
      </c>
      <c r="AI126" s="125">
        <f>Tabela1[[#This Row],[Pré creatinina mg/dL]]</f>
        <v>1.1000000000000001</v>
      </c>
      <c r="AJ126" s="125">
        <f>Tabela1[[#This Row],[Pós creatinina mg/dL]]</f>
        <v>1</v>
      </c>
      <c r="AK126" s="180">
        <f t="shared" si="4"/>
        <v>0</v>
      </c>
      <c r="AL126" s="125">
        <f>Tabela1[[#This Row],[Pré Fósforo mg/dL]]</f>
        <v>4.8</v>
      </c>
      <c r="AM126" s="125">
        <f>Tabela1[[#This Row],[Pós Fósforo mg/dL]]</f>
        <v>4.0999999999999996</v>
      </c>
      <c r="AN126" s="125">
        <f>Tabela1[[#This Row],[Pré Proteína Total (g/dL)]]</f>
        <v>7.8</v>
      </c>
      <c r="AO126" s="125">
        <f>Tabela1[[#This Row],[Pós Proteína Total (g/dL)]]</f>
        <v>7.3</v>
      </c>
      <c r="AP126" s="85">
        <f>Tabela1[[#This Row],[Pré FE (ug/dL)]]</f>
        <v>66</v>
      </c>
      <c r="AQ126" s="193">
        <f>Tabela1[[#This Row],[Pós FE (ug/dL)]]</f>
        <v>118</v>
      </c>
      <c r="AR126" s="194">
        <f>Tabela1[[#This Row],[Pré calcio mg/dL]]</f>
        <v>10.1</v>
      </c>
      <c r="AS126" s="125">
        <f>Tabela1[[#This Row],[Pós calcio mg/dL]]</f>
        <v>9.5</v>
      </c>
      <c r="AT126" s="125">
        <f>Tabela1[[#This Row],[Pré Potássio mmol/L]]</f>
        <v>4.5999999999999996</v>
      </c>
      <c r="AU126" s="125">
        <f>Tabela1[[#This Row],[Pós Potássio mmol/L]]</f>
        <v>4.4000000000000004</v>
      </c>
      <c r="AV126" s="85">
        <f>Tabela1[[#This Row],[Glicose pré]]</f>
        <v>97</v>
      </c>
      <c r="AW126" s="85">
        <f>Tabela1[[#This Row],[Glicose pós]]</f>
        <v>118</v>
      </c>
      <c r="AX126" s="85">
        <f>Tabela1[[#This Row],[Pré Sódio mmol/L]]</f>
        <v>147</v>
      </c>
      <c r="AY126" s="85">
        <f>Tabela1[[#This Row],[Pós Sódio mmol/L]]</f>
        <v>147</v>
      </c>
      <c r="AZ126" s="125">
        <f>Tabela1[[#This Row],[Pré Magnésio mg/dL]]</f>
        <v>1.9</v>
      </c>
      <c r="BA126" s="125">
        <f>Tabela1[[#This Row],[Pós Magnésio mg/dL]]</f>
        <v>1.9</v>
      </c>
      <c r="BB126" s="85">
        <f>Tabela1[[#This Row],[Pré Cloro mmol/L]]</f>
        <v>97</v>
      </c>
      <c r="BC126" s="85">
        <f>Tabela1[[#This Row],[Pós Cloro mmol/L]]</f>
        <v>104</v>
      </c>
      <c r="BD12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310.83988888888888</v>
      </c>
      <c r="BE12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311.14288888888893</v>
      </c>
      <c r="BF126" s="194">
        <f>Tabela1[[#This Row],[Pré RBC 10^6/mm³]]</f>
        <v>4.5999999999999996</v>
      </c>
      <c r="BG126" s="125">
        <f>Tabela1[[#This Row],[Pós RBC 10^6/mm³]]</f>
        <v>4.1900000000000004</v>
      </c>
      <c r="BH126" s="125">
        <f>Tabela1[[#This Row],[Pré HGB g/dL]]</f>
        <v>13.9</v>
      </c>
      <c r="BI126" s="125">
        <f>Tabela1[[#This Row],[Pós HGB g/dL]]</f>
        <v>12.6</v>
      </c>
      <c r="BJ126" s="125">
        <f>Tabela1[[#This Row],[Pré HCT %]]</f>
        <v>42.9</v>
      </c>
      <c r="BK126" s="125">
        <f>Tabela1[[#This Row],[Pós HCT %]]</f>
        <v>38.700000000000003</v>
      </c>
      <c r="BL126" s="125" t="str">
        <f>Tabela1[[#This Row],[Pré MCV fL]]</f>
        <v>-</v>
      </c>
      <c r="BM126" s="125">
        <f>Tabela1[[#This Row],[Pós MCV fL]]</f>
        <v>92.4</v>
      </c>
      <c r="BN126" s="125" t="str">
        <f>Tabela1[[#This Row],[Pré MCH pg]]</f>
        <v>-</v>
      </c>
      <c r="BO126" s="125">
        <f>Tabela1[[#This Row],[Pós MCH pg]]</f>
        <v>30.1</v>
      </c>
      <c r="BP126" s="125" t="str">
        <f>Tabela1[[#This Row],[Pré MCHC g/dL]]</f>
        <v>-</v>
      </c>
      <c r="BQ126" s="125">
        <f>Tabela1[[#This Row],[Pós MCHC g/dL]]</f>
        <v>32.6</v>
      </c>
      <c r="BR126" s="85" t="str">
        <f>Tabela1[[#This Row],[Pré PLT 10³/mm³]]</f>
        <v>-</v>
      </c>
      <c r="BS126" s="85">
        <f>Tabela1[[#This Row],[Pós PLT 10³/mm³]]</f>
        <v>237</v>
      </c>
      <c r="BT126" s="125" t="str">
        <f>Tabela1[[#This Row],[Pré RDW %]]</f>
        <v>-</v>
      </c>
      <c r="BU126" s="125">
        <f>Tabela1[[#This Row],[Pós RDW %]]</f>
        <v>12</v>
      </c>
      <c r="BV126" s="179">
        <f>Tabela1[[#This Row],[Pré RET %]]</f>
        <v>1.93</v>
      </c>
      <c r="BW126" s="196">
        <f>Tabela1[[#This Row],[Pós RET %]]</f>
        <v>1.1100000000000001</v>
      </c>
      <c r="BX126" s="197">
        <f>Tabela1[[#This Row],[Pré WBC 10³/mm³]]</f>
        <v>8.66</v>
      </c>
      <c r="BY126" s="179">
        <f>Tabela1[[#This Row],[Pós WBC 10³/mm³]]</f>
        <v>8.35</v>
      </c>
      <c r="BZ126" s="125" t="str">
        <f>Tabela1[[#This Row],[Pré NEUT %]]</f>
        <v>-</v>
      </c>
      <c r="CA126" s="125">
        <f>Tabela1[[#This Row],[Pós NEUT %]]</f>
        <v>79.099999999999994</v>
      </c>
      <c r="CB126" s="125" t="str">
        <f>Tabela1[[#This Row],[Pré LINF %]]</f>
        <v>-</v>
      </c>
      <c r="CC126" s="125">
        <f>Tabela1[[#This Row],[Pós LINF %]]</f>
        <v>14.9</v>
      </c>
      <c r="CD126" s="125" t="str">
        <f>Tabela1[[#This Row],[Pré MONO %]]</f>
        <v>-</v>
      </c>
      <c r="CE126" s="125">
        <f>Tabela1[[#This Row],[Pós MONO %]]</f>
        <v>4.5999999999999996</v>
      </c>
      <c r="CF126" s="125" t="str">
        <f>Tabela1[[#This Row],[Pré EOS %]]</f>
        <v>-</v>
      </c>
      <c r="CG126" s="125">
        <f>Tabela1[[#This Row],[Pós EOS %]]</f>
        <v>1.2</v>
      </c>
      <c r="CH126" s="125" t="str">
        <f>Tabela1[[#This Row],[Pré BASO %]]</f>
        <v>-</v>
      </c>
      <c r="CI126" s="198">
        <f>Tabela1[[#This Row],[Pós BASO %]]</f>
        <v>0.2</v>
      </c>
      <c r="CJ126" s="199" t="str">
        <f t="shared" si="5"/>
        <v>NÃO</v>
      </c>
      <c r="CK126" s="200" t="str">
        <f t="shared" si="6"/>
        <v>NÃO</v>
      </c>
      <c r="CL126" s="194">
        <f t="shared" si="7"/>
        <v>67.787359999999993</v>
      </c>
      <c r="CM126" s="125">
        <f>Tabela1[[#This Row],[MCT KG]]</f>
        <v>79.599999999999994</v>
      </c>
      <c r="CN126" s="85">
        <f>Tabela1[[#This Row],[ESTATURA]]</f>
        <v>182</v>
      </c>
      <c r="CO126" s="85">
        <f>Tabela1[[#This Row],[vo2max estimado]]</f>
        <v>51.21</v>
      </c>
      <c r="CP126" s="85">
        <f>Tabela1[[#This Row],[Handgrip     Dominante]]</f>
        <v>51</v>
      </c>
      <c r="CQ126" s="85">
        <f>Tabela1[[#This Row],[Handgrip Contrário]]</f>
        <v>49</v>
      </c>
      <c r="CR126" s="281">
        <f>Tabela1[[#This Row],[% gordura]]</f>
        <v>14.84</v>
      </c>
    </row>
    <row r="127" spans="1:96" ht="15.75" customHeight="1">
      <c r="A127" s="279">
        <f>Tabela1[[#This Row],[Ano]]</f>
        <v>2018</v>
      </c>
      <c r="B127" s="181" t="str">
        <f>Tabela1[[#This Row],[Missão]]</f>
        <v>Itatiaia</v>
      </c>
      <c r="C127" s="181">
        <f>Tabela1[[#This Row],[Aluno]]</f>
        <v>3169</v>
      </c>
      <c r="D127" s="181">
        <f>Tabela1[[#This Row],[Idade]]</f>
        <v>31</v>
      </c>
      <c r="E127" s="182">
        <f>Tabela1[[#This Row],[Peso Kg]]</f>
        <v>79</v>
      </c>
      <c r="F127" s="191">
        <f>Tabela1[[#This Row],[Cor da pele]]</f>
        <v>1</v>
      </c>
      <c r="G127" s="192" t="str">
        <f>Tabela1[[#This Row],[ACTN3]]</f>
        <v>XX</v>
      </c>
      <c r="H127" s="85" t="str">
        <f>Tabela1[[#This Row],[AGT]]</f>
        <v>MT</v>
      </c>
      <c r="I127" s="85" t="str">
        <f>Tabela1[[#This Row],[ECA]]</f>
        <v>ID</v>
      </c>
      <c r="J127" s="85" t="str">
        <f>Tabela1[[#This Row],[BDKRB2]]</f>
        <v>(-9,-9)</v>
      </c>
      <c r="K127" s="85">
        <f>Tabela1[[#This Row],[Score Força%]]</f>
        <v>100</v>
      </c>
      <c r="L127" s="193">
        <f>Tabela1[[#This Row],[Score Resistência %]]</f>
        <v>0</v>
      </c>
      <c r="M127" s="192">
        <f>Tabela1[[#This Row],[Pré CK (U/L)]]</f>
        <v>261</v>
      </c>
      <c r="N127" s="85">
        <f>Tabela1[[#This Row],[Pós CK (U/L)]]</f>
        <v>965</v>
      </c>
      <c r="O127" s="85">
        <f>Tabela1[[#This Row],[Pré CK MB U/L]]</f>
        <v>3</v>
      </c>
      <c r="P127" s="85">
        <f>Tabela1[[#This Row],[Pós CK MB U/L]]</f>
        <v>26</v>
      </c>
      <c r="Q127" s="85">
        <f>Tabela1[[#This Row],[Pré Lactato (mmol/L)]]</f>
        <v>1.4</v>
      </c>
      <c r="R127" s="85">
        <f>Tabela1[[#This Row],[Pós Lactato (mmol/L)]]</f>
        <v>2.4</v>
      </c>
      <c r="S127" s="85">
        <f>Tabela1[[#This Row],[Pré LDH (U/L)]]</f>
        <v>497</v>
      </c>
      <c r="T127" s="85">
        <f>Tabela1[[#This Row],[Pós LDH (U/L)]]</f>
        <v>607</v>
      </c>
      <c r="U127" s="85">
        <f>Tabela1[[#This Row],[Pré AST (U/L)]]</f>
        <v>33</v>
      </c>
      <c r="V127" s="193">
        <f>Tabela1[[#This Row],[Pós AST (U/L)]]</f>
        <v>75</v>
      </c>
      <c r="W127" s="194">
        <f>Tabela1[[#This Row],[Pré Albumina (g/dL)]]</f>
        <v>4.8</v>
      </c>
      <c r="X127" s="125">
        <f>Tabela1[[#This Row],[Pós Albumina (g/dL)]]</f>
        <v>4.4000000000000004</v>
      </c>
      <c r="Y127" s="85">
        <f>Tabela1[[#This Row],[Pré TGP (g/dL)]]</f>
        <v>48</v>
      </c>
      <c r="Z127" s="85">
        <f>Tabela1[[#This Row],[Pós TGP (g/dL)]]</f>
        <v>59</v>
      </c>
      <c r="AA127" s="85">
        <f>Tabela1[[#This Row],[Pré GGT U/L]]</f>
        <v>30</v>
      </c>
      <c r="AB127" s="193">
        <f>Tabela1[[#This Row],[Pós GGT U/L]]</f>
        <v>39</v>
      </c>
      <c r="AC127" s="194">
        <f>Tabela1[[#This Row],[Pré Ac. Úrico (mg/dL)]]</f>
        <v>7.9</v>
      </c>
      <c r="AD127" s="125">
        <f>Tabela1[[#This Row],[Pós Ac. Úrico (mg/dL)2]]</f>
        <v>9.4</v>
      </c>
      <c r="AE12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12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27" s="85">
        <f>Tabela1[[#This Row],[Pré Ureia mg/dL]]</f>
        <v>34</v>
      </c>
      <c r="AH127" s="85">
        <f>Tabela1[[#This Row],[Pós Ureia mg/dL]]</f>
        <v>51</v>
      </c>
      <c r="AI127" s="125">
        <f>Tabela1[[#This Row],[Pré creatinina mg/dL]]</f>
        <v>1.2</v>
      </c>
      <c r="AJ127" s="125">
        <f>Tabela1[[#This Row],[Pós creatinina mg/dL]]</f>
        <v>1.1000000000000001</v>
      </c>
      <c r="AK127" s="180">
        <f t="shared" si="4"/>
        <v>0</v>
      </c>
      <c r="AL127" s="125">
        <f>Tabela1[[#This Row],[Pré Fósforo mg/dL]]</f>
        <v>3.9</v>
      </c>
      <c r="AM127" s="125">
        <f>Tabela1[[#This Row],[Pós Fósforo mg/dL]]</f>
        <v>4.9000000000000004</v>
      </c>
      <c r="AN127" s="125">
        <f>Tabela1[[#This Row],[Pré Proteína Total (g/dL)]]</f>
        <v>8.6</v>
      </c>
      <c r="AO127" s="125">
        <f>Tabela1[[#This Row],[Pós Proteína Total (g/dL)]]</f>
        <v>8.4</v>
      </c>
      <c r="AP127" s="85">
        <f>Tabela1[[#This Row],[Pré FE (ug/dL)]]</f>
        <v>27</v>
      </c>
      <c r="AQ127" s="193">
        <f>Tabela1[[#This Row],[Pós FE (ug/dL)]]</f>
        <v>149</v>
      </c>
      <c r="AR127" s="194">
        <f>Tabela1[[#This Row],[Pré calcio mg/dL]]</f>
        <v>10</v>
      </c>
      <c r="AS127" s="125">
        <f>Tabela1[[#This Row],[Pós calcio mg/dL]]</f>
        <v>9.4</v>
      </c>
      <c r="AT127" s="125">
        <f>Tabela1[[#This Row],[Pré Potássio mmol/L]]</f>
        <v>4.7</v>
      </c>
      <c r="AU127" s="125">
        <f>Tabela1[[#This Row],[Pós Potássio mmol/L]]</f>
        <v>4.4000000000000004</v>
      </c>
      <c r="AV127" s="85">
        <f>Tabela1[[#This Row],[Glicose pré]]</f>
        <v>89</v>
      </c>
      <c r="AW127" s="85">
        <f>Tabela1[[#This Row],[Glicose pós]]</f>
        <v>85</v>
      </c>
      <c r="AX127" s="85">
        <f>Tabela1[[#This Row],[Pré Sódio mmol/L]]</f>
        <v>148</v>
      </c>
      <c r="AY127" s="85">
        <f>Tabela1[[#This Row],[Pós Sódio mmol/L]]</f>
        <v>150</v>
      </c>
      <c r="AZ127" s="125">
        <f>Tabela1[[#This Row],[Pré Magnésio mg/dL]]</f>
        <v>1.9</v>
      </c>
      <c r="BA127" s="125">
        <f>Tabela1[[#This Row],[Pós Magnésio mg/dL]]</f>
        <v>2.4</v>
      </c>
      <c r="BB127" s="85">
        <f>Tabela1[[#This Row],[Pré Cloro mmol/L]]</f>
        <v>100</v>
      </c>
      <c r="BC127" s="85">
        <f>Tabela1[[#This Row],[Pós Cloro mmol/L]]</f>
        <v>105</v>
      </c>
      <c r="BD12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309.37477777777781</v>
      </c>
      <c r="BE12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315.11455555555557</v>
      </c>
      <c r="BF127" s="194">
        <f>Tabela1[[#This Row],[Pré RBC 10^6/mm³]]</f>
        <v>5.1100000000000003</v>
      </c>
      <c r="BG127" s="125">
        <f>Tabela1[[#This Row],[Pós RBC 10^6/mm³]]</f>
        <v>4.49</v>
      </c>
      <c r="BH127" s="125">
        <f>Tabela1[[#This Row],[Pré HGB g/dL]]</f>
        <v>14.6</v>
      </c>
      <c r="BI127" s="125">
        <f>Tabela1[[#This Row],[Pós HGB g/dL]]</f>
        <v>12.9</v>
      </c>
      <c r="BJ127" s="125">
        <f>Tabela1[[#This Row],[Pré HCT %]]</f>
        <v>46.1</v>
      </c>
      <c r="BK127" s="125">
        <f>Tabela1[[#This Row],[Pós HCT %]]</f>
        <v>40.1</v>
      </c>
      <c r="BL127" s="125" t="str">
        <f>Tabela1[[#This Row],[Pré MCV fL]]</f>
        <v>-</v>
      </c>
      <c r="BM127" s="125">
        <f>Tabela1[[#This Row],[Pós MCV fL]]</f>
        <v>89.3</v>
      </c>
      <c r="BN127" s="125" t="str">
        <f>Tabela1[[#This Row],[Pré MCH pg]]</f>
        <v>-</v>
      </c>
      <c r="BO127" s="125">
        <f>Tabela1[[#This Row],[Pós MCH pg]]</f>
        <v>28.7</v>
      </c>
      <c r="BP127" s="125" t="str">
        <f>Tabela1[[#This Row],[Pré MCHC g/dL]]</f>
        <v>-</v>
      </c>
      <c r="BQ127" s="125">
        <f>Tabela1[[#This Row],[Pós MCHC g/dL]]</f>
        <v>32.200000000000003</v>
      </c>
      <c r="BR127" s="85" t="str">
        <f>Tabela1[[#This Row],[Pré PLT 10³/mm³]]</f>
        <v>-</v>
      </c>
      <c r="BS127" s="85">
        <f>Tabela1[[#This Row],[Pós PLT 10³/mm³]]</f>
        <v>260</v>
      </c>
      <c r="BT127" s="125" t="str">
        <f>Tabela1[[#This Row],[Pré RDW %]]</f>
        <v>-</v>
      </c>
      <c r="BU127" s="125">
        <f>Tabela1[[#This Row],[Pós RDW %]]</f>
        <v>13.2</v>
      </c>
      <c r="BV127" s="179">
        <f>Tabela1[[#This Row],[Pré RET %]]</f>
        <v>1.25</v>
      </c>
      <c r="BW127" s="196">
        <f>Tabela1[[#This Row],[Pós RET %]]</f>
        <v>1.02</v>
      </c>
      <c r="BX127" s="197">
        <f>Tabela1[[#This Row],[Pré WBC 10³/mm³]]</f>
        <v>10.65</v>
      </c>
      <c r="BY127" s="179">
        <f>Tabela1[[#This Row],[Pós WBC 10³/mm³]]</f>
        <v>8.41</v>
      </c>
      <c r="BZ127" s="125" t="str">
        <f>Tabela1[[#This Row],[Pré NEUT %]]</f>
        <v>-</v>
      </c>
      <c r="CA127" s="125">
        <f>Tabela1[[#This Row],[Pós NEUT %]]</f>
        <v>72.400000000000006</v>
      </c>
      <c r="CB127" s="125" t="str">
        <f>Tabela1[[#This Row],[Pré LINF %]]</f>
        <v>-</v>
      </c>
      <c r="CC127" s="125">
        <f>Tabela1[[#This Row],[Pós LINF %]]</f>
        <v>17.100000000000001</v>
      </c>
      <c r="CD127" s="125" t="str">
        <f>Tabela1[[#This Row],[Pré MONO %]]</f>
        <v>-</v>
      </c>
      <c r="CE127" s="125">
        <f>Tabela1[[#This Row],[Pós MONO %]]</f>
        <v>9</v>
      </c>
      <c r="CF127" s="125" t="str">
        <f>Tabela1[[#This Row],[Pré EOS %]]</f>
        <v>-</v>
      </c>
      <c r="CG127" s="125">
        <f>Tabela1[[#This Row],[Pós EOS %]]</f>
        <v>1</v>
      </c>
      <c r="CH127" s="125" t="str">
        <f>Tabela1[[#This Row],[Pré BASO %]]</f>
        <v>-</v>
      </c>
      <c r="CI127" s="198">
        <f>Tabela1[[#This Row],[Pós BASO %]]</f>
        <v>0.5</v>
      </c>
      <c r="CJ127" s="199" t="str">
        <f t="shared" si="5"/>
        <v>NÃO</v>
      </c>
      <c r="CK127" s="200" t="str">
        <f t="shared" si="6"/>
        <v>NÃO</v>
      </c>
      <c r="CL127" s="194">
        <f t="shared" si="7"/>
        <v>74.95620000000001</v>
      </c>
      <c r="CM127" s="125">
        <f>Tabela1[[#This Row],[MCT KG]]</f>
        <v>90.2</v>
      </c>
      <c r="CN127" s="85">
        <f>Tabela1[[#This Row],[ESTATURA]]</f>
        <v>184.5</v>
      </c>
      <c r="CO127" s="85">
        <f>Tabela1[[#This Row],[vo2max estimado]]</f>
        <v>48.67</v>
      </c>
      <c r="CP127" s="85">
        <f>Tabela1[[#This Row],[Handgrip     Dominante]]</f>
        <v>54</v>
      </c>
      <c r="CQ127" s="85">
        <f>Tabela1[[#This Row],[Handgrip Contrário]]</f>
        <v>47</v>
      </c>
      <c r="CR127" s="281">
        <f>Tabela1[[#This Row],[% gordura]]</f>
        <v>16.899999999999999</v>
      </c>
    </row>
    <row r="128" spans="1:96" ht="15.75" customHeight="1">
      <c r="A128" s="279">
        <f>Tabela1[[#This Row],[Ano]]</f>
        <v>2018</v>
      </c>
      <c r="B128" s="181" t="str">
        <f>Tabela1[[#This Row],[Missão]]</f>
        <v>Itatiaia</v>
      </c>
      <c r="C128" s="181">
        <f>Tabela1[[#This Row],[Aluno]]</f>
        <v>3175</v>
      </c>
      <c r="D128" s="181">
        <f>Tabela1[[#This Row],[Idade]]</f>
        <v>32</v>
      </c>
      <c r="E128" s="182">
        <f>Tabela1[[#This Row],[Peso Kg]]</f>
        <v>89</v>
      </c>
      <c r="F128" s="191">
        <f>Tabela1[[#This Row],[Cor da pele]]</f>
        <v>2</v>
      </c>
      <c r="G128" s="192" t="str">
        <f>Tabela1[[#This Row],[ACTN3]]</f>
        <v>RX</v>
      </c>
      <c r="H128" s="85" t="str">
        <f>Tabela1[[#This Row],[AGT]]</f>
        <v>MM</v>
      </c>
      <c r="I128" s="85" t="str">
        <f>Tabela1[[#This Row],[ECA]]</f>
        <v>ID</v>
      </c>
      <c r="J128" s="85" t="str">
        <f>Tabela1[[#This Row],[BDKRB2]]</f>
        <v>(+9,+9)</v>
      </c>
      <c r="K128" s="85">
        <f>Tabela1[[#This Row],[Score Força%]]</f>
        <v>45.8333333333333</v>
      </c>
      <c r="L128" s="193">
        <f>Tabela1[[#This Row],[Score Resistência %]]</f>
        <v>54.1666666666667</v>
      </c>
      <c r="M128" s="192">
        <f>Tabela1[[#This Row],[Pré CK (U/L)]]</f>
        <v>253</v>
      </c>
      <c r="N128" s="85">
        <f>Tabela1[[#This Row],[Pós CK (U/L)]]</f>
        <v>1353</v>
      </c>
      <c r="O128" s="85">
        <f>Tabela1[[#This Row],[Pré CK MB U/L]]</f>
        <v>21</v>
      </c>
      <c r="P128" s="85">
        <f>Tabela1[[#This Row],[Pós CK MB U/L]]</f>
        <v>41</v>
      </c>
      <c r="Q128" s="85">
        <f>Tabela1[[#This Row],[Pré Lactato (mmol/L)]]</f>
        <v>1</v>
      </c>
      <c r="R128" s="85">
        <f>Tabela1[[#This Row],[Pós Lactato (mmol/L)]]</f>
        <v>2.2000000000000002</v>
      </c>
      <c r="S128" s="85">
        <f>Tabela1[[#This Row],[Pré LDH (U/L)]]</f>
        <v>521</v>
      </c>
      <c r="T128" s="85">
        <f>Tabela1[[#This Row],[Pós LDH (U/L)]]</f>
        <v>745</v>
      </c>
      <c r="U128" s="85">
        <f>Tabela1[[#This Row],[Pré AST (U/L)]]</f>
        <v>33</v>
      </c>
      <c r="V128" s="193">
        <f>Tabela1[[#This Row],[Pós AST (U/L)]]</f>
        <v>66</v>
      </c>
      <c r="W128" s="194">
        <f>Tabela1[[#This Row],[Pré Albumina (g/dL)]]</f>
        <v>5</v>
      </c>
      <c r="X128" s="125">
        <f>Tabela1[[#This Row],[Pós Albumina (g/dL)]]</f>
        <v>4.7</v>
      </c>
      <c r="Y128" s="85">
        <f>Tabela1[[#This Row],[Pré TGP (g/dL)]]</f>
        <v>47</v>
      </c>
      <c r="Z128" s="85">
        <f>Tabela1[[#This Row],[Pós TGP (g/dL)]]</f>
        <v>48</v>
      </c>
      <c r="AA128" s="85">
        <f>Tabela1[[#This Row],[Pré GGT U/L]]</f>
        <v>29</v>
      </c>
      <c r="AB128" s="193">
        <f>Tabela1[[#This Row],[Pós GGT U/L]]</f>
        <v>26</v>
      </c>
      <c r="AC128" s="194">
        <f>Tabela1[[#This Row],[Pré Ac. Úrico (mg/dL)]]</f>
        <v>5.6</v>
      </c>
      <c r="AD128" s="125">
        <f>Tabela1[[#This Row],[Pós Ac. Úrico (mg/dL)2]]</f>
        <v>5.2</v>
      </c>
      <c r="AE12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2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28" s="85">
        <f>Tabela1[[#This Row],[Pré Ureia mg/dL]]</f>
        <v>48</v>
      </c>
      <c r="AH128" s="85">
        <f>Tabela1[[#This Row],[Pós Ureia mg/dL]]</f>
        <v>47</v>
      </c>
      <c r="AI128" s="125">
        <f>Tabela1[[#This Row],[Pré creatinina mg/dL]]</f>
        <v>1.1000000000000001</v>
      </c>
      <c r="AJ128" s="125">
        <f>Tabela1[[#This Row],[Pós creatinina mg/dL]]</f>
        <v>1</v>
      </c>
      <c r="AK128" s="180">
        <f t="shared" si="4"/>
        <v>0</v>
      </c>
      <c r="AL128" s="125">
        <f>Tabela1[[#This Row],[Pré Fósforo mg/dL]]</f>
        <v>3.9</v>
      </c>
      <c r="AM128" s="125">
        <f>Tabela1[[#This Row],[Pós Fósforo mg/dL]]</f>
        <v>4.5999999999999996</v>
      </c>
      <c r="AN128" s="125">
        <f>Tabela1[[#This Row],[Pré Proteína Total (g/dL)]]</f>
        <v>9.1</v>
      </c>
      <c r="AO128" s="125">
        <f>Tabela1[[#This Row],[Pós Proteína Total (g/dL)]]</f>
        <v>8.4</v>
      </c>
      <c r="AP128" s="85">
        <f>Tabela1[[#This Row],[Pré FE (ug/dL)]]</f>
        <v>91</v>
      </c>
      <c r="AQ128" s="193">
        <f>Tabela1[[#This Row],[Pós FE (ug/dL)]]</f>
        <v>123</v>
      </c>
      <c r="AR128" s="194">
        <f>Tabela1[[#This Row],[Pré calcio mg/dL]]</f>
        <v>10.8</v>
      </c>
      <c r="AS128" s="125">
        <f>Tabela1[[#This Row],[Pós calcio mg/dL]]</f>
        <v>9.6999999999999993</v>
      </c>
      <c r="AT128" s="125">
        <f>Tabela1[[#This Row],[Pré Potássio mmol/L]]</f>
        <v>4.5999999999999996</v>
      </c>
      <c r="AU128" s="125">
        <f>Tabela1[[#This Row],[Pós Potássio mmol/L]]</f>
        <v>4.5</v>
      </c>
      <c r="AV128" s="85">
        <f>Tabela1[[#This Row],[Glicose pré]]</f>
        <v>90</v>
      </c>
      <c r="AW128" s="85">
        <f>Tabela1[[#This Row],[Glicose pós]]</f>
        <v>121</v>
      </c>
      <c r="AX128" s="85">
        <f>Tabela1[[#This Row],[Pré Sódio mmol/L]]</f>
        <v>144</v>
      </c>
      <c r="AY128" s="85">
        <f>Tabela1[[#This Row],[Pós Sódio mmol/L]]</f>
        <v>146</v>
      </c>
      <c r="AZ128" s="125">
        <f>Tabela1[[#This Row],[Pré Magnésio mg/dL]]</f>
        <v>2.1</v>
      </c>
      <c r="BA128" s="125">
        <f>Tabela1[[#This Row],[Pós Magnésio mg/dL]]</f>
        <v>1.9</v>
      </c>
      <c r="BB128" s="85">
        <f>Tabela1[[#This Row],[Pré Cloro mmol/L]]</f>
        <v>100</v>
      </c>
      <c r="BC128" s="85">
        <f>Tabela1[[#This Row],[Pós Cloro mmol/L]]</f>
        <v>106</v>
      </c>
      <c r="BD12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304.14600000000002</v>
      </c>
      <c r="BE12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309.49388888888888</v>
      </c>
      <c r="BF128" s="194">
        <f>Tabela1[[#This Row],[Pré RBC 10^6/mm³]]</f>
        <v>5.29</v>
      </c>
      <c r="BG128" s="125">
        <f>Tabela1[[#This Row],[Pós RBC 10^6/mm³]]</f>
        <v>4.8499999999999996</v>
      </c>
      <c r="BH128" s="125">
        <f>Tabela1[[#This Row],[Pré HGB g/dL]]</f>
        <v>15.6</v>
      </c>
      <c r="BI128" s="125">
        <f>Tabela1[[#This Row],[Pós HGB g/dL]]</f>
        <v>14.1</v>
      </c>
      <c r="BJ128" s="125">
        <f>Tabela1[[#This Row],[Pré HCT %]]</f>
        <v>47.4</v>
      </c>
      <c r="BK128" s="125">
        <f>Tabela1[[#This Row],[Pós HCT %]]</f>
        <v>43.5</v>
      </c>
      <c r="BL128" s="125" t="str">
        <f>Tabela1[[#This Row],[Pré MCV fL]]</f>
        <v>-</v>
      </c>
      <c r="BM128" s="125">
        <f>Tabela1[[#This Row],[Pós MCV fL]]</f>
        <v>89.7</v>
      </c>
      <c r="BN128" s="125" t="str">
        <f>Tabela1[[#This Row],[Pré MCH pg]]</f>
        <v>-</v>
      </c>
      <c r="BO128" s="125">
        <f>Tabela1[[#This Row],[Pós MCH pg]]</f>
        <v>29.1</v>
      </c>
      <c r="BP128" s="125" t="str">
        <f>Tabela1[[#This Row],[Pré MCHC g/dL]]</f>
        <v>-</v>
      </c>
      <c r="BQ128" s="125">
        <f>Tabela1[[#This Row],[Pós MCHC g/dL]]</f>
        <v>32.4</v>
      </c>
      <c r="BR128" s="85" t="str">
        <f>Tabela1[[#This Row],[Pré PLT 10³/mm³]]</f>
        <v>-</v>
      </c>
      <c r="BS128" s="85">
        <f>Tabela1[[#This Row],[Pós PLT 10³/mm³]]</f>
        <v>186</v>
      </c>
      <c r="BT128" s="125" t="str">
        <f>Tabela1[[#This Row],[Pré RDW %]]</f>
        <v>-</v>
      </c>
      <c r="BU128" s="125">
        <f>Tabela1[[#This Row],[Pós RDW %]]</f>
        <v>12.9</v>
      </c>
      <c r="BV128" s="179">
        <f>Tabela1[[#This Row],[Pré RET %]]</f>
        <v>1.49</v>
      </c>
      <c r="BW128" s="196">
        <f>Tabela1[[#This Row],[Pós RET %]]</f>
        <v>0.93</v>
      </c>
      <c r="BX128" s="197">
        <f>Tabela1[[#This Row],[Pré WBC 10³/mm³]]</f>
        <v>6.31</v>
      </c>
      <c r="BY128" s="179">
        <f>Tabela1[[#This Row],[Pós WBC 10³/mm³]]</f>
        <v>8.6300000000000008</v>
      </c>
      <c r="BZ128" s="125" t="str">
        <f>Tabela1[[#This Row],[Pré NEUT %]]</f>
        <v>-</v>
      </c>
      <c r="CA128" s="125">
        <f>Tabela1[[#This Row],[Pós NEUT %]]</f>
        <v>72.3</v>
      </c>
      <c r="CB128" s="125" t="str">
        <f>Tabela1[[#This Row],[Pré LINF %]]</f>
        <v>-</v>
      </c>
      <c r="CC128" s="125">
        <f>Tabela1[[#This Row],[Pós LINF %]]</f>
        <v>18.8</v>
      </c>
      <c r="CD128" s="125" t="str">
        <f>Tabela1[[#This Row],[Pré MONO %]]</f>
        <v>-</v>
      </c>
      <c r="CE128" s="125">
        <f>Tabela1[[#This Row],[Pós MONO %]]</f>
        <v>6.7</v>
      </c>
      <c r="CF128" s="125" t="str">
        <f>Tabela1[[#This Row],[Pré EOS %]]</f>
        <v>-</v>
      </c>
      <c r="CG128" s="125">
        <f>Tabela1[[#This Row],[Pós EOS %]]</f>
        <v>2</v>
      </c>
      <c r="CH128" s="125" t="str">
        <f>Tabela1[[#This Row],[Pré BASO %]]</f>
        <v>-</v>
      </c>
      <c r="CI128" s="198">
        <f>Tabela1[[#This Row],[Pós BASO %]]</f>
        <v>0.2</v>
      </c>
      <c r="CJ128" s="199" t="str">
        <f t="shared" si="5"/>
        <v>NÃO</v>
      </c>
      <c r="CK128" s="200" t="str">
        <f t="shared" si="6"/>
        <v>SIM</v>
      </c>
      <c r="CL128" s="194">
        <f t="shared" si="7"/>
        <v>82.029080000000008</v>
      </c>
      <c r="CM128" s="125">
        <f>Tabela1[[#This Row],[MCT KG]]</f>
        <v>90.7</v>
      </c>
      <c r="CN128" s="85">
        <f>Tabela1[[#This Row],[ESTATURA]]</f>
        <v>191</v>
      </c>
      <c r="CO128" s="85">
        <f>Tabela1[[#This Row],[vo2max estimado]]</f>
        <v>50.01</v>
      </c>
      <c r="CP128" s="85">
        <f>Tabela1[[#This Row],[Handgrip     Dominante]]</f>
        <v>56.5</v>
      </c>
      <c r="CQ128" s="85">
        <f>Tabela1[[#This Row],[Handgrip Contrário]]</f>
        <v>54.5</v>
      </c>
      <c r="CR128" s="281">
        <f>Tabela1[[#This Row],[% gordura]]</f>
        <v>9.56</v>
      </c>
    </row>
    <row r="129" spans="1:96" ht="15.75" customHeight="1">
      <c r="A129" s="279">
        <f>Tabela1[[#This Row],[Ano]]</f>
        <v>2018</v>
      </c>
      <c r="B129" s="181" t="str">
        <f>Tabela1[[#This Row],[Missão]]</f>
        <v>Itatiaia</v>
      </c>
      <c r="C129" s="181">
        <f>Tabela1[[#This Row],[Aluno]]</f>
        <v>3180</v>
      </c>
      <c r="D129" s="181">
        <f>Tabela1[[#This Row],[Idade]]</f>
        <v>30</v>
      </c>
      <c r="E129" s="182">
        <f>Tabela1[[#This Row],[Peso Kg]]</f>
        <v>96</v>
      </c>
      <c r="F129" s="191">
        <f>Tabela1[[#This Row],[Cor da pele]]</f>
        <v>1</v>
      </c>
      <c r="G129" s="192" t="str">
        <f>Tabela1[[#This Row],[ACTN3]]</f>
        <v>RX</v>
      </c>
      <c r="H129" s="85" t="str">
        <f>Tabela1[[#This Row],[AGT]]</f>
        <v>TT</v>
      </c>
      <c r="I129" s="85" t="str">
        <f>Tabela1[[#This Row],[ECA]]</f>
        <v>DD</v>
      </c>
      <c r="J129" s="85" t="str">
        <f>Tabela1[[#This Row],[BDKRB2]]</f>
        <v>(-9,-9)</v>
      </c>
      <c r="K129" s="85">
        <f>Tabela1[[#This Row],[Score Força%]]</f>
        <v>54.1666666666667</v>
      </c>
      <c r="L129" s="193">
        <f>Tabela1[[#This Row],[Score Resistência %]]</f>
        <v>45.8333333333333</v>
      </c>
      <c r="M129" s="192">
        <f>Tabela1[[#This Row],[Pré CK (U/L)]]</f>
        <v>147</v>
      </c>
      <c r="N129" s="85">
        <f>Tabela1[[#This Row],[Pós CK (U/L)]]</f>
        <v>854</v>
      </c>
      <c r="O129" s="85">
        <f>Tabela1[[#This Row],[Pré CK MB U/L]]</f>
        <v>6</v>
      </c>
      <c r="P129" s="85">
        <f>Tabela1[[#This Row],[Pós CK MB U/L]]</f>
        <v>35</v>
      </c>
      <c r="Q129" s="85">
        <f>Tabela1[[#This Row],[Pré Lactato (mmol/L)]]</f>
        <v>1.6</v>
      </c>
      <c r="R129" s="85">
        <f>Tabela1[[#This Row],[Pós Lactato (mmol/L)]]</f>
        <v>3.8</v>
      </c>
      <c r="S129" s="85">
        <f>Tabela1[[#This Row],[Pré LDH (U/L)]]</f>
        <v>435</v>
      </c>
      <c r="T129" s="85">
        <f>Tabela1[[#This Row],[Pós LDH (U/L)]]</f>
        <v>586</v>
      </c>
      <c r="U129" s="85">
        <f>Tabela1[[#This Row],[Pré AST (U/L)]]</f>
        <v>24</v>
      </c>
      <c r="V129" s="193">
        <f>Tabela1[[#This Row],[Pós AST (U/L)]]</f>
        <v>69</v>
      </c>
      <c r="W129" s="194">
        <f>Tabela1[[#This Row],[Pré Albumina (g/dL)]]</f>
        <v>4.2</v>
      </c>
      <c r="X129" s="125">
        <f>Tabela1[[#This Row],[Pós Albumina (g/dL)]]</f>
        <v>4.4000000000000004</v>
      </c>
      <c r="Y129" s="85">
        <f>Tabela1[[#This Row],[Pré TGP (g/dL)]]</f>
        <v>40</v>
      </c>
      <c r="Z129" s="85">
        <f>Tabela1[[#This Row],[Pós TGP (g/dL)]]</f>
        <v>50</v>
      </c>
      <c r="AA129" s="85">
        <f>Tabela1[[#This Row],[Pré GGT U/L]]</f>
        <v>22</v>
      </c>
      <c r="AB129" s="193">
        <f>Tabela1[[#This Row],[Pós GGT U/L]]</f>
        <v>23</v>
      </c>
      <c r="AC129" s="194">
        <f>Tabela1[[#This Row],[Pré Ac. Úrico (mg/dL)]]</f>
        <v>5.3</v>
      </c>
      <c r="AD129" s="125">
        <f>Tabela1[[#This Row],[Pós Ac. Úrico (mg/dL)2]]</f>
        <v>5.9</v>
      </c>
      <c r="AE12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2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29" s="85">
        <f>Tabela1[[#This Row],[Pré Ureia mg/dL]]</f>
        <v>39</v>
      </c>
      <c r="AH129" s="85">
        <f>Tabela1[[#This Row],[Pós Ureia mg/dL]]</f>
        <v>44</v>
      </c>
      <c r="AI129" s="125">
        <f>Tabela1[[#This Row],[Pré creatinina mg/dL]]</f>
        <v>1.1000000000000001</v>
      </c>
      <c r="AJ129" s="125">
        <f>Tabela1[[#This Row],[Pós creatinina mg/dL]]</f>
        <v>1.1000000000000001</v>
      </c>
      <c r="AK129" s="180">
        <f t="shared" si="4"/>
        <v>0</v>
      </c>
      <c r="AL129" s="125">
        <f>Tabela1[[#This Row],[Pré Fósforo mg/dL]]</f>
        <v>3.7</v>
      </c>
      <c r="AM129" s="125">
        <f>Tabela1[[#This Row],[Pós Fósforo mg/dL]]</f>
        <v>5</v>
      </c>
      <c r="AN129" s="125">
        <f>Tabela1[[#This Row],[Pré Proteína Total (g/dL)]]</f>
        <v>7.3</v>
      </c>
      <c r="AO129" s="125">
        <f>Tabela1[[#This Row],[Pós Proteína Total (g/dL)]]</f>
        <v>7.3</v>
      </c>
      <c r="AP129" s="85">
        <f>Tabela1[[#This Row],[Pré FE (ug/dL)]]</f>
        <v>66</v>
      </c>
      <c r="AQ129" s="193">
        <f>Tabela1[[#This Row],[Pós FE (ug/dL)]]</f>
        <v>126</v>
      </c>
      <c r="AR129" s="194">
        <f>Tabela1[[#This Row],[Pré calcio mg/dL]]</f>
        <v>9.8000000000000007</v>
      </c>
      <c r="AS129" s="125">
        <f>Tabela1[[#This Row],[Pós calcio mg/dL]]</f>
        <v>9.9</v>
      </c>
      <c r="AT129" s="125">
        <f>Tabela1[[#This Row],[Pré Potássio mmol/L]]</f>
        <v>3.9</v>
      </c>
      <c r="AU129" s="125">
        <f>Tabela1[[#This Row],[Pós Potássio mmol/L]]</f>
        <v>5</v>
      </c>
      <c r="AV129" s="85">
        <f>Tabela1[[#This Row],[Glicose pré]]</f>
        <v>89</v>
      </c>
      <c r="AW129" s="85">
        <f>Tabela1[[#This Row],[Glicose pós]]</f>
        <v>110</v>
      </c>
      <c r="AX129" s="85">
        <f>Tabela1[[#This Row],[Pré Sódio mmol/L]]</f>
        <v>147</v>
      </c>
      <c r="AY129" s="85">
        <f>Tabela1[[#This Row],[Pós Sódio mmol/L]]</f>
        <v>149</v>
      </c>
      <c r="AZ129" s="125">
        <f>Tabela1[[#This Row],[Pré Magnésio mg/dL]]</f>
        <v>1.8</v>
      </c>
      <c r="BA129" s="125">
        <f>Tabela1[[#This Row],[Pós Magnésio mg/dL]]</f>
        <v>1.8</v>
      </c>
      <c r="BB129" s="85">
        <f>Tabela1[[#This Row],[Pré Cloro mmol/L]]</f>
        <v>101</v>
      </c>
      <c r="BC129" s="85">
        <f>Tabela1[[#This Row],[Pós Cloro mmol/L]]</f>
        <v>105</v>
      </c>
      <c r="BD12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306.86011111111117</v>
      </c>
      <c r="BE12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314.80111111111108</v>
      </c>
      <c r="BF129" s="194">
        <f>Tabela1[[#This Row],[Pré RBC 10^6/mm³]]</f>
        <v>5.14</v>
      </c>
      <c r="BG129" s="125">
        <f>Tabela1[[#This Row],[Pós RBC 10^6/mm³]]</f>
        <v>5.03</v>
      </c>
      <c r="BH129" s="125">
        <f>Tabela1[[#This Row],[Pré HGB g/dL]]</f>
        <v>15.5</v>
      </c>
      <c r="BI129" s="125">
        <f>Tabela1[[#This Row],[Pós HGB g/dL]]</f>
        <v>15</v>
      </c>
      <c r="BJ129" s="125">
        <f>Tabela1[[#This Row],[Pré HCT %]]</f>
        <v>46.9</v>
      </c>
      <c r="BK129" s="125">
        <f>Tabela1[[#This Row],[Pós HCT %]]</f>
        <v>47.1</v>
      </c>
      <c r="BL129" s="125" t="str">
        <f>Tabela1[[#This Row],[Pré MCV fL]]</f>
        <v>-</v>
      </c>
      <c r="BM129" s="125">
        <f>Tabela1[[#This Row],[Pós MCV fL]]</f>
        <v>93.6</v>
      </c>
      <c r="BN129" s="125" t="str">
        <f>Tabela1[[#This Row],[Pré MCH pg]]</f>
        <v>-</v>
      </c>
      <c r="BO129" s="125">
        <f>Tabela1[[#This Row],[Pós MCH pg]]</f>
        <v>29.8</v>
      </c>
      <c r="BP129" s="125" t="str">
        <f>Tabela1[[#This Row],[Pré MCHC g/dL]]</f>
        <v>-</v>
      </c>
      <c r="BQ129" s="125">
        <f>Tabela1[[#This Row],[Pós MCHC g/dL]]</f>
        <v>31.8</v>
      </c>
      <c r="BR129" s="85" t="str">
        <f>Tabela1[[#This Row],[Pré PLT 10³/mm³]]</f>
        <v>-</v>
      </c>
      <c r="BS129" s="85">
        <f>Tabela1[[#This Row],[Pós PLT 10³/mm³]]</f>
        <v>218</v>
      </c>
      <c r="BT129" s="125" t="str">
        <f>Tabela1[[#This Row],[Pré RDW %]]</f>
        <v>-</v>
      </c>
      <c r="BU129" s="125">
        <f>Tabela1[[#This Row],[Pós RDW %]]</f>
        <v>14.1</v>
      </c>
      <c r="BV129" s="179">
        <f>Tabela1[[#This Row],[Pré RET %]]</f>
        <v>2.2000000000000002</v>
      </c>
      <c r="BW129" s="196">
        <f>Tabela1[[#This Row],[Pós RET %]]</f>
        <v>1.41</v>
      </c>
      <c r="BX129" s="197">
        <f>Tabela1[[#This Row],[Pré WBC 10³/mm³]]</f>
        <v>7.9</v>
      </c>
      <c r="BY129" s="179">
        <f>Tabela1[[#This Row],[Pós WBC 10³/mm³]]</f>
        <v>10.62</v>
      </c>
      <c r="BZ129" s="125" t="str">
        <f>Tabela1[[#This Row],[Pré NEUT %]]</f>
        <v>-</v>
      </c>
      <c r="CA129" s="125">
        <f>Tabela1[[#This Row],[Pós NEUT %]]</f>
        <v>76.2</v>
      </c>
      <c r="CB129" s="125" t="str">
        <f>Tabela1[[#This Row],[Pré LINF %]]</f>
        <v>-</v>
      </c>
      <c r="CC129" s="125">
        <f>Tabela1[[#This Row],[Pós LINF %]]</f>
        <v>15.6</v>
      </c>
      <c r="CD129" s="125" t="str">
        <f>Tabela1[[#This Row],[Pré MONO %]]</f>
        <v>-</v>
      </c>
      <c r="CE129" s="125">
        <f>Tabela1[[#This Row],[Pós MONO %]]</f>
        <v>6.6</v>
      </c>
      <c r="CF129" s="125" t="str">
        <f>Tabela1[[#This Row],[Pré EOS %]]</f>
        <v>-</v>
      </c>
      <c r="CG129" s="125">
        <f>Tabela1[[#This Row],[Pós EOS %]]</f>
        <v>1.2</v>
      </c>
      <c r="CH129" s="125" t="str">
        <f>Tabela1[[#This Row],[Pré BASO %]]</f>
        <v>-</v>
      </c>
      <c r="CI129" s="198">
        <f>Tabela1[[#This Row],[Pós BASO %]]</f>
        <v>0.4</v>
      </c>
      <c r="CJ129" s="199" t="str">
        <f t="shared" si="5"/>
        <v>NÃO</v>
      </c>
      <c r="CK129" s="200" t="str">
        <f t="shared" si="6"/>
        <v>NÃO</v>
      </c>
      <c r="CL129" s="194">
        <f t="shared" si="7"/>
        <v>67.7637</v>
      </c>
      <c r="CM129" s="125">
        <f>Tabela1[[#This Row],[MCT KG]]</f>
        <v>76.5</v>
      </c>
      <c r="CN129" s="85">
        <f>Tabela1[[#This Row],[ESTATURA]]</f>
        <v>177</v>
      </c>
      <c r="CO129" s="85">
        <f>Tabela1[[#This Row],[vo2max estimado]]</f>
        <v>51.95</v>
      </c>
      <c r="CP129" s="85">
        <f>Tabela1[[#This Row],[Handgrip     Dominante]]</f>
        <v>41</v>
      </c>
      <c r="CQ129" s="85">
        <f>Tabela1[[#This Row],[Handgrip Contrário]]</f>
        <v>38</v>
      </c>
      <c r="CR129" s="281">
        <f>Tabela1[[#This Row],[% gordura]]</f>
        <v>11.42</v>
      </c>
    </row>
    <row r="130" spans="1:96" ht="15.75" customHeight="1">
      <c r="A130" s="279">
        <f>Tabela1[[#This Row],[Ano]]</f>
        <v>2018</v>
      </c>
      <c r="B130" s="181" t="str">
        <f>Tabela1[[#This Row],[Missão]]</f>
        <v>Itatiaia</v>
      </c>
      <c r="C130" s="181">
        <f>Tabela1[[#This Row],[Aluno]]</f>
        <v>3181</v>
      </c>
      <c r="D130" s="181">
        <f>Tabela1[[#This Row],[Idade]]</f>
        <v>28</v>
      </c>
      <c r="E130" s="182">
        <f>Tabela1[[#This Row],[Peso Kg]]</f>
        <v>82</v>
      </c>
      <c r="F130" s="191">
        <f>Tabela1[[#This Row],[Cor da pele]]</f>
        <v>0</v>
      </c>
      <c r="G130" s="192" t="str">
        <f>Tabela1[[#This Row],[ACTN3]]</f>
        <v>RX</v>
      </c>
      <c r="H130" s="85" t="str">
        <f>Tabela1[[#This Row],[AGT]]</f>
        <v>MT</v>
      </c>
      <c r="I130" s="85" t="str">
        <f>Tabela1[[#This Row],[ECA]]</f>
        <v>ID</v>
      </c>
      <c r="J130" s="85" t="str">
        <f>Tabela1[[#This Row],[BDKRB2]]</f>
        <v>(+9,-9)</v>
      </c>
      <c r="K130" s="85">
        <f>Tabela1[[#This Row],[Score Força%]]</f>
        <v>54.1666666666667</v>
      </c>
      <c r="L130" s="193">
        <f>Tabela1[[#This Row],[Score Resistência %]]</f>
        <v>45.8333333333333</v>
      </c>
      <c r="M130" s="192">
        <f>Tabela1[[#This Row],[Pré CK (U/L)]]</f>
        <v>254</v>
      </c>
      <c r="N130" s="85">
        <f>Tabela1[[#This Row],[Pós CK (U/L)]]</f>
        <v>863</v>
      </c>
      <c r="O130" s="85">
        <f>Tabela1[[#This Row],[Pré CK MB U/L]]</f>
        <v>11</v>
      </c>
      <c r="P130" s="85">
        <f>Tabela1[[#This Row],[Pós CK MB U/L]]</f>
        <v>26</v>
      </c>
      <c r="Q130" s="85">
        <f>Tabela1[[#This Row],[Pré Lactato (mmol/L)]]</f>
        <v>1.8</v>
      </c>
      <c r="R130" s="85">
        <f>Tabela1[[#This Row],[Pós Lactato (mmol/L)]]</f>
        <v>2.8</v>
      </c>
      <c r="S130" s="85">
        <f>Tabela1[[#This Row],[Pré LDH (U/L)]]</f>
        <v>559</v>
      </c>
      <c r="T130" s="85">
        <f>Tabela1[[#This Row],[Pós LDH (U/L)]]</f>
        <v>761</v>
      </c>
      <c r="U130" s="85">
        <f>Tabela1[[#This Row],[Pré AST (U/L)]]</f>
        <v>27</v>
      </c>
      <c r="V130" s="193">
        <f>Tabela1[[#This Row],[Pós AST (U/L)]]</f>
        <v>60</v>
      </c>
      <c r="W130" s="194">
        <f>Tabela1[[#This Row],[Pré Albumina (g/dL)]]</f>
        <v>4.5999999999999996</v>
      </c>
      <c r="X130" s="125">
        <f>Tabela1[[#This Row],[Pós Albumina (g/dL)]]</f>
        <v>4.5999999999999996</v>
      </c>
      <c r="Y130" s="85">
        <f>Tabela1[[#This Row],[Pré TGP (g/dL)]]</f>
        <v>42</v>
      </c>
      <c r="Z130" s="85">
        <f>Tabela1[[#This Row],[Pós TGP (g/dL)]]</f>
        <v>45</v>
      </c>
      <c r="AA130" s="85">
        <f>Tabela1[[#This Row],[Pré GGT U/L]]</f>
        <v>27</v>
      </c>
      <c r="AB130" s="193">
        <f>Tabela1[[#This Row],[Pós GGT U/L]]</f>
        <v>27</v>
      </c>
      <c r="AC130" s="194">
        <f>Tabela1[[#This Row],[Pré Ac. Úrico (mg/dL)]]</f>
        <v>5.3</v>
      </c>
      <c r="AD130" s="125">
        <f>Tabela1[[#This Row],[Pós Ac. Úrico (mg/dL)2]]</f>
        <v>6.1</v>
      </c>
      <c r="AE13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76.739527424440993</v>
      </c>
      <c r="AF13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130" s="85">
        <f>Tabela1[[#This Row],[Pré Ureia mg/dL]]</f>
        <v>44</v>
      </c>
      <c r="AH130" s="85">
        <f>Tabela1[[#This Row],[Pós Ureia mg/dL]]</f>
        <v>58</v>
      </c>
      <c r="AI130" s="125">
        <f>Tabela1[[#This Row],[Pré creatinina mg/dL]]</f>
        <v>1.3</v>
      </c>
      <c r="AJ130" s="125">
        <f>Tabela1[[#This Row],[Pós creatinina mg/dL]]</f>
        <v>1.3</v>
      </c>
      <c r="AK130" s="180">
        <f t="shared" ref="AK130:AK193" si="8">IFERROR(IF((AJ130-AI130)&lt;0,0,(AJ130-AI130)),"Dados Insuficientes")</f>
        <v>0</v>
      </c>
      <c r="AL130" s="125">
        <f>Tabela1[[#This Row],[Pré Fósforo mg/dL]]</f>
        <v>4.5999999999999996</v>
      </c>
      <c r="AM130" s="125">
        <f>Tabela1[[#This Row],[Pós Fósforo mg/dL]]</f>
        <v>4.3</v>
      </c>
      <c r="AN130" s="125">
        <f>Tabela1[[#This Row],[Pré Proteína Total (g/dL)]]</f>
        <v>7.8</v>
      </c>
      <c r="AO130" s="125">
        <f>Tabela1[[#This Row],[Pós Proteína Total (g/dL)]]</f>
        <v>7.6</v>
      </c>
      <c r="AP130" s="85">
        <f>Tabela1[[#This Row],[Pré FE (ug/dL)]]</f>
        <v>128</v>
      </c>
      <c r="AQ130" s="193">
        <f>Tabela1[[#This Row],[Pós FE (ug/dL)]]</f>
        <v>156</v>
      </c>
      <c r="AR130" s="194">
        <f>Tabela1[[#This Row],[Pré calcio mg/dL]]</f>
        <v>10.1</v>
      </c>
      <c r="AS130" s="125">
        <f>Tabela1[[#This Row],[Pós calcio mg/dL]]</f>
        <v>10.14</v>
      </c>
      <c r="AT130" s="125">
        <f>Tabela1[[#This Row],[Pré Potássio mmol/L]]</f>
        <v>4.4000000000000004</v>
      </c>
      <c r="AU130" s="125">
        <f>Tabela1[[#This Row],[Pós Potássio mmol/L]]</f>
        <v>4.9000000000000004</v>
      </c>
      <c r="AV130" s="85">
        <f>Tabela1[[#This Row],[Glicose pré]]</f>
        <v>135</v>
      </c>
      <c r="AW130" s="85">
        <f>Tabela1[[#This Row],[Glicose pós]]</f>
        <v>106</v>
      </c>
      <c r="AX130" s="85">
        <f>Tabela1[[#This Row],[Pré Sódio mmol/L]]</f>
        <v>146</v>
      </c>
      <c r="AY130" s="85">
        <f>Tabela1[[#This Row],[Pós Sódio mmol/L]]</f>
        <v>147</v>
      </c>
      <c r="AZ130" s="125">
        <f>Tabela1[[#This Row],[Pré Magnésio mg/dL]]</f>
        <v>1.7</v>
      </c>
      <c r="BA130" s="125">
        <f>Tabela1[[#This Row],[Pós Magnésio mg/dL]]</f>
        <v>2</v>
      </c>
      <c r="BB130" s="85">
        <f>Tabela1[[#This Row],[Pré Cloro mmol/L]]</f>
        <v>99</v>
      </c>
      <c r="BC130" s="85">
        <f>Tabela1[[#This Row],[Pós Cloro mmol/L]]</f>
        <v>103</v>
      </c>
      <c r="BD13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309.70233333333334</v>
      </c>
      <c r="BE13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312.97288888888897</v>
      </c>
      <c r="BF130" s="194">
        <f>Tabela1[[#This Row],[Pré RBC 10^6/mm³]]</f>
        <v>5.27</v>
      </c>
      <c r="BG130" s="125">
        <f>Tabela1[[#This Row],[Pós RBC 10^6/mm³]]</f>
        <v>4.97</v>
      </c>
      <c r="BH130" s="125">
        <f>Tabela1[[#This Row],[Pré HGB g/dL]]</f>
        <v>16</v>
      </c>
      <c r="BI130" s="125">
        <f>Tabela1[[#This Row],[Pós HGB g/dL]]</f>
        <v>15</v>
      </c>
      <c r="BJ130" s="125">
        <f>Tabela1[[#This Row],[Pré HCT %]]</f>
        <v>47.9</v>
      </c>
      <c r="BK130" s="125">
        <f>Tabela1[[#This Row],[Pós HCT %]]</f>
        <v>45.5</v>
      </c>
      <c r="BL130" s="125" t="str">
        <f>Tabela1[[#This Row],[Pré MCV fL]]</f>
        <v>-</v>
      </c>
      <c r="BM130" s="125">
        <f>Tabela1[[#This Row],[Pós MCV fL]]</f>
        <v>91.5</v>
      </c>
      <c r="BN130" s="125" t="str">
        <f>Tabela1[[#This Row],[Pré MCH pg]]</f>
        <v>-</v>
      </c>
      <c r="BO130" s="125">
        <f>Tabela1[[#This Row],[Pós MCH pg]]</f>
        <v>30.2</v>
      </c>
      <c r="BP130" s="125" t="str">
        <f>Tabela1[[#This Row],[Pré MCHC g/dL]]</f>
        <v>-</v>
      </c>
      <c r="BQ130" s="125">
        <f>Tabela1[[#This Row],[Pós MCHC g/dL]]</f>
        <v>33</v>
      </c>
      <c r="BR130" s="85" t="str">
        <f>Tabela1[[#This Row],[Pré PLT 10³/mm³]]</f>
        <v>-</v>
      </c>
      <c r="BS130" s="85">
        <f>Tabela1[[#This Row],[Pós PLT 10³/mm³]]</f>
        <v>262</v>
      </c>
      <c r="BT130" s="125" t="str">
        <f>Tabela1[[#This Row],[Pré RDW %]]</f>
        <v>-</v>
      </c>
      <c r="BU130" s="125">
        <f>Tabela1[[#This Row],[Pós RDW %]]</f>
        <v>12.9</v>
      </c>
      <c r="BV130" s="179">
        <f>Tabela1[[#This Row],[Pré RET %]]</f>
        <v>1.67</v>
      </c>
      <c r="BW130" s="196">
        <f>Tabela1[[#This Row],[Pós RET %]]</f>
        <v>0.89</v>
      </c>
      <c r="BX130" s="197">
        <f>Tabela1[[#This Row],[Pré WBC 10³/mm³]]</f>
        <v>11.63</v>
      </c>
      <c r="BY130" s="179">
        <f>Tabela1[[#This Row],[Pós WBC 10³/mm³]]</f>
        <v>13.4</v>
      </c>
      <c r="BZ130" s="125" t="str">
        <f>Tabela1[[#This Row],[Pré NEUT %]]</f>
        <v>-</v>
      </c>
      <c r="CA130" s="125">
        <f>Tabela1[[#This Row],[Pós NEUT %]]</f>
        <v>10.1</v>
      </c>
      <c r="CB130" s="125" t="str">
        <f>Tabela1[[#This Row],[Pré LINF %]]</f>
        <v>-</v>
      </c>
      <c r="CC130" s="125">
        <f>Tabela1[[#This Row],[Pós LINF %]]</f>
        <v>81.2</v>
      </c>
      <c r="CD130" s="125" t="str">
        <f>Tabela1[[#This Row],[Pré MONO %]]</f>
        <v>-</v>
      </c>
      <c r="CE130" s="125">
        <f>Tabela1[[#This Row],[Pós MONO %]]</f>
        <v>10.1</v>
      </c>
      <c r="CF130" s="125" t="str">
        <f>Tabela1[[#This Row],[Pré EOS %]]</f>
        <v>-</v>
      </c>
      <c r="CG130" s="125">
        <f>Tabela1[[#This Row],[Pós EOS %]]</f>
        <v>7.8</v>
      </c>
      <c r="CH130" s="125" t="str">
        <f>Tabela1[[#This Row],[Pré BASO %]]</f>
        <v>-</v>
      </c>
      <c r="CI130" s="198">
        <f>Tabela1[[#This Row],[Pós BASO %]]</f>
        <v>0.7</v>
      </c>
      <c r="CJ130" s="199" t="str">
        <f t="shared" ref="CJ130:CJ193" si="9">IFERROR(IF((AJ130-AI130)&gt;=0.3,"SIM","NÃO"),"Dados insuficientes")</f>
        <v>NÃO</v>
      </c>
      <c r="CK130" s="200" t="str">
        <f t="shared" ref="CK130:CK193" si="10">IFERROR(IF(OR(N130&gt;=1000,M130&gt;=1000),"SIM","NÃO"),"Dados Insuficientes")</f>
        <v>NÃO</v>
      </c>
      <c r="CL130" s="194">
        <f t="shared" ref="CL130:CL193" si="11">$CM130-($CM130*(0.01*$CR130))</f>
        <v>77.353679999999997</v>
      </c>
      <c r="CM130" s="125">
        <f>Tabela1[[#This Row],[MCT KG]]</f>
        <v>84.3</v>
      </c>
      <c r="CN130" s="85">
        <f>Tabela1[[#This Row],[ESTATURA]]</f>
        <v>190</v>
      </c>
      <c r="CO130" s="85">
        <f>Tabela1[[#This Row],[vo2max estimado]]</f>
        <v>51.12</v>
      </c>
      <c r="CP130" s="85">
        <f>Tabela1[[#This Row],[Handgrip     Dominante]]</f>
        <v>54.5</v>
      </c>
      <c r="CQ130" s="85">
        <f>Tabela1[[#This Row],[Handgrip Contrário]]</f>
        <v>50.5</v>
      </c>
      <c r="CR130" s="281">
        <f>Tabela1[[#This Row],[% gordura]]</f>
        <v>8.24</v>
      </c>
    </row>
    <row r="131" spans="1:96" ht="15.75" customHeight="1">
      <c r="A131" s="279">
        <f>Tabela1[[#This Row],[Ano]]</f>
        <v>2018</v>
      </c>
      <c r="B131" s="181" t="str">
        <f>Tabela1[[#This Row],[Missão]]</f>
        <v>Itatiaia</v>
      </c>
      <c r="C131" s="181">
        <f>Tabela1[[#This Row],[Aluno]]</f>
        <v>3183</v>
      </c>
      <c r="D131" s="181">
        <f>Tabela1[[#This Row],[Idade]]</f>
        <v>26</v>
      </c>
      <c r="E131" s="182">
        <f>Tabela1[[#This Row],[Peso Kg]]</f>
        <v>90</v>
      </c>
      <c r="F131" s="191">
        <f>Tabela1[[#This Row],[Cor da pele]]</f>
        <v>1</v>
      </c>
      <c r="G131" s="192" t="str">
        <f>Tabela1[[#This Row],[ACTN3]]</f>
        <v>-</v>
      </c>
      <c r="H131" s="85" t="str">
        <f>Tabela1[[#This Row],[AGT]]</f>
        <v>-</v>
      </c>
      <c r="I131" s="85" t="str">
        <f>Tabela1[[#This Row],[ECA]]</f>
        <v>-</v>
      </c>
      <c r="J131" s="85" t="str">
        <f>Tabela1[[#This Row],[BDKRB2]]</f>
        <v>-</v>
      </c>
      <c r="K131" s="85" t="str">
        <f>Tabela1[[#This Row],[Score Força%]]</f>
        <v>-</v>
      </c>
      <c r="L131" s="193" t="str">
        <f>Tabela1[[#This Row],[Score Resistência %]]</f>
        <v>-</v>
      </c>
      <c r="M131" s="192">
        <f>Tabela1[[#This Row],[Pré CK (U/L)]]</f>
        <v>820</v>
      </c>
      <c r="N131" s="85">
        <f>Tabela1[[#This Row],[Pós CK (U/L)]]</f>
        <v>982</v>
      </c>
      <c r="O131" s="85">
        <f>Tabela1[[#This Row],[Pré CK MB U/L]]</f>
        <v>14</v>
      </c>
      <c r="P131" s="85">
        <f>Tabela1[[#This Row],[Pós CK MB U/L]]</f>
        <v>26</v>
      </c>
      <c r="Q131" s="85">
        <f>Tabela1[[#This Row],[Pré Lactato (mmol/L)]]</f>
        <v>2.2999999999999998</v>
      </c>
      <c r="R131" s="85">
        <f>Tabela1[[#This Row],[Pós Lactato (mmol/L)]]</f>
        <v>2</v>
      </c>
      <c r="S131" s="85">
        <f>Tabela1[[#This Row],[Pré LDH (U/L)]]</f>
        <v>511</v>
      </c>
      <c r="T131" s="85">
        <f>Tabela1[[#This Row],[Pós LDH (U/L)]]</f>
        <v>604</v>
      </c>
      <c r="U131" s="85">
        <f>Tabela1[[#This Row],[Pré AST (U/L)]]</f>
        <v>50</v>
      </c>
      <c r="V131" s="193">
        <f>Tabela1[[#This Row],[Pós AST (U/L)]]</f>
        <v>56</v>
      </c>
      <c r="W131" s="194">
        <f>Tabela1[[#This Row],[Pré Albumina (g/dL)]]</f>
        <v>4.5999999999999996</v>
      </c>
      <c r="X131" s="125">
        <f>Tabela1[[#This Row],[Pós Albumina (g/dL)]]</f>
        <v>4.2</v>
      </c>
      <c r="Y131" s="85">
        <f>Tabela1[[#This Row],[Pré TGP (g/dL)]]</f>
        <v>53</v>
      </c>
      <c r="Z131" s="85">
        <f>Tabela1[[#This Row],[Pós TGP (g/dL)]]</f>
        <v>47</v>
      </c>
      <c r="AA131" s="85">
        <f>Tabela1[[#This Row],[Pré GGT U/L]]</f>
        <v>24</v>
      </c>
      <c r="AB131" s="193">
        <f>Tabela1[[#This Row],[Pós GGT U/L]]</f>
        <v>24</v>
      </c>
      <c r="AC131" s="194">
        <f>Tabela1[[#This Row],[Pré Ac. Úrico (mg/dL)]]</f>
        <v>5.2</v>
      </c>
      <c r="AD131" s="125">
        <f>Tabela1[[#This Row],[Pós Ac. Úrico (mg/dL)2]]</f>
        <v>5.4</v>
      </c>
      <c r="AE13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3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31" s="85">
        <f>Tabela1[[#This Row],[Pré Ureia mg/dL]]</f>
        <v>29</v>
      </c>
      <c r="AH131" s="85">
        <f>Tabela1[[#This Row],[Pós Ureia mg/dL]]</f>
        <v>33</v>
      </c>
      <c r="AI131" s="125">
        <f>Tabela1[[#This Row],[Pré creatinina mg/dL]]</f>
        <v>1</v>
      </c>
      <c r="AJ131" s="125">
        <f>Tabela1[[#This Row],[Pós creatinina mg/dL]]</f>
        <v>0.9</v>
      </c>
      <c r="AK131" s="180">
        <f t="shared" si="8"/>
        <v>0</v>
      </c>
      <c r="AL131" s="125">
        <f>Tabela1[[#This Row],[Pré Fósforo mg/dL]]</f>
        <v>4.3</v>
      </c>
      <c r="AM131" s="125">
        <f>Tabela1[[#This Row],[Pós Fósforo mg/dL]]</f>
        <v>4.0999999999999996</v>
      </c>
      <c r="AN131" s="125">
        <f>Tabela1[[#This Row],[Pré Proteína Total (g/dL)]]</f>
        <v>7.9</v>
      </c>
      <c r="AO131" s="125">
        <f>Tabela1[[#This Row],[Pós Proteína Total (g/dL)]]</f>
        <v>7.6</v>
      </c>
      <c r="AP131" s="85">
        <f>Tabela1[[#This Row],[Pré FE (ug/dL)]]</f>
        <v>62</v>
      </c>
      <c r="AQ131" s="193">
        <f>Tabela1[[#This Row],[Pós FE (ug/dL)]]</f>
        <v>86</v>
      </c>
      <c r="AR131" s="194">
        <f>Tabela1[[#This Row],[Pré calcio mg/dL]]</f>
        <v>9.6999999999999993</v>
      </c>
      <c r="AS131" s="125">
        <f>Tabela1[[#This Row],[Pós calcio mg/dL]]</f>
        <v>9.4</v>
      </c>
      <c r="AT131" s="125">
        <f>Tabela1[[#This Row],[Pré Potássio mmol/L]]</f>
        <v>2.2999999999999998</v>
      </c>
      <c r="AU131" s="125">
        <f>Tabela1[[#This Row],[Pós Potássio mmol/L]]</f>
        <v>4.4000000000000004</v>
      </c>
      <c r="AV131" s="85">
        <f>Tabela1[[#This Row],[Glicose pré]]</f>
        <v>96</v>
      </c>
      <c r="AW131" s="85">
        <f>Tabela1[[#This Row],[Glicose pós]]</f>
        <v>91</v>
      </c>
      <c r="AX131" s="85">
        <f>Tabela1[[#This Row],[Pré Sódio mmol/L]]</f>
        <v>147</v>
      </c>
      <c r="AY131" s="85">
        <f>Tabela1[[#This Row],[Pós Sódio mmol/L]]</f>
        <v>146</v>
      </c>
      <c r="AZ131" s="125">
        <f>Tabela1[[#This Row],[Pré Magnésio mg/dL]]</f>
        <v>1.9</v>
      </c>
      <c r="BA131" s="125">
        <f>Tabela1[[#This Row],[Pós Magnésio mg/dL]]</f>
        <v>2</v>
      </c>
      <c r="BB131" s="85">
        <f>Tabela1[[#This Row],[Pré Cloro mmol/L]]</f>
        <v>100</v>
      </c>
      <c r="BC131" s="85">
        <f>Tabela1[[#This Row],[Pós Cloro mmol/L]]</f>
        <v>105</v>
      </c>
      <c r="BD13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302.66466666666668</v>
      </c>
      <c r="BE13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305.0578888888889</v>
      </c>
      <c r="BF131" s="194">
        <f>Tabela1[[#This Row],[Pré RBC 10^6/mm³]]</f>
        <v>4.93</v>
      </c>
      <c r="BG131" s="125">
        <f>Tabela1[[#This Row],[Pós RBC 10^6/mm³]]</f>
        <v>4.54</v>
      </c>
      <c r="BH131" s="125">
        <f>Tabela1[[#This Row],[Pré HGB g/dL]]</f>
        <v>14.4</v>
      </c>
      <c r="BI131" s="125">
        <f>Tabela1[[#This Row],[Pós HGB g/dL]]</f>
        <v>13.2</v>
      </c>
      <c r="BJ131" s="125">
        <f>Tabela1[[#This Row],[Pré HCT %]]</f>
        <v>43.8</v>
      </c>
      <c r="BK131" s="125">
        <f>Tabela1[[#This Row],[Pós HCT %]]</f>
        <v>40.200000000000003</v>
      </c>
      <c r="BL131" s="125" t="str">
        <f>Tabela1[[#This Row],[Pré MCV fL]]</f>
        <v>-</v>
      </c>
      <c r="BM131" s="125">
        <f>Tabela1[[#This Row],[Pós MCV fL]]</f>
        <v>88.5</v>
      </c>
      <c r="BN131" s="125" t="str">
        <f>Tabela1[[#This Row],[Pré MCH pg]]</f>
        <v>-</v>
      </c>
      <c r="BO131" s="125">
        <f>Tabela1[[#This Row],[Pós MCH pg]]</f>
        <v>29.1</v>
      </c>
      <c r="BP131" s="125" t="str">
        <f>Tabela1[[#This Row],[Pré MCHC g/dL]]</f>
        <v>-</v>
      </c>
      <c r="BQ131" s="125">
        <f>Tabela1[[#This Row],[Pós MCHC g/dL]]</f>
        <v>32.799999999999997</v>
      </c>
      <c r="BR131" s="85" t="str">
        <f>Tabela1[[#This Row],[Pré PLT 10³/mm³]]</f>
        <v>-</v>
      </c>
      <c r="BS131" s="85">
        <f>Tabela1[[#This Row],[Pós PLT 10³/mm³]]</f>
        <v>257</v>
      </c>
      <c r="BT131" s="125" t="str">
        <f>Tabela1[[#This Row],[Pré RDW %]]</f>
        <v>-</v>
      </c>
      <c r="BU131" s="125">
        <f>Tabela1[[#This Row],[Pós RDW %]]</f>
        <v>12.6</v>
      </c>
      <c r="BV131" s="179">
        <f>Tabela1[[#This Row],[Pré RET %]]</f>
        <v>1.46</v>
      </c>
      <c r="BW131" s="196">
        <f>Tabela1[[#This Row],[Pós RET %]]</f>
        <v>1.1200000000000001</v>
      </c>
      <c r="BX131" s="197">
        <f>Tabela1[[#This Row],[Pré WBC 10³/mm³]]</f>
        <v>7.34</v>
      </c>
      <c r="BY131" s="179">
        <f>Tabela1[[#This Row],[Pós WBC 10³/mm³]]</f>
        <v>8.36</v>
      </c>
      <c r="BZ131" s="125" t="str">
        <f>Tabela1[[#This Row],[Pré NEUT %]]</f>
        <v>-</v>
      </c>
      <c r="CA131" s="125">
        <f>Tabela1[[#This Row],[Pós NEUT %]]</f>
        <v>73.5</v>
      </c>
      <c r="CB131" s="125" t="str">
        <f>Tabela1[[#This Row],[Pré LINF %]]</f>
        <v>-</v>
      </c>
      <c r="CC131" s="125">
        <f>Tabela1[[#This Row],[Pós LINF %]]</f>
        <v>15.6</v>
      </c>
      <c r="CD131" s="125" t="str">
        <f>Tabela1[[#This Row],[Pré MONO %]]</f>
        <v>-</v>
      </c>
      <c r="CE131" s="125">
        <f>Tabela1[[#This Row],[Pós MONO %]]</f>
        <v>7.3</v>
      </c>
      <c r="CF131" s="125" t="str">
        <f>Tabela1[[#This Row],[Pré EOS %]]</f>
        <v>-</v>
      </c>
      <c r="CG131" s="125">
        <f>Tabela1[[#This Row],[Pós EOS %]]</f>
        <v>3.5</v>
      </c>
      <c r="CH131" s="125" t="str">
        <f>Tabela1[[#This Row],[Pré BASO %]]</f>
        <v>-</v>
      </c>
      <c r="CI131" s="198">
        <f>Tabela1[[#This Row],[Pós BASO %]]</f>
        <v>0.1</v>
      </c>
      <c r="CJ131" s="199" t="str">
        <f t="shared" si="9"/>
        <v>NÃO</v>
      </c>
      <c r="CK131" s="200" t="str">
        <f t="shared" si="10"/>
        <v>NÃO</v>
      </c>
      <c r="CL131" s="194">
        <f t="shared" si="11"/>
        <v>82.441199999999995</v>
      </c>
      <c r="CM131" s="125">
        <f>Tabela1[[#This Row],[MCT KG]]</f>
        <v>92</v>
      </c>
      <c r="CN131" s="85">
        <f>Tabela1[[#This Row],[ESTATURA]]</f>
        <v>174.4</v>
      </c>
      <c r="CO131" s="85">
        <f>Tabela1[[#This Row],[vo2max estimado]]</f>
        <v>49.71</v>
      </c>
      <c r="CP131" s="85">
        <f>Tabela1[[#This Row],[Handgrip     Dominante]]</f>
        <v>55</v>
      </c>
      <c r="CQ131" s="85">
        <f>Tabela1[[#This Row],[Handgrip Contrário]]</f>
        <v>55.5</v>
      </c>
      <c r="CR131" s="281">
        <f>Tabela1[[#This Row],[% gordura]]</f>
        <v>10.39</v>
      </c>
    </row>
    <row r="132" spans="1:96" ht="15.75" customHeight="1">
      <c r="A132" s="279">
        <f>Tabela1[[#This Row],[Ano]]</f>
        <v>2018</v>
      </c>
      <c r="B132" s="181" t="str">
        <f>Tabela1[[#This Row],[Missão]]</f>
        <v>Itatiaia</v>
      </c>
      <c r="C132" s="181">
        <f>Tabela1[[#This Row],[Aluno]]</f>
        <v>3184</v>
      </c>
      <c r="D132" s="181">
        <f>Tabela1[[#This Row],[Idade]]</f>
        <v>29</v>
      </c>
      <c r="E132" s="182">
        <f>Tabela1[[#This Row],[Peso Kg]]</f>
        <v>85</v>
      </c>
      <c r="F132" s="191">
        <f>Tabela1[[#This Row],[Cor da pele]]</f>
        <v>1</v>
      </c>
      <c r="G132" s="192" t="str">
        <f>Tabela1[[#This Row],[ACTN3]]</f>
        <v>RR</v>
      </c>
      <c r="H132" s="85" t="str">
        <f>Tabela1[[#This Row],[AGT]]</f>
        <v>MT</v>
      </c>
      <c r="I132" s="85" t="str">
        <f>Tabela1[[#This Row],[ECA]]</f>
        <v>II</v>
      </c>
      <c r="J132" s="85" t="str">
        <f>Tabela1[[#This Row],[BDKRB2]]</f>
        <v>(+9,-9)</v>
      </c>
      <c r="K132" s="85">
        <f>Tabela1[[#This Row],[Score Força%]]</f>
        <v>51</v>
      </c>
      <c r="L132" s="193">
        <f>Tabela1[[#This Row],[Score Resistência %]]</f>
        <v>51</v>
      </c>
      <c r="M132" s="192">
        <f>Tabela1[[#This Row],[Pré CK (U/L)]]</f>
        <v>197</v>
      </c>
      <c r="N132" s="85">
        <f>Tabela1[[#This Row],[Pós CK (U/L)]]</f>
        <v>911</v>
      </c>
      <c r="O132" s="85">
        <f>Tabela1[[#This Row],[Pré CK MB U/L]]</f>
        <v>6</v>
      </c>
      <c r="P132" s="85">
        <f>Tabela1[[#This Row],[Pós CK MB U/L]]</f>
        <v>22</v>
      </c>
      <c r="Q132" s="85">
        <f>Tabela1[[#This Row],[Pré Lactato (mmol/L)]]</f>
        <v>1.8</v>
      </c>
      <c r="R132" s="85">
        <f>Tabela1[[#This Row],[Pós Lactato (mmol/L)]]</f>
        <v>3</v>
      </c>
      <c r="S132" s="85">
        <f>Tabela1[[#This Row],[Pré LDH (U/L)]]</f>
        <v>533</v>
      </c>
      <c r="T132" s="85">
        <f>Tabela1[[#This Row],[Pós LDH (U/L)]]</f>
        <v>742</v>
      </c>
      <c r="U132" s="85">
        <f>Tabela1[[#This Row],[Pré AST (U/L)]]</f>
        <v>27</v>
      </c>
      <c r="V132" s="193">
        <f>Tabela1[[#This Row],[Pós AST (U/L)]]</f>
        <v>51</v>
      </c>
      <c r="W132" s="194">
        <f>Tabela1[[#This Row],[Pré Albumina (g/dL)]]</f>
        <v>4.7</v>
      </c>
      <c r="X132" s="125">
        <f>Tabela1[[#This Row],[Pós Albumina (g/dL)]]</f>
        <v>4.7</v>
      </c>
      <c r="Y132" s="85">
        <f>Tabela1[[#This Row],[Pré TGP (g/dL)]]</f>
        <v>43</v>
      </c>
      <c r="Z132" s="85">
        <f>Tabela1[[#This Row],[Pós TGP (g/dL)]]</f>
        <v>47</v>
      </c>
      <c r="AA132" s="85">
        <f>Tabela1[[#This Row],[Pré GGT U/L]]</f>
        <v>72</v>
      </c>
      <c r="AB132" s="193">
        <f>Tabela1[[#This Row],[Pós GGT U/L]]</f>
        <v>67</v>
      </c>
      <c r="AC132" s="194">
        <f>Tabela1[[#This Row],[Pré Ac. Úrico (mg/dL)]]</f>
        <v>5.6</v>
      </c>
      <c r="AD132" s="125">
        <f>Tabela1[[#This Row],[Pós Ac. Úrico (mg/dL)2]]</f>
        <v>5.0999999999999996</v>
      </c>
      <c r="AE13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3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32" s="85">
        <f>Tabela1[[#This Row],[Pré Ureia mg/dL]]</f>
        <v>27</v>
      </c>
      <c r="AH132" s="85">
        <f>Tabela1[[#This Row],[Pós Ureia mg/dL]]</f>
        <v>35</v>
      </c>
      <c r="AI132" s="125">
        <f>Tabela1[[#This Row],[Pré creatinina mg/dL]]</f>
        <v>1</v>
      </c>
      <c r="AJ132" s="125">
        <f>Tabela1[[#This Row],[Pós creatinina mg/dL]]</f>
        <v>1</v>
      </c>
      <c r="AK132" s="180">
        <f t="shared" si="8"/>
        <v>0</v>
      </c>
      <c r="AL132" s="125">
        <f>Tabela1[[#This Row],[Pré Fósforo mg/dL]]</f>
        <v>4.2</v>
      </c>
      <c r="AM132" s="125">
        <f>Tabela1[[#This Row],[Pós Fósforo mg/dL]]</f>
        <v>4.2</v>
      </c>
      <c r="AN132" s="125">
        <f>Tabela1[[#This Row],[Pré Proteína Total (g/dL)]]</f>
        <v>8.5</v>
      </c>
      <c r="AO132" s="125">
        <f>Tabela1[[#This Row],[Pós Proteína Total (g/dL)]]</f>
        <v>8</v>
      </c>
      <c r="AP132" s="85">
        <f>Tabela1[[#This Row],[Pré FE (ug/dL)]]</f>
        <v>87</v>
      </c>
      <c r="AQ132" s="193">
        <f>Tabela1[[#This Row],[Pós FE (ug/dL)]]</f>
        <v>98</v>
      </c>
      <c r="AR132" s="194">
        <f>Tabela1[[#This Row],[Pré calcio mg/dL]]</f>
        <v>10.4</v>
      </c>
      <c r="AS132" s="125">
        <f>Tabela1[[#This Row],[Pós calcio mg/dL]]</f>
        <v>10</v>
      </c>
      <c r="AT132" s="125">
        <f>Tabela1[[#This Row],[Pré Potássio mmol/L]]</f>
        <v>4.5999999999999996</v>
      </c>
      <c r="AU132" s="125">
        <f>Tabela1[[#This Row],[Pós Potássio mmol/L]]</f>
        <v>4.8</v>
      </c>
      <c r="AV132" s="85">
        <f>Tabela1[[#This Row],[Glicose pré]]</f>
        <v>93</v>
      </c>
      <c r="AW132" s="85">
        <f>Tabela1[[#This Row],[Glicose pós]]</f>
        <v>92</v>
      </c>
      <c r="AX132" s="85">
        <f>Tabela1[[#This Row],[Pré Sódio mmol/L]]</f>
        <v>149</v>
      </c>
      <c r="AY132" s="85">
        <f>Tabela1[[#This Row],[Pós Sódio mmol/L]]</f>
        <v>148</v>
      </c>
      <c r="AZ132" s="125">
        <f>Tabela1[[#This Row],[Pré Magnésio mg/dL]]</f>
        <v>2.1</v>
      </c>
      <c r="BA132" s="125">
        <f>Tabela1[[#This Row],[Pós Magnésio mg/dL]]</f>
        <v>2.1</v>
      </c>
      <c r="BB132" s="85">
        <f>Tabela1[[#This Row],[Pré Cloro mmol/L]]</f>
        <v>100</v>
      </c>
      <c r="BC132" s="85">
        <f>Tabela1[[#This Row],[Pós Cloro mmol/L]]</f>
        <v>103</v>
      </c>
      <c r="BD13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310.13766666666669</v>
      </c>
      <c r="BE13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309.91911111111114</v>
      </c>
      <c r="BF132" s="194">
        <f>Tabela1[[#This Row],[Pré RBC 10^6/mm³]]</f>
        <v>5.99</v>
      </c>
      <c r="BG132" s="125">
        <f>Tabela1[[#This Row],[Pós RBC 10^6/mm³]]</f>
        <v>5.51</v>
      </c>
      <c r="BH132" s="125">
        <f>Tabela1[[#This Row],[Pré HGB g/dL]]</f>
        <v>16.2</v>
      </c>
      <c r="BI132" s="125">
        <f>Tabela1[[#This Row],[Pós HGB g/dL]]</f>
        <v>14.4</v>
      </c>
      <c r="BJ132" s="125">
        <f>Tabela1[[#This Row],[Pré HCT %]]</f>
        <v>49.7</v>
      </c>
      <c r="BK132" s="125">
        <f>Tabela1[[#This Row],[Pós HCT %]]</f>
        <v>45.9</v>
      </c>
      <c r="BL132" s="125" t="str">
        <f>Tabela1[[#This Row],[Pré MCV fL]]</f>
        <v>-</v>
      </c>
      <c r="BM132" s="125">
        <f>Tabela1[[#This Row],[Pós MCV fL]]</f>
        <v>83.3</v>
      </c>
      <c r="BN132" s="125" t="str">
        <f>Tabela1[[#This Row],[Pré MCH pg]]</f>
        <v>-</v>
      </c>
      <c r="BO132" s="125">
        <f>Tabela1[[#This Row],[Pós MCH pg]]</f>
        <v>26.1</v>
      </c>
      <c r="BP132" s="125" t="str">
        <f>Tabela1[[#This Row],[Pré MCHC g/dL]]</f>
        <v>-</v>
      </c>
      <c r="BQ132" s="125">
        <f>Tabela1[[#This Row],[Pós MCHC g/dL]]</f>
        <v>31.4</v>
      </c>
      <c r="BR132" s="85" t="str">
        <f>Tabela1[[#This Row],[Pré PLT 10³/mm³]]</f>
        <v>-</v>
      </c>
      <c r="BS132" s="85">
        <f>Tabela1[[#This Row],[Pós PLT 10³/mm³]]</f>
        <v>226</v>
      </c>
      <c r="BT132" s="125" t="str">
        <f>Tabela1[[#This Row],[Pré RDW %]]</f>
        <v>-</v>
      </c>
      <c r="BU132" s="125">
        <f>Tabela1[[#This Row],[Pós RDW %]]</f>
        <v>14.1</v>
      </c>
      <c r="BV132" s="179">
        <f>Tabela1[[#This Row],[Pré RET %]]</f>
        <v>1.36</v>
      </c>
      <c r="BW132" s="196">
        <f>Tabela1[[#This Row],[Pós RET %]]</f>
        <v>0.9</v>
      </c>
      <c r="BX132" s="197">
        <f>Tabela1[[#This Row],[Pré WBC 10³/mm³]]</f>
        <v>7.22</v>
      </c>
      <c r="BY132" s="179">
        <f>Tabela1[[#This Row],[Pós WBC 10³/mm³]]</f>
        <v>7.71</v>
      </c>
      <c r="BZ132" s="125" t="str">
        <f>Tabela1[[#This Row],[Pré NEUT %]]</f>
        <v>-</v>
      </c>
      <c r="CA132" s="125">
        <f>Tabela1[[#This Row],[Pós NEUT %]]</f>
        <v>76.099999999999994</v>
      </c>
      <c r="CB132" s="125" t="str">
        <f>Tabela1[[#This Row],[Pré LINF %]]</f>
        <v>-</v>
      </c>
      <c r="CC132" s="125">
        <f>Tabela1[[#This Row],[Pós LINF %]]</f>
        <v>14.8</v>
      </c>
      <c r="CD132" s="125" t="str">
        <f>Tabela1[[#This Row],[Pré MONO %]]</f>
        <v>-</v>
      </c>
      <c r="CE132" s="125">
        <f>Tabela1[[#This Row],[Pós MONO %]]</f>
        <v>7.1</v>
      </c>
      <c r="CF132" s="125" t="str">
        <f>Tabela1[[#This Row],[Pré EOS %]]</f>
        <v>-</v>
      </c>
      <c r="CG132" s="125">
        <f>Tabela1[[#This Row],[Pós EOS %]]</f>
        <v>1.9</v>
      </c>
      <c r="CH132" s="125" t="str">
        <f>Tabela1[[#This Row],[Pré BASO %]]</f>
        <v>-</v>
      </c>
      <c r="CI132" s="198">
        <f>Tabela1[[#This Row],[Pós BASO %]]</f>
        <v>0.1</v>
      </c>
      <c r="CJ132" s="199" t="str">
        <f t="shared" si="9"/>
        <v>NÃO</v>
      </c>
      <c r="CK132" s="200" t="str">
        <f t="shared" si="10"/>
        <v>NÃO</v>
      </c>
      <c r="CL132" s="194">
        <f t="shared" si="11"/>
        <v>68.507199999999997</v>
      </c>
      <c r="CM132" s="125">
        <f>Tabela1[[#This Row],[MCT KG]]</f>
        <v>75.2</v>
      </c>
      <c r="CN132" s="85">
        <f>Tabela1[[#This Row],[ESTATURA]]</f>
        <v>177.6</v>
      </c>
      <c r="CO132" s="85">
        <f>Tabela1[[#This Row],[vo2max estimado]]</f>
        <v>52.26</v>
      </c>
      <c r="CP132" s="85">
        <f>Tabela1[[#This Row],[Handgrip     Dominante]]</f>
        <v>47.5</v>
      </c>
      <c r="CQ132" s="85">
        <f>Tabela1[[#This Row],[Handgrip Contrário]]</f>
        <v>46</v>
      </c>
      <c r="CR132" s="281">
        <f>Tabela1[[#This Row],[% gordura]]</f>
        <v>8.9</v>
      </c>
    </row>
    <row r="133" spans="1:96" ht="15.75" customHeight="1">
      <c r="A133" s="279">
        <f>Tabela1[[#This Row],[Ano]]</f>
        <v>2018</v>
      </c>
      <c r="B133" s="181" t="str">
        <f>Tabela1[[#This Row],[Missão]]</f>
        <v>Itatiaia</v>
      </c>
      <c r="C133" s="181">
        <f>Tabela1[[#This Row],[Aluno]]</f>
        <v>3187</v>
      </c>
      <c r="D133" s="181">
        <f>Tabela1[[#This Row],[Idade]]</f>
        <v>25</v>
      </c>
      <c r="E133" s="182">
        <f>Tabela1[[#This Row],[Peso Kg]]</f>
        <v>85</v>
      </c>
      <c r="F133" s="191">
        <f>Tabela1[[#This Row],[Cor da pele]]</f>
        <v>1</v>
      </c>
      <c r="G133" s="192" t="str">
        <f>Tabela1[[#This Row],[ACTN3]]</f>
        <v>RX</v>
      </c>
      <c r="H133" s="85" t="str">
        <f>Tabela1[[#This Row],[AGT]]</f>
        <v>MM</v>
      </c>
      <c r="I133" s="85" t="str">
        <f>Tabela1[[#This Row],[ECA]]</f>
        <v>II</v>
      </c>
      <c r="J133" s="85" t="str">
        <f>Tabela1[[#This Row],[BDKRB2]]</f>
        <v>(+9,-9)</v>
      </c>
      <c r="K133" s="85">
        <f>Tabela1[[#This Row],[Score Força%]]</f>
        <v>25</v>
      </c>
      <c r="L133" s="193">
        <f>Tabela1[[#This Row],[Score Resistência %]]</f>
        <v>75</v>
      </c>
      <c r="M133" s="192">
        <f>Tabela1[[#This Row],[Pré CK (U/L)]]</f>
        <v>239</v>
      </c>
      <c r="N133" s="85">
        <f>Tabela1[[#This Row],[Pós CK (U/L)]]</f>
        <v>1416</v>
      </c>
      <c r="O133" s="85">
        <f>Tabela1[[#This Row],[Pré CK MB U/L]]</f>
        <v>3</v>
      </c>
      <c r="P133" s="85">
        <f>Tabela1[[#This Row],[Pós CK MB U/L]]</f>
        <v>31</v>
      </c>
      <c r="Q133" s="85">
        <f>Tabela1[[#This Row],[Pré Lactato (mmol/L)]]</f>
        <v>1.1000000000000001</v>
      </c>
      <c r="R133" s="85">
        <f>Tabela1[[#This Row],[Pós Lactato (mmol/L)]]</f>
        <v>2</v>
      </c>
      <c r="S133" s="85">
        <f>Tabela1[[#This Row],[Pré LDH (U/L)]]</f>
        <v>404</v>
      </c>
      <c r="T133" s="85">
        <f>Tabela1[[#This Row],[Pós LDH (U/L)]]</f>
        <v>593</v>
      </c>
      <c r="U133" s="85">
        <f>Tabela1[[#This Row],[Pré AST (U/L)]]</f>
        <v>36</v>
      </c>
      <c r="V133" s="193">
        <f>Tabela1[[#This Row],[Pós AST (U/L)]]</f>
        <v>92</v>
      </c>
      <c r="W133" s="194">
        <f>Tabela1[[#This Row],[Pré Albumina (g/dL)]]</f>
        <v>4.5</v>
      </c>
      <c r="X133" s="125">
        <f>Tabela1[[#This Row],[Pós Albumina (g/dL)]]</f>
        <v>4.5999999999999996</v>
      </c>
      <c r="Y133" s="85">
        <f>Tabela1[[#This Row],[Pré TGP (g/dL)]]</f>
        <v>61</v>
      </c>
      <c r="Z133" s="85">
        <f>Tabela1[[#This Row],[Pós TGP (g/dL)]]</f>
        <v>87</v>
      </c>
      <c r="AA133" s="85">
        <f>Tabela1[[#This Row],[Pré GGT U/L]]</f>
        <v>42</v>
      </c>
      <c r="AB133" s="193">
        <f>Tabela1[[#This Row],[Pós GGT U/L]]</f>
        <v>44</v>
      </c>
      <c r="AC133" s="194">
        <f>Tabela1[[#This Row],[Pré Ac. Úrico (mg/dL)]]</f>
        <v>5.8</v>
      </c>
      <c r="AD133" s="125">
        <f>Tabela1[[#This Row],[Pós Ac. Úrico (mg/dL)2]]</f>
        <v>7.4</v>
      </c>
      <c r="AE13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3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33" s="85">
        <f>Tabela1[[#This Row],[Pré Ureia mg/dL]]</f>
        <v>37</v>
      </c>
      <c r="AH133" s="85">
        <f>Tabela1[[#This Row],[Pós Ureia mg/dL]]</f>
        <v>50</v>
      </c>
      <c r="AI133" s="125">
        <f>Tabela1[[#This Row],[Pré creatinina mg/dL]]</f>
        <v>1</v>
      </c>
      <c r="AJ133" s="125">
        <f>Tabela1[[#This Row],[Pós creatinina mg/dL]]</f>
        <v>1.1000000000000001</v>
      </c>
      <c r="AK133" s="180">
        <f t="shared" si="8"/>
        <v>0.10000000000000009</v>
      </c>
      <c r="AL133" s="125">
        <f>Tabela1[[#This Row],[Pré Fósforo mg/dL]]</f>
        <v>4.9000000000000004</v>
      </c>
      <c r="AM133" s="125">
        <f>Tabela1[[#This Row],[Pós Fósforo mg/dL]]</f>
        <v>5.4</v>
      </c>
      <c r="AN133" s="125">
        <f>Tabela1[[#This Row],[Pré Proteína Total (g/dL)]]</f>
        <v>8.1</v>
      </c>
      <c r="AO133" s="125">
        <f>Tabela1[[#This Row],[Pós Proteína Total (g/dL)]]</f>
        <v>8.1999999999999993</v>
      </c>
      <c r="AP133" s="85">
        <f>Tabela1[[#This Row],[Pré FE (ug/dL)]]</f>
        <v>74</v>
      </c>
      <c r="AQ133" s="193">
        <f>Tabela1[[#This Row],[Pós FE (ug/dL)]]</f>
        <v>108</v>
      </c>
      <c r="AR133" s="194">
        <f>Tabela1[[#This Row],[Pré calcio mg/dL]]</f>
        <v>10.199999999999999</v>
      </c>
      <c r="AS133" s="125">
        <f>Tabela1[[#This Row],[Pós calcio mg/dL]]</f>
        <v>9.5</v>
      </c>
      <c r="AT133" s="125">
        <f>Tabela1[[#This Row],[Pré Potássio mmol/L]]</f>
        <v>4.5999999999999996</v>
      </c>
      <c r="AU133" s="125">
        <f>Tabela1[[#This Row],[Pós Potássio mmol/L]]</f>
        <v>4.8</v>
      </c>
      <c r="AV133" s="85">
        <f>Tabela1[[#This Row],[Glicose pré]]</f>
        <v>87</v>
      </c>
      <c r="AW133" s="85">
        <f>Tabela1[[#This Row],[Glicose pós]]</f>
        <v>87</v>
      </c>
      <c r="AX133" s="85">
        <f>Tabela1[[#This Row],[Pré Sódio mmol/L]]</f>
        <v>147</v>
      </c>
      <c r="AY133" s="85">
        <f>Tabela1[[#This Row],[Pós Sódio mmol/L]]</f>
        <v>147</v>
      </c>
      <c r="AZ133" s="125">
        <f>Tabela1[[#This Row],[Pré Magnésio mg/dL]]</f>
        <v>2.1</v>
      </c>
      <c r="BA133" s="125">
        <f>Tabela1[[#This Row],[Pós Magnésio mg/dL]]</f>
        <v>2.2000000000000002</v>
      </c>
      <c r="BB133" s="85">
        <f>Tabela1[[#This Row],[Pré Cloro mmol/L]]</f>
        <v>99</v>
      </c>
      <c r="BC133" s="85">
        <f>Tabela1[[#This Row],[Pós Cloro mmol/L]]</f>
        <v>103</v>
      </c>
      <c r="BD13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307.70100000000002</v>
      </c>
      <c r="BE13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310.23966666666666</v>
      </c>
      <c r="BF133" s="194">
        <f>Tabela1[[#This Row],[Pré RBC 10^6/mm³]]</f>
        <v>4.76</v>
      </c>
      <c r="BG133" s="125">
        <f>Tabela1[[#This Row],[Pós RBC 10^6/mm³]]</f>
        <v>4.58</v>
      </c>
      <c r="BH133" s="125">
        <f>Tabela1[[#This Row],[Pré HGB g/dL]]</f>
        <v>14.1</v>
      </c>
      <c r="BI133" s="125">
        <f>Tabela1[[#This Row],[Pós HGB g/dL]]</f>
        <v>13.1</v>
      </c>
      <c r="BJ133" s="125">
        <f>Tabela1[[#This Row],[Pré HCT %]]</f>
        <v>41.8</v>
      </c>
      <c r="BK133" s="125">
        <f>Tabela1[[#This Row],[Pós HCT %]]</f>
        <v>40.5</v>
      </c>
      <c r="BL133" s="125" t="str">
        <f>Tabela1[[#This Row],[Pré MCV fL]]</f>
        <v>-</v>
      </c>
      <c r="BM133" s="125">
        <f>Tabela1[[#This Row],[Pós MCV fL]]</f>
        <v>88.4</v>
      </c>
      <c r="BN133" s="125" t="str">
        <f>Tabela1[[#This Row],[Pré MCH pg]]</f>
        <v>-</v>
      </c>
      <c r="BO133" s="125">
        <f>Tabela1[[#This Row],[Pós MCH pg]]</f>
        <v>28.6</v>
      </c>
      <c r="BP133" s="125" t="str">
        <f>Tabela1[[#This Row],[Pré MCHC g/dL]]</f>
        <v>-</v>
      </c>
      <c r="BQ133" s="125">
        <f>Tabela1[[#This Row],[Pós MCHC g/dL]]</f>
        <v>32.299999999999997</v>
      </c>
      <c r="BR133" s="85" t="str">
        <f>Tabela1[[#This Row],[Pré PLT 10³/mm³]]</f>
        <v>-</v>
      </c>
      <c r="BS133" s="85">
        <f>Tabela1[[#This Row],[Pós PLT 10³/mm³]]</f>
        <v>250</v>
      </c>
      <c r="BT133" s="125" t="str">
        <f>Tabela1[[#This Row],[Pré RDW %]]</f>
        <v>-</v>
      </c>
      <c r="BU133" s="125">
        <f>Tabela1[[#This Row],[Pós RDW %]]</f>
        <v>13.6</v>
      </c>
      <c r="BV133" s="179">
        <f>Tabela1[[#This Row],[Pré RET %]]</f>
        <v>1.46</v>
      </c>
      <c r="BW133" s="196">
        <f>Tabela1[[#This Row],[Pós RET %]]</f>
        <v>1.1599999999999999</v>
      </c>
      <c r="BX133" s="197">
        <f>Tabela1[[#This Row],[Pré WBC 10³/mm³]]</f>
        <v>7.35</v>
      </c>
      <c r="BY133" s="179">
        <f>Tabela1[[#This Row],[Pós WBC 10³/mm³]]</f>
        <v>7.62</v>
      </c>
      <c r="BZ133" s="125" t="str">
        <f>Tabela1[[#This Row],[Pré NEUT %]]</f>
        <v>-</v>
      </c>
      <c r="CA133" s="125">
        <f>Tabela1[[#This Row],[Pós NEUT %]]</f>
        <v>62</v>
      </c>
      <c r="CB133" s="125" t="str">
        <f>Tabela1[[#This Row],[Pré LINF %]]</f>
        <v>-</v>
      </c>
      <c r="CC133" s="125">
        <f>Tabela1[[#This Row],[Pós LINF %]]</f>
        <v>25.5</v>
      </c>
      <c r="CD133" s="125" t="str">
        <f>Tabela1[[#This Row],[Pré MONO %]]</f>
        <v>-</v>
      </c>
      <c r="CE133" s="125">
        <f>Tabela1[[#This Row],[Pós MONO %]]</f>
        <v>8.3000000000000007</v>
      </c>
      <c r="CF133" s="125" t="str">
        <f>Tabela1[[#This Row],[Pré EOS %]]</f>
        <v>-</v>
      </c>
      <c r="CG133" s="125">
        <f>Tabela1[[#This Row],[Pós EOS %]]</f>
        <v>3.9</v>
      </c>
      <c r="CH133" s="125" t="str">
        <f>Tabela1[[#This Row],[Pré BASO %]]</f>
        <v>-</v>
      </c>
      <c r="CI133" s="198">
        <f>Tabela1[[#This Row],[Pós BASO %]]</f>
        <v>0.3</v>
      </c>
      <c r="CJ133" s="199" t="str">
        <f t="shared" si="9"/>
        <v>NÃO</v>
      </c>
      <c r="CK133" s="200" t="str">
        <f t="shared" si="10"/>
        <v>SIM</v>
      </c>
      <c r="CL133" s="194">
        <f t="shared" si="11"/>
        <v>79.512460000000004</v>
      </c>
      <c r="CM133" s="125">
        <f>Tabela1[[#This Row],[MCT KG]]</f>
        <v>85.7</v>
      </c>
      <c r="CN133" s="85">
        <f>Tabela1[[#This Row],[ESTATURA]]</f>
        <v>185</v>
      </c>
      <c r="CO133" s="85">
        <f>Tabela1[[#This Row],[vo2max estimado]]</f>
        <v>52.04</v>
      </c>
      <c r="CP133" s="85">
        <f>Tabela1[[#This Row],[Handgrip     Dominante]]</f>
        <v>50</v>
      </c>
      <c r="CQ133" s="85">
        <f>Tabela1[[#This Row],[Handgrip Contrário]]</f>
        <v>50</v>
      </c>
      <c r="CR133" s="281">
        <f>Tabela1[[#This Row],[% gordura]]</f>
        <v>7.22</v>
      </c>
    </row>
    <row r="134" spans="1:96" ht="15.75" customHeight="1">
      <c r="A134" s="279">
        <f>Tabela1[[#This Row],[Ano]]</f>
        <v>2018</v>
      </c>
      <c r="B134" s="181" t="str">
        <f>Tabela1[[#This Row],[Missão]]</f>
        <v>Itatiaia</v>
      </c>
      <c r="C134" s="181">
        <f>Tabela1[[#This Row],[Aluno]]</f>
        <v>3189</v>
      </c>
      <c r="D134" s="181">
        <f>Tabela1[[#This Row],[Idade]]</f>
        <v>28</v>
      </c>
      <c r="E134" s="182">
        <f>Tabela1[[#This Row],[Peso Kg]]</f>
        <v>77</v>
      </c>
      <c r="F134" s="191">
        <f>Tabela1[[#This Row],[Cor da pele]]</f>
        <v>2</v>
      </c>
      <c r="G134" s="192" t="str">
        <f>Tabela1[[#This Row],[ACTN3]]</f>
        <v>RR</v>
      </c>
      <c r="H134" s="85" t="str">
        <f>Tabela1[[#This Row],[AGT]]</f>
        <v>MT</v>
      </c>
      <c r="I134" s="85" t="str">
        <f>Tabela1[[#This Row],[ECA]]</f>
        <v>ID</v>
      </c>
      <c r="J134" s="85" t="str">
        <f>Tabela1[[#This Row],[BDKRB2]]</f>
        <v>(+9,-9)</v>
      </c>
      <c r="K134" s="85">
        <f>Tabela1[[#This Row],[Score Força%]]</f>
        <v>212.5</v>
      </c>
      <c r="L134" s="193">
        <f>Tabela1[[#This Row],[Score Resistência %]]</f>
        <v>-112.5</v>
      </c>
      <c r="M134" s="192">
        <f>Tabela1[[#This Row],[Pré CK (U/L)]]</f>
        <v>198</v>
      </c>
      <c r="N134" s="85">
        <f>Tabela1[[#This Row],[Pós CK (U/L)]]</f>
        <v>670</v>
      </c>
      <c r="O134" s="85">
        <f>Tabela1[[#This Row],[Pré CK MB U/L]]</f>
        <v>4</v>
      </c>
      <c r="P134" s="85">
        <f>Tabela1[[#This Row],[Pós CK MB U/L]]</f>
        <v>269</v>
      </c>
      <c r="Q134" s="85">
        <f>Tabela1[[#This Row],[Pré Lactato (mmol/L)]]</f>
        <v>1.9</v>
      </c>
      <c r="R134" s="85">
        <f>Tabela1[[#This Row],[Pós Lactato (mmol/L)]]</f>
        <v>3.4</v>
      </c>
      <c r="S134" s="85">
        <f>Tabela1[[#This Row],[Pré LDH (U/L)]]</f>
        <v>501</v>
      </c>
      <c r="T134" s="85">
        <f>Tabela1[[#This Row],[Pós LDH (U/L)]]</f>
        <v>740</v>
      </c>
      <c r="U134" s="85">
        <f>Tabela1[[#This Row],[Pré AST (U/L)]]</f>
        <v>32</v>
      </c>
      <c r="V134" s="193">
        <f>Tabela1[[#This Row],[Pós AST (U/L)]]</f>
        <v>75</v>
      </c>
      <c r="W134" s="194">
        <f>Tabela1[[#This Row],[Pré Albumina (g/dL)]]</f>
        <v>5</v>
      </c>
      <c r="X134" s="125">
        <f>Tabela1[[#This Row],[Pós Albumina (g/dL)]]</f>
        <v>4.9000000000000004</v>
      </c>
      <c r="Y134" s="85">
        <f>Tabela1[[#This Row],[Pré TGP (g/dL)]]</f>
        <v>40</v>
      </c>
      <c r="Z134" s="85">
        <f>Tabela1[[#This Row],[Pós TGP (g/dL)]]</f>
        <v>66</v>
      </c>
      <c r="AA134" s="85">
        <f>Tabela1[[#This Row],[Pré GGT U/L]]</f>
        <v>44</v>
      </c>
      <c r="AB134" s="193">
        <f>Tabela1[[#This Row],[Pós GGT U/L]]</f>
        <v>61</v>
      </c>
      <c r="AC134" s="194">
        <f>Tabela1[[#This Row],[Pré Ac. Úrico (mg/dL)]]</f>
        <v>7</v>
      </c>
      <c r="AD134" s="125">
        <f>Tabela1[[#This Row],[Pós Ac. Úrico (mg/dL)2]]</f>
        <v>7.8</v>
      </c>
      <c r="AE13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3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34" s="85">
        <f>Tabela1[[#This Row],[Pré Ureia mg/dL]]</f>
        <v>26</v>
      </c>
      <c r="AH134" s="85">
        <f>Tabela1[[#This Row],[Pós Ureia mg/dL]]</f>
        <v>44</v>
      </c>
      <c r="AI134" s="125">
        <f>Tabela1[[#This Row],[Pré creatinina mg/dL]]</f>
        <v>1</v>
      </c>
      <c r="AJ134" s="125">
        <f>Tabela1[[#This Row],[Pós creatinina mg/dL]]</f>
        <v>0.9</v>
      </c>
      <c r="AK134" s="180">
        <f t="shared" si="8"/>
        <v>0</v>
      </c>
      <c r="AL134" s="125">
        <f>Tabela1[[#This Row],[Pré Fósforo mg/dL]]</f>
        <v>4.3</v>
      </c>
      <c r="AM134" s="125">
        <f>Tabela1[[#This Row],[Pós Fósforo mg/dL]]</f>
        <v>6</v>
      </c>
      <c r="AN134" s="125">
        <f>Tabela1[[#This Row],[Pré Proteína Total (g/dL)]]</f>
        <v>8.4</v>
      </c>
      <c r="AO134" s="125">
        <f>Tabela1[[#This Row],[Pós Proteína Total (g/dL)]]</f>
        <v>7.9</v>
      </c>
      <c r="AP134" s="85">
        <f>Tabela1[[#This Row],[Pré FE (ug/dL)]]</f>
        <v>128</v>
      </c>
      <c r="AQ134" s="193">
        <f>Tabela1[[#This Row],[Pós FE (ug/dL)]]</f>
        <v>113</v>
      </c>
      <c r="AR134" s="194">
        <f>Tabela1[[#This Row],[Pré calcio mg/dL]]</f>
        <v>10.3</v>
      </c>
      <c r="AS134" s="125">
        <f>Tabela1[[#This Row],[Pós calcio mg/dL]]</f>
        <v>10.1</v>
      </c>
      <c r="AT134" s="125">
        <f>Tabela1[[#This Row],[Pré Potássio mmol/L]]</f>
        <v>4.3</v>
      </c>
      <c r="AU134" s="125">
        <f>Tabela1[[#This Row],[Pós Potássio mmol/L]]</f>
        <v>5</v>
      </c>
      <c r="AV134" s="85">
        <f>Tabela1[[#This Row],[Glicose pré]]</f>
        <v>114</v>
      </c>
      <c r="AW134" s="85">
        <f>Tabela1[[#This Row],[Glicose pós]]</f>
        <v>83</v>
      </c>
      <c r="AX134" s="85">
        <f>Tabela1[[#This Row],[Pré Sódio mmol/L]]</f>
        <v>150</v>
      </c>
      <c r="AY134" s="85">
        <f>Tabela1[[#This Row],[Pós Sódio mmol/L]]</f>
        <v>152</v>
      </c>
      <c r="AZ134" s="125">
        <f>Tabela1[[#This Row],[Pré Magnésio mg/dL]]</f>
        <v>2.1</v>
      </c>
      <c r="BA134" s="125">
        <f>Tabela1[[#This Row],[Pós Magnésio mg/dL]]</f>
        <v>2.1</v>
      </c>
      <c r="BB134" s="85">
        <f>Tabela1[[#This Row],[Pré Cloro mmol/L]]</f>
        <v>101</v>
      </c>
      <c r="BC134" s="85">
        <f>Tabela1[[#This Row],[Pós Cloro mmol/L]]</f>
        <v>106</v>
      </c>
      <c r="BD13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312.61466666666672</v>
      </c>
      <c r="BE13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318.6561111111111</v>
      </c>
      <c r="BF134" s="194">
        <f>Tabela1[[#This Row],[Pré RBC 10^6/mm³]]</f>
        <v>5.07</v>
      </c>
      <c r="BG134" s="125">
        <f>Tabela1[[#This Row],[Pós RBC 10^6/mm³]]</f>
        <v>4.74</v>
      </c>
      <c r="BH134" s="125">
        <f>Tabela1[[#This Row],[Pré HGB g/dL]]</f>
        <v>15.5</v>
      </c>
      <c r="BI134" s="125">
        <f>Tabela1[[#This Row],[Pós HGB g/dL]]</f>
        <v>14.6</v>
      </c>
      <c r="BJ134" s="125">
        <f>Tabela1[[#This Row],[Pré HCT %]]</f>
        <v>46.8</v>
      </c>
      <c r="BK134" s="125">
        <f>Tabela1[[#This Row],[Pós HCT %]]</f>
        <v>44.4</v>
      </c>
      <c r="BL134" s="125" t="str">
        <f>Tabela1[[#This Row],[Pré MCV fL]]</f>
        <v>-</v>
      </c>
      <c r="BM134" s="125">
        <f>Tabela1[[#This Row],[Pós MCV fL]]</f>
        <v>93.7</v>
      </c>
      <c r="BN134" s="125" t="str">
        <f>Tabela1[[#This Row],[Pré MCH pg]]</f>
        <v>-</v>
      </c>
      <c r="BO134" s="125">
        <f>Tabela1[[#This Row],[Pós MCH pg]]</f>
        <v>30.8</v>
      </c>
      <c r="BP134" s="125" t="str">
        <f>Tabela1[[#This Row],[Pré MCHC g/dL]]</f>
        <v>-</v>
      </c>
      <c r="BQ134" s="125">
        <f>Tabela1[[#This Row],[Pós MCHC g/dL]]</f>
        <v>32.9</v>
      </c>
      <c r="BR134" s="85" t="str">
        <f>Tabela1[[#This Row],[Pré PLT 10³/mm³]]</f>
        <v>-</v>
      </c>
      <c r="BS134" s="85">
        <f>Tabela1[[#This Row],[Pós PLT 10³/mm³]]</f>
        <v>208</v>
      </c>
      <c r="BT134" s="125" t="str">
        <f>Tabela1[[#This Row],[Pré RDW %]]</f>
        <v>-</v>
      </c>
      <c r="BU134" s="125">
        <f>Tabela1[[#This Row],[Pós RDW %]]</f>
        <v>13.2</v>
      </c>
      <c r="BV134" s="179">
        <f>Tabela1[[#This Row],[Pré RET %]]</f>
        <v>1.88</v>
      </c>
      <c r="BW134" s="196">
        <f>Tabela1[[#This Row],[Pós RET %]]</f>
        <v>1.24</v>
      </c>
      <c r="BX134" s="197">
        <f>Tabela1[[#This Row],[Pré WBC 10³/mm³]]</f>
        <v>8.51</v>
      </c>
      <c r="BY134" s="179">
        <f>Tabela1[[#This Row],[Pós WBC 10³/mm³]]</f>
        <v>11.85</v>
      </c>
      <c r="BZ134" s="125" t="str">
        <f>Tabela1[[#This Row],[Pré NEUT %]]</f>
        <v>-</v>
      </c>
      <c r="CA134" s="125">
        <f>Tabela1[[#This Row],[Pós NEUT %]]</f>
        <v>81.2</v>
      </c>
      <c r="CB134" s="125" t="str">
        <f>Tabela1[[#This Row],[Pré LINF %]]</f>
        <v>-</v>
      </c>
      <c r="CC134" s="125">
        <f>Tabela1[[#This Row],[Pós LINF %]]</f>
        <v>12.6</v>
      </c>
      <c r="CD134" s="125" t="str">
        <f>Tabela1[[#This Row],[Pré MONO %]]</f>
        <v>-</v>
      </c>
      <c r="CE134" s="125">
        <f>Tabela1[[#This Row],[Pós MONO %]]</f>
        <v>5.8</v>
      </c>
      <c r="CF134" s="125" t="str">
        <f>Tabela1[[#This Row],[Pré EOS %]]</f>
        <v>-</v>
      </c>
      <c r="CG134" s="125">
        <f>Tabela1[[#This Row],[Pós EOS %]]</f>
        <v>0.3</v>
      </c>
      <c r="CH134" s="125" t="str">
        <f>Tabela1[[#This Row],[Pré BASO %]]</f>
        <v>-</v>
      </c>
      <c r="CI134" s="198">
        <f>Tabela1[[#This Row],[Pós BASO %]]</f>
        <v>0.1</v>
      </c>
      <c r="CJ134" s="199" t="str">
        <f t="shared" si="9"/>
        <v>NÃO</v>
      </c>
      <c r="CK134" s="200" t="str">
        <f t="shared" si="10"/>
        <v>NÃO</v>
      </c>
      <c r="CL134" s="194">
        <f t="shared" si="11"/>
        <v>70.76357999999999</v>
      </c>
      <c r="CM134" s="125">
        <f>Tabela1[[#This Row],[MCT KG]]</f>
        <v>78.599999999999994</v>
      </c>
      <c r="CN134" s="85">
        <f>Tabela1[[#This Row],[ESTATURA]]</f>
        <v>179</v>
      </c>
      <c r="CO134" s="85">
        <f>Tabela1[[#This Row],[vo2max estimado]]</f>
        <v>53.31</v>
      </c>
      <c r="CP134" s="85">
        <f>Tabela1[[#This Row],[Handgrip     Dominante]]</f>
        <v>50</v>
      </c>
      <c r="CQ134" s="85">
        <f>Tabela1[[#This Row],[Handgrip Contrário]]</f>
        <v>44</v>
      </c>
      <c r="CR134" s="281">
        <f>Tabela1[[#This Row],[% gordura]]</f>
        <v>9.9700000000000006</v>
      </c>
    </row>
    <row r="135" spans="1:96" ht="15.75" customHeight="1">
      <c r="A135" s="279">
        <f>Tabela1[[#This Row],[Ano]]</f>
        <v>2018</v>
      </c>
      <c r="B135" s="181" t="str">
        <f>Tabela1[[#This Row],[Missão]]</f>
        <v>Itatiaia</v>
      </c>
      <c r="C135" s="181">
        <f>Tabela1[[#This Row],[Aluno]]</f>
        <v>3190</v>
      </c>
      <c r="D135" s="181">
        <f>Tabela1[[#This Row],[Idade]]</f>
        <v>29</v>
      </c>
      <c r="E135" s="182">
        <f>Tabela1[[#This Row],[Peso Kg]]</f>
        <v>80</v>
      </c>
      <c r="F135" s="191">
        <f>Tabela1[[#This Row],[Cor da pele]]</f>
        <v>1</v>
      </c>
      <c r="G135" s="192" t="str">
        <f>Tabela1[[#This Row],[ACTN3]]</f>
        <v>-</v>
      </c>
      <c r="H135" s="85" t="str">
        <f>Tabela1[[#This Row],[AGT]]</f>
        <v>-</v>
      </c>
      <c r="I135" s="85" t="str">
        <f>Tabela1[[#This Row],[ECA]]</f>
        <v>-</v>
      </c>
      <c r="J135" s="85" t="str">
        <f>Tabela1[[#This Row],[BDKRB2]]</f>
        <v>-</v>
      </c>
      <c r="K135" s="85" t="str">
        <f>Tabela1[[#This Row],[Score Força%]]</f>
        <v>-</v>
      </c>
      <c r="L135" s="193" t="str">
        <f>Tabela1[[#This Row],[Score Resistência %]]</f>
        <v>-</v>
      </c>
      <c r="M135" s="192">
        <f>Tabela1[[#This Row],[Pré CK (U/L)]]</f>
        <v>402</v>
      </c>
      <c r="N135" s="85">
        <f>Tabela1[[#This Row],[Pós CK (U/L)]]</f>
        <v>2045</v>
      </c>
      <c r="O135" s="85">
        <f>Tabela1[[#This Row],[Pré CK MB U/L]]</f>
        <v>11</v>
      </c>
      <c r="P135" s="85">
        <f>Tabela1[[#This Row],[Pós CK MB U/L]]</f>
        <v>36</v>
      </c>
      <c r="Q135" s="85">
        <f>Tabela1[[#This Row],[Pré Lactato (mmol/L)]]</f>
        <v>1.4</v>
      </c>
      <c r="R135" s="85">
        <f>Tabela1[[#This Row],[Pós Lactato (mmol/L)]]</f>
        <v>2.5</v>
      </c>
      <c r="S135" s="85">
        <f>Tabela1[[#This Row],[Pré LDH (U/L)]]</f>
        <v>598</v>
      </c>
      <c r="T135" s="85">
        <f>Tabela1[[#This Row],[Pós LDH (U/L)]]</f>
        <v>917</v>
      </c>
      <c r="U135" s="85">
        <f>Tabela1[[#This Row],[Pré AST (U/L)]]</f>
        <v>48</v>
      </c>
      <c r="V135" s="193">
        <f>Tabela1[[#This Row],[Pós AST (U/L)]]</f>
        <v>102</v>
      </c>
      <c r="W135" s="194">
        <f>Tabela1[[#This Row],[Pré Albumina (g/dL)]]</f>
        <v>4.5999999999999996</v>
      </c>
      <c r="X135" s="125">
        <f>Tabela1[[#This Row],[Pós Albumina (g/dL)]]</f>
        <v>4.5</v>
      </c>
      <c r="Y135" s="85">
        <f>Tabela1[[#This Row],[Pré TGP (g/dL)]]</f>
        <v>46</v>
      </c>
      <c r="Z135" s="85">
        <f>Tabela1[[#This Row],[Pós TGP (g/dL)]]</f>
        <v>52</v>
      </c>
      <c r="AA135" s="85">
        <f>Tabela1[[#This Row],[Pré GGT U/L]]</f>
        <v>31</v>
      </c>
      <c r="AB135" s="193">
        <f>Tabela1[[#This Row],[Pós GGT U/L]]</f>
        <v>29</v>
      </c>
      <c r="AC135" s="194">
        <f>Tabela1[[#This Row],[Pré Ac. Úrico (mg/dL)]]</f>
        <v>4.8</v>
      </c>
      <c r="AD135" s="125">
        <f>Tabela1[[#This Row],[Pós Ac. Úrico (mg/dL)2]]</f>
        <v>4.8</v>
      </c>
      <c r="AE13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3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35" s="85">
        <f>Tabela1[[#This Row],[Pré Ureia mg/dL]]</f>
        <v>33</v>
      </c>
      <c r="AH135" s="85">
        <f>Tabela1[[#This Row],[Pós Ureia mg/dL]]</f>
        <v>41</v>
      </c>
      <c r="AI135" s="125">
        <f>Tabela1[[#This Row],[Pré creatinina mg/dL]]</f>
        <v>0.9</v>
      </c>
      <c r="AJ135" s="125">
        <f>Tabela1[[#This Row],[Pós creatinina mg/dL]]</f>
        <v>0.9</v>
      </c>
      <c r="AK135" s="180">
        <f t="shared" si="8"/>
        <v>0</v>
      </c>
      <c r="AL135" s="125">
        <f>Tabela1[[#This Row],[Pré Fósforo mg/dL]]</f>
        <v>4.3</v>
      </c>
      <c r="AM135" s="125">
        <f>Tabela1[[#This Row],[Pós Fósforo mg/dL]]</f>
        <v>5.3</v>
      </c>
      <c r="AN135" s="125">
        <f>Tabela1[[#This Row],[Pré Proteína Total (g/dL)]]</f>
        <v>8.3000000000000007</v>
      </c>
      <c r="AO135" s="125">
        <f>Tabela1[[#This Row],[Pós Proteína Total (g/dL)]]</f>
        <v>7.9</v>
      </c>
      <c r="AP135" s="85">
        <f>Tabela1[[#This Row],[Pré FE (ug/dL)]]</f>
        <v>100</v>
      </c>
      <c r="AQ135" s="193">
        <f>Tabela1[[#This Row],[Pós FE (ug/dL)]]</f>
        <v>96</v>
      </c>
      <c r="AR135" s="194">
        <f>Tabela1[[#This Row],[Pré calcio mg/dL]]</f>
        <v>10</v>
      </c>
      <c r="AS135" s="125">
        <f>Tabela1[[#This Row],[Pós calcio mg/dL]]</f>
        <v>9.4</v>
      </c>
      <c r="AT135" s="125">
        <f>Tabela1[[#This Row],[Pré Potássio mmol/L]]</f>
        <v>4.2</v>
      </c>
      <c r="AU135" s="125">
        <f>Tabela1[[#This Row],[Pós Potássio mmol/L]]</f>
        <v>4.8</v>
      </c>
      <c r="AV135" s="85">
        <f>Tabela1[[#This Row],[Glicose pré]]</f>
        <v>86</v>
      </c>
      <c r="AW135" s="85">
        <f>Tabela1[[#This Row],[Glicose pós]]</f>
        <v>99</v>
      </c>
      <c r="AX135" s="85">
        <f>Tabela1[[#This Row],[Pré Sódio mmol/L]]</f>
        <v>145</v>
      </c>
      <c r="AY135" s="85">
        <f>Tabela1[[#This Row],[Pós Sódio mmol/L]]</f>
        <v>149</v>
      </c>
      <c r="AZ135" s="125">
        <f>Tabela1[[#This Row],[Pré Magnésio mg/dL]]</f>
        <v>2.1</v>
      </c>
      <c r="BA135" s="125">
        <f>Tabela1[[#This Row],[Pós Magnésio mg/dL]]</f>
        <v>2</v>
      </c>
      <c r="BB135" s="85">
        <f>Tabela1[[#This Row],[Pré Cloro mmol/L]]</f>
        <v>98</v>
      </c>
      <c r="BC135" s="85">
        <f>Tabela1[[#This Row],[Pós Cloro mmol/L]]</f>
        <v>107</v>
      </c>
      <c r="BD13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302.50644444444447</v>
      </c>
      <c r="BE13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313.22633333333334</v>
      </c>
      <c r="BF135" s="194">
        <f>Tabela1[[#This Row],[Pré RBC 10^6/mm³]]</f>
        <v>4.9000000000000004</v>
      </c>
      <c r="BG135" s="125">
        <f>Tabela1[[#This Row],[Pós RBC 10^6/mm³]]</f>
        <v>4.5999999999999996</v>
      </c>
      <c r="BH135" s="125">
        <f>Tabela1[[#This Row],[Pré HGB g/dL]]</f>
        <v>14.6</v>
      </c>
      <c r="BI135" s="125">
        <f>Tabela1[[#This Row],[Pós HGB g/dL]]</f>
        <v>13.6</v>
      </c>
      <c r="BJ135" s="125">
        <f>Tabela1[[#This Row],[Pré HCT %]]</f>
        <v>45.6</v>
      </c>
      <c r="BK135" s="125">
        <f>Tabela1[[#This Row],[Pós HCT %]]</f>
        <v>42.3</v>
      </c>
      <c r="BL135" s="125" t="str">
        <f>Tabela1[[#This Row],[Pré MCV fL]]</f>
        <v>-</v>
      </c>
      <c r="BM135" s="125">
        <f>Tabela1[[#This Row],[Pós MCV fL]]</f>
        <v>92</v>
      </c>
      <c r="BN135" s="125" t="str">
        <f>Tabela1[[#This Row],[Pré MCH pg]]</f>
        <v>-</v>
      </c>
      <c r="BO135" s="125">
        <f>Tabela1[[#This Row],[Pós MCH pg]]</f>
        <v>29.6</v>
      </c>
      <c r="BP135" s="125" t="str">
        <f>Tabela1[[#This Row],[Pré MCHC g/dL]]</f>
        <v>-</v>
      </c>
      <c r="BQ135" s="125">
        <f>Tabela1[[#This Row],[Pós MCHC g/dL]]</f>
        <v>32.200000000000003</v>
      </c>
      <c r="BR135" s="85" t="str">
        <f>Tabela1[[#This Row],[Pré PLT 10³/mm³]]</f>
        <v>-</v>
      </c>
      <c r="BS135" s="85">
        <f>Tabela1[[#This Row],[Pós PLT 10³/mm³]]</f>
        <v>262</v>
      </c>
      <c r="BT135" s="125" t="str">
        <f>Tabela1[[#This Row],[Pré RDW %]]</f>
        <v>-</v>
      </c>
      <c r="BU135" s="125">
        <f>Tabela1[[#This Row],[Pós RDW %]]</f>
        <v>13.4</v>
      </c>
      <c r="BV135" s="179">
        <f>Tabela1[[#This Row],[Pré RET %]]</f>
        <v>1.23</v>
      </c>
      <c r="BW135" s="196">
        <f>Tabela1[[#This Row],[Pós RET %]]</f>
        <v>0.57999999999999996</v>
      </c>
      <c r="BX135" s="197">
        <f>Tabela1[[#This Row],[Pré WBC 10³/mm³]]</f>
        <v>5.26</v>
      </c>
      <c r="BY135" s="179">
        <f>Tabela1[[#This Row],[Pós WBC 10³/mm³]]</f>
        <v>6.25</v>
      </c>
      <c r="BZ135" s="125" t="str">
        <f>Tabela1[[#This Row],[Pré NEUT %]]</f>
        <v>-</v>
      </c>
      <c r="CA135" s="125">
        <f>Tabela1[[#This Row],[Pós NEUT %]]</f>
        <v>73.599999999999994</v>
      </c>
      <c r="CB135" s="125" t="str">
        <f>Tabela1[[#This Row],[Pré LINF %]]</f>
        <v>-</v>
      </c>
      <c r="CC135" s="125">
        <f>Tabela1[[#This Row],[Pós LINF %]]</f>
        <v>17.899999999999999</v>
      </c>
      <c r="CD135" s="125" t="str">
        <f>Tabela1[[#This Row],[Pré MONO %]]</f>
        <v>-</v>
      </c>
      <c r="CE135" s="125">
        <f>Tabela1[[#This Row],[Pós MONO %]]</f>
        <v>6.6</v>
      </c>
      <c r="CF135" s="125" t="str">
        <f>Tabela1[[#This Row],[Pré EOS %]]</f>
        <v>-</v>
      </c>
      <c r="CG135" s="125">
        <f>Tabela1[[#This Row],[Pós EOS %]]</f>
        <v>1.6</v>
      </c>
      <c r="CH135" s="125" t="str">
        <f>Tabela1[[#This Row],[Pré BASO %]]</f>
        <v>-</v>
      </c>
      <c r="CI135" s="198">
        <f>Tabela1[[#This Row],[Pós BASO %]]</f>
        <v>0.3</v>
      </c>
      <c r="CJ135" s="199" t="str">
        <f t="shared" si="9"/>
        <v>NÃO</v>
      </c>
      <c r="CK135" s="200" t="str">
        <f t="shared" si="10"/>
        <v>SIM</v>
      </c>
      <c r="CL135" s="194">
        <f t="shared" si="11"/>
        <v>72.151949999999999</v>
      </c>
      <c r="CM135" s="125">
        <f>Tabela1[[#This Row],[MCT KG]]</f>
        <v>81.5</v>
      </c>
      <c r="CN135" s="85">
        <f>Tabela1[[#This Row],[ESTATURA]]</f>
        <v>175</v>
      </c>
      <c r="CO135" s="85">
        <f>Tabela1[[#This Row],[vo2max estimado]]</f>
        <v>51.49</v>
      </c>
      <c r="CP135" s="85">
        <f>Tabela1[[#This Row],[Handgrip     Dominante]]</f>
        <v>49.5</v>
      </c>
      <c r="CQ135" s="85">
        <f>Tabela1[[#This Row],[Handgrip Contrário]]</f>
        <v>41</v>
      </c>
      <c r="CR135" s="281">
        <f>Tabela1[[#This Row],[% gordura]]</f>
        <v>11.47</v>
      </c>
    </row>
    <row r="136" spans="1:96" ht="15.75" customHeight="1">
      <c r="A136" s="279">
        <f>Tabela1[[#This Row],[Ano]]</f>
        <v>2018</v>
      </c>
      <c r="B136" s="181" t="str">
        <f>Tabela1[[#This Row],[Missão]]</f>
        <v>Itatiaia</v>
      </c>
      <c r="C136" s="181">
        <f>Tabela1[[#This Row],[Aluno]]</f>
        <v>3193</v>
      </c>
      <c r="D136" s="181">
        <f>Tabela1[[#This Row],[Idade]]</f>
        <v>29</v>
      </c>
      <c r="E136" s="182">
        <f>Tabela1[[#This Row],[Peso Kg]]</f>
        <v>83</v>
      </c>
      <c r="F136" s="191">
        <f>Tabela1[[#This Row],[Cor da pele]]</f>
        <v>1</v>
      </c>
      <c r="G136" s="192" t="str">
        <f>Tabela1[[#This Row],[ACTN3]]</f>
        <v>-</v>
      </c>
      <c r="H136" s="85" t="str">
        <f>Tabela1[[#This Row],[AGT]]</f>
        <v>-</v>
      </c>
      <c r="I136" s="85" t="str">
        <f>Tabela1[[#This Row],[ECA]]</f>
        <v>-</v>
      </c>
      <c r="J136" s="85" t="str">
        <f>Tabela1[[#This Row],[BDKRB2]]</f>
        <v>-</v>
      </c>
      <c r="K136" s="85" t="str">
        <f>Tabela1[[#This Row],[Score Força%]]</f>
        <v>-</v>
      </c>
      <c r="L136" s="193" t="str">
        <f>Tabela1[[#This Row],[Score Resistência %]]</f>
        <v>-</v>
      </c>
      <c r="M136" s="192">
        <f>Tabela1[[#This Row],[Pré CK (U/L)]]</f>
        <v>106</v>
      </c>
      <c r="N136" s="85">
        <f>Tabela1[[#This Row],[Pós CK (U/L)]]</f>
        <v>238</v>
      </c>
      <c r="O136" s="85">
        <f>Tabela1[[#This Row],[Pré CK MB U/L]]</f>
        <v>3</v>
      </c>
      <c r="P136" s="85">
        <f>Tabela1[[#This Row],[Pós CK MB U/L]]</f>
        <v>15</v>
      </c>
      <c r="Q136" s="85">
        <f>Tabela1[[#This Row],[Pré Lactato (mmol/L)]]</f>
        <v>2.1</v>
      </c>
      <c r="R136" s="85">
        <f>Tabela1[[#This Row],[Pós Lactato (mmol/L)]]</f>
        <v>3.2</v>
      </c>
      <c r="S136" s="85">
        <f>Tabela1[[#This Row],[Pré LDH (U/L)]]</f>
        <v>281</v>
      </c>
      <c r="T136" s="85">
        <f>Tabela1[[#This Row],[Pós LDH (U/L)]]</f>
        <v>343</v>
      </c>
      <c r="U136" s="85">
        <f>Tabela1[[#This Row],[Pré AST (U/L)]]</f>
        <v>21</v>
      </c>
      <c r="V136" s="193">
        <f>Tabela1[[#This Row],[Pós AST (U/L)]]</f>
        <v>28</v>
      </c>
      <c r="W136" s="194">
        <f>Tabela1[[#This Row],[Pré Albumina (g/dL)]]</f>
        <v>4.5</v>
      </c>
      <c r="X136" s="125">
        <f>Tabela1[[#This Row],[Pós Albumina (g/dL)]]</f>
        <v>4.5999999999999996</v>
      </c>
      <c r="Y136" s="85">
        <f>Tabela1[[#This Row],[Pré TGP (g/dL)]]</f>
        <v>35</v>
      </c>
      <c r="Z136" s="85">
        <f>Tabela1[[#This Row],[Pós TGP (g/dL)]]</f>
        <v>30</v>
      </c>
      <c r="AA136" s="85">
        <f>Tabela1[[#This Row],[Pré GGT U/L]]</f>
        <v>22</v>
      </c>
      <c r="AB136" s="193">
        <f>Tabela1[[#This Row],[Pós GGT U/L]]</f>
        <v>25</v>
      </c>
      <c r="AC136" s="194">
        <f>Tabela1[[#This Row],[Pré Ac. Úrico (mg/dL)]]</f>
        <v>5.3</v>
      </c>
      <c r="AD136" s="125">
        <f>Tabela1[[#This Row],[Pós Ac. Úrico (mg/dL)2]]</f>
        <v>5.3</v>
      </c>
      <c r="AE13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3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36" s="85">
        <f>Tabela1[[#This Row],[Pré Ureia mg/dL]]</f>
        <v>30</v>
      </c>
      <c r="AH136" s="85">
        <f>Tabela1[[#This Row],[Pós Ureia mg/dL]]</f>
        <v>40</v>
      </c>
      <c r="AI136" s="125">
        <f>Tabela1[[#This Row],[Pré creatinina mg/dL]]</f>
        <v>0.9</v>
      </c>
      <c r="AJ136" s="125">
        <f>Tabela1[[#This Row],[Pós creatinina mg/dL]]</f>
        <v>0.9</v>
      </c>
      <c r="AK136" s="180">
        <f t="shared" si="8"/>
        <v>0</v>
      </c>
      <c r="AL136" s="125">
        <f>Tabela1[[#This Row],[Pré Fósforo mg/dL]]</f>
        <v>3.7</v>
      </c>
      <c r="AM136" s="125">
        <f>Tabela1[[#This Row],[Pós Fósforo mg/dL]]</f>
        <v>4.2</v>
      </c>
      <c r="AN136" s="125">
        <f>Tabela1[[#This Row],[Pré Proteína Total (g/dL)]]</f>
        <v>7.8</v>
      </c>
      <c r="AO136" s="125">
        <f>Tabela1[[#This Row],[Pós Proteína Total (g/dL)]]</f>
        <v>7.6</v>
      </c>
      <c r="AP136" s="85">
        <f>Tabela1[[#This Row],[Pré FE (ug/dL)]]</f>
        <v>71</v>
      </c>
      <c r="AQ136" s="193">
        <f>Tabela1[[#This Row],[Pós FE (ug/dL)]]</f>
        <v>99</v>
      </c>
      <c r="AR136" s="194">
        <f>Tabela1[[#This Row],[Pré calcio mg/dL]]</f>
        <v>9.8000000000000007</v>
      </c>
      <c r="AS136" s="125">
        <f>Tabela1[[#This Row],[Pós calcio mg/dL]]</f>
        <v>9.8000000000000007</v>
      </c>
      <c r="AT136" s="125">
        <f>Tabela1[[#This Row],[Pré Potássio mmol/L]]</f>
        <v>4.5</v>
      </c>
      <c r="AU136" s="125">
        <f>Tabela1[[#This Row],[Pós Potássio mmol/L]]</f>
        <v>4.5999999999999996</v>
      </c>
      <c r="AV136" s="85">
        <f>Tabela1[[#This Row],[Glicose pré]]</f>
        <v>99</v>
      </c>
      <c r="AW136" s="85">
        <f>Tabela1[[#This Row],[Glicose pós]]</f>
        <v>164</v>
      </c>
      <c r="AX136" s="85">
        <f>Tabela1[[#This Row],[Pré Sódio mmol/L]]</f>
        <v>148</v>
      </c>
      <c r="AY136" s="85">
        <f>Tabela1[[#This Row],[Pós Sódio mmol/L]]</f>
        <v>150</v>
      </c>
      <c r="AZ136" s="125">
        <f>Tabela1[[#This Row],[Pré Magnésio mg/dL]]</f>
        <v>2</v>
      </c>
      <c r="BA136" s="125">
        <f>Tabela1[[#This Row],[Pós Magnésio mg/dL]]</f>
        <v>2.2000000000000002</v>
      </c>
      <c r="BB136" s="85">
        <f>Tabela1[[#This Row],[Pré Cloro mmol/L]]</f>
        <v>100</v>
      </c>
      <c r="BC136" s="85">
        <f>Tabela1[[#This Row],[Pós Cloro mmol/L]]</f>
        <v>106</v>
      </c>
      <c r="BD13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308.97500000000002</v>
      </c>
      <c r="BE13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318.70044444444443</v>
      </c>
      <c r="BF136" s="194">
        <f>Tabela1[[#This Row],[Pré RBC 10^6/mm³]]</f>
        <v>4.8899999999999997</v>
      </c>
      <c r="BG136" s="125">
        <f>Tabela1[[#This Row],[Pós RBC 10^6/mm³]]</f>
        <v>4.2300000000000004</v>
      </c>
      <c r="BH136" s="125">
        <f>Tabela1[[#This Row],[Pré HGB g/dL]]</f>
        <v>14.6</v>
      </c>
      <c r="BI136" s="125">
        <f>Tabela1[[#This Row],[Pós HGB g/dL]]</f>
        <v>12.7</v>
      </c>
      <c r="BJ136" s="125">
        <f>Tabela1[[#This Row],[Pré HCT %]]</f>
        <v>45.6</v>
      </c>
      <c r="BK136" s="125">
        <f>Tabela1[[#This Row],[Pós HCT %]]</f>
        <v>39.1</v>
      </c>
      <c r="BL136" s="125" t="str">
        <f>Tabela1[[#This Row],[Pré MCV fL]]</f>
        <v>-</v>
      </c>
      <c r="BM136" s="125">
        <f>Tabela1[[#This Row],[Pós MCV fL]]</f>
        <v>90.1</v>
      </c>
      <c r="BN136" s="125" t="str">
        <f>Tabela1[[#This Row],[Pré MCH pg]]</f>
        <v>-</v>
      </c>
      <c r="BO136" s="125">
        <f>Tabela1[[#This Row],[Pós MCH pg]]</f>
        <v>29.3</v>
      </c>
      <c r="BP136" s="125" t="str">
        <f>Tabela1[[#This Row],[Pré MCHC g/dL]]</f>
        <v>-</v>
      </c>
      <c r="BQ136" s="125">
        <f>Tabela1[[#This Row],[Pós MCHC g/dL]]</f>
        <v>32.5</v>
      </c>
      <c r="BR136" s="85" t="str">
        <f>Tabela1[[#This Row],[Pré PLT 10³/mm³]]</f>
        <v>-</v>
      </c>
      <c r="BS136" s="85">
        <f>Tabela1[[#This Row],[Pós PLT 10³/mm³]]</f>
        <v>252</v>
      </c>
      <c r="BT136" s="125" t="str">
        <f>Tabela1[[#This Row],[Pré RDW %]]</f>
        <v>-</v>
      </c>
      <c r="BU136" s="125">
        <f>Tabela1[[#This Row],[Pós RDW %]]</f>
        <v>12.7</v>
      </c>
      <c r="BV136" s="179">
        <f>Tabela1[[#This Row],[Pré RET %]]</f>
        <v>1.43</v>
      </c>
      <c r="BW136" s="196">
        <f>Tabela1[[#This Row],[Pós RET %]]</f>
        <v>1.07</v>
      </c>
      <c r="BX136" s="197">
        <f>Tabela1[[#This Row],[Pré WBC 10³/mm³]]</f>
        <v>7.25</v>
      </c>
      <c r="BY136" s="179">
        <f>Tabela1[[#This Row],[Pós WBC 10³/mm³]]</f>
        <v>8.2899999999999991</v>
      </c>
      <c r="BZ136" s="125" t="str">
        <f>Tabela1[[#This Row],[Pré NEUT %]]</f>
        <v>-</v>
      </c>
      <c r="CA136" s="125">
        <f>Tabela1[[#This Row],[Pós NEUT %]]</f>
        <v>65.900000000000006</v>
      </c>
      <c r="CB136" s="125" t="str">
        <f>Tabela1[[#This Row],[Pré LINF %]]</f>
        <v>-</v>
      </c>
      <c r="CC136" s="125">
        <f>Tabela1[[#This Row],[Pós LINF %]]</f>
        <v>23.8</v>
      </c>
      <c r="CD136" s="125" t="str">
        <f>Tabela1[[#This Row],[Pré MONO %]]</f>
        <v>-</v>
      </c>
      <c r="CE136" s="125">
        <f>Tabela1[[#This Row],[Pós MONO %]]</f>
        <v>10</v>
      </c>
      <c r="CF136" s="125" t="str">
        <f>Tabela1[[#This Row],[Pré EOS %]]</f>
        <v>-</v>
      </c>
      <c r="CG136" s="125">
        <f>Tabela1[[#This Row],[Pós EOS %]]</f>
        <v>0.2</v>
      </c>
      <c r="CH136" s="125" t="str">
        <f>Tabela1[[#This Row],[Pré BASO %]]</f>
        <v>-</v>
      </c>
      <c r="CI136" s="198">
        <f>Tabela1[[#This Row],[Pós BASO %]]</f>
        <v>0.1</v>
      </c>
      <c r="CJ136" s="199" t="str">
        <f t="shared" si="9"/>
        <v>NÃO</v>
      </c>
      <c r="CK136" s="200" t="str">
        <f t="shared" si="10"/>
        <v>NÃO</v>
      </c>
      <c r="CL136" s="194">
        <f t="shared" si="11"/>
        <v>72.809100000000001</v>
      </c>
      <c r="CM136" s="125">
        <f>Tabela1[[#This Row],[MCT KG]]</f>
        <v>81.900000000000006</v>
      </c>
      <c r="CN136" s="85">
        <f>Tabela1[[#This Row],[ESTATURA]]</f>
        <v>180.5</v>
      </c>
      <c r="CO136" s="85">
        <f>Tabela1[[#This Row],[vo2max estimado]]</f>
        <v>51.93</v>
      </c>
      <c r="CP136" s="85">
        <f>Tabela1[[#This Row],[Handgrip     Dominante]]</f>
        <v>44.5</v>
      </c>
      <c r="CQ136" s="85">
        <f>Tabela1[[#This Row],[Handgrip Contrário]]</f>
        <v>46.5</v>
      </c>
      <c r="CR136" s="281">
        <f>Tabela1[[#This Row],[% gordura]]</f>
        <v>11.1</v>
      </c>
    </row>
    <row r="137" spans="1:96" ht="15.75" customHeight="1">
      <c r="A137" s="279">
        <f>Tabela1[[#This Row],[Ano]]</f>
        <v>2018</v>
      </c>
      <c r="B137" s="181" t="str">
        <f>Tabela1[[#This Row],[Missão]]</f>
        <v>Itatiaia</v>
      </c>
      <c r="C137" s="181">
        <f>Tabela1[[#This Row],[Aluno]]</f>
        <v>3194</v>
      </c>
      <c r="D137" s="181">
        <f>Tabela1[[#This Row],[Idade]]</f>
        <v>28</v>
      </c>
      <c r="E137" s="182">
        <f>Tabela1[[#This Row],[Peso Kg]]</f>
        <v>81</v>
      </c>
      <c r="F137" s="191">
        <f>Tabela1[[#This Row],[Cor da pele]]</f>
        <v>1</v>
      </c>
      <c r="G137" s="192" t="str">
        <f>Tabela1[[#This Row],[ACTN3]]</f>
        <v>-</v>
      </c>
      <c r="H137" s="85" t="str">
        <f>Tabela1[[#This Row],[AGT]]</f>
        <v>-</v>
      </c>
      <c r="I137" s="85" t="str">
        <f>Tabela1[[#This Row],[ECA]]</f>
        <v>-</v>
      </c>
      <c r="J137" s="85" t="str">
        <f>Tabela1[[#This Row],[BDKRB2]]</f>
        <v>-</v>
      </c>
      <c r="K137" s="85" t="str">
        <f>Tabela1[[#This Row],[Score Força%]]</f>
        <v>-</v>
      </c>
      <c r="L137" s="193" t="str">
        <f>Tabela1[[#This Row],[Score Resistência %]]</f>
        <v>-</v>
      </c>
      <c r="M137" s="192">
        <f>Tabela1[[#This Row],[Pré CK (U/L)]]</f>
        <v>143</v>
      </c>
      <c r="N137" s="85">
        <f>Tabela1[[#This Row],[Pós CK (U/L)]]</f>
        <v>509</v>
      </c>
      <c r="O137" s="85">
        <f>Tabela1[[#This Row],[Pré CK MB U/L]]</f>
        <v>3</v>
      </c>
      <c r="P137" s="85">
        <f>Tabela1[[#This Row],[Pós CK MB U/L]]</f>
        <v>17</v>
      </c>
      <c r="Q137" s="85">
        <f>Tabela1[[#This Row],[Pré Lactato (mmol/L)]]</f>
        <v>1.8</v>
      </c>
      <c r="R137" s="85">
        <f>Tabela1[[#This Row],[Pós Lactato (mmol/L)]]</f>
        <v>2.7</v>
      </c>
      <c r="S137" s="85">
        <f>Tabela1[[#This Row],[Pré LDH (U/L)]]</f>
        <v>406</v>
      </c>
      <c r="T137" s="85">
        <f>Tabela1[[#This Row],[Pós LDH (U/L)]]</f>
        <v>583</v>
      </c>
      <c r="U137" s="85">
        <f>Tabela1[[#This Row],[Pré AST (U/L)]]</f>
        <v>24</v>
      </c>
      <c r="V137" s="193">
        <f>Tabela1[[#This Row],[Pós AST (U/L)]]</f>
        <v>43</v>
      </c>
      <c r="W137" s="194">
        <f>Tabela1[[#This Row],[Pré Albumina (g/dL)]]</f>
        <v>4.4000000000000004</v>
      </c>
      <c r="X137" s="125">
        <f>Tabela1[[#This Row],[Pós Albumina (g/dL)]]</f>
        <v>4.5</v>
      </c>
      <c r="Y137" s="85">
        <f>Tabela1[[#This Row],[Pré TGP (g/dL)]]</f>
        <v>31</v>
      </c>
      <c r="Z137" s="85">
        <f>Tabela1[[#This Row],[Pós TGP (g/dL)]]</f>
        <v>16</v>
      </c>
      <c r="AA137" s="85">
        <f>Tabela1[[#This Row],[Pré GGT U/L]]</f>
        <v>13</v>
      </c>
      <c r="AB137" s="193">
        <f>Tabela1[[#This Row],[Pós GGT U/L]]</f>
        <v>16</v>
      </c>
      <c r="AC137" s="194">
        <f>Tabela1[[#This Row],[Pré Ac. Úrico (mg/dL)]]</f>
        <v>6.8</v>
      </c>
      <c r="AD137" s="125">
        <f>Tabela1[[#This Row],[Pós Ac. Úrico (mg/dL)2]]</f>
        <v>7.6</v>
      </c>
      <c r="AE13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3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37" s="85">
        <f>Tabela1[[#This Row],[Pré Ureia mg/dL]]</f>
        <v>33</v>
      </c>
      <c r="AH137" s="85">
        <f>Tabela1[[#This Row],[Pós Ureia mg/dL]]</f>
        <v>34</v>
      </c>
      <c r="AI137" s="125">
        <f>Tabela1[[#This Row],[Pré creatinina mg/dL]]</f>
        <v>1</v>
      </c>
      <c r="AJ137" s="125">
        <f>Tabela1[[#This Row],[Pós creatinina mg/dL]]</f>
        <v>1</v>
      </c>
      <c r="AK137" s="180">
        <f t="shared" si="8"/>
        <v>0</v>
      </c>
      <c r="AL137" s="125">
        <f>Tabela1[[#This Row],[Pré Fósforo mg/dL]]</f>
        <v>4</v>
      </c>
      <c r="AM137" s="125">
        <f>Tabela1[[#This Row],[Pós Fósforo mg/dL]]</f>
        <v>3.8</v>
      </c>
      <c r="AN137" s="125">
        <f>Tabela1[[#This Row],[Pré Proteína Total (g/dL)]]</f>
        <v>7.9</v>
      </c>
      <c r="AO137" s="125">
        <f>Tabela1[[#This Row],[Pós Proteína Total (g/dL)]]</f>
        <v>7.8</v>
      </c>
      <c r="AP137" s="85">
        <f>Tabela1[[#This Row],[Pré FE (ug/dL)]]</f>
        <v>94</v>
      </c>
      <c r="AQ137" s="193">
        <f>Tabela1[[#This Row],[Pós FE (ug/dL)]]</f>
        <v>137</v>
      </c>
      <c r="AR137" s="194">
        <f>Tabela1[[#This Row],[Pré calcio mg/dL]]</f>
        <v>9.9</v>
      </c>
      <c r="AS137" s="125">
        <f>Tabela1[[#This Row],[Pós calcio mg/dL]]</f>
        <v>9.8000000000000007</v>
      </c>
      <c r="AT137" s="125">
        <f>Tabela1[[#This Row],[Pré Potássio mmol/L]]</f>
        <v>4.9000000000000004</v>
      </c>
      <c r="AU137" s="125">
        <f>Tabela1[[#This Row],[Pós Potássio mmol/L]]</f>
        <v>4.5999999999999996</v>
      </c>
      <c r="AV137" s="85">
        <f>Tabela1[[#This Row],[Glicose pré]]</f>
        <v>127</v>
      </c>
      <c r="AW137" s="85">
        <f>Tabela1[[#This Row],[Glicose pós]]</f>
        <v>90</v>
      </c>
      <c r="AX137" s="85">
        <f>Tabela1[[#This Row],[Pré Sódio mmol/L]]</f>
        <v>144</v>
      </c>
      <c r="AY137" s="85">
        <f>Tabela1[[#This Row],[Pós Sódio mmol/L]]</f>
        <v>148</v>
      </c>
      <c r="AZ137" s="125">
        <f>Tabela1[[#This Row],[Pré Magnésio mg/dL]]</f>
        <v>2</v>
      </c>
      <c r="BA137" s="125">
        <f>Tabela1[[#This Row],[Pós Magnésio mg/dL]]</f>
        <v>2.1</v>
      </c>
      <c r="BB137" s="85">
        <f>Tabela1[[#This Row],[Pré Cloro mmol/L]]</f>
        <v>100</v>
      </c>
      <c r="BC137" s="85">
        <f>Tabela1[[#This Row],[Pós Cloro mmol/L]]</f>
        <v>107</v>
      </c>
      <c r="BD13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304.56788888888889</v>
      </c>
      <c r="BE13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309.2526666666667</v>
      </c>
      <c r="BF137" s="194">
        <f>Tabela1[[#This Row],[Pré RBC 10^6/mm³]]</f>
        <v>4.96</v>
      </c>
      <c r="BG137" s="125">
        <f>Tabela1[[#This Row],[Pós RBC 10^6/mm³]]</f>
        <v>4.84</v>
      </c>
      <c r="BH137" s="125">
        <f>Tabela1[[#This Row],[Pré HGB g/dL]]</f>
        <v>14.1</v>
      </c>
      <c r="BI137" s="125">
        <f>Tabela1[[#This Row],[Pós HGB g/dL]]</f>
        <v>13.7</v>
      </c>
      <c r="BJ137" s="125">
        <f>Tabela1[[#This Row],[Pré HCT %]]</f>
        <v>44.3</v>
      </c>
      <c r="BK137" s="125">
        <f>Tabela1[[#This Row],[Pós HCT %]]</f>
        <v>42.7</v>
      </c>
      <c r="BL137" s="125" t="str">
        <f>Tabela1[[#This Row],[Pré MCV fL]]</f>
        <v>-</v>
      </c>
      <c r="BM137" s="125">
        <f>Tabela1[[#This Row],[Pós MCV fL]]</f>
        <v>88.2</v>
      </c>
      <c r="BN137" s="125" t="str">
        <f>Tabela1[[#This Row],[Pré MCH pg]]</f>
        <v>-</v>
      </c>
      <c r="BO137" s="125">
        <f>Tabela1[[#This Row],[Pós MCH pg]]</f>
        <v>28.3</v>
      </c>
      <c r="BP137" s="125" t="str">
        <f>Tabela1[[#This Row],[Pré MCHC g/dL]]</f>
        <v>-</v>
      </c>
      <c r="BQ137" s="125">
        <f>Tabela1[[#This Row],[Pós MCHC g/dL]]</f>
        <v>32.1</v>
      </c>
      <c r="BR137" s="85" t="str">
        <f>Tabela1[[#This Row],[Pré PLT 10³/mm³]]</f>
        <v>-</v>
      </c>
      <c r="BS137" s="85">
        <f>Tabela1[[#This Row],[Pós PLT 10³/mm³]]</f>
        <v>283</v>
      </c>
      <c r="BT137" s="125" t="str">
        <f>Tabela1[[#This Row],[Pré RDW %]]</f>
        <v>-</v>
      </c>
      <c r="BU137" s="125">
        <f>Tabela1[[#This Row],[Pós RDW %]]</f>
        <v>13.5</v>
      </c>
      <c r="BV137" s="179">
        <f>Tabela1[[#This Row],[Pré RET %]]</f>
        <v>1.95</v>
      </c>
      <c r="BW137" s="196">
        <f>Tabela1[[#This Row],[Pós RET %]]</f>
        <v>1.42</v>
      </c>
      <c r="BX137" s="197">
        <f>Tabela1[[#This Row],[Pré WBC 10³/mm³]]</f>
        <v>5.43</v>
      </c>
      <c r="BY137" s="179">
        <f>Tabela1[[#This Row],[Pós WBC 10³/mm³]]</f>
        <v>6.07</v>
      </c>
      <c r="BZ137" s="125" t="str">
        <f>Tabela1[[#This Row],[Pré NEUT %]]</f>
        <v>-</v>
      </c>
      <c r="CA137" s="125">
        <f>Tabela1[[#This Row],[Pós NEUT %]]</f>
        <v>65.8</v>
      </c>
      <c r="CB137" s="125" t="str">
        <f>Tabela1[[#This Row],[Pré LINF %]]</f>
        <v>-</v>
      </c>
      <c r="CC137" s="125">
        <f>Tabela1[[#This Row],[Pós LINF %]]</f>
        <v>22.7</v>
      </c>
      <c r="CD137" s="125" t="str">
        <f>Tabela1[[#This Row],[Pré MONO %]]</f>
        <v>-</v>
      </c>
      <c r="CE137" s="125">
        <f>Tabela1[[#This Row],[Pós MONO %]]</f>
        <v>10</v>
      </c>
      <c r="CF137" s="125" t="str">
        <f>Tabela1[[#This Row],[Pré EOS %]]</f>
        <v>-</v>
      </c>
      <c r="CG137" s="125">
        <f>Tabela1[[#This Row],[Pós EOS %]]</f>
        <v>1.2</v>
      </c>
      <c r="CH137" s="125" t="str">
        <f>Tabela1[[#This Row],[Pré BASO %]]</f>
        <v>-</v>
      </c>
      <c r="CI137" s="198">
        <f>Tabela1[[#This Row],[Pós BASO %]]</f>
        <v>0.3</v>
      </c>
      <c r="CJ137" s="199" t="str">
        <f t="shared" si="9"/>
        <v>NÃO</v>
      </c>
      <c r="CK137" s="200" t="str">
        <f t="shared" si="10"/>
        <v>NÃO</v>
      </c>
      <c r="CL137" s="194">
        <f t="shared" si="11"/>
        <v>71.943809999999999</v>
      </c>
      <c r="CM137" s="125">
        <f>Tabela1[[#This Row],[MCT KG]]</f>
        <v>81.099999999999994</v>
      </c>
      <c r="CN137" s="85">
        <f>Tabela1[[#This Row],[ESTATURA]]</f>
        <v>178</v>
      </c>
      <c r="CO137" s="85">
        <f>Tabela1[[#This Row],[vo2max estimado]]</f>
        <v>51.6</v>
      </c>
      <c r="CP137" s="85">
        <f>Tabela1[[#This Row],[Handgrip     Dominante]]</f>
        <v>45.5</v>
      </c>
      <c r="CQ137" s="85">
        <f>Tabela1[[#This Row],[Handgrip Contrário]]</f>
        <v>43</v>
      </c>
      <c r="CR137" s="281">
        <f>Tabela1[[#This Row],[% gordura]]</f>
        <v>11.29</v>
      </c>
    </row>
    <row r="138" spans="1:96" ht="15.75" customHeight="1">
      <c r="A138" s="279">
        <f>Tabela1[[#This Row],[Ano]]</f>
        <v>2018</v>
      </c>
      <c r="B138" s="181" t="str">
        <f>Tabela1[[#This Row],[Missão]]</f>
        <v>Itatiaia</v>
      </c>
      <c r="C138" s="181">
        <f>Tabela1[[#This Row],[Aluno]]</f>
        <v>3195</v>
      </c>
      <c r="D138" s="181">
        <f>Tabela1[[#This Row],[Idade]]</f>
        <v>26</v>
      </c>
      <c r="E138" s="182">
        <f>Tabela1[[#This Row],[Peso Kg]]</f>
        <v>68</v>
      </c>
      <c r="F138" s="191">
        <f>Tabela1[[#This Row],[Cor da pele]]</f>
        <v>1</v>
      </c>
      <c r="G138" s="192" t="str">
        <f>Tabela1[[#This Row],[ACTN3]]</f>
        <v>-</v>
      </c>
      <c r="H138" s="85" t="str">
        <f>Tabela1[[#This Row],[AGT]]</f>
        <v>-</v>
      </c>
      <c r="I138" s="85" t="str">
        <f>Tabela1[[#This Row],[ECA]]</f>
        <v>-</v>
      </c>
      <c r="J138" s="85" t="str">
        <f>Tabela1[[#This Row],[BDKRB2]]</f>
        <v>-</v>
      </c>
      <c r="K138" s="85" t="str">
        <f>Tabela1[[#This Row],[Score Força%]]</f>
        <v>-</v>
      </c>
      <c r="L138" s="193" t="str">
        <f>Tabela1[[#This Row],[Score Resistência %]]</f>
        <v>-</v>
      </c>
      <c r="M138" s="192">
        <f>Tabela1[[#This Row],[Pré CK (U/L)]]</f>
        <v>87</v>
      </c>
      <c r="N138" s="85">
        <f>Tabela1[[#This Row],[Pós CK (U/L)]]</f>
        <v>271</v>
      </c>
      <c r="O138" s="85">
        <f>Tabela1[[#This Row],[Pré CK MB U/L]]</f>
        <v>3</v>
      </c>
      <c r="P138" s="85">
        <f>Tabela1[[#This Row],[Pós CK MB U/L]]</f>
        <v>20</v>
      </c>
      <c r="Q138" s="85">
        <f>Tabela1[[#This Row],[Pré Lactato (mmol/L)]]</f>
        <v>1.6</v>
      </c>
      <c r="R138" s="85">
        <f>Tabela1[[#This Row],[Pós Lactato (mmol/L)]]</f>
        <v>2.5</v>
      </c>
      <c r="S138" s="85">
        <f>Tabela1[[#This Row],[Pré LDH (U/L)]]</f>
        <v>392</v>
      </c>
      <c r="T138" s="85">
        <f>Tabela1[[#This Row],[Pós LDH (U/L)]]</f>
        <v>511</v>
      </c>
      <c r="U138" s="85">
        <f>Tabela1[[#This Row],[Pré AST (U/L)]]</f>
        <v>31</v>
      </c>
      <c r="V138" s="193">
        <f>Tabela1[[#This Row],[Pós AST (U/L)]]</f>
        <v>47</v>
      </c>
      <c r="W138" s="194">
        <f>Tabela1[[#This Row],[Pré Albumina (g/dL)]]</f>
        <v>4.9000000000000004</v>
      </c>
      <c r="X138" s="125">
        <f>Tabela1[[#This Row],[Pós Albumina (g/dL)]]</f>
        <v>5</v>
      </c>
      <c r="Y138" s="85">
        <f>Tabela1[[#This Row],[Pré TGP (g/dL)]]</f>
        <v>59</v>
      </c>
      <c r="Z138" s="85">
        <f>Tabela1[[#This Row],[Pós TGP (g/dL)]]</f>
        <v>80</v>
      </c>
      <c r="AA138" s="85">
        <f>Tabela1[[#This Row],[Pré GGT U/L]]</f>
        <v>23</v>
      </c>
      <c r="AB138" s="193">
        <f>Tabela1[[#This Row],[Pós GGT U/L]]</f>
        <v>25</v>
      </c>
      <c r="AC138" s="194">
        <f>Tabela1[[#This Row],[Pré Ac. Úrico (mg/dL)]]</f>
        <v>4.8</v>
      </c>
      <c r="AD138" s="125">
        <f>Tabela1[[#This Row],[Pós Ac. Úrico (mg/dL)2]]</f>
        <v>4.9000000000000004</v>
      </c>
      <c r="AE13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3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138" s="85">
        <f>Tabela1[[#This Row],[Pré Ureia mg/dL]]</f>
        <v>35</v>
      </c>
      <c r="AH138" s="85">
        <f>Tabela1[[#This Row],[Pós Ureia mg/dL]]</f>
        <v>41</v>
      </c>
      <c r="AI138" s="125">
        <f>Tabela1[[#This Row],[Pré creatinina mg/dL]]</f>
        <v>0.9</v>
      </c>
      <c r="AJ138" s="125">
        <f>Tabela1[[#This Row],[Pós creatinina mg/dL]]</f>
        <v>0.8</v>
      </c>
      <c r="AK138" s="180">
        <f t="shared" si="8"/>
        <v>0</v>
      </c>
      <c r="AL138" s="125">
        <f>Tabela1[[#This Row],[Pré Fósforo mg/dL]]</f>
        <v>4.3</v>
      </c>
      <c r="AM138" s="125">
        <f>Tabela1[[#This Row],[Pós Fósforo mg/dL]]</f>
        <v>4.7</v>
      </c>
      <c r="AN138" s="125">
        <f>Tabela1[[#This Row],[Pré Proteína Total (g/dL)]]</f>
        <v>9</v>
      </c>
      <c r="AO138" s="125">
        <f>Tabela1[[#This Row],[Pós Proteína Total (g/dL)]]</f>
        <v>8.5</v>
      </c>
      <c r="AP138" s="85">
        <f>Tabela1[[#This Row],[Pré FE (ug/dL)]]</f>
        <v>86</v>
      </c>
      <c r="AQ138" s="193">
        <f>Tabela1[[#This Row],[Pós FE (ug/dL)]]</f>
        <v>150</v>
      </c>
      <c r="AR138" s="194">
        <f>Tabela1[[#This Row],[Pré calcio mg/dL]]</f>
        <v>10.5</v>
      </c>
      <c r="AS138" s="125">
        <f>Tabela1[[#This Row],[Pós calcio mg/dL]]</f>
        <v>10.4</v>
      </c>
      <c r="AT138" s="125">
        <f>Tabela1[[#This Row],[Pré Potássio mmol/L]]</f>
        <v>4.0999999999999996</v>
      </c>
      <c r="AU138" s="125">
        <f>Tabela1[[#This Row],[Pós Potássio mmol/L]]</f>
        <v>4.5999999999999996</v>
      </c>
      <c r="AV138" s="85">
        <f>Tabela1[[#This Row],[Glicose pré]]</f>
        <v>88</v>
      </c>
      <c r="AW138" s="85">
        <f>Tabela1[[#This Row],[Glicose pós]]</f>
        <v>95</v>
      </c>
      <c r="AX138" s="85">
        <f>Tabela1[[#This Row],[Pré Sódio mmol/L]]</f>
        <v>146</v>
      </c>
      <c r="AY138" s="85">
        <f>Tabela1[[#This Row],[Pós Sódio mmol/L]]</f>
        <v>151</v>
      </c>
      <c r="AZ138" s="125">
        <f>Tabela1[[#This Row],[Pré Magnésio mg/dL]]</f>
        <v>2.2000000000000002</v>
      </c>
      <c r="BA138" s="125">
        <f>Tabela1[[#This Row],[Pós Magnésio mg/dL]]</f>
        <v>2.1</v>
      </c>
      <c r="BB138" s="85">
        <f>Tabela1[[#This Row],[Pré Cloro mmol/L]]</f>
        <v>95</v>
      </c>
      <c r="BC138" s="85">
        <f>Tabela1[[#This Row],[Pós Cloro mmol/L]]</f>
        <v>103</v>
      </c>
      <c r="BD13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304.6415555555555</v>
      </c>
      <c r="BE13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316.31877777777777</v>
      </c>
      <c r="BF138" s="194">
        <f>Tabela1[[#This Row],[Pré RBC 10^6/mm³]]</f>
        <v>5.07</v>
      </c>
      <c r="BG138" s="125">
        <f>Tabela1[[#This Row],[Pós RBC 10^6/mm³]]</f>
        <v>4.9800000000000004</v>
      </c>
      <c r="BH138" s="125">
        <f>Tabela1[[#This Row],[Pré HGB g/dL]]</f>
        <v>15.7</v>
      </c>
      <c r="BI138" s="125">
        <f>Tabela1[[#This Row],[Pós HGB g/dL]]</f>
        <v>15.2</v>
      </c>
      <c r="BJ138" s="125">
        <f>Tabela1[[#This Row],[Pré HCT %]]</f>
        <v>43.9</v>
      </c>
      <c r="BK138" s="125">
        <f>Tabela1[[#This Row],[Pós HCT %]]</f>
        <v>45.8</v>
      </c>
      <c r="BL138" s="125" t="str">
        <f>Tabela1[[#This Row],[Pré MCV fL]]</f>
        <v>-</v>
      </c>
      <c r="BM138" s="125">
        <f>Tabela1[[#This Row],[Pós MCV fL]]</f>
        <v>92</v>
      </c>
      <c r="BN138" s="125" t="str">
        <f>Tabela1[[#This Row],[Pré MCH pg]]</f>
        <v>-</v>
      </c>
      <c r="BO138" s="125">
        <f>Tabela1[[#This Row],[Pós MCH pg]]</f>
        <v>30.5</v>
      </c>
      <c r="BP138" s="125" t="str">
        <f>Tabela1[[#This Row],[Pré MCHC g/dL]]</f>
        <v>-</v>
      </c>
      <c r="BQ138" s="125">
        <f>Tabela1[[#This Row],[Pós MCHC g/dL]]</f>
        <v>33.200000000000003</v>
      </c>
      <c r="BR138" s="85" t="str">
        <f>Tabela1[[#This Row],[Pré PLT 10³/mm³]]</f>
        <v>-</v>
      </c>
      <c r="BS138" s="85">
        <f>Tabela1[[#This Row],[Pós PLT 10³/mm³]]</f>
        <v>293</v>
      </c>
      <c r="BT138" s="125" t="str">
        <f>Tabela1[[#This Row],[Pré RDW %]]</f>
        <v>-</v>
      </c>
      <c r="BU138" s="125">
        <f>Tabela1[[#This Row],[Pós RDW %]]</f>
        <v>13</v>
      </c>
      <c r="BV138" s="179">
        <f>Tabela1[[#This Row],[Pré RET %]]</f>
        <v>1.72</v>
      </c>
      <c r="BW138" s="196">
        <f>Tabela1[[#This Row],[Pós RET %]]</f>
        <v>0.96</v>
      </c>
      <c r="BX138" s="197">
        <f>Tabela1[[#This Row],[Pré WBC 10³/mm³]]</f>
        <v>10.73</v>
      </c>
      <c r="BY138" s="179">
        <f>Tabela1[[#This Row],[Pós WBC 10³/mm³]]</f>
        <v>8.2899999999999991</v>
      </c>
      <c r="BZ138" s="125" t="str">
        <f>Tabela1[[#This Row],[Pré NEUT %]]</f>
        <v>-</v>
      </c>
      <c r="CA138" s="125">
        <f>Tabela1[[#This Row],[Pós NEUT %]]</f>
        <v>73.3</v>
      </c>
      <c r="CB138" s="125" t="str">
        <f>Tabela1[[#This Row],[Pré LINF %]]</f>
        <v>-</v>
      </c>
      <c r="CC138" s="125">
        <f>Tabela1[[#This Row],[Pós LINF %]]</f>
        <v>17.7</v>
      </c>
      <c r="CD138" s="125" t="str">
        <f>Tabela1[[#This Row],[Pré MONO %]]</f>
        <v>-</v>
      </c>
      <c r="CE138" s="125">
        <f>Tabela1[[#This Row],[Pós MONO %]]</f>
        <v>6.9</v>
      </c>
      <c r="CF138" s="125" t="str">
        <f>Tabela1[[#This Row],[Pré EOS %]]</f>
        <v>-</v>
      </c>
      <c r="CG138" s="125">
        <f>Tabela1[[#This Row],[Pós EOS %]]</f>
        <v>1.7</v>
      </c>
      <c r="CH138" s="125" t="str">
        <f>Tabela1[[#This Row],[Pré BASO %]]</f>
        <v>-</v>
      </c>
      <c r="CI138" s="198">
        <f>Tabela1[[#This Row],[Pós BASO %]]</f>
        <v>0.4</v>
      </c>
      <c r="CJ138" s="199" t="str">
        <f t="shared" si="9"/>
        <v>NÃO</v>
      </c>
      <c r="CK138" s="200" t="str">
        <f t="shared" si="10"/>
        <v>NÃO</v>
      </c>
      <c r="CL138" s="194">
        <f t="shared" si="11"/>
        <v>62.5396</v>
      </c>
      <c r="CM138" s="125">
        <f>Tabela1[[#This Row],[MCT KG]]</f>
        <v>68</v>
      </c>
      <c r="CN138" s="85">
        <f>Tabela1[[#This Row],[ESTATURA]]</f>
        <v>173</v>
      </c>
      <c r="CO138" s="85">
        <f>Tabela1[[#This Row],[vo2max estimado]]</f>
        <v>55.9</v>
      </c>
      <c r="CP138" s="85">
        <f>Tabela1[[#This Row],[Handgrip     Dominante]]</f>
        <v>39</v>
      </c>
      <c r="CQ138" s="85">
        <f>Tabela1[[#This Row],[Handgrip Contrário]]</f>
        <v>39</v>
      </c>
      <c r="CR138" s="281">
        <f>Tabela1[[#This Row],[% gordura]]</f>
        <v>8.0299999999999994</v>
      </c>
    </row>
    <row r="139" spans="1:96" ht="15.75" customHeight="1">
      <c r="A139" s="279">
        <f>Tabela1[[#This Row],[Ano]]</f>
        <v>2018</v>
      </c>
      <c r="B139" s="181" t="str">
        <f>Tabela1[[#This Row],[Missão]]</f>
        <v>Itatiaia</v>
      </c>
      <c r="C139" s="181">
        <f>Tabela1[[#This Row],[Aluno]]</f>
        <v>3196</v>
      </c>
      <c r="D139" s="181">
        <f>Tabela1[[#This Row],[Idade]]</f>
        <v>27</v>
      </c>
      <c r="E139" s="182">
        <f>Tabela1[[#This Row],[Peso Kg]]</f>
        <v>80</v>
      </c>
      <c r="F139" s="191">
        <f>Tabela1[[#This Row],[Cor da pele]]</f>
        <v>1</v>
      </c>
      <c r="G139" s="192" t="str">
        <f>Tabela1[[#This Row],[ACTN3]]</f>
        <v>-</v>
      </c>
      <c r="H139" s="85" t="str">
        <f>Tabela1[[#This Row],[AGT]]</f>
        <v>-</v>
      </c>
      <c r="I139" s="85" t="str">
        <f>Tabela1[[#This Row],[ECA]]</f>
        <v>-</v>
      </c>
      <c r="J139" s="85" t="str">
        <f>Tabela1[[#This Row],[BDKRB2]]</f>
        <v>-</v>
      </c>
      <c r="K139" s="85" t="str">
        <f>Tabela1[[#This Row],[Score Força%]]</f>
        <v>-</v>
      </c>
      <c r="L139" s="193" t="str">
        <f>Tabela1[[#This Row],[Score Resistência %]]</f>
        <v>-</v>
      </c>
      <c r="M139" s="192">
        <f>Tabela1[[#This Row],[Pré CK (U/L)]]</f>
        <v>225</v>
      </c>
      <c r="N139" s="85">
        <f>Tabela1[[#This Row],[Pós CK (U/L)]]</f>
        <v>976</v>
      </c>
      <c r="O139" s="85">
        <f>Tabela1[[#This Row],[Pré CK MB U/L]]</f>
        <v>4</v>
      </c>
      <c r="P139" s="85">
        <f>Tabela1[[#This Row],[Pós CK MB U/L]]</f>
        <v>23</v>
      </c>
      <c r="Q139" s="85">
        <f>Tabela1[[#This Row],[Pré Lactato (mmol/L)]]</f>
        <v>1.4</v>
      </c>
      <c r="R139" s="85">
        <f>Tabela1[[#This Row],[Pós Lactato (mmol/L)]]</f>
        <v>2.9</v>
      </c>
      <c r="S139" s="85">
        <f>Tabela1[[#This Row],[Pré LDH (U/L)]]</f>
        <v>501</v>
      </c>
      <c r="T139" s="85">
        <f>Tabela1[[#This Row],[Pós LDH (U/L)]]</f>
        <v>763</v>
      </c>
      <c r="U139" s="85">
        <f>Tabela1[[#This Row],[Pré AST (U/L)]]</f>
        <v>29</v>
      </c>
      <c r="V139" s="193">
        <f>Tabela1[[#This Row],[Pós AST (U/L)]]</f>
        <v>55</v>
      </c>
      <c r="W139" s="194">
        <f>Tabela1[[#This Row],[Pré Albumina (g/dL)]]</f>
        <v>4.5</v>
      </c>
      <c r="X139" s="125">
        <f>Tabela1[[#This Row],[Pós Albumina (g/dL)]]</f>
        <v>4.7</v>
      </c>
      <c r="Y139" s="85">
        <f>Tabela1[[#This Row],[Pré TGP (g/dL)]]</f>
        <v>41</v>
      </c>
      <c r="Z139" s="85">
        <f>Tabela1[[#This Row],[Pós TGP (g/dL)]]</f>
        <v>62</v>
      </c>
      <c r="AA139" s="85">
        <f>Tabela1[[#This Row],[Pré GGT U/L]]</f>
        <v>32</v>
      </c>
      <c r="AB139" s="193">
        <f>Tabela1[[#This Row],[Pós GGT U/L]]</f>
        <v>33</v>
      </c>
      <c r="AC139" s="194">
        <f>Tabela1[[#This Row],[Pré Ac. Úrico (mg/dL)]]</f>
        <v>6.3</v>
      </c>
      <c r="AD139" s="125">
        <f>Tabela1[[#This Row],[Pós Ac. Úrico (mg/dL)2]]</f>
        <v>7.1</v>
      </c>
      <c r="AE13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3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39" s="85">
        <f>Tabela1[[#This Row],[Pré Ureia mg/dL]]</f>
        <v>25</v>
      </c>
      <c r="AH139" s="85">
        <f>Tabela1[[#This Row],[Pós Ureia mg/dL]]</f>
        <v>44</v>
      </c>
      <c r="AI139" s="125">
        <f>Tabela1[[#This Row],[Pré creatinina mg/dL]]</f>
        <v>1.1000000000000001</v>
      </c>
      <c r="AJ139" s="125">
        <f>Tabela1[[#This Row],[Pós creatinina mg/dL]]</f>
        <v>1.1000000000000001</v>
      </c>
      <c r="AK139" s="180">
        <f t="shared" si="8"/>
        <v>0</v>
      </c>
      <c r="AL139" s="125">
        <f>Tabela1[[#This Row],[Pré Fósforo mg/dL]]</f>
        <v>4.3</v>
      </c>
      <c r="AM139" s="125">
        <f>Tabela1[[#This Row],[Pós Fósforo mg/dL]]</f>
        <v>4.7</v>
      </c>
      <c r="AN139" s="125">
        <f>Tabela1[[#This Row],[Pré Proteína Total (g/dL)]]</f>
        <v>7.9</v>
      </c>
      <c r="AO139" s="125">
        <f>Tabela1[[#This Row],[Pós Proteína Total (g/dL)]]</f>
        <v>8</v>
      </c>
      <c r="AP139" s="85">
        <f>Tabela1[[#This Row],[Pré FE (ug/dL)]]</f>
        <v>77</v>
      </c>
      <c r="AQ139" s="193">
        <f>Tabela1[[#This Row],[Pós FE (ug/dL)]]</f>
        <v>84</v>
      </c>
      <c r="AR139" s="194">
        <f>Tabela1[[#This Row],[Pré calcio mg/dL]]</f>
        <v>9.6999999999999993</v>
      </c>
      <c r="AS139" s="125">
        <f>Tabela1[[#This Row],[Pós calcio mg/dL]]</f>
        <v>9.9</v>
      </c>
      <c r="AT139" s="125">
        <f>Tabela1[[#This Row],[Pré Potássio mmol/L]]</f>
        <v>4.5999999999999996</v>
      </c>
      <c r="AU139" s="125">
        <f>Tabela1[[#This Row],[Pós Potássio mmol/L]]</f>
        <v>4.8</v>
      </c>
      <c r="AV139" s="85">
        <f>Tabela1[[#This Row],[Glicose pré]]</f>
        <v>123</v>
      </c>
      <c r="AW139" s="85">
        <f>Tabela1[[#This Row],[Glicose pós]]</f>
        <v>119</v>
      </c>
      <c r="AX139" s="85">
        <f>Tabela1[[#This Row],[Pré Sódio mmol/L]]</f>
        <v>147</v>
      </c>
      <c r="AY139" s="85">
        <f>Tabela1[[#This Row],[Pós Sódio mmol/L]]</f>
        <v>149</v>
      </c>
      <c r="AZ139" s="125">
        <f>Tabela1[[#This Row],[Pré Magnésio mg/dL]]</f>
        <v>2.1</v>
      </c>
      <c r="BA139" s="125">
        <f>Tabela1[[#This Row],[Pós Magnésio mg/dL]]</f>
        <v>2.1</v>
      </c>
      <c r="BB139" s="85">
        <f>Tabela1[[#This Row],[Pré Cloro mmol/L]]</f>
        <v>99</v>
      </c>
      <c r="BC139" s="85">
        <f>Tabela1[[#This Row],[Pós Cloro mmol/L]]</f>
        <v>105</v>
      </c>
      <c r="BD13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308.00100000000003</v>
      </c>
      <c r="BE13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315.00411111111111</v>
      </c>
      <c r="BF139" s="194">
        <f>Tabela1[[#This Row],[Pré RBC 10^6/mm³]]</f>
        <v>5.54</v>
      </c>
      <c r="BG139" s="125">
        <f>Tabela1[[#This Row],[Pós RBC 10^6/mm³]]</f>
        <v>5.39</v>
      </c>
      <c r="BH139" s="125">
        <f>Tabela1[[#This Row],[Pré HGB g/dL]]</f>
        <v>14.9</v>
      </c>
      <c r="BI139" s="125">
        <f>Tabela1[[#This Row],[Pós HGB g/dL]]</f>
        <v>14.7</v>
      </c>
      <c r="BJ139" s="125">
        <f>Tabela1[[#This Row],[Pré HCT %]]</f>
        <v>47.1</v>
      </c>
      <c r="BK139" s="125">
        <f>Tabela1[[#This Row],[Pós HCT %]]</f>
        <v>44.7</v>
      </c>
      <c r="BL139" s="125" t="str">
        <f>Tabela1[[#This Row],[Pré MCV fL]]</f>
        <v>-</v>
      </c>
      <c r="BM139" s="125">
        <f>Tabela1[[#This Row],[Pós MCV fL]]</f>
        <v>82.9</v>
      </c>
      <c r="BN139" s="125" t="str">
        <f>Tabela1[[#This Row],[Pré MCH pg]]</f>
        <v>-</v>
      </c>
      <c r="BO139" s="125">
        <f>Tabela1[[#This Row],[Pós MCH pg]]</f>
        <v>27.3</v>
      </c>
      <c r="BP139" s="125" t="str">
        <f>Tabela1[[#This Row],[Pré MCHC g/dL]]</f>
        <v>-</v>
      </c>
      <c r="BQ139" s="125">
        <f>Tabela1[[#This Row],[Pós MCHC g/dL]]</f>
        <v>32.9</v>
      </c>
      <c r="BR139" s="85" t="str">
        <f>Tabela1[[#This Row],[Pré PLT 10³/mm³]]</f>
        <v>-</v>
      </c>
      <c r="BS139" s="85">
        <f>Tabela1[[#This Row],[Pós PLT 10³/mm³]]</f>
        <v>239</v>
      </c>
      <c r="BT139" s="125" t="str">
        <f>Tabela1[[#This Row],[Pré RDW %]]</f>
        <v>-</v>
      </c>
      <c r="BU139" s="125">
        <f>Tabela1[[#This Row],[Pós RDW %]]</f>
        <v>13</v>
      </c>
      <c r="BV139" s="179">
        <f>Tabela1[[#This Row],[Pré RET %]]</f>
        <v>1.22</v>
      </c>
      <c r="BW139" s="196">
        <f>Tabela1[[#This Row],[Pós RET %]]</f>
        <v>0.86</v>
      </c>
      <c r="BX139" s="197">
        <f>Tabela1[[#This Row],[Pré WBC 10³/mm³]]</f>
        <v>7.05</v>
      </c>
      <c r="BY139" s="179">
        <f>Tabela1[[#This Row],[Pós WBC 10³/mm³]]</f>
        <v>5.49</v>
      </c>
      <c r="BZ139" s="125" t="str">
        <f>Tabela1[[#This Row],[Pré NEUT %]]</f>
        <v>-</v>
      </c>
      <c r="CA139" s="125">
        <f>Tabela1[[#This Row],[Pós NEUT %]]</f>
        <v>60.1</v>
      </c>
      <c r="CB139" s="125" t="str">
        <f>Tabela1[[#This Row],[Pré LINF %]]</f>
        <v>-</v>
      </c>
      <c r="CC139" s="125">
        <f>Tabela1[[#This Row],[Pós LINF %]]</f>
        <v>30.1</v>
      </c>
      <c r="CD139" s="125" t="str">
        <f>Tabela1[[#This Row],[Pré MONO %]]</f>
        <v>-</v>
      </c>
      <c r="CE139" s="125">
        <f>Tabela1[[#This Row],[Pós MONO %]]</f>
        <v>7.3</v>
      </c>
      <c r="CF139" s="125" t="str">
        <f>Tabela1[[#This Row],[Pré EOS %]]</f>
        <v>-</v>
      </c>
      <c r="CG139" s="125">
        <f>Tabela1[[#This Row],[Pós EOS %]]</f>
        <v>2</v>
      </c>
      <c r="CH139" s="125" t="str">
        <f>Tabela1[[#This Row],[Pré BASO %]]</f>
        <v>-</v>
      </c>
      <c r="CI139" s="198">
        <f>Tabela1[[#This Row],[Pós BASO %]]</f>
        <v>0.5</v>
      </c>
      <c r="CJ139" s="199" t="str">
        <f t="shared" si="9"/>
        <v>NÃO</v>
      </c>
      <c r="CK139" s="200" t="str">
        <f t="shared" si="10"/>
        <v>NÃO</v>
      </c>
      <c r="CL139" s="194">
        <f t="shared" si="11"/>
        <v>70.30368</v>
      </c>
      <c r="CM139" s="125">
        <f>Tabela1[[#This Row],[MCT KG]]</f>
        <v>82.4</v>
      </c>
      <c r="CN139" s="85">
        <f>Tabela1[[#This Row],[ESTATURA]]</f>
        <v>168</v>
      </c>
      <c r="CO139" s="85">
        <f>Tabela1[[#This Row],[vo2max estimado]]</f>
        <v>50.7</v>
      </c>
      <c r="CP139" s="85">
        <f>Tabela1[[#This Row],[Handgrip     Dominante]]</f>
        <v>60</v>
      </c>
      <c r="CQ139" s="85">
        <f>Tabela1[[#This Row],[Handgrip Contrário]]</f>
        <v>58</v>
      </c>
      <c r="CR139" s="281">
        <f>Tabela1[[#This Row],[% gordura]]</f>
        <v>14.68</v>
      </c>
    </row>
    <row r="140" spans="1:96" ht="15.75" customHeight="1">
      <c r="A140" s="279">
        <f>Tabela1[[#This Row],[Ano]]</f>
        <v>2018</v>
      </c>
      <c r="B140" s="181" t="str">
        <f>Tabela1[[#This Row],[Missão]]</f>
        <v>Manaus</v>
      </c>
      <c r="C140" s="181">
        <f>Tabela1[[#This Row],[Aluno]]</f>
        <v>3155</v>
      </c>
      <c r="D140" s="181">
        <f>Tabela1[[#This Row],[Idade]]</f>
        <v>26</v>
      </c>
      <c r="E140" s="182">
        <f>Tabela1[[#This Row],[Peso Kg]]</f>
        <v>70</v>
      </c>
      <c r="F140" s="191">
        <f>Tabela1[[#This Row],[Cor da pele]]</f>
        <v>1</v>
      </c>
      <c r="G140" s="192" t="str">
        <f>Tabela1[[#This Row],[ACTN3]]</f>
        <v>RR</v>
      </c>
      <c r="H140" s="85" t="str">
        <f>Tabela1[[#This Row],[AGT]]</f>
        <v>MT</v>
      </c>
      <c r="I140" s="85" t="str">
        <f>Tabela1[[#This Row],[ECA]]</f>
        <v>II</v>
      </c>
      <c r="J140" s="85" t="str">
        <f>Tabela1[[#This Row],[BDKRB2]]</f>
        <v>(+9,-9)</v>
      </c>
      <c r="K140" s="85">
        <f>Tabela1[[#This Row],[Score Força%]]</f>
        <v>50</v>
      </c>
      <c r="L140" s="193">
        <f>Tabela1[[#This Row],[Score Resistência %]]</f>
        <v>50</v>
      </c>
      <c r="M140" s="192">
        <f>Tabela1[[#This Row],[Pré CK (U/L)]]</f>
        <v>154</v>
      </c>
      <c r="N140" s="85">
        <f>Tabela1[[#This Row],[Pós CK (U/L)]]</f>
        <v>1198</v>
      </c>
      <c r="O140" s="85">
        <f>Tabela1[[#This Row],[Pré CK MB U/L]]</f>
        <v>3</v>
      </c>
      <c r="P140" s="85">
        <f>Tabela1[[#This Row],[Pós CK MB U/L]]</f>
        <v>32</v>
      </c>
      <c r="Q140" s="85" t="str">
        <f>Tabela1[[#This Row],[Pré Lactato (mmol/L)]]</f>
        <v>-</v>
      </c>
      <c r="R140" s="85" t="str">
        <f>Tabela1[[#This Row],[Pós Lactato (mmol/L)]]</f>
        <v>-</v>
      </c>
      <c r="S140" s="85">
        <f>Tabela1[[#This Row],[Pré LDH (U/L)]]</f>
        <v>486</v>
      </c>
      <c r="T140" s="85">
        <f>Tabela1[[#This Row],[Pós LDH (U/L)]]</f>
        <v>1062</v>
      </c>
      <c r="U140" s="85">
        <f>Tabela1[[#This Row],[Pré AST (U/L)]]</f>
        <v>25</v>
      </c>
      <c r="V140" s="193">
        <f>Tabela1[[#This Row],[Pós AST (U/L)]]</f>
        <v>84</v>
      </c>
      <c r="W140" s="194">
        <f>Tabela1[[#This Row],[Pré Albumina (g/dL)]]</f>
        <v>4.8</v>
      </c>
      <c r="X140" s="125">
        <f>Tabela1[[#This Row],[Pós Albumina (g/dL)]]</f>
        <v>4.4000000000000004</v>
      </c>
      <c r="Y140" s="85">
        <f>Tabela1[[#This Row],[Pré TGP (g/dL)]]</f>
        <v>38</v>
      </c>
      <c r="Z140" s="85">
        <f>Tabela1[[#This Row],[Pós TGP (g/dL)]]</f>
        <v>26</v>
      </c>
      <c r="AA140" s="85">
        <f>Tabela1[[#This Row],[Pré GGT U/L]]</f>
        <v>23</v>
      </c>
      <c r="AB140" s="193">
        <f>Tabela1[[#This Row],[Pós GGT U/L]]</f>
        <v>25</v>
      </c>
      <c r="AC140" s="194">
        <f>Tabela1[[#This Row],[Pré Ac. Úrico (mg/dL)]]</f>
        <v>4.7</v>
      </c>
      <c r="AD140" s="125">
        <f>Tabela1[[#This Row],[Pós Ac. Úrico (mg/dL)2]]</f>
        <v>7.8</v>
      </c>
      <c r="AE14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55.617624739760828</v>
      </c>
      <c r="AF14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40" s="85">
        <f>Tabela1[[#This Row],[Pré Ureia mg/dL]]</f>
        <v>46</v>
      </c>
      <c r="AH140" s="85">
        <f>Tabela1[[#This Row],[Pós Ureia mg/dL]]</f>
        <v>63</v>
      </c>
      <c r="AI140" s="125">
        <f>Tabela1[[#This Row],[Pré creatinina mg/dL]]</f>
        <v>1.7</v>
      </c>
      <c r="AJ140" s="125">
        <f>Tabela1[[#This Row],[Pós creatinina mg/dL]]</f>
        <v>1.1000000000000001</v>
      </c>
      <c r="AK140" s="180">
        <f t="shared" si="8"/>
        <v>0</v>
      </c>
      <c r="AL140" s="125">
        <f>Tabela1[[#This Row],[Pré Fósforo mg/dL]]</f>
        <v>4.2</v>
      </c>
      <c r="AM140" s="125">
        <f>Tabela1[[#This Row],[Pós Fósforo mg/dL]]</f>
        <v>4.2</v>
      </c>
      <c r="AN140" s="125">
        <f>Tabela1[[#This Row],[Pré Proteína Total (g/dL)]]</f>
        <v>7.6</v>
      </c>
      <c r="AO140" s="125">
        <f>Tabela1[[#This Row],[Pós Proteína Total (g/dL)]]</f>
        <v>6.9</v>
      </c>
      <c r="AP140" s="85">
        <f>Tabela1[[#This Row],[Pré FE (ug/dL)]]</f>
        <v>101</v>
      </c>
      <c r="AQ140" s="193" t="str">
        <f>Tabela1[[#This Row],[Pós FE (ug/dL)]]</f>
        <v>-</v>
      </c>
      <c r="AR140" s="194">
        <f>Tabela1[[#This Row],[Pré calcio mg/dL]]</f>
        <v>9.1</v>
      </c>
      <c r="AS140" s="125">
        <f>Tabela1[[#This Row],[Pós calcio mg/dL]]</f>
        <v>10</v>
      </c>
      <c r="AT140" s="125">
        <f>Tabela1[[#This Row],[Pré Potássio mmol/L]]</f>
        <v>4.3</v>
      </c>
      <c r="AU140" s="125">
        <f>Tabela1[[#This Row],[Pós Potássio mmol/L]]</f>
        <v>4.8</v>
      </c>
      <c r="AV140" s="85">
        <f>Tabela1[[#This Row],[Glicose pré]]</f>
        <v>99</v>
      </c>
      <c r="AW140" s="85">
        <f>Tabela1[[#This Row],[Glicose pós]]</f>
        <v>84</v>
      </c>
      <c r="AX140" s="85">
        <f>Tabela1[[#This Row],[Pré Sódio mmol/L]]</f>
        <v>144</v>
      </c>
      <c r="AY140" s="85">
        <f>Tabela1[[#This Row],[Pós Sódio mmol/L]]</f>
        <v>143</v>
      </c>
      <c r="AZ140" s="125">
        <f>Tabela1[[#This Row],[Pré Magnésio mg/dL]]</f>
        <v>2</v>
      </c>
      <c r="BA140" s="125">
        <f>Tabela1[[#This Row],[Pós Magnésio mg/dL]]</f>
        <v>2.2000000000000002</v>
      </c>
      <c r="BB140" s="85">
        <f>Tabela1[[#This Row],[Pré Cloro mmol/L]]</f>
        <v>102</v>
      </c>
      <c r="BC140" s="85">
        <f>Tabela1[[#This Row],[Pós Cloro mmol/L]]</f>
        <v>111</v>
      </c>
      <c r="BD14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303.8296666666667</v>
      </c>
      <c r="BE14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304.77466666666669</v>
      </c>
      <c r="BF140" s="194">
        <f>Tabela1[[#This Row],[Pré RBC 10^6/mm³]]</f>
        <v>5.04</v>
      </c>
      <c r="BG140" s="125">
        <f>Tabela1[[#This Row],[Pós RBC 10^6/mm³]]</f>
        <v>4.16</v>
      </c>
      <c r="BH140" s="125">
        <f>Tabela1[[#This Row],[Pré HGB g/dL]]</f>
        <v>14.6</v>
      </c>
      <c r="BI140" s="125">
        <f>Tabela1[[#This Row],[Pós HGB g/dL]]</f>
        <v>12.8</v>
      </c>
      <c r="BJ140" s="125">
        <f>Tabela1[[#This Row],[Pré HCT %]]</f>
        <v>45.2</v>
      </c>
      <c r="BK140" s="125">
        <f>Tabela1[[#This Row],[Pós HCT %]]</f>
        <v>38.1</v>
      </c>
      <c r="BL140" s="125">
        <f>Tabela1[[#This Row],[Pré MCV fL]]</f>
        <v>89.7</v>
      </c>
      <c r="BM140" s="125">
        <f>Tabela1[[#This Row],[Pós MCV fL]]</f>
        <v>91.6</v>
      </c>
      <c r="BN140" s="125">
        <f>Tabela1[[#This Row],[Pré MCH pg]]</f>
        <v>29</v>
      </c>
      <c r="BO140" s="125">
        <f>Tabela1[[#This Row],[Pós MCH pg]]</f>
        <v>30.8</v>
      </c>
      <c r="BP140" s="125">
        <f>Tabela1[[#This Row],[Pré MCHC g/dL]]</f>
        <v>32.299999999999997</v>
      </c>
      <c r="BQ140" s="125">
        <f>Tabela1[[#This Row],[Pós MCHC g/dL]]</f>
        <v>33.6</v>
      </c>
      <c r="BR140" s="85">
        <f>Tabela1[[#This Row],[Pré PLT 10³/mm³]]</f>
        <v>295</v>
      </c>
      <c r="BS140" s="85">
        <f>Tabela1[[#This Row],[Pós PLT 10³/mm³]]</f>
        <v>242</v>
      </c>
      <c r="BT140" s="125">
        <f>Tabela1[[#This Row],[Pré RDW %]]</f>
        <v>12.9</v>
      </c>
      <c r="BU140" s="125">
        <f>Tabela1[[#This Row],[Pós RDW %]]</f>
        <v>11.8</v>
      </c>
      <c r="BV140" s="179">
        <f>Tabela1[[#This Row],[Pré RET %]]</f>
        <v>0.98</v>
      </c>
      <c r="BW140" s="196" t="str">
        <f>Tabela1[[#This Row],[Pós RET %]]</f>
        <v>-</v>
      </c>
      <c r="BX140" s="197">
        <f>Tabela1[[#This Row],[Pré WBC 10³/mm³]]</f>
        <v>6.62</v>
      </c>
      <c r="BY140" s="179">
        <f>Tabela1[[#This Row],[Pós WBC 10³/mm³]]</f>
        <v>7.39</v>
      </c>
      <c r="BZ140" s="125">
        <f>Tabela1[[#This Row],[Pré NEUT %]]</f>
        <v>61.1</v>
      </c>
      <c r="CA140" s="125">
        <f>Tabela1[[#This Row],[Pós NEUT %]]</f>
        <v>62</v>
      </c>
      <c r="CB140" s="125">
        <f>Tabela1[[#This Row],[Pré LINF %]]</f>
        <v>29.3</v>
      </c>
      <c r="CC140" s="125">
        <f>Tabela1[[#This Row],[Pós LINF %]]</f>
        <v>22</v>
      </c>
      <c r="CD140" s="125">
        <f>Tabela1[[#This Row],[Pré MONO %]]</f>
        <v>8.5</v>
      </c>
      <c r="CE140" s="125">
        <f>Tabela1[[#This Row],[Pós MONO %]]</f>
        <v>15</v>
      </c>
      <c r="CF140" s="125">
        <f>Tabela1[[#This Row],[Pré EOS %]]</f>
        <v>0.8</v>
      </c>
      <c r="CG140" s="125">
        <f>Tabela1[[#This Row],[Pós EOS %]]</f>
        <v>1</v>
      </c>
      <c r="CH140" s="125">
        <f>Tabela1[[#This Row],[Pré BASO %]]</f>
        <v>0.3</v>
      </c>
      <c r="CI140" s="198">
        <f>Tabela1[[#This Row],[Pós BASO %]]</f>
        <v>0</v>
      </c>
      <c r="CJ140" s="199" t="str">
        <f t="shared" si="9"/>
        <v>NÃO</v>
      </c>
      <c r="CK140" s="200" t="str">
        <f t="shared" si="10"/>
        <v>SIM</v>
      </c>
      <c r="CL140" s="194">
        <f t="shared" si="11"/>
        <v>71.28528</v>
      </c>
      <c r="CM140" s="125">
        <f>Tabela1[[#This Row],[MCT KG]]</f>
        <v>75.900000000000006</v>
      </c>
      <c r="CN140" s="85">
        <f>Tabela1[[#This Row],[ESTATURA]]</f>
        <v>171</v>
      </c>
      <c r="CO140" s="85">
        <f>Tabela1[[#This Row],[vo2max estimado]]</f>
        <v>54.68</v>
      </c>
      <c r="CP140" s="85">
        <f>Tabela1[[#This Row],[Handgrip     Dominante]]</f>
        <v>42</v>
      </c>
      <c r="CQ140" s="85">
        <f>Tabela1[[#This Row],[Handgrip Contrário]]</f>
        <v>43</v>
      </c>
      <c r="CR140" s="281">
        <f>Tabela1[[#This Row],[% gordura]]</f>
        <v>6.08</v>
      </c>
    </row>
    <row r="141" spans="1:96" ht="15.75" customHeight="1">
      <c r="A141" s="279">
        <f>Tabela1[[#This Row],[Ano]]</f>
        <v>2018</v>
      </c>
      <c r="B141" s="181" t="str">
        <f>Tabela1[[#This Row],[Missão]]</f>
        <v>Manaus</v>
      </c>
      <c r="C141" s="181">
        <f>Tabela1[[#This Row],[Aluno]]</f>
        <v>3156</v>
      </c>
      <c r="D141" s="181">
        <f>Tabela1[[#This Row],[Idade]]</f>
        <v>26</v>
      </c>
      <c r="E141" s="182">
        <f>Tabela1[[#This Row],[Peso Kg]]</f>
        <v>74</v>
      </c>
      <c r="F141" s="191">
        <f>Tabela1[[#This Row],[Cor da pele]]</f>
        <v>1</v>
      </c>
      <c r="G141" s="192" t="str">
        <f>Tabela1[[#This Row],[ACTN3]]</f>
        <v>RX</v>
      </c>
      <c r="H141" s="85" t="str">
        <f>Tabela1[[#This Row],[AGT]]</f>
        <v>MM</v>
      </c>
      <c r="I141" s="85" t="str">
        <f>Tabela1[[#This Row],[ECA]]</f>
        <v>ID</v>
      </c>
      <c r="J141" s="85" t="str">
        <f>Tabela1[[#This Row],[BDKRB2]]</f>
        <v>(+9,+9)</v>
      </c>
      <c r="K141" s="85">
        <f>Tabela1[[#This Row],[Score Força%]]</f>
        <v>50</v>
      </c>
      <c r="L141" s="193">
        <f>Tabela1[[#This Row],[Score Resistência %]]</f>
        <v>50</v>
      </c>
      <c r="M141" s="192">
        <f>Tabela1[[#This Row],[Pré CK (U/L)]]</f>
        <v>289</v>
      </c>
      <c r="N141" s="85">
        <f>Tabela1[[#This Row],[Pós CK (U/L)]]</f>
        <v>2259</v>
      </c>
      <c r="O141" s="85">
        <f>Tabela1[[#This Row],[Pré CK MB U/L]]</f>
        <v>3</v>
      </c>
      <c r="P141" s="85">
        <f>Tabela1[[#This Row],[Pós CK MB U/L]]</f>
        <v>45</v>
      </c>
      <c r="Q141" s="85" t="str">
        <f>Tabela1[[#This Row],[Pré Lactato (mmol/L)]]</f>
        <v>-</v>
      </c>
      <c r="R141" s="85" t="str">
        <f>Tabela1[[#This Row],[Pós Lactato (mmol/L)]]</f>
        <v>-</v>
      </c>
      <c r="S141" s="85">
        <f>Tabela1[[#This Row],[Pré LDH (U/L)]]</f>
        <v>632</v>
      </c>
      <c r="T141" s="85" t="str">
        <f>Tabela1[[#This Row],[Pós LDH (U/L)]]</f>
        <v>-</v>
      </c>
      <c r="U141" s="85">
        <f>Tabela1[[#This Row],[Pré AST (U/L)]]</f>
        <v>27</v>
      </c>
      <c r="V141" s="193" t="str">
        <f>Tabela1[[#This Row],[Pós AST (U/L)]]</f>
        <v>-</v>
      </c>
      <c r="W141" s="194">
        <f>Tabela1[[#This Row],[Pré Albumina (g/dL)]]</f>
        <v>4.9000000000000004</v>
      </c>
      <c r="X141" s="125" t="str">
        <f>Tabela1[[#This Row],[Pós Albumina (g/dL)]]</f>
        <v>-</v>
      </c>
      <c r="Y141" s="85">
        <f>Tabela1[[#This Row],[Pré TGP (g/dL)]]</f>
        <v>38</v>
      </c>
      <c r="Z141" s="85" t="str">
        <f>Tabela1[[#This Row],[Pós TGP (g/dL)]]</f>
        <v>-</v>
      </c>
      <c r="AA141" s="85">
        <f>Tabela1[[#This Row],[Pré GGT U/L]]</f>
        <v>22</v>
      </c>
      <c r="AB141" s="193" t="str">
        <f>Tabela1[[#This Row],[Pós GGT U/L]]</f>
        <v>-</v>
      </c>
      <c r="AC141" s="194">
        <f>Tabela1[[#This Row],[Pré Ac. Úrico (mg/dL)]]</f>
        <v>3.9</v>
      </c>
      <c r="AD141" s="125" t="str">
        <f>Tabela1[[#This Row],[Pós Ac. Úrico (mg/dL)2]]</f>
        <v>-</v>
      </c>
      <c r="AE14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48.668372345211139</v>
      </c>
      <c r="AF14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41" s="85">
        <f>Tabela1[[#This Row],[Pré Ureia mg/dL]]</f>
        <v>43</v>
      </c>
      <c r="AH141" s="85">
        <f>Tabela1[[#This Row],[Pós Ureia mg/dL]]</f>
        <v>45</v>
      </c>
      <c r="AI141" s="125">
        <f>Tabela1[[#This Row],[Pré creatinina mg/dL]]</f>
        <v>1.9</v>
      </c>
      <c r="AJ141" s="125">
        <f>Tabela1[[#This Row],[Pós creatinina mg/dL]]</f>
        <v>1.1000000000000001</v>
      </c>
      <c r="AK141" s="180">
        <f t="shared" si="8"/>
        <v>0</v>
      </c>
      <c r="AL141" s="125">
        <f>Tabela1[[#This Row],[Pré Fósforo mg/dL]]</f>
        <v>5</v>
      </c>
      <c r="AM141" s="125">
        <f>Tabela1[[#This Row],[Pós Fósforo mg/dL]]</f>
        <v>4.0999999999999996</v>
      </c>
      <c r="AN141" s="125">
        <f>Tabela1[[#This Row],[Pré Proteína Total (g/dL)]]</f>
        <v>7.5</v>
      </c>
      <c r="AO141" s="125" t="str">
        <f>Tabela1[[#This Row],[Pós Proteína Total (g/dL)]]</f>
        <v>-</v>
      </c>
      <c r="AP141" s="85">
        <f>Tabela1[[#This Row],[Pré FE (ug/dL)]]</f>
        <v>140</v>
      </c>
      <c r="AQ141" s="193" t="str">
        <f>Tabela1[[#This Row],[Pós FE (ug/dL)]]</f>
        <v>-</v>
      </c>
      <c r="AR141" s="194">
        <f>Tabela1[[#This Row],[Pré calcio mg/dL]]</f>
        <v>9</v>
      </c>
      <c r="AS141" s="125">
        <f>Tabela1[[#This Row],[Pós calcio mg/dL]]</f>
        <v>9.9</v>
      </c>
      <c r="AT141" s="125">
        <f>Tabela1[[#This Row],[Pré Potássio mmol/L]]</f>
        <v>4.9000000000000004</v>
      </c>
      <c r="AU141" s="125">
        <f>Tabela1[[#This Row],[Pós Potássio mmol/L]]</f>
        <v>4.3</v>
      </c>
      <c r="AV141" s="85">
        <f>Tabela1[[#This Row],[Glicose pré]]</f>
        <v>96</v>
      </c>
      <c r="AW141" s="85">
        <f>Tabela1[[#This Row],[Glicose pós]]</f>
        <v>89</v>
      </c>
      <c r="AX141" s="85">
        <f>Tabela1[[#This Row],[Pré Sódio mmol/L]]</f>
        <v>146</v>
      </c>
      <c r="AY141" s="85">
        <f>Tabela1[[#This Row],[Pós Sódio mmol/L]]</f>
        <v>146</v>
      </c>
      <c r="AZ141" s="125">
        <f>Tabela1[[#This Row],[Pré Magnésio mg/dL]]</f>
        <v>2</v>
      </c>
      <c r="BA141" s="125">
        <f>Tabela1[[#This Row],[Pós Magnésio mg/dL]]</f>
        <v>2.2999999999999998</v>
      </c>
      <c r="BB141" s="85">
        <f>Tabela1[[#This Row],[Pré Cloro mmol/L]]</f>
        <v>101</v>
      </c>
      <c r="BC141" s="85">
        <f>Tabela1[[#This Row],[Pós Cloro mmol/L]]</f>
        <v>104</v>
      </c>
      <c r="BD14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307.97400000000005</v>
      </c>
      <c r="BE14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306.74411111111118</v>
      </c>
      <c r="BF141" s="194">
        <f>Tabela1[[#This Row],[Pré RBC 10^6/mm³]]</f>
        <v>5.0999999999999996</v>
      </c>
      <c r="BG141" s="125">
        <f>Tabela1[[#This Row],[Pós RBC 10^6/mm³]]</f>
        <v>4.09</v>
      </c>
      <c r="BH141" s="125">
        <f>Tabela1[[#This Row],[Pré HGB g/dL]]</f>
        <v>15.3</v>
      </c>
      <c r="BI141" s="125">
        <f>Tabela1[[#This Row],[Pós HGB g/dL]]</f>
        <v>12.9</v>
      </c>
      <c r="BJ141" s="125">
        <f>Tabela1[[#This Row],[Pré HCT %]]</f>
        <v>46.9</v>
      </c>
      <c r="BK141" s="125">
        <f>Tabela1[[#This Row],[Pós HCT %]]</f>
        <v>38.6</v>
      </c>
      <c r="BL141" s="125">
        <f>Tabela1[[#This Row],[Pré MCV fL]]</f>
        <v>92</v>
      </c>
      <c r="BM141" s="125">
        <f>Tabela1[[#This Row],[Pós MCV fL]]</f>
        <v>94.4</v>
      </c>
      <c r="BN141" s="125">
        <f>Tabela1[[#This Row],[Pré MCH pg]]</f>
        <v>30</v>
      </c>
      <c r="BO141" s="125">
        <f>Tabela1[[#This Row],[Pós MCH pg]]</f>
        <v>31.5</v>
      </c>
      <c r="BP141" s="125">
        <f>Tabela1[[#This Row],[Pré MCHC g/dL]]</f>
        <v>32.6</v>
      </c>
      <c r="BQ141" s="125">
        <f>Tabela1[[#This Row],[Pós MCHC g/dL]]</f>
        <v>33.4</v>
      </c>
      <c r="BR141" s="85">
        <f>Tabela1[[#This Row],[Pré PLT 10³/mm³]]</f>
        <v>234</v>
      </c>
      <c r="BS141" s="85">
        <f>Tabela1[[#This Row],[Pós PLT 10³/mm³]]</f>
        <v>194</v>
      </c>
      <c r="BT141" s="125">
        <f>Tabela1[[#This Row],[Pré RDW %]]</f>
        <v>11.8</v>
      </c>
      <c r="BU141" s="125">
        <f>Tabela1[[#This Row],[Pós RDW %]]</f>
        <v>11.4</v>
      </c>
      <c r="BV141" s="179">
        <f>Tabela1[[#This Row],[Pré RET %]]</f>
        <v>0.41</v>
      </c>
      <c r="BW141" s="196" t="str">
        <f>Tabela1[[#This Row],[Pós RET %]]</f>
        <v>-</v>
      </c>
      <c r="BX141" s="197">
        <f>Tabela1[[#This Row],[Pré WBC 10³/mm³]]</f>
        <v>5.44</v>
      </c>
      <c r="BY141" s="179">
        <f>Tabela1[[#This Row],[Pós WBC 10³/mm³]]</f>
        <v>5.46</v>
      </c>
      <c r="BZ141" s="125">
        <f>Tabela1[[#This Row],[Pré NEUT %]]</f>
        <v>59.2</v>
      </c>
      <c r="CA141" s="125">
        <f>Tabela1[[#This Row],[Pós NEUT %]]</f>
        <v>66</v>
      </c>
      <c r="CB141" s="125">
        <f>Tabela1[[#This Row],[Pré LINF %]]</f>
        <v>31.6</v>
      </c>
      <c r="CC141" s="125">
        <f>Tabela1[[#This Row],[Pós LINF %]]</f>
        <v>22</v>
      </c>
      <c r="CD141" s="125">
        <f>Tabela1[[#This Row],[Pré MONO %]]</f>
        <v>6.4</v>
      </c>
      <c r="CE141" s="125">
        <f>Tabela1[[#This Row],[Pós MONO %]]</f>
        <v>10</v>
      </c>
      <c r="CF141" s="125">
        <f>Tabela1[[#This Row],[Pré EOS %]]</f>
        <v>2.2000000000000002</v>
      </c>
      <c r="CG141" s="125">
        <f>Tabela1[[#This Row],[Pós EOS %]]</f>
        <v>2</v>
      </c>
      <c r="CH141" s="125">
        <f>Tabela1[[#This Row],[Pré BASO %]]</f>
        <v>0.6</v>
      </c>
      <c r="CI141" s="198">
        <f>Tabela1[[#This Row],[Pós BASO %]]</f>
        <v>0</v>
      </c>
      <c r="CJ141" s="199" t="str">
        <f t="shared" si="9"/>
        <v>NÃO</v>
      </c>
      <c r="CK141" s="200" t="str">
        <f t="shared" si="10"/>
        <v>SIM</v>
      </c>
      <c r="CL141" s="194">
        <f t="shared" si="11"/>
        <v>72.293760000000006</v>
      </c>
      <c r="CM141" s="125">
        <f>Tabela1[[#This Row],[MCT KG]]</f>
        <v>79.2</v>
      </c>
      <c r="CN141" s="85">
        <f>Tabela1[[#This Row],[ESTATURA]]</f>
        <v>174</v>
      </c>
      <c r="CO141" s="85">
        <f>Tabela1[[#This Row],[vo2max estimado]]</f>
        <v>53.64</v>
      </c>
      <c r="CP141" s="85">
        <f>Tabela1[[#This Row],[Handgrip     Dominante]]</f>
        <v>49.5</v>
      </c>
      <c r="CQ141" s="85">
        <f>Tabela1[[#This Row],[Handgrip Contrário]]</f>
        <v>49.5</v>
      </c>
      <c r="CR141" s="281">
        <f>Tabela1[[#This Row],[% gordura]]</f>
        <v>8.7200000000000006</v>
      </c>
    </row>
    <row r="142" spans="1:96" ht="15.75" customHeight="1">
      <c r="A142" s="279">
        <f>Tabela1[[#This Row],[Ano]]</f>
        <v>2018</v>
      </c>
      <c r="B142" s="181" t="str">
        <f>Tabela1[[#This Row],[Missão]]</f>
        <v>Manaus</v>
      </c>
      <c r="C142" s="181">
        <f>Tabela1[[#This Row],[Aluno]]</f>
        <v>3159</v>
      </c>
      <c r="D142" s="181">
        <f>Tabela1[[#This Row],[Idade]]</f>
        <v>25</v>
      </c>
      <c r="E142" s="182">
        <f>Tabela1[[#This Row],[Peso Kg]]</f>
        <v>84</v>
      </c>
      <c r="F142" s="191">
        <f>Tabela1[[#This Row],[Cor da pele]]</f>
        <v>1</v>
      </c>
      <c r="G142" s="192" t="str">
        <f>Tabela1[[#This Row],[ACTN3]]</f>
        <v>RR</v>
      </c>
      <c r="H142" s="85" t="str">
        <f>Tabela1[[#This Row],[AGT]]</f>
        <v>TT</v>
      </c>
      <c r="I142" s="85" t="str">
        <f>Tabela1[[#This Row],[ECA]]</f>
        <v>DD</v>
      </c>
      <c r="J142" s="85" t="str">
        <f>Tabela1[[#This Row],[BDKRB2]]</f>
        <v>(+9,-9)</v>
      </c>
      <c r="K142" s="85" t="str">
        <f>Tabela1[[#This Row],[Score Força%]]</f>
        <v>-</v>
      </c>
      <c r="L142" s="193" t="str">
        <f>Tabela1[[#This Row],[Score Resistência %]]</f>
        <v>-</v>
      </c>
      <c r="M142" s="192">
        <f>Tabela1[[#This Row],[Pré CK (U/L)]]</f>
        <v>280</v>
      </c>
      <c r="N142" s="85">
        <f>Tabela1[[#This Row],[Pós CK (U/L)]]</f>
        <v>1177</v>
      </c>
      <c r="O142" s="85">
        <f>Tabela1[[#This Row],[Pré CK MB U/L]]</f>
        <v>55</v>
      </c>
      <c r="P142" s="85">
        <f>Tabela1[[#This Row],[Pós CK MB U/L]]</f>
        <v>45</v>
      </c>
      <c r="Q142" s="85" t="str">
        <f>Tabela1[[#This Row],[Pré Lactato (mmol/L)]]</f>
        <v>-</v>
      </c>
      <c r="R142" s="85" t="str">
        <f>Tabela1[[#This Row],[Pós Lactato (mmol/L)]]</f>
        <v>-</v>
      </c>
      <c r="S142" s="85">
        <f>Tabela1[[#This Row],[Pré LDH (U/L)]]</f>
        <v>306</v>
      </c>
      <c r="T142" s="85" t="str">
        <f>Tabela1[[#This Row],[Pós LDH (U/L)]]</f>
        <v>-</v>
      </c>
      <c r="U142" s="85">
        <f>Tabela1[[#This Row],[Pré AST (U/L)]]</f>
        <v>49</v>
      </c>
      <c r="V142" s="193" t="str">
        <f>Tabela1[[#This Row],[Pós AST (U/L)]]</f>
        <v>-</v>
      </c>
      <c r="W142" s="194">
        <f>Tabela1[[#This Row],[Pré Albumina (g/dL)]]</f>
        <v>4.5999999999999996</v>
      </c>
      <c r="X142" s="125" t="str">
        <f>Tabela1[[#This Row],[Pós Albumina (g/dL)]]</f>
        <v>-</v>
      </c>
      <c r="Y142" s="85">
        <f>Tabela1[[#This Row],[Pré TGP (g/dL)]]</f>
        <v>58</v>
      </c>
      <c r="Z142" s="85" t="str">
        <f>Tabela1[[#This Row],[Pós TGP (g/dL)]]</f>
        <v>-</v>
      </c>
      <c r="AA142" s="85">
        <f>Tabela1[[#This Row],[Pré GGT U/L]]</f>
        <v>15</v>
      </c>
      <c r="AB142" s="193" t="str">
        <f>Tabela1[[#This Row],[Pós GGT U/L]]</f>
        <v>-</v>
      </c>
      <c r="AC142" s="194">
        <f>Tabela1[[#This Row],[Pré Ac. Úrico (mg/dL)]]</f>
        <v>5</v>
      </c>
      <c r="AD142" s="125" t="str">
        <f>Tabela1[[#This Row],[Pós Ac. Úrico (mg/dL)2]]</f>
        <v>-</v>
      </c>
      <c r="AE14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14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70.209761921634552</v>
      </c>
      <c r="AG142" s="85">
        <f>Tabela1[[#This Row],[Pré Ureia mg/dL]]</f>
        <v>36</v>
      </c>
      <c r="AH142" s="85">
        <f>Tabela1[[#This Row],[Pós Ureia mg/dL]]</f>
        <v>56</v>
      </c>
      <c r="AI142" s="125">
        <f>Tabela1[[#This Row],[Pré creatinina mg/dL]]</f>
        <v>1.2</v>
      </c>
      <c r="AJ142" s="125">
        <f>Tabela1[[#This Row],[Pós creatinina mg/dL]]</f>
        <v>1.4</v>
      </c>
      <c r="AK142" s="180">
        <f t="shared" si="8"/>
        <v>0.19999999999999996</v>
      </c>
      <c r="AL142" s="125">
        <f>Tabela1[[#This Row],[Pré Fósforo mg/dL]]</f>
        <v>5.2</v>
      </c>
      <c r="AM142" s="125">
        <f>Tabela1[[#This Row],[Pós Fósforo mg/dL]]</f>
        <v>4.2</v>
      </c>
      <c r="AN142" s="125">
        <f>Tabela1[[#This Row],[Pré Proteína Total (g/dL)]]</f>
        <v>7.6</v>
      </c>
      <c r="AO142" s="125" t="str">
        <f>Tabela1[[#This Row],[Pós Proteína Total (g/dL)]]</f>
        <v>-</v>
      </c>
      <c r="AP142" s="85">
        <f>Tabela1[[#This Row],[Pré FE (ug/dL)]]</f>
        <v>121</v>
      </c>
      <c r="AQ142" s="193" t="str">
        <f>Tabela1[[#This Row],[Pós FE (ug/dL)]]</f>
        <v>-</v>
      </c>
      <c r="AR142" s="194">
        <f>Tabela1[[#This Row],[Pré calcio mg/dL]]</f>
        <v>9.1999999999999993</v>
      </c>
      <c r="AS142" s="125">
        <f>Tabela1[[#This Row],[Pós calcio mg/dL]]</f>
        <v>10</v>
      </c>
      <c r="AT142" s="125">
        <f>Tabela1[[#This Row],[Pré Potássio mmol/L]]</f>
        <v>5</v>
      </c>
      <c r="AU142" s="125">
        <f>Tabela1[[#This Row],[Pós Potássio mmol/L]]</f>
        <v>4.4000000000000004</v>
      </c>
      <c r="AV142" s="85">
        <f>Tabela1[[#This Row],[Glicose pré]]</f>
        <v>102</v>
      </c>
      <c r="AW142" s="85">
        <f>Tabela1[[#This Row],[Glicose pós]]</f>
        <v>107</v>
      </c>
      <c r="AX142" s="85">
        <f>Tabela1[[#This Row],[Pré Sódio mmol/L]]</f>
        <v>146</v>
      </c>
      <c r="AY142" s="85">
        <f>Tabela1[[#This Row],[Pós Sódio mmol/L]]</f>
        <v>143</v>
      </c>
      <c r="AZ142" s="125">
        <f>Tabela1[[#This Row],[Pré Magnésio mg/dL]]</f>
        <v>1.9</v>
      </c>
      <c r="BA142" s="125">
        <f>Tabela1[[#This Row],[Pós Magnésio mg/dL]]</f>
        <v>2</v>
      </c>
      <c r="BB142" s="85">
        <f>Tabela1[[#This Row],[Pré Cloro mmol/L]]</f>
        <v>103</v>
      </c>
      <c r="BC142" s="85">
        <f>Tabela1[[#This Row],[Pós Cloro mmol/L]]</f>
        <v>104</v>
      </c>
      <c r="BD14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307.37666666666667</v>
      </c>
      <c r="BE14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304.33344444444447</v>
      </c>
      <c r="BF142" s="194">
        <f>Tabela1[[#This Row],[Pré RBC 10^6/mm³]]</f>
        <v>5.43</v>
      </c>
      <c r="BG142" s="125">
        <f>Tabela1[[#This Row],[Pós RBC 10^6/mm³]]</f>
        <v>4.46</v>
      </c>
      <c r="BH142" s="125">
        <f>Tabela1[[#This Row],[Pré HGB g/dL]]</f>
        <v>15.2</v>
      </c>
      <c r="BI142" s="125">
        <f>Tabela1[[#This Row],[Pós HGB g/dL]]</f>
        <v>13.5</v>
      </c>
      <c r="BJ142" s="125">
        <f>Tabela1[[#This Row],[Pré HCT %]]</f>
        <v>47.6</v>
      </c>
      <c r="BK142" s="125">
        <f>Tabela1[[#This Row],[Pós HCT %]]</f>
        <v>39.700000000000003</v>
      </c>
      <c r="BL142" s="125">
        <f>Tabela1[[#This Row],[Pré MCV fL]]</f>
        <v>87.7</v>
      </c>
      <c r="BM142" s="125">
        <f>Tabela1[[#This Row],[Pós MCV fL]]</f>
        <v>89</v>
      </c>
      <c r="BN142" s="125">
        <f>Tabela1[[#This Row],[Pré MCH pg]]</f>
        <v>28</v>
      </c>
      <c r="BO142" s="125">
        <f>Tabela1[[#This Row],[Pós MCH pg]]</f>
        <v>30.3</v>
      </c>
      <c r="BP142" s="125">
        <f>Tabela1[[#This Row],[Pré MCHC g/dL]]</f>
        <v>31.9</v>
      </c>
      <c r="BQ142" s="125">
        <f>Tabela1[[#This Row],[Pós MCHC g/dL]]</f>
        <v>34</v>
      </c>
      <c r="BR142" s="85">
        <f>Tabela1[[#This Row],[Pré PLT 10³/mm³]]</f>
        <v>263</v>
      </c>
      <c r="BS142" s="85">
        <f>Tabela1[[#This Row],[Pós PLT 10³/mm³]]</f>
        <v>252</v>
      </c>
      <c r="BT142" s="125">
        <f>Tabela1[[#This Row],[Pré RDW %]]</f>
        <v>12.5</v>
      </c>
      <c r="BU142" s="125">
        <f>Tabela1[[#This Row],[Pós RDW %]]</f>
        <v>11.3</v>
      </c>
      <c r="BV142" s="179">
        <f>Tabela1[[#This Row],[Pré RET %]]</f>
        <v>0.95</v>
      </c>
      <c r="BW142" s="196" t="str">
        <f>Tabela1[[#This Row],[Pós RET %]]</f>
        <v>-</v>
      </c>
      <c r="BX142" s="197">
        <f>Tabela1[[#This Row],[Pré WBC 10³/mm³]]</f>
        <v>3.87</v>
      </c>
      <c r="BY142" s="179">
        <f>Tabela1[[#This Row],[Pós WBC 10³/mm³]]</f>
        <v>6.88</v>
      </c>
      <c r="BZ142" s="125">
        <f>Tabela1[[#This Row],[Pré NEUT %]]</f>
        <v>38.200000000000003</v>
      </c>
      <c r="CA142" s="125">
        <f>Tabela1[[#This Row],[Pós NEUT %]]</f>
        <v>58</v>
      </c>
      <c r="CB142" s="125">
        <f>Tabela1[[#This Row],[Pré LINF %]]</f>
        <v>51.2</v>
      </c>
      <c r="CC142" s="125">
        <f>Tabela1[[#This Row],[Pós LINF %]]</f>
        <v>30</v>
      </c>
      <c r="CD142" s="125">
        <f>Tabela1[[#This Row],[Pré MONO %]]</f>
        <v>7.8</v>
      </c>
      <c r="CE142" s="125">
        <f>Tabela1[[#This Row],[Pós MONO %]]</f>
        <v>11</v>
      </c>
      <c r="CF142" s="125">
        <f>Tabela1[[#This Row],[Pré EOS %]]</f>
        <v>1.8</v>
      </c>
      <c r="CG142" s="125">
        <f>Tabela1[[#This Row],[Pós EOS %]]</f>
        <v>1</v>
      </c>
      <c r="CH142" s="125">
        <f>Tabela1[[#This Row],[Pré BASO %]]</f>
        <v>1</v>
      </c>
      <c r="CI142" s="198">
        <f>Tabela1[[#This Row],[Pós BASO %]]</f>
        <v>0</v>
      </c>
      <c r="CJ142" s="199" t="str">
        <f t="shared" si="9"/>
        <v>NÃO</v>
      </c>
      <c r="CK142" s="200" t="str">
        <f t="shared" si="10"/>
        <v>SIM</v>
      </c>
      <c r="CL142" s="194">
        <f t="shared" si="11"/>
        <v>75.355769999999993</v>
      </c>
      <c r="CM142" s="125">
        <f>Tabela1[[#This Row],[MCT KG]]</f>
        <v>84.3</v>
      </c>
      <c r="CN142" s="85">
        <f>Tabela1[[#This Row],[ESTATURA]]</f>
        <v>178</v>
      </c>
      <c r="CO142" s="85">
        <f>Tabela1[[#This Row],[vo2max estimado]]</f>
        <v>52.69</v>
      </c>
      <c r="CP142" s="85">
        <f>Tabela1[[#This Row],[Handgrip     Dominante]]</f>
        <v>60</v>
      </c>
      <c r="CQ142" s="85">
        <f>Tabela1[[#This Row],[Handgrip Contrário]]</f>
        <v>57</v>
      </c>
      <c r="CR142" s="281">
        <f>Tabela1[[#This Row],[% gordura]]</f>
        <v>10.61</v>
      </c>
    </row>
    <row r="143" spans="1:96" ht="15.75" customHeight="1">
      <c r="A143" s="279">
        <f>Tabela1[[#This Row],[Ano]]</f>
        <v>2018</v>
      </c>
      <c r="B143" s="181" t="str">
        <f>Tabela1[[#This Row],[Missão]]</f>
        <v>Manaus</v>
      </c>
      <c r="C143" s="181">
        <f>Tabela1[[#This Row],[Aluno]]</f>
        <v>3165</v>
      </c>
      <c r="D143" s="181">
        <f>Tabela1[[#This Row],[Idade]]</f>
        <v>33</v>
      </c>
      <c r="E143" s="182">
        <f>Tabela1[[#This Row],[Peso Kg]]</f>
        <v>79</v>
      </c>
      <c r="F143" s="191">
        <f>Tabela1[[#This Row],[Cor da pele]]</f>
        <v>1</v>
      </c>
      <c r="G143" s="192" t="str">
        <f>Tabela1[[#This Row],[ACTN3]]</f>
        <v>RR</v>
      </c>
      <c r="H143" s="85" t="str">
        <f>Tabela1[[#This Row],[AGT]]</f>
        <v>MT</v>
      </c>
      <c r="I143" s="85" t="str">
        <f>Tabela1[[#This Row],[ECA]]</f>
        <v>II</v>
      </c>
      <c r="J143" s="85" t="str">
        <f>Tabela1[[#This Row],[BDKRB2]]</f>
        <v>(+9,-9)</v>
      </c>
      <c r="K143" s="85">
        <f>Tabela1[[#This Row],[Score Força%]]</f>
        <v>50</v>
      </c>
      <c r="L143" s="193">
        <f>Tabela1[[#This Row],[Score Resistência %]]</f>
        <v>50</v>
      </c>
      <c r="M143" s="192">
        <f>Tabela1[[#This Row],[Pré CK (U/L)]]</f>
        <v>96</v>
      </c>
      <c r="N143" s="85">
        <f>Tabela1[[#This Row],[Pós CK (U/L)]]</f>
        <v>2700</v>
      </c>
      <c r="O143" s="85">
        <f>Tabela1[[#This Row],[Pré CK MB U/L]]</f>
        <v>3</v>
      </c>
      <c r="P143" s="85">
        <f>Tabela1[[#This Row],[Pós CK MB U/L]]</f>
        <v>40</v>
      </c>
      <c r="Q143" s="85" t="str">
        <f>Tabela1[[#This Row],[Pré Lactato (mmol/L)]]</f>
        <v>-</v>
      </c>
      <c r="R143" s="85" t="str">
        <f>Tabela1[[#This Row],[Pós Lactato (mmol/L)]]</f>
        <v>-</v>
      </c>
      <c r="S143" s="85">
        <f>Tabela1[[#This Row],[Pré LDH (U/L)]]</f>
        <v>557</v>
      </c>
      <c r="T143" s="85">
        <f>Tabela1[[#This Row],[Pós LDH (U/L)]]</f>
        <v>1451</v>
      </c>
      <c r="U143" s="85">
        <f>Tabela1[[#This Row],[Pré AST (U/L)]]</f>
        <v>22</v>
      </c>
      <c r="V143" s="193">
        <f>Tabela1[[#This Row],[Pós AST (U/L)]]</f>
        <v>96</v>
      </c>
      <c r="W143" s="194">
        <f>Tabela1[[#This Row],[Pré Albumina (g/dL)]]</f>
        <v>4.8</v>
      </c>
      <c r="X143" s="125">
        <f>Tabela1[[#This Row],[Pós Albumina (g/dL)]]</f>
        <v>4.2</v>
      </c>
      <c r="Y143" s="85">
        <f>Tabela1[[#This Row],[Pré TGP (g/dL)]]</f>
        <v>33</v>
      </c>
      <c r="Z143" s="85">
        <f>Tabela1[[#This Row],[Pós TGP (g/dL)]]</f>
        <v>25</v>
      </c>
      <c r="AA143" s="85">
        <f>Tabela1[[#This Row],[Pré GGT U/L]]</f>
        <v>25</v>
      </c>
      <c r="AB143" s="193">
        <f>Tabela1[[#This Row],[Pós GGT U/L]]</f>
        <v>23</v>
      </c>
      <c r="AC143" s="194">
        <f>Tabela1[[#This Row],[Pré Ac. Úrico (mg/dL)]]</f>
        <v>5.5</v>
      </c>
      <c r="AD143" s="125">
        <f>Tabela1[[#This Row],[Pós Ac. Úrico (mg/dL)2]]</f>
        <v>7.6</v>
      </c>
      <c r="AE14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14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143" s="85">
        <f>Tabela1[[#This Row],[Pré Ureia mg/dL]]</f>
        <v>44</v>
      </c>
      <c r="AH143" s="85">
        <f>Tabela1[[#This Row],[Pós Ureia mg/dL]]</f>
        <v>80</v>
      </c>
      <c r="AI143" s="125">
        <f>Tabela1[[#This Row],[Pré creatinina mg/dL]]</f>
        <v>1.2</v>
      </c>
      <c r="AJ143" s="125">
        <f>Tabela1[[#This Row],[Pós creatinina mg/dL]]</f>
        <v>1.3</v>
      </c>
      <c r="AK143" s="180">
        <f t="shared" si="8"/>
        <v>0.10000000000000009</v>
      </c>
      <c r="AL143" s="125">
        <f>Tabela1[[#This Row],[Pré Fósforo mg/dL]]</f>
        <v>4.2</v>
      </c>
      <c r="AM143" s="125">
        <f>Tabela1[[#This Row],[Pós Fósforo mg/dL]]</f>
        <v>4.4000000000000004</v>
      </c>
      <c r="AN143" s="125">
        <f>Tabela1[[#This Row],[Pré Proteína Total (g/dL)]]</f>
        <v>7.6</v>
      </c>
      <c r="AO143" s="125">
        <f>Tabela1[[#This Row],[Pós Proteína Total (g/dL)]]</f>
        <v>6.5</v>
      </c>
      <c r="AP143" s="85">
        <f>Tabela1[[#This Row],[Pré FE (ug/dL)]]</f>
        <v>104</v>
      </c>
      <c r="AQ143" s="193" t="str">
        <f>Tabela1[[#This Row],[Pós FE (ug/dL)]]</f>
        <v>-</v>
      </c>
      <c r="AR143" s="194">
        <f>Tabela1[[#This Row],[Pré calcio mg/dL]]</f>
        <v>8.9</v>
      </c>
      <c r="AS143" s="125">
        <f>Tabela1[[#This Row],[Pós calcio mg/dL]]</f>
        <v>9.8000000000000007</v>
      </c>
      <c r="AT143" s="125">
        <f>Tabela1[[#This Row],[Pré Potássio mmol/L]]</f>
        <v>4.5999999999999996</v>
      </c>
      <c r="AU143" s="125">
        <f>Tabela1[[#This Row],[Pós Potássio mmol/L]]</f>
        <v>5.0999999999999996</v>
      </c>
      <c r="AV143" s="85">
        <f>Tabela1[[#This Row],[Glicose pré]]</f>
        <v>143</v>
      </c>
      <c r="AW143" s="85">
        <f>Tabela1[[#This Row],[Glicose pós]]</f>
        <v>92</v>
      </c>
      <c r="AX143" s="85">
        <f>Tabela1[[#This Row],[Pré Sódio mmol/L]]</f>
        <v>146</v>
      </c>
      <c r="AY143" s="85">
        <f>Tabela1[[#This Row],[Pós Sódio mmol/L]]</f>
        <v>142</v>
      </c>
      <c r="AZ143" s="125">
        <f>Tabela1[[#This Row],[Pré Magnésio mg/dL]]</f>
        <v>2</v>
      </c>
      <c r="BA143" s="125">
        <f>Tabela1[[#This Row],[Pós Magnésio mg/dL]]</f>
        <v>2.2000000000000002</v>
      </c>
      <c r="BB143" s="85">
        <f>Tabela1[[#This Row],[Pré Cloro mmol/L]]</f>
        <v>101</v>
      </c>
      <c r="BC143" s="85">
        <f>Tabela1[[#This Row],[Pós Cloro mmol/L]]</f>
        <v>108</v>
      </c>
      <c r="BD14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310.58544444444442</v>
      </c>
      <c r="BE14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306.8171111111111</v>
      </c>
      <c r="BF143" s="194">
        <f>Tabela1[[#This Row],[Pré RBC 10^6/mm³]]</f>
        <v>4.4400000000000004</v>
      </c>
      <c r="BG143" s="125">
        <f>Tabela1[[#This Row],[Pós RBC 10^6/mm³]]</f>
        <v>3.43</v>
      </c>
      <c r="BH143" s="125">
        <f>Tabela1[[#This Row],[Pré HGB g/dL]]</f>
        <v>13.2</v>
      </c>
      <c r="BI143" s="125">
        <f>Tabela1[[#This Row],[Pós HGB g/dL]]</f>
        <v>10.7</v>
      </c>
      <c r="BJ143" s="125">
        <f>Tabela1[[#This Row],[Pré HCT %]]</f>
        <v>42.1</v>
      </c>
      <c r="BK143" s="125">
        <f>Tabela1[[#This Row],[Pós HCT %]]</f>
        <v>32.799999999999997</v>
      </c>
      <c r="BL143" s="125">
        <f>Tabela1[[#This Row],[Pré MCV fL]]</f>
        <v>94.8</v>
      </c>
      <c r="BM143" s="125">
        <f>Tabela1[[#This Row],[Pós MCV fL]]</f>
        <v>95.6</v>
      </c>
      <c r="BN143" s="125">
        <f>Tabela1[[#This Row],[Pré MCH pg]]</f>
        <v>29.7</v>
      </c>
      <c r="BO143" s="125">
        <f>Tabela1[[#This Row],[Pós MCH pg]]</f>
        <v>31.2</v>
      </c>
      <c r="BP143" s="125">
        <f>Tabela1[[#This Row],[Pré MCHC g/dL]]</f>
        <v>31.4</v>
      </c>
      <c r="BQ143" s="125">
        <f>Tabela1[[#This Row],[Pós MCHC g/dL]]</f>
        <v>32.6</v>
      </c>
      <c r="BR143" s="85">
        <f>Tabela1[[#This Row],[Pré PLT 10³/mm³]]</f>
        <v>239</v>
      </c>
      <c r="BS143" s="85">
        <f>Tabela1[[#This Row],[Pós PLT 10³/mm³]]</f>
        <v>168</v>
      </c>
      <c r="BT143" s="125">
        <f>Tabela1[[#This Row],[Pré RDW %]]</f>
        <v>11.9</v>
      </c>
      <c r="BU143" s="125">
        <f>Tabela1[[#This Row],[Pós RDW %]]</f>
        <v>11.5</v>
      </c>
      <c r="BV143" s="179">
        <f>Tabela1[[#This Row],[Pré RET %]]</f>
        <v>1.78</v>
      </c>
      <c r="BW143" s="196" t="str">
        <f>Tabela1[[#This Row],[Pós RET %]]</f>
        <v>-</v>
      </c>
      <c r="BX143" s="197">
        <f>Tabela1[[#This Row],[Pré WBC 10³/mm³]]</f>
        <v>7.11</v>
      </c>
      <c r="BY143" s="179">
        <f>Tabela1[[#This Row],[Pós WBC 10³/mm³]]</f>
        <v>6.93</v>
      </c>
      <c r="BZ143" s="125">
        <f>Tabela1[[#This Row],[Pré NEUT %]]</f>
        <v>69.900000000000006</v>
      </c>
      <c r="CA143" s="125">
        <f>Tabela1[[#This Row],[Pós NEUT %]]</f>
        <v>60</v>
      </c>
      <c r="CB143" s="125">
        <f>Tabela1[[#This Row],[Pré LINF %]]</f>
        <v>22.9</v>
      </c>
      <c r="CC143" s="125">
        <f>Tabela1[[#This Row],[Pós LINF %]]</f>
        <v>24</v>
      </c>
      <c r="CD143" s="125">
        <f>Tabela1[[#This Row],[Pré MONO %]]</f>
        <v>4.0999999999999996</v>
      </c>
      <c r="CE143" s="125">
        <f>Tabela1[[#This Row],[Pós MONO %]]</f>
        <v>15</v>
      </c>
      <c r="CF143" s="125">
        <f>Tabela1[[#This Row],[Pré EOS %]]</f>
        <v>3</v>
      </c>
      <c r="CG143" s="125">
        <f>Tabela1[[#This Row],[Pós EOS %]]</f>
        <v>1</v>
      </c>
      <c r="CH143" s="125">
        <f>Tabela1[[#This Row],[Pré BASO %]]</f>
        <v>0.1</v>
      </c>
      <c r="CI143" s="198">
        <f>Tabela1[[#This Row],[Pós BASO %]]</f>
        <v>0</v>
      </c>
      <c r="CJ143" s="199" t="str">
        <f t="shared" si="9"/>
        <v>NÃO</v>
      </c>
      <c r="CK143" s="200" t="str">
        <f t="shared" si="10"/>
        <v>SIM</v>
      </c>
      <c r="CL143" s="194">
        <f t="shared" si="11"/>
        <v>67.787359999999993</v>
      </c>
      <c r="CM143" s="125">
        <f>Tabela1[[#This Row],[MCT KG]]</f>
        <v>79.599999999999994</v>
      </c>
      <c r="CN143" s="85">
        <f>Tabela1[[#This Row],[ESTATURA]]</f>
        <v>182</v>
      </c>
      <c r="CO143" s="85">
        <f>Tabela1[[#This Row],[vo2max estimado]]</f>
        <v>51.21</v>
      </c>
      <c r="CP143" s="85">
        <f>Tabela1[[#This Row],[Handgrip     Dominante]]</f>
        <v>51</v>
      </c>
      <c r="CQ143" s="85">
        <f>Tabela1[[#This Row],[Handgrip Contrário]]</f>
        <v>49</v>
      </c>
      <c r="CR143" s="281">
        <f>Tabela1[[#This Row],[% gordura]]</f>
        <v>14.84</v>
      </c>
    </row>
    <row r="144" spans="1:96" ht="15.75" customHeight="1">
      <c r="A144" s="279">
        <f>Tabela1[[#This Row],[Ano]]</f>
        <v>2018</v>
      </c>
      <c r="B144" s="181" t="str">
        <f>Tabela1[[#This Row],[Missão]]</f>
        <v>Manaus</v>
      </c>
      <c r="C144" s="181">
        <f>Tabela1[[#This Row],[Aluno]]</f>
        <v>3169</v>
      </c>
      <c r="D144" s="181">
        <f>Tabela1[[#This Row],[Idade]]</f>
        <v>31</v>
      </c>
      <c r="E144" s="182">
        <f>Tabela1[[#This Row],[Peso Kg]]</f>
        <v>89</v>
      </c>
      <c r="F144" s="191">
        <f>Tabela1[[#This Row],[Cor da pele]]</f>
        <v>1</v>
      </c>
      <c r="G144" s="192" t="str">
        <f>Tabela1[[#This Row],[ACTN3]]</f>
        <v>XX</v>
      </c>
      <c r="H144" s="85" t="str">
        <f>Tabela1[[#This Row],[AGT]]</f>
        <v>MT</v>
      </c>
      <c r="I144" s="85" t="str">
        <f>Tabela1[[#This Row],[ECA]]</f>
        <v>ID</v>
      </c>
      <c r="J144" s="85" t="str">
        <f>Tabela1[[#This Row],[BDKRB2]]</f>
        <v>(-9,-9)</v>
      </c>
      <c r="K144" s="85">
        <f>Tabela1[[#This Row],[Score Força%]]</f>
        <v>100</v>
      </c>
      <c r="L144" s="193">
        <f>Tabela1[[#This Row],[Score Resistência %]]</f>
        <v>0</v>
      </c>
      <c r="M144" s="192">
        <f>Tabela1[[#This Row],[Pré CK (U/L)]]</f>
        <v>230</v>
      </c>
      <c r="N144" s="85">
        <f>Tabela1[[#This Row],[Pós CK (U/L)]]</f>
        <v>1417</v>
      </c>
      <c r="O144" s="85">
        <f>Tabela1[[#This Row],[Pré CK MB U/L]]</f>
        <v>3</v>
      </c>
      <c r="P144" s="85">
        <f>Tabela1[[#This Row],[Pós CK MB U/L]]</f>
        <v>27</v>
      </c>
      <c r="Q144" s="85" t="str">
        <f>Tabela1[[#This Row],[Pré Lactato (mmol/L)]]</f>
        <v>-</v>
      </c>
      <c r="R144" s="85" t="str">
        <f>Tabela1[[#This Row],[Pós Lactato (mmol/L)]]</f>
        <v>-</v>
      </c>
      <c r="S144" s="85">
        <f>Tabela1[[#This Row],[Pré LDH (U/L)]]</f>
        <v>617</v>
      </c>
      <c r="T144" s="85">
        <f>Tabela1[[#This Row],[Pós LDH (U/L)]]</f>
        <v>1326</v>
      </c>
      <c r="U144" s="85">
        <f>Tabela1[[#This Row],[Pré AST (U/L)]]</f>
        <v>32</v>
      </c>
      <c r="V144" s="193">
        <f>Tabela1[[#This Row],[Pós AST (U/L)]]</f>
        <v>106</v>
      </c>
      <c r="W144" s="194">
        <f>Tabela1[[#This Row],[Pré Albumina (g/dL)]]</f>
        <v>4.5999999999999996</v>
      </c>
      <c r="X144" s="125">
        <f>Tabela1[[#This Row],[Pós Albumina (g/dL)]]</f>
        <v>4.0999999999999996</v>
      </c>
      <c r="Y144" s="85">
        <f>Tabela1[[#This Row],[Pré TGP (g/dL)]]</f>
        <v>46</v>
      </c>
      <c r="Z144" s="85">
        <f>Tabela1[[#This Row],[Pós TGP (g/dL)]]</f>
        <v>22</v>
      </c>
      <c r="AA144" s="85">
        <f>Tabela1[[#This Row],[Pré GGT U/L]]</f>
        <v>19</v>
      </c>
      <c r="AB144" s="193">
        <f>Tabela1[[#This Row],[Pós GGT U/L]]</f>
        <v>24</v>
      </c>
      <c r="AC144" s="194">
        <f>Tabela1[[#This Row],[Pré Ac. Úrico (mg/dL)]]</f>
        <v>8</v>
      </c>
      <c r="AD144" s="125">
        <f>Tabela1[[#This Row],[Pós Ac. Úrico (mg/dL)2]]</f>
        <v>10.1</v>
      </c>
      <c r="AE14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14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44" s="85">
        <f>Tabela1[[#This Row],[Pré Ureia mg/dL]]</f>
        <v>35</v>
      </c>
      <c r="AH144" s="85">
        <f>Tabela1[[#This Row],[Pós Ureia mg/dL]]</f>
        <v>46</v>
      </c>
      <c r="AI144" s="125">
        <f>Tabela1[[#This Row],[Pré creatinina mg/dL]]</f>
        <v>1.2</v>
      </c>
      <c r="AJ144" s="125">
        <f>Tabela1[[#This Row],[Pós creatinina mg/dL]]</f>
        <v>1.1000000000000001</v>
      </c>
      <c r="AK144" s="180">
        <f t="shared" si="8"/>
        <v>0</v>
      </c>
      <c r="AL144" s="125">
        <f>Tabela1[[#This Row],[Pré Fósforo mg/dL]]</f>
        <v>4.9000000000000004</v>
      </c>
      <c r="AM144" s="125">
        <f>Tabela1[[#This Row],[Pós Fósforo mg/dL]]</f>
        <v>4.7</v>
      </c>
      <c r="AN144" s="125">
        <f>Tabela1[[#This Row],[Pré Proteína Total (g/dL)]]</f>
        <v>7.9</v>
      </c>
      <c r="AO144" s="125">
        <f>Tabela1[[#This Row],[Pós Proteína Total (g/dL)]]</f>
        <v>7.6</v>
      </c>
      <c r="AP144" s="85">
        <f>Tabela1[[#This Row],[Pré FE (ug/dL)]]</f>
        <v>90</v>
      </c>
      <c r="AQ144" s="193" t="str">
        <f>Tabela1[[#This Row],[Pós FE (ug/dL)]]</f>
        <v>-</v>
      </c>
      <c r="AR144" s="194">
        <f>Tabela1[[#This Row],[Pré calcio mg/dL]]</f>
        <v>8.5</v>
      </c>
      <c r="AS144" s="125">
        <f>Tabela1[[#This Row],[Pós calcio mg/dL]]</f>
        <v>9.5</v>
      </c>
      <c r="AT144" s="125">
        <f>Tabela1[[#This Row],[Pré Potássio mmol/L]]</f>
        <v>4.7</v>
      </c>
      <c r="AU144" s="125">
        <f>Tabela1[[#This Row],[Pós Potássio mmol/L]]</f>
        <v>5.2</v>
      </c>
      <c r="AV144" s="85">
        <f>Tabela1[[#This Row],[Glicose pré]]</f>
        <v>98</v>
      </c>
      <c r="AW144" s="85">
        <f>Tabela1[[#This Row],[Glicose pós]]</f>
        <v>90</v>
      </c>
      <c r="AX144" s="85">
        <f>Tabela1[[#This Row],[Pré Sódio mmol/L]]</f>
        <v>148</v>
      </c>
      <c r="AY144" s="85">
        <f>Tabela1[[#This Row],[Pós Sódio mmol/L]]</f>
        <v>140</v>
      </c>
      <c r="AZ144" s="125">
        <f>Tabela1[[#This Row],[Pré Magnésio mg/dL]]</f>
        <v>2.1</v>
      </c>
      <c r="BA144" s="125">
        <f>Tabela1[[#This Row],[Pós Magnésio mg/dL]]</f>
        <v>2.4</v>
      </c>
      <c r="BB144" s="85">
        <f>Tabela1[[#This Row],[Pré Cloro mmol/L]]</f>
        <v>104</v>
      </c>
      <c r="BC144" s="85">
        <f>Tabela1[[#This Row],[Pós Cloro mmol/L]]</f>
        <v>108</v>
      </c>
      <c r="BD14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310.11644444444443</v>
      </c>
      <c r="BE14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297.48866666666669</v>
      </c>
      <c r="BF144" s="194">
        <f>Tabela1[[#This Row],[Pré RBC 10^6/mm³]]</f>
        <v>4.54</v>
      </c>
      <c r="BG144" s="125">
        <f>Tabela1[[#This Row],[Pós RBC 10^6/mm³]]</f>
        <v>4</v>
      </c>
      <c r="BH144" s="125">
        <f>Tabela1[[#This Row],[Pré HGB g/dL]]</f>
        <v>12.9</v>
      </c>
      <c r="BI144" s="125">
        <f>Tabela1[[#This Row],[Pós HGB g/dL]]</f>
        <v>12.2</v>
      </c>
      <c r="BJ144" s="125">
        <f>Tabela1[[#This Row],[Pré HCT %]]</f>
        <v>42</v>
      </c>
      <c r="BK144" s="125">
        <f>Tabela1[[#This Row],[Pós HCT %]]</f>
        <v>36.1</v>
      </c>
      <c r="BL144" s="125">
        <f>Tabela1[[#This Row],[Pré MCV fL]]</f>
        <v>92.5</v>
      </c>
      <c r="BM144" s="125">
        <f>Tabela1[[#This Row],[Pós MCV fL]]</f>
        <v>90.3</v>
      </c>
      <c r="BN144" s="125">
        <f>Tabela1[[#This Row],[Pré MCH pg]]</f>
        <v>28.4</v>
      </c>
      <c r="BO144" s="125">
        <f>Tabela1[[#This Row],[Pós MCH pg]]</f>
        <v>30.5</v>
      </c>
      <c r="BP144" s="125">
        <f>Tabela1[[#This Row],[Pré MCHC g/dL]]</f>
        <v>30.7</v>
      </c>
      <c r="BQ144" s="125">
        <f>Tabela1[[#This Row],[Pós MCHC g/dL]]</f>
        <v>33.799999999999997</v>
      </c>
      <c r="BR144" s="85">
        <f>Tabela1[[#This Row],[Pré PLT 10³/mm³]]</f>
        <v>270</v>
      </c>
      <c r="BS144" s="85">
        <f>Tabela1[[#This Row],[Pós PLT 10³/mm³]]</f>
        <v>226</v>
      </c>
      <c r="BT144" s="125">
        <f>Tabela1[[#This Row],[Pré RDW %]]</f>
        <v>13.9</v>
      </c>
      <c r="BU144" s="125">
        <f>Tabela1[[#This Row],[Pós RDW %]]</f>
        <v>12.9</v>
      </c>
      <c r="BV144" s="179">
        <f>Tabela1[[#This Row],[Pré RET %]]</f>
        <v>1</v>
      </c>
      <c r="BW144" s="196" t="str">
        <f>Tabela1[[#This Row],[Pós RET %]]</f>
        <v>-</v>
      </c>
      <c r="BX144" s="197">
        <f>Tabela1[[#This Row],[Pré WBC 10³/mm³]]</f>
        <v>9.42</v>
      </c>
      <c r="BY144" s="179">
        <f>Tabela1[[#This Row],[Pós WBC 10³/mm³]]</f>
        <v>8.74</v>
      </c>
      <c r="BZ144" s="125">
        <f>Tabela1[[#This Row],[Pré NEUT %]]</f>
        <v>67</v>
      </c>
      <c r="CA144" s="125">
        <f>Tabela1[[#This Row],[Pós NEUT %]]</f>
        <v>69</v>
      </c>
      <c r="CB144" s="125">
        <f>Tabela1[[#This Row],[Pré LINF %]]</f>
        <v>24.2</v>
      </c>
      <c r="CC144" s="125">
        <f>Tabela1[[#This Row],[Pós LINF %]]</f>
        <v>20</v>
      </c>
      <c r="CD144" s="125">
        <f>Tabela1[[#This Row],[Pré MONO %]]</f>
        <v>7.6</v>
      </c>
      <c r="CE144" s="125">
        <f>Tabela1[[#This Row],[Pós MONO %]]</f>
        <v>10</v>
      </c>
      <c r="CF144" s="125">
        <f>Tabela1[[#This Row],[Pré EOS %]]</f>
        <v>0.8</v>
      </c>
      <c r="CG144" s="125">
        <f>Tabela1[[#This Row],[Pós EOS %]]</f>
        <v>1</v>
      </c>
      <c r="CH144" s="125">
        <f>Tabela1[[#This Row],[Pré BASO %]]</f>
        <v>0.4</v>
      </c>
      <c r="CI144" s="198">
        <f>Tabela1[[#This Row],[Pós BASO %]]</f>
        <v>0</v>
      </c>
      <c r="CJ144" s="199" t="str">
        <f t="shared" si="9"/>
        <v>NÃO</v>
      </c>
      <c r="CK144" s="200" t="str">
        <f t="shared" si="10"/>
        <v>SIM</v>
      </c>
      <c r="CL144" s="194">
        <f t="shared" si="11"/>
        <v>74.95620000000001</v>
      </c>
      <c r="CM144" s="125">
        <f>Tabela1[[#This Row],[MCT KG]]</f>
        <v>90.2</v>
      </c>
      <c r="CN144" s="85">
        <f>Tabela1[[#This Row],[ESTATURA]]</f>
        <v>184.5</v>
      </c>
      <c r="CO144" s="85">
        <f>Tabela1[[#This Row],[vo2max estimado]]</f>
        <v>48.67</v>
      </c>
      <c r="CP144" s="85">
        <f>Tabela1[[#This Row],[Handgrip     Dominante]]</f>
        <v>54</v>
      </c>
      <c r="CQ144" s="85">
        <f>Tabela1[[#This Row],[Handgrip Contrário]]</f>
        <v>47</v>
      </c>
      <c r="CR144" s="281">
        <f>Tabela1[[#This Row],[% gordura]]</f>
        <v>16.899999999999999</v>
      </c>
    </row>
    <row r="145" spans="1:96" ht="15.75" customHeight="1">
      <c r="A145" s="279">
        <f>Tabela1[[#This Row],[Ano]]</f>
        <v>2018</v>
      </c>
      <c r="B145" s="181" t="str">
        <f>Tabela1[[#This Row],[Missão]]</f>
        <v>Manaus</v>
      </c>
      <c r="C145" s="181">
        <f>Tabela1[[#This Row],[Aluno]]</f>
        <v>3175</v>
      </c>
      <c r="D145" s="181">
        <f>Tabela1[[#This Row],[Idade]]</f>
        <v>32</v>
      </c>
      <c r="E145" s="182">
        <f>Tabela1[[#This Row],[Peso Kg]]</f>
        <v>96</v>
      </c>
      <c r="F145" s="191">
        <f>Tabela1[[#This Row],[Cor da pele]]</f>
        <v>2</v>
      </c>
      <c r="G145" s="192" t="str">
        <f>Tabela1[[#This Row],[ACTN3]]</f>
        <v>RX</v>
      </c>
      <c r="H145" s="85" t="str">
        <f>Tabela1[[#This Row],[AGT]]</f>
        <v>MM</v>
      </c>
      <c r="I145" s="85" t="str">
        <f>Tabela1[[#This Row],[ECA]]</f>
        <v>ID</v>
      </c>
      <c r="J145" s="85" t="str">
        <f>Tabela1[[#This Row],[BDKRB2]]</f>
        <v>(+9,+9)</v>
      </c>
      <c r="K145" s="85">
        <f>Tabela1[[#This Row],[Score Força%]]</f>
        <v>45.8333333333333</v>
      </c>
      <c r="L145" s="193">
        <f>Tabela1[[#This Row],[Score Resistência %]]</f>
        <v>54.1666666666667</v>
      </c>
      <c r="M145" s="192">
        <f>Tabela1[[#This Row],[Pré CK (U/L)]]</f>
        <v>478</v>
      </c>
      <c r="N145" s="85">
        <f>Tabela1[[#This Row],[Pós CK (U/L)]]</f>
        <v>7093</v>
      </c>
      <c r="O145" s="85">
        <f>Tabela1[[#This Row],[Pré CK MB U/L]]</f>
        <v>7</v>
      </c>
      <c r="P145" s="85">
        <f>Tabela1[[#This Row],[Pós CK MB U/L]]</f>
        <v>61</v>
      </c>
      <c r="Q145" s="85" t="str">
        <f>Tabela1[[#This Row],[Pré Lactato (mmol/L)]]</f>
        <v>-</v>
      </c>
      <c r="R145" s="85" t="str">
        <f>Tabela1[[#This Row],[Pós Lactato (mmol/L)]]</f>
        <v>-</v>
      </c>
      <c r="S145" s="85">
        <f>Tabela1[[#This Row],[Pré LDH (U/L)]]</f>
        <v>586</v>
      </c>
      <c r="T145" s="85">
        <f>Tabela1[[#This Row],[Pós LDH (U/L)]]</f>
        <v>740</v>
      </c>
      <c r="U145" s="85">
        <f>Tabela1[[#This Row],[Pré AST (U/L)]]</f>
        <v>34</v>
      </c>
      <c r="V145" s="193">
        <f>Tabela1[[#This Row],[Pós AST (U/L)]]</f>
        <v>156</v>
      </c>
      <c r="W145" s="194">
        <f>Tabela1[[#This Row],[Pré Albumina (g/dL)]]</f>
        <v>4.5999999999999996</v>
      </c>
      <c r="X145" s="125">
        <f>Tabela1[[#This Row],[Pós Albumina (g/dL)]]</f>
        <v>4.0999999999999996</v>
      </c>
      <c r="Y145" s="85">
        <f>Tabela1[[#This Row],[Pré TGP (g/dL)]]</f>
        <v>44</v>
      </c>
      <c r="Z145" s="85">
        <f>Tabela1[[#This Row],[Pós TGP (g/dL)]]</f>
        <v>48</v>
      </c>
      <c r="AA145" s="85">
        <f>Tabela1[[#This Row],[Pré GGT U/L]]</f>
        <v>21</v>
      </c>
      <c r="AB145" s="193">
        <f>Tabela1[[#This Row],[Pós GGT U/L]]</f>
        <v>23</v>
      </c>
      <c r="AC145" s="194">
        <f>Tabela1[[#This Row],[Pré Ac. Úrico (mg/dL)]]</f>
        <v>4.3</v>
      </c>
      <c r="AD145" s="125">
        <f>Tabela1[[#This Row],[Pós Ac. Úrico (mg/dL)2]]</f>
        <v>6.4</v>
      </c>
      <c r="AE14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76.739527424440993</v>
      </c>
      <c r="AF14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45" s="85">
        <f>Tabela1[[#This Row],[Pré Ureia mg/dL]]</f>
        <v>46</v>
      </c>
      <c r="AH145" s="85">
        <f>Tabela1[[#This Row],[Pós Ureia mg/dL]]</f>
        <v>56</v>
      </c>
      <c r="AI145" s="125">
        <f>Tabela1[[#This Row],[Pré creatinina mg/dL]]</f>
        <v>1.3</v>
      </c>
      <c r="AJ145" s="125">
        <f>Tabela1[[#This Row],[Pós creatinina mg/dL]]</f>
        <v>1.1000000000000001</v>
      </c>
      <c r="AK145" s="180">
        <f t="shared" si="8"/>
        <v>0</v>
      </c>
      <c r="AL145" s="125">
        <f>Tabela1[[#This Row],[Pré Fósforo mg/dL]]</f>
        <v>4.5</v>
      </c>
      <c r="AM145" s="125">
        <f>Tabela1[[#This Row],[Pós Fósforo mg/dL]]</f>
        <v>3.8</v>
      </c>
      <c r="AN145" s="125">
        <f>Tabela1[[#This Row],[Pré Proteína Total (g/dL)]]</f>
        <v>8</v>
      </c>
      <c r="AO145" s="125">
        <f>Tabela1[[#This Row],[Pós Proteína Total (g/dL)]]</f>
        <v>7.3</v>
      </c>
      <c r="AP145" s="85">
        <f>Tabela1[[#This Row],[Pré FE (ug/dL)]]</f>
        <v>73</v>
      </c>
      <c r="AQ145" s="193" t="str">
        <f>Tabela1[[#This Row],[Pós FE (ug/dL)]]</f>
        <v>-</v>
      </c>
      <c r="AR145" s="194">
        <f>Tabela1[[#This Row],[Pré calcio mg/dL]]</f>
        <v>9.14</v>
      </c>
      <c r="AS145" s="125">
        <f>Tabela1[[#This Row],[Pós calcio mg/dL]]</f>
        <v>9.9</v>
      </c>
      <c r="AT145" s="125">
        <f>Tabela1[[#This Row],[Pré Potássio mmol/L]]</f>
        <v>4.4000000000000004</v>
      </c>
      <c r="AU145" s="125">
        <f>Tabela1[[#This Row],[Pós Potássio mmol/L]]</f>
        <v>5</v>
      </c>
      <c r="AV145" s="85">
        <f>Tabela1[[#This Row],[Glicose pré]]</f>
        <v>105</v>
      </c>
      <c r="AW145" s="85">
        <f>Tabela1[[#This Row],[Glicose pós]]</f>
        <v>112</v>
      </c>
      <c r="AX145" s="85">
        <f>Tabela1[[#This Row],[Pré Sódio mmol/L]]</f>
        <v>143</v>
      </c>
      <c r="AY145" s="85">
        <f>Tabela1[[#This Row],[Pós Sódio mmol/L]]</f>
        <v>138</v>
      </c>
      <c r="AZ145" s="125">
        <f>Tabela1[[#This Row],[Pré Magnésio mg/dL]]</f>
        <v>1.8</v>
      </c>
      <c r="BA145" s="125">
        <f>Tabela1[[#This Row],[Pós Magnésio mg/dL]]</f>
        <v>2.2999999999999998</v>
      </c>
      <c r="BB145" s="85">
        <f>Tabela1[[#This Row],[Pré Cloro mmol/L]]</f>
        <v>104</v>
      </c>
      <c r="BC145" s="85">
        <f>Tabela1[[#This Row],[Pós Cloro mmol/L]]</f>
        <v>109</v>
      </c>
      <c r="BD14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302.53900000000004</v>
      </c>
      <c r="BE14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296.4688888888889</v>
      </c>
      <c r="BF145" s="194">
        <f>Tabela1[[#This Row],[Pré RBC 10^6/mm³]]</f>
        <v>4.92</v>
      </c>
      <c r="BG145" s="125">
        <f>Tabela1[[#This Row],[Pós RBC 10^6/mm³]]</f>
        <v>4.2</v>
      </c>
      <c r="BH145" s="125">
        <f>Tabela1[[#This Row],[Pré HGB g/dL]]</f>
        <v>14.4</v>
      </c>
      <c r="BI145" s="125">
        <f>Tabela1[[#This Row],[Pós HGB g/dL]]</f>
        <v>12.9</v>
      </c>
      <c r="BJ145" s="125">
        <f>Tabela1[[#This Row],[Pré HCT %]]</f>
        <v>44.2</v>
      </c>
      <c r="BK145" s="125">
        <f>Tabela1[[#This Row],[Pós HCT %]]</f>
        <v>38.799999999999997</v>
      </c>
      <c r="BL145" s="125">
        <f>Tabela1[[#This Row],[Pré MCV fL]]</f>
        <v>89.8</v>
      </c>
      <c r="BM145" s="125">
        <f>Tabela1[[#This Row],[Pós MCV fL]]</f>
        <v>92.4</v>
      </c>
      <c r="BN145" s="125">
        <f>Tabela1[[#This Row],[Pré MCH pg]]</f>
        <v>29.3</v>
      </c>
      <c r="BO145" s="125">
        <f>Tabela1[[#This Row],[Pós MCH pg]]</f>
        <v>30.7</v>
      </c>
      <c r="BP145" s="125">
        <f>Tabela1[[#This Row],[Pré MCHC g/dL]]</f>
        <v>32.6</v>
      </c>
      <c r="BQ145" s="125">
        <f>Tabela1[[#This Row],[Pós MCHC g/dL]]</f>
        <v>33.200000000000003</v>
      </c>
      <c r="BR145" s="85">
        <f>Tabela1[[#This Row],[Pré PLT 10³/mm³]]</f>
        <v>175</v>
      </c>
      <c r="BS145" s="85">
        <f>Tabela1[[#This Row],[Pós PLT 10³/mm³]]</f>
        <v>149</v>
      </c>
      <c r="BT145" s="125">
        <f>Tabela1[[#This Row],[Pré RDW %]]</f>
        <v>12.6</v>
      </c>
      <c r="BU145" s="125">
        <f>Tabela1[[#This Row],[Pós RDW %]]</f>
        <v>11.6</v>
      </c>
      <c r="BV145" s="179">
        <f>Tabela1[[#This Row],[Pré RET %]]</f>
        <v>0.44</v>
      </c>
      <c r="BW145" s="196" t="str">
        <f>Tabela1[[#This Row],[Pós RET %]]</f>
        <v>-</v>
      </c>
      <c r="BX145" s="197">
        <f>Tabela1[[#This Row],[Pré WBC 10³/mm³]]</f>
        <v>6.13</v>
      </c>
      <c r="BY145" s="179">
        <f>Tabela1[[#This Row],[Pós WBC 10³/mm³]]</f>
        <v>7.47</v>
      </c>
      <c r="BZ145" s="125">
        <f>Tabela1[[#This Row],[Pré NEUT %]]</f>
        <v>42.5</v>
      </c>
      <c r="CA145" s="125">
        <f>Tabela1[[#This Row],[Pós NEUT %]]</f>
        <v>58</v>
      </c>
      <c r="CB145" s="125">
        <f>Tabela1[[#This Row],[Pré LINF %]]</f>
        <v>46.3</v>
      </c>
      <c r="CC145" s="125">
        <f>Tabela1[[#This Row],[Pós LINF %]]</f>
        <v>27</v>
      </c>
      <c r="CD145" s="125">
        <f>Tabela1[[#This Row],[Pré MONO %]]</f>
        <v>7.8</v>
      </c>
      <c r="CE145" s="125">
        <f>Tabela1[[#This Row],[Pós MONO %]]</f>
        <v>11</v>
      </c>
      <c r="CF145" s="125">
        <f>Tabela1[[#This Row],[Pré EOS %]]</f>
        <v>2.9</v>
      </c>
      <c r="CG145" s="125">
        <f>Tabela1[[#This Row],[Pós EOS %]]</f>
        <v>3</v>
      </c>
      <c r="CH145" s="125">
        <f>Tabela1[[#This Row],[Pré BASO %]]</f>
        <v>0.5</v>
      </c>
      <c r="CI145" s="198">
        <f>Tabela1[[#This Row],[Pós BASO %]]</f>
        <v>1</v>
      </c>
      <c r="CJ145" s="199" t="str">
        <f t="shared" si="9"/>
        <v>NÃO</v>
      </c>
      <c r="CK145" s="200" t="str">
        <f t="shared" si="10"/>
        <v>SIM</v>
      </c>
      <c r="CL145" s="194">
        <f t="shared" si="11"/>
        <v>82.029080000000008</v>
      </c>
      <c r="CM145" s="125">
        <f>Tabela1[[#This Row],[MCT KG]]</f>
        <v>90.7</v>
      </c>
      <c r="CN145" s="85">
        <f>Tabela1[[#This Row],[ESTATURA]]</f>
        <v>191</v>
      </c>
      <c r="CO145" s="85">
        <f>Tabela1[[#This Row],[vo2max estimado]]</f>
        <v>50.01</v>
      </c>
      <c r="CP145" s="85">
        <f>Tabela1[[#This Row],[Handgrip     Dominante]]</f>
        <v>56.5</v>
      </c>
      <c r="CQ145" s="85">
        <f>Tabela1[[#This Row],[Handgrip Contrário]]</f>
        <v>54.5</v>
      </c>
      <c r="CR145" s="281">
        <f>Tabela1[[#This Row],[% gordura]]</f>
        <v>9.56</v>
      </c>
    </row>
    <row r="146" spans="1:96" ht="15.75" customHeight="1">
      <c r="A146" s="279">
        <f>Tabela1[[#This Row],[Ano]]</f>
        <v>2018</v>
      </c>
      <c r="B146" s="181" t="str">
        <f>Tabela1[[#This Row],[Missão]]</f>
        <v>Manaus</v>
      </c>
      <c r="C146" s="181">
        <f>Tabela1[[#This Row],[Aluno]]</f>
        <v>3181</v>
      </c>
      <c r="D146" s="181">
        <f>Tabela1[[#This Row],[Idade]]</f>
        <v>28</v>
      </c>
      <c r="E146" s="182">
        <f>Tabela1[[#This Row],[Peso Kg]]</f>
        <v>82</v>
      </c>
      <c r="F146" s="191">
        <f>Tabela1[[#This Row],[Cor da pele]]</f>
        <v>1</v>
      </c>
      <c r="G146" s="192" t="str">
        <f>Tabela1[[#This Row],[ACTN3]]</f>
        <v>RX</v>
      </c>
      <c r="H146" s="85" t="str">
        <f>Tabela1[[#This Row],[AGT]]</f>
        <v>MT</v>
      </c>
      <c r="I146" s="85" t="str">
        <f>Tabela1[[#This Row],[ECA]]</f>
        <v>ID</v>
      </c>
      <c r="J146" s="85" t="str">
        <f>Tabela1[[#This Row],[BDKRB2]]</f>
        <v>(+9,-9)</v>
      </c>
      <c r="K146" s="85">
        <f>Tabela1[[#This Row],[Score Força%]]</f>
        <v>54.1666666666667</v>
      </c>
      <c r="L146" s="193">
        <f>Tabela1[[#This Row],[Score Resistência %]]</f>
        <v>45.8333333333333</v>
      </c>
      <c r="M146" s="192">
        <f>Tabela1[[#This Row],[Pré CK (U/L)]]</f>
        <v>170</v>
      </c>
      <c r="N146" s="85">
        <f>Tabela1[[#This Row],[Pós CK (U/L)]]</f>
        <v>1374</v>
      </c>
      <c r="O146" s="85">
        <f>Tabela1[[#This Row],[Pré CK MB U/L]]</f>
        <v>3</v>
      </c>
      <c r="P146" s="85">
        <f>Tabela1[[#This Row],[Pós CK MB U/L]]</f>
        <v>31</v>
      </c>
      <c r="Q146" s="85" t="str">
        <f>Tabela1[[#This Row],[Pré Lactato (mmol/L)]]</f>
        <v>-</v>
      </c>
      <c r="R146" s="85" t="str">
        <f>Tabela1[[#This Row],[Pós Lactato (mmol/L)]]</f>
        <v>-</v>
      </c>
      <c r="S146" s="85">
        <f>Tabela1[[#This Row],[Pré LDH (U/L)]]</f>
        <v>528</v>
      </c>
      <c r="T146" s="85">
        <f>Tabela1[[#This Row],[Pós LDH (U/L)]]</f>
        <v>236</v>
      </c>
      <c r="U146" s="85">
        <f>Tabela1[[#This Row],[Pré AST (U/L)]]</f>
        <v>25</v>
      </c>
      <c r="V146" s="193" t="str">
        <f>Tabela1[[#This Row],[Pós AST (U/L)]]</f>
        <v>-</v>
      </c>
      <c r="W146" s="194">
        <f>Tabela1[[#This Row],[Pré Albumina (g/dL)]]</f>
        <v>4.5999999999999996</v>
      </c>
      <c r="X146" s="125" t="str">
        <f>Tabela1[[#This Row],[Pós Albumina (g/dL)]]</f>
        <v>-</v>
      </c>
      <c r="Y146" s="85">
        <f>Tabela1[[#This Row],[Pré TGP (g/dL)]]</f>
        <v>36</v>
      </c>
      <c r="Z146" s="85" t="str">
        <f>Tabela1[[#This Row],[Pós TGP (g/dL)]]</f>
        <v>-</v>
      </c>
      <c r="AA146" s="85">
        <f>Tabela1[[#This Row],[Pré GGT U/L]]</f>
        <v>19</v>
      </c>
      <c r="AB146" s="193" t="str">
        <f>Tabela1[[#This Row],[Pós GGT U/L]]</f>
        <v>-</v>
      </c>
      <c r="AC146" s="194">
        <f>Tabela1[[#This Row],[Pré Ac. Úrico (mg/dL)]]</f>
        <v>4.2</v>
      </c>
      <c r="AD146" s="125" t="str">
        <f>Tabela1[[#This Row],[Pós Ac. Úrico (mg/dL)2]]</f>
        <v>-</v>
      </c>
      <c r="AE14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14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146" s="85">
        <f>Tabela1[[#This Row],[Pré Ureia mg/dL]]</f>
        <v>34</v>
      </c>
      <c r="AH146" s="85">
        <f>Tabela1[[#This Row],[Pós Ureia mg/dL]]</f>
        <v>45</v>
      </c>
      <c r="AI146" s="125">
        <f>Tabela1[[#This Row],[Pré creatinina mg/dL]]</f>
        <v>1.2</v>
      </c>
      <c r="AJ146" s="125">
        <f>Tabela1[[#This Row],[Pós creatinina mg/dL]]</f>
        <v>1.3</v>
      </c>
      <c r="AK146" s="180">
        <f t="shared" si="8"/>
        <v>0.10000000000000009</v>
      </c>
      <c r="AL146" s="125">
        <f>Tabela1[[#This Row],[Pré Fósforo mg/dL]]</f>
        <v>4.8</v>
      </c>
      <c r="AM146" s="125">
        <f>Tabela1[[#This Row],[Pós Fósforo mg/dL]]</f>
        <v>3.7</v>
      </c>
      <c r="AN146" s="125">
        <f>Tabela1[[#This Row],[Pré Proteína Total (g/dL)]]</f>
        <v>7.4</v>
      </c>
      <c r="AO146" s="125" t="str">
        <f>Tabela1[[#This Row],[Pós Proteína Total (g/dL)]]</f>
        <v>-</v>
      </c>
      <c r="AP146" s="85">
        <f>Tabela1[[#This Row],[Pré FE (ug/dL)]]</f>
        <v>102</v>
      </c>
      <c r="AQ146" s="193" t="str">
        <f>Tabela1[[#This Row],[Pós FE (ug/dL)]]</f>
        <v>-</v>
      </c>
      <c r="AR146" s="194">
        <f>Tabela1[[#This Row],[Pré calcio mg/dL]]</f>
        <v>9.1</v>
      </c>
      <c r="AS146" s="125">
        <f>Tabela1[[#This Row],[Pós calcio mg/dL]]</f>
        <v>10</v>
      </c>
      <c r="AT146" s="125">
        <f>Tabela1[[#This Row],[Pré Potássio mmol/L]]</f>
        <v>4.7</v>
      </c>
      <c r="AU146" s="125">
        <f>Tabela1[[#This Row],[Pós Potássio mmol/L]]</f>
        <v>4.5</v>
      </c>
      <c r="AV146" s="85">
        <f>Tabela1[[#This Row],[Glicose pré]]</f>
        <v>88</v>
      </c>
      <c r="AW146" s="85">
        <f>Tabela1[[#This Row],[Glicose pós]]</f>
        <v>93</v>
      </c>
      <c r="AX146" s="85">
        <f>Tabela1[[#This Row],[Pré Sódio mmol/L]]</f>
        <v>145</v>
      </c>
      <c r="AY146" s="85">
        <f>Tabela1[[#This Row],[Pós Sódio mmol/L]]</f>
        <v>147</v>
      </c>
      <c r="AZ146" s="125">
        <f>Tabela1[[#This Row],[Pré Magnésio mg/dL]]</f>
        <v>2.1</v>
      </c>
      <c r="BA146" s="125">
        <f>Tabela1[[#This Row],[Pós Magnésio mg/dL]]</f>
        <v>2.1</v>
      </c>
      <c r="BB146" s="85">
        <f>Tabela1[[#This Row],[Pré Cloro mmol/L]]</f>
        <v>101</v>
      </c>
      <c r="BC146" s="85">
        <f>Tabela1[[#This Row],[Pós Cloro mmol/L]]</f>
        <v>104</v>
      </c>
      <c r="BD14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303.7308888888889</v>
      </c>
      <c r="BE14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309.23166666666668</v>
      </c>
      <c r="BF146" s="194">
        <f>Tabela1[[#This Row],[Pré RBC 10^6/mm³]]</f>
        <v>5.09</v>
      </c>
      <c r="BG146" s="125">
        <f>Tabela1[[#This Row],[Pós RBC 10^6/mm³]]</f>
        <v>4.26</v>
      </c>
      <c r="BH146" s="125">
        <f>Tabela1[[#This Row],[Pré HGB g/dL]]</f>
        <v>15.7</v>
      </c>
      <c r="BI146" s="125">
        <f>Tabela1[[#This Row],[Pós HGB g/dL]]</f>
        <v>13.6</v>
      </c>
      <c r="BJ146" s="125">
        <f>Tabela1[[#This Row],[Pré HCT %]]</f>
        <v>47.7</v>
      </c>
      <c r="BK146" s="125">
        <f>Tabela1[[#This Row],[Pós HCT %]]</f>
        <v>40.6</v>
      </c>
      <c r="BL146" s="125">
        <f>Tabela1[[#This Row],[Pré MCV fL]]</f>
        <v>93.7</v>
      </c>
      <c r="BM146" s="125">
        <f>Tabela1[[#This Row],[Pós MCV fL]]</f>
        <v>95.3</v>
      </c>
      <c r="BN146" s="125">
        <f>Tabela1[[#This Row],[Pré MCH pg]]</f>
        <v>30.8</v>
      </c>
      <c r="BO146" s="125">
        <f>Tabela1[[#This Row],[Pós MCH pg]]</f>
        <v>31.9</v>
      </c>
      <c r="BP146" s="125">
        <f>Tabela1[[#This Row],[Pré MCHC g/dL]]</f>
        <v>32.9</v>
      </c>
      <c r="BQ146" s="125">
        <f>Tabela1[[#This Row],[Pós MCHC g/dL]]</f>
        <v>33.5</v>
      </c>
      <c r="BR146" s="85">
        <f>Tabela1[[#This Row],[Pré PLT 10³/mm³]]</f>
        <v>261</v>
      </c>
      <c r="BS146" s="85">
        <f>Tabela1[[#This Row],[Pós PLT 10³/mm³]]</f>
        <v>187</v>
      </c>
      <c r="BT146" s="125">
        <f>Tabela1[[#This Row],[Pré RDW %]]</f>
        <v>12.2</v>
      </c>
      <c r="BU146" s="125">
        <f>Tabela1[[#This Row],[Pós RDW %]]</f>
        <v>11.2</v>
      </c>
      <c r="BV146" s="179">
        <f>Tabela1[[#This Row],[Pré RET %]]</f>
        <v>0.35</v>
      </c>
      <c r="BW146" s="196" t="str">
        <f>Tabela1[[#This Row],[Pós RET %]]</f>
        <v>-</v>
      </c>
      <c r="BX146" s="197">
        <f>Tabela1[[#This Row],[Pré WBC 10³/mm³]]</f>
        <v>7.22</v>
      </c>
      <c r="BY146" s="179">
        <f>Tabela1[[#This Row],[Pós WBC 10³/mm³]]</f>
        <v>7.45</v>
      </c>
      <c r="BZ146" s="125">
        <f>Tabela1[[#This Row],[Pré NEUT %]]</f>
        <v>66.8</v>
      </c>
      <c r="CA146" s="125">
        <f>Tabela1[[#This Row],[Pós NEUT %]]</f>
        <v>66</v>
      </c>
      <c r="CB146" s="125">
        <f>Tabela1[[#This Row],[Pré LINF %]]</f>
        <v>21.6</v>
      </c>
      <c r="CC146" s="125">
        <f>Tabela1[[#This Row],[Pós LINF %]]</f>
        <v>21</v>
      </c>
      <c r="CD146" s="125">
        <f>Tabela1[[#This Row],[Pré MONO %]]</f>
        <v>7.3</v>
      </c>
      <c r="CE146" s="125">
        <f>Tabela1[[#This Row],[Pós MONO %]]</f>
        <v>12</v>
      </c>
      <c r="CF146" s="125">
        <f>Tabela1[[#This Row],[Pré EOS %]]</f>
        <v>4</v>
      </c>
      <c r="CG146" s="125">
        <f>Tabela1[[#This Row],[Pós EOS %]]</f>
        <v>1</v>
      </c>
      <c r="CH146" s="125">
        <f>Tabela1[[#This Row],[Pré BASO %]]</f>
        <v>0.3</v>
      </c>
      <c r="CI146" s="198">
        <f>Tabela1[[#This Row],[Pós BASO %]]</f>
        <v>0</v>
      </c>
      <c r="CJ146" s="199" t="str">
        <f t="shared" si="9"/>
        <v>NÃO</v>
      </c>
      <c r="CK146" s="200" t="str">
        <f t="shared" si="10"/>
        <v>SIM</v>
      </c>
      <c r="CL146" s="194">
        <f t="shared" si="11"/>
        <v>77.353679999999997</v>
      </c>
      <c r="CM146" s="125">
        <f>Tabela1[[#This Row],[MCT KG]]</f>
        <v>84.3</v>
      </c>
      <c r="CN146" s="85">
        <f>Tabela1[[#This Row],[ESTATURA]]</f>
        <v>190</v>
      </c>
      <c r="CO146" s="85">
        <f>Tabela1[[#This Row],[vo2max estimado]]</f>
        <v>51.12</v>
      </c>
      <c r="CP146" s="85">
        <f>Tabela1[[#This Row],[Handgrip     Dominante]]</f>
        <v>54.5</v>
      </c>
      <c r="CQ146" s="85">
        <f>Tabela1[[#This Row],[Handgrip Contrário]]</f>
        <v>50.5</v>
      </c>
      <c r="CR146" s="281">
        <f>Tabela1[[#This Row],[% gordura]]</f>
        <v>8.24</v>
      </c>
    </row>
    <row r="147" spans="1:96" ht="15.75" customHeight="1">
      <c r="A147" s="279">
        <f>Tabela1[[#This Row],[Ano]]</f>
        <v>2018</v>
      </c>
      <c r="B147" s="181" t="str">
        <f>Tabela1[[#This Row],[Missão]]</f>
        <v>Manaus</v>
      </c>
      <c r="C147" s="181">
        <f>Tabela1[[#This Row],[Aluno]]</f>
        <v>3183</v>
      </c>
      <c r="D147" s="181">
        <f>Tabela1[[#This Row],[Idade]]</f>
        <v>26</v>
      </c>
      <c r="E147" s="182">
        <f>Tabela1[[#This Row],[Peso Kg]]</f>
        <v>90</v>
      </c>
      <c r="F147" s="191">
        <f>Tabela1[[#This Row],[Cor da pele]]</f>
        <v>1</v>
      </c>
      <c r="G147" s="192" t="str">
        <f>Tabela1[[#This Row],[ACTN3]]</f>
        <v>-</v>
      </c>
      <c r="H147" s="85" t="str">
        <f>Tabela1[[#This Row],[AGT]]</f>
        <v>-</v>
      </c>
      <c r="I147" s="85" t="str">
        <f>Tabela1[[#This Row],[ECA]]</f>
        <v>-</v>
      </c>
      <c r="J147" s="85" t="str">
        <f>Tabela1[[#This Row],[BDKRB2]]</f>
        <v>-</v>
      </c>
      <c r="K147" s="85" t="str">
        <f>Tabela1[[#This Row],[Score Força%]]</f>
        <v>-</v>
      </c>
      <c r="L147" s="193" t="str">
        <f>Tabela1[[#This Row],[Score Resistência %]]</f>
        <v>-</v>
      </c>
      <c r="M147" s="192">
        <f>Tabela1[[#This Row],[Pré CK (U/L)]]</f>
        <v>288</v>
      </c>
      <c r="N147" s="85">
        <f>Tabela1[[#This Row],[Pós CK (U/L)]]</f>
        <v>3021</v>
      </c>
      <c r="O147" s="85">
        <f>Tabela1[[#This Row],[Pré CK MB U/L]]</f>
        <v>3</v>
      </c>
      <c r="P147" s="85">
        <f>Tabela1[[#This Row],[Pós CK MB U/L]]</f>
        <v>25</v>
      </c>
      <c r="Q147" s="85" t="str">
        <f>Tabela1[[#This Row],[Pré Lactato (mmol/L)]]</f>
        <v>-</v>
      </c>
      <c r="R147" s="85" t="str">
        <f>Tabela1[[#This Row],[Pós Lactato (mmol/L)]]</f>
        <v>-</v>
      </c>
      <c r="S147" s="85">
        <f>Tabela1[[#This Row],[Pré LDH (U/L)]]</f>
        <v>673</v>
      </c>
      <c r="T147" s="85">
        <f>Tabela1[[#This Row],[Pós LDH (U/L)]]</f>
        <v>784</v>
      </c>
      <c r="U147" s="85">
        <f>Tabela1[[#This Row],[Pré AST (U/L)]]</f>
        <v>30</v>
      </c>
      <c r="V147" s="193">
        <f>Tabela1[[#This Row],[Pós AST (U/L)]]</f>
        <v>67</v>
      </c>
      <c r="W147" s="194">
        <f>Tabela1[[#This Row],[Pré Albumina (g/dL)]]</f>
        <v>4.5</v>
      </c>
      <c r="X147" s="125">
        <f>Tabela1[[#This Row],[Pós Albumina (g/dL)]]</f>
        <v>2.9</v>
      </c>
      <c r="Y147" s="85">
        <f>Tabela1[[#This Row],[Pré TGP (g/dL)]]</f>
        <v>46</v>
      </c>
      <c r="Z147" s="85">
        <f>Tabela1[[#This Row],[Pós TGP (g/dL)]]</f>
        <v>40</v>
      </c>
      <c r="AA147" s="85">
        <f>Tabela1[[#This Row],[Pré GGT U/L]]</f>
        <v>21</v>
      </c>
      <c r="AB147" s="193">
        <f>Tabela1[[#This Row],[Pós GGT U/L]]</f>
        <v>17</v>
      </c>
      <c r="AC147" s="194">
        <f>Tabela1[[#This Row],[Pré Ac. Úrico (mg/dL)]]</f>
        <v>4.2</v>
      </c>
      <c r="AD147" s="125">
        <f>Tabela1[[#This Row],[Pós Ac. Úrico (mg/dL)2]]</f>
        <v>5.2</v>
      </c>
      <c r="AE14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4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47" s="85">
        <f>Tabela1[[#This Row],[Pré Ureia mg/dL]]</f>
        <v>23</v>
      </c>
      <c r="AH147" s="85">
        <f>Tabela1[[#This Row],[Pós Ureia mg/dL]]</f>
        <v>30</v>
      </c>
      <c r="AI147" s="125">
        <f>Tabela1[[#This Row],[Pré creatinina mg/dL]]</f>
        <v>1</v>
      </c>
      <c r="AJ147" s="125">
        <f>Tabela1[[#This Row],[Pós creatinina mg/dL]]</f>
        <v>0.9</v>
      </c>
      <c r="AK147" s="180">
        <f t="shared" si="8"/>
        <v>0</v>
      </c>
      <c r="AL147" s="125">
        <f>Tabela1[[#This Row],[Pré Fósforo mg/dL]]</f>
        <v>4.3</v>
      </c>
      <c r="AM147" s="125">
        <f>Tabela1[[#This Row],[Pós Fósforo mg/dL]]</f>
        <v>3.5</v>
      </c>
      <c r="AN147" s="125">
        <f>Tabela1[[#This Row],[Pré Proteína Total (g/dL)]]</f>
        <v>7.7</v>
      </c>
      <c r="AO147" s="125">
        <f>Tabela1[[#This Row],[Pós Proteína Total (g/dL)]]</f>
        <v>5.5</v>
      </c>
      <c r="AP147" s="85">
        <f>Tabela1[[#This Row],[Pré FE (ug/dL)]]</f>
        <v>111</v>
      </c>
      <c r="AQ147" s="193" t="str">
        <f>Tabela1[[#This Row],[Pós FE (ug/dL)]]</f>
        <v>-</v>
      </c>
      <c r="AR147" s="194">
        <f>Tabela1[[#This Row],[Pré calcio mg/dL]]</f>
        <v>9</v>
      </c>
      <c r="AS147" s="125">
        <f>Tabela1[[#This Row],[Pós calcio mg/dL]]</f>
        <v>7.6</v>
      </c>
      <c r="AT147" s="125">
        <f>Tabela1[[#This Row],[Pré Potássio mmol/L]]</f>
        <v>4.5999999999999996</v>
      </c>
      <c r="AU147" s="125">
        <f>Tabela1[[#This Row],[Pós Potássio mmol/L]]</f>
        <v>3.8</v>
      </c>
      <c r="AV147" s="85">
        <f>Tabela1[[#This Row],[Glicose pré]]</f>
        <v>100</v>
      </c>
      <c r="AW147" s="85">
        <f>Tabela1[[#This Row],[Glicose pós]]</f>
        <v>86</v>
      </c>
      <c r="AX147" s="85">
        <f>Tabela1[[#This Row],[Pré Sódio mmol/L]]</f>
        <v>144</v>
      </c>
      <c r="AY147" s="85">
        <f>Tabela1[[#This Row],[Pós Sódio mmol/L]]</f>
        <v>125</v>
      </c>
      <c r="AZ147" s="125">
        <f>Tabela1[[#This Row],[Pré Magnésio mg/dL]]</f>
        <v>2.1</v>
      </c>
      <c r="BA147" s="125">
        <f>Tabela1[[#This Row],[Pós Magnésio mg/dL]]</f>
        <v>1.8</v>
      </c>
      <c r="BB147" s="85">
        <f>Tabela1[[#This Row],[Pré Cloro mmol/L]]</f>
        <v>100</v>
      </c>
      <c r="BC147" s="85">
        <f>Tabela1[[#This Row],[Pós Cloro mmol/L]]</f>
        <v>97</v>
      </c>
      <c r="BD14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300.61822222222224</v>
      </c>
      <c r="BE14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264.06244444444451</v>
      </c>
      <c r="BF147" s="194">
        <f>Tabela1[[#This Row],[Pré RBC 10^6/mm³]]</f>
        <v>4.82</v>
      </c>
      <c r="BG147" s="125">
        <f>Tabela1[[#This Row],[Pós RBC 10^6/mm³]]</f>
        <v>3.83</v>
      </c>
      <c r="BH147" s="125">
        <f>Tabela1[[#This Row],[Pré HGB g/dL]]</f>
        <v>13.9</v>
      </c>
      <c r="BI147" s="125">
        <f>Tabela1[[#This Row],[Pós HGB g/dL]]</f>
        <v>11.8</v>
      </c>
      <c r="BJ147" s="125">
        <f>Tabela1[[#This Row],[Pré HCT %]]</f>
        <v>43.5</v>
      </c>
      <c r="BK147" s="125">
        <f>Tabela1[[#This Row],[Pós HCT %]]</f>
        <v>35.1</v>
      </c>
      <c r="BL147" s="125">
        <f>Tabela1[[#This Row],[Pré MCV fL]]</f>
        <v>90.2</v>
      </c>
      <c r="BM147" s="125">
        <f>Tabela1[[#This Row],[Pós MCV fL]]</f>
        <v>91.6</v>
      </c>
      <c r="BN147" s="125">
        <f>Tabela1[[#This Row],[Pré MCH pg]]</f>
        <v>28.8</v>
      </c>
      <c r="BO147" s="125">
        <f>Tabela1[[#This Row],[Pós MCH pg]]</f>
        <v>30.8</v>
      </c>
      <c r="BP147" s="125">
        <f>Tabela1[[#This Row],[Pré MCHC g/dL]]</f>
        <v>32</v>
      </c>
      <c r="BQ147" s="125">
        <f>Tabela1[[#This Row],[Pós MCHC g/dL]]</f>
        <v>33.6</v>
      </c>
      <c r="BR147" s="85">
        <f>Tabela1[[#This Row],[Pré PLT 10³/mm³]]</f>
        <v>321</v>
      </c>
      <c r="BS147" s="85">
        <f>Tabela1[[#This Row],[Pós PLT 10³/mm³]]</f>
        <v>220</v>
      </c>
      <c r="BT147" s="125">
        <f>Tabela1[[#This Row],[Pré RDW %]]</f>
        <v>12.6</v>
      </c>
      <c r="BU147" s="125">
        <f>Tabela1[[#This Row],[Pós RDW %]]</f>
        <v>11.8</v>
      </c>
      <c r="BV147" s="179">
        <f>Tabela1[[#This Row],[Pré RET %]]</f>
        <v>0.71</v>
      </c>
      <c r="BW147" s="196" t="str">
        <f>Tabela1[[#This Row],[Pós RET %]]</f>
        <v>-</v>
      </c>
      <c r="BX147" s="197">
        <f>Tabela1[[#This Row],[Pré WBC 10³/mm³]]</f>
        <v>6.26</v>
      </c>
      <c r="BY147" s="179">
        <f>Tabela1[[#This Row],[Pós WBC 10³/mm³]]</f>
        <v>7.66</v>
      </c>
      <c r="BZ147" s="125">
        <f>Tabela1[[#This Row],[Pré NEUT %]]</f>
        <v>54.4</v>
      </c>
      <c r="CA147" s="125">
        <f>Tabela1[[#This Row],[Pós NEUT %]]</f>
        <v>62</v>
      </c>
      <c r="CB147" s="125">
        <f>Tabela1[[#This Row],[Pré LINF %]]</f>
        <v>31.3</v>
      </c>
      <c r="CC147" s="125">
        <f>Tabela1[[#This Row],[Pós LINF %]]</f>
        <v>25</v>
      </c>
      <c r="CD147" s="125">
        <f>Tabela1[[#This Row],[Pré MONO %]]</f>
        <v>8.5</v>
      </c>
      <c r="CE147" s="125">
        <f>Tabela1[[#This Row],[Pós MONO %]]</f>
        <v>11</v>
      </c>
      <c r="CF147" s="125">
        <f>Tabela1[[#This Row],[Pré EOS %]]</f>
        <v>5.6</v>
      </c>
      <c r="CG147" s="125">
        <f>Tabela1[[#This Row],[Pós EOS %]]</f>
        <v>2</v>
      </c>
      <c r="CH147" s="125">
        <f>Tabela1[[#This Row],[Pré BASO %]]</f>
        <v>0.2</v>
      </c>
      <c r="CI147" s="198">
        <f>Tabela1[[#This Row],[Pós BASO %]]</f>
        <v>0</v>
      </c>
      <c r="CJ147" s="199" t="str">
        <f t="shared" si="9"/>
        <v>NÃO</v>
      </c>
      <c r="CK147" s="200" t="str">
        <f t="shared" si="10"/>
        <v>SIM</v>
      </c>
      <c r="CL147" s="194">
        <f t="shared" si="11"/>
        <v>82.441199999999995</v>
      </c>
      <c r="CM147" s="125">
        <f>Tabela1[[#This Row],[MCT KG]]</f>
        <v>92</v>
      </c>
      <c r="CN147" s="85">
        <f>Tabela1[[#This Row],[ESTATURA]]</f>
        <v>174.4</v>
      </c>
      <c r="CO147" s="85">
        <f>Tabela1[[#This Row],[vo2max estimado]]</f>
        <v>49.71</v>
      </c>
      <c r="CP147" s="85">
        <f>Tabela1[[#This Row],[Handgrip     Dominante]]</f>
        <v>55</v>
      </c>
      <c r="CQ147" s="85">
        <f>Tabela1[[#This Row],[Handgrip Contrário]]</f>
        <v>55.5</v>
      </c>
      <c r="CR147" s="281">
        <f>Tabela1[[#This Row],[% gordura]]</f>
        <v>10.39</v>
      </c>
    </row>
    <row r="148" spans="1:96" ht="15.75" customHeight="1">
      <c r="A148" s="279">
        <f>Tabela1[[#This Row],[Ano]]</f>
        <v>2018</v>
      </c>
      <c r="B148" s="181" t="str">
        <f>Tabela1[[#This Row],[Missão]]</f>
        <v>Manaus</v>
      </c>
      <c r="C148" s="181">
        <f>Tabela1[[#This Row],[Aluno]]</f>
        <v>3187</v>
      </c>
      <c r="D148" s="181">
        <f>Tabela1[[#This Row],[Idade]]</f>
        <v>25</v>
      </c>
      <c r="E148" s="182">
        <f>Tabela1[[#This Row],[Peso Kg]]</f>
        <v>85</v>
      </c>
      <c r="F148" s="191">
        <f>Tabela1[[#This Row],[Cor da pele]]</f>
        <v>1</v>
      </c>
      <c r="G148" s="192" t="str">
        <f>Tabela1[[#This Row],[ACTN3]]</f>
        <v>RX</v>
      </c>
      <c r="H148" s="85" t="str">
        <f>Tabela1[[#This Row],[AGT]]</f>
        <v>MM</v>
      </c>
      <c r="I148" s="85" t="str">
        <f>Tabela1[[#This Row],[ECA]]</f>
        <v>II</v>
      </c>
      <c r="J148" s="85" t="str">
        <f>Tabela1[[#This Row],[BDKRB2]]</f>
        <v>(+9,-9)</v>
      </c>
      <c r="K148" s="85">
        <f>Tabela1[[#This Row],[Score Força%]]</f>
        <v>25</v>
      </c>
      <c r="L148" s="193">
        <f>Tabela1[[#This Row],[Score Resistência %]]</f>
        <v>75</v>
      </c>
      <c r="M148" s="192">
        <f>Tabela1[[#This Row],[Pré CK (U/L)]]</f>
        <v>206</v>
      </c>
      <c r="N148" s="85">
        <f>Tabela1[[#This Row],[Pós CK (U/L)]]</f>
        <v>1593</v>
      </c>
      <c r="O148" s="85">
        <f>Tabela1[[#This Row],[Pré CK MB U/L]]</f>
        <v>3</v>
      </c>
      <c r="P148" s="85">
        <f>Tabela1[[#This Row],[Pós CK MB U/L]]</f>
        <v>22</v>
      </c>
      <c r="Q148" s="85" t="str">
        <f>Tabela1[[#This Row],[Pré Lactato (mmol/L)]]</f>
        <v>-</v>
      </c>
      <c r="R148" s="85" t="str">
        <f>Tabela1[[#This Row],[Pós Lactato (mmol/L)]]</f>
        <v>-</v>
      </c>
      <c r="S148" s="85">
        <f>Tabela1[[#This Row],[Pré LDH (U/L)]]</f>
        <v>396</v>
      </c>
      <c r="T148" s="85">
        <f>Tabela1[[#This Row],[Pós LDH (U/L)]]</f>
        <v>779</v>
      </c>
      <c r="U148" s="85">
        <f>Tabela1[[#This Row],[Pré AST (U/L)]]</f>
        <v>30</v>
      </c>
      <c r="V148" s="193">
        <f>Tabela1[[#This Row],[Pós AST (U/L)]]</f>
        <v>78</v>
      </c>
      <c r="W148" s="194">
        <f>Tabela1[[#This Row],[Pré Albumina (g/dL)]]</f>
        <v>4.7</v>
      </c>
      <c r="X148" s="125">
        <f>Tabela1[[#This Row],[Pós Albumina (g/dL)]]</f>
        <v>4.4000000000000004</v>
      </c>
      <c r="Y148" s="85">
        <f>Tabela1[[#This Row],[Pré TGP (g/dL)]]</f>
        <v>48</v>
      </c>
      <c r="Z148" s="85">
        <f>Tabela1[[#This Row],[Pós TGP (g/dL)]]</f>
        <v>29</v>
      </c>
      <c r="AA148" s="85">
        <f>Tabela1[[#This Row],[Pré GGT U/L]]</f>
        <v>32</v>
      </c>
      <c r="AB148" s="193">
        <f>Tabela1[[#This Row],[Pós GGT U/L]]</f>
        <v>39</v>
      </c>
      <c r="AC148" s="194">
        <f>Tabela1[[#This Row],[Pré Ac. Úrico (mg/dL)]]</f>
        <v>4.5</v>
      </c>
      <c r="AD148" s="125">
        <f>Tabela1[[#This Row],[Pós Ac. Úrico (mg/dL)2]]</f>
        <v>7</v>
      </c>
      <c r="AE14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4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48" s="85">
        <f>Tabela1[[#This Row],[Pré Ureia mg/dL]]</f>
        <v>38</v>
      </c>
      <c r="AH148" s="85">
        <f>Tabela1[[#This Row],[Pós Ureia mg/dL]]</f>
        <v>50</v>
      </c>
      <c r="AI148" s="125">
        <f>Tabela1[[#This Row],[Pré creatinina mg/dL]]</f>
        <v>1</v>
      </c>
      <c r="AJ148" s="125">
        <f>Tabela1[[#This Row],[Pós creatinina mg/dL]]</f>
        <v>1.1000000000000001</v>
      </c>
      <c r="AK148" s="180">
        <f t="shared" si="8"/>
        <v>0.10000000000000009</v>
      </c>
      <c r="AL148" s="125">
        <f>Tabela1[[#This Row],[Pré Fósforo mg/dL]]</f>
        <v>4.5999999999999996</v>
      </c>
      <c r="AM148" s="125">
        <f>Tabela1[[#This Row],[Pós Fósforo mg/dL]]</f>
        <v>3.9</v>
      </c>
      <c r="AN148" s="125">
        <f>Tabela1[[#This Row],[Pré Proteína Total (g/dL)]]</f>
        <v>8</v>
      </c>
      <c r="AO148" s="125">
        <f>Tabela1[[#This Row],[Pós Proteína Total (g/dL)]]</f>
        <v>7.5</v>
      </c>
      <c r="AP148" s="85">
        <f>Tabela1[[#This Row],[Pré FE (ug/dL)]]</f>
        <v>123</v>
      </c>
      <c r="AQ148" s="193" t="str">
        <f>Tabela1[[#This Row],[Pós FE (ug/dL)]]</f>
        <v>-</v>
      </c>
      <c r="AR148" s="194">
        <f>Tabela1[[#This Row],[Pré calcio mg/dL]]</f>
        <v>9.1</v>
      </c>
      <c r="AS148" s="125">
        <f>Tabela1[[#This Row],[Pós calcio mg/dL]]</f>
        <v>10.4</v>
      </c>
      <c r="AT148" s="125">
        <f>Tabela1[[#This Row],[Pré Potássio mmol/L]]</f>
        <v>4.9000000000000004</v>
      </c>
      <c r="AU148" s="125">
        <f>Tabela1[[#This Row],[Pós Potássio mmol/L]]</f>
        <v>4.8</v>
      </c>
      <c r="AV148" s="85">
        <f>Tabela1[[#This Row],[Glicose pré]]</f>
        <v>86</v>
      </c>
      <c r="AW148" s="85">
        <f>Tabela1[[#This Row],[Glicose pós]]</f>
        <v>89</v>
      </c>
      <c r="AX148" s="85">
        <f>Tabela1[[#This Row],[Pré Sódio mmol/L]]</f>
        <v>146</v>
      </c>
      <c r="AY148" s="85">
        <f>Tabela1[[#This Row],[Pós Sódio mmol/L]]</f>
        <v>143</v>
      </c>
      <c r="AZ148" s="125">
        <f>Tabela1[[#This Row],[Pré Magnésio mg/dL]]</f>
        <v>2.1</v>
      </c>
      <c r="BA148" s="125">
        <f>Tabela1[[#This Row],[Pós Magnésio mg/dL]]</f>
        <v>2.5</v>
      </c>
      <c r="BB148" s="85">
        <f>Tabela1[[#This Row],[Pré Cloro mmol/L]]</f>
        <v>103</v>
      </c>
      <c r="BC148" s="85">
        <f>Tabela1[[#This Row],[Pós Cloro mmol/L]]</f>
        <v>110</v>
      </c>
      <c r="BD14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306.50177777777782</v>
      </c>
      <c r="BE14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302.92744444444446</v>
      </c>
      <c r="BF148" s="194">
        <f>Tabela1[[#This Row],[Pré RBC 10^6/mm³]]</f>
        <v>4.93</v>
      </c>
      <c r="BG148" s="125">
        <f>Tabela1[[#This Row],[Pós RBC 10^6/mm³]]</f>
        <v>4.34</v>
      </c>
      <c r="BH148" s="125">
        <f>Tabela1[[#This Row],[Pré HGB g/dL]]</f>
        <v>14.2</v>
      </c>
      <c r="BI148" s="125">
        <f>Tabela1[[#This Row],[Pós HGB g/dL]]</f>
        <v>13.1</v>
      </c>
      <c r="BJ148" s="125">
        <f>Tabela1[[#This Row],[Pré HCT %]]</f>
        <v>44.3</v>
      </c>
      <c r="BK148" s="125">
        <f>Tabela1[[#This Row],[Pós HCT %]]</f>
        <v>39.6</v>
      </c>
      <c r="BL148" s="125">
        <f>Tabela1[[#This Row],[Pré MCV fL]]</f>
        <v>89.9</v>
      </c>
      <c r="BM148" s="125">
        <f>Tabela1[[#This Row],[Pós MCV fL]]</f>
        <v>91.2</v>
      </c>
      <c r="BN148" s="125">
        <f>Tabela1[[#This Row],[Pré MCH pg]]</f>
        <v>28.8</v>
      </c>
      <c r="BO148" s="125">
        <f>Tabela1[[#This Row],[Pós MCH pg]]</f>
        <v>30.2</v>
      </c>
      <c r="BP148" s="125">
        <f>Tabela1[[#This Row],[Pré MCHC g/dL]]</f>
        <v>32.1</v>
      </c>
      <c r="BQ148" s="125">
        <f>Tabela1[[#This Row],[Pós MCHC g/dL]]</f>
        <v>33.1</v>
      </c>
      <c r="BR148" s="85">
        <f>Tabela1[[#This Row],[Pré PLT 10³/mm³]]</f>
        <v>278</v>
      </c>
      <c r="BS148" s="85">
        <f>Tabela1[[#This Row],[Pós PLT 10³/mm³]]</f>
        <v>243</v>
      </c>
      <c r="BT148" s="125">
        <f>Tabela1[[#This Row],[Pré RDW %]]</f>
        <v>13.1</v>
      </c>
      <c r="BU148" s="125">
        <f>Tabela1[[#This Row],[Pós RDW %]]</f>
        <v>12.7</v>
      </c>
      <c r="BV148" s="179">
        <f>Tabela1[[#This Row],[Pré RET %]]</f>
        <v>0.31</v>
      </c>
      <c r="BW148" s="196" t="str">
        <f>Tabela1[[#This Row],[Pós RET %]]</f>
        <v>-</v>
      </c>
      <c r="BX148" s="197">
        <f>Tabela1[[#This Row],[Pré WBC 10³/mm³]]</f>
        <v>6.52</v>
      </c>
      <c r="BY148" s="179">
        <f>Tabela1[[#This Row],[Pós WBC 10³/mm³]]</f>
        <v>7.54</v>
      </c>
      <c r="BZ148" s="125">
        <f>Tabela1[[#This Row],[Pré NEUT %]]</f>
        <v>55.6</v>
      </c>
      <c r="CA148" s="125">
        <f>Tabela1[[#This Row],[Pós NEUT %]]</f>
        <v>55</v>
      </c>
      <c r="CB148" s="125">
        <f>Tabela1[[#This Row],[Pré LINF %]]</f>
        <v>30.2</v>
      </c>
      <c r="CC148" s="125">
        <f>Tabela1[[#This Row],[Pós LINF %]]</f>
        <v>31</v>
      </c>
      <c r="CD148" s="125">
        <f>Tabela1[[#This Row],[Pré MONO %]]</f>
        <v>8.6999999999999993</v>
      </c>
      <c r="CE148" s="125">
        <f>Tabela1[[#This Row],[Pós MONO %]]</f>
        <v>9</v>
      </c>
      <c r="CF148" s="125">
        <f>Tabela1[[#This Row],[Pré EOS %]]</f>
        <v>5.2</v>
      </c>
      <c r="CG148" s="125">
        <f>Tabela1[[#This Row],[Pós EOS %]]</f>
        <v>4</v>
      </c>
      <c r="CH148" s="125">
        <f>Tabela1[[#This Row],[Pré BASO %]]</f>
        <v>0.3</v>
      </c>
      <c r="CI148" s="198">
        <f>Tabela1[[#This Row],[Pós BASO %]]</f>
        <v>1</v>
      </c>
      <c r="CJ148" s="199" t="str">
        <f t="shared" si="9"/>
        <v>NÃO</v>
      </c>
      <c r="CK148" s="200" t="str">
        <f t="shared" si="10"/>
        <v>SIM</v>
      </c>
      <c r="CL148" s="194">
        <f t="shared" si="11"/>
        <v>79.512460000000004</v>
      </c>
      <c r="CM148" s="125">
        <f>Tabela1[[#This Row],[MCT KG]]</f>
        <v>85.7</v>
      </c>
      <c r="CN148" s="85">
        <f>Tabela1[[#This Row],[ESTATURA]]</f>
        <v>185</v>
      </c>
      <c r="CO148" s="85">
        <f>Tabela1[[#This Row],[vo2max estimado]]</f>
        <v>52.04</v>
      </c>
      <c r="CP148" s="85">
        <f>Tabela1[[#This Row],[Handgrip     Dominante]]</f>
        <v>50</v>
      </c>
      <c r="CQ148" s="85">
        <f>Tabela1[[#This Row],[Handgrip Contrário]]</f>
        <v>50</v>
      </c>
      <c r="CR148" s="281">
        <f>Tabela1[[#This Row],[% gordura]]</f>
        <v>7.22</v>
      </c>
    </row>
    <row r="149" spans="1:96" ht="15.75" customHeight="1">
      <c r="A149" s="279">
        <f>Tabela1[[#This Row],[Ano]]</f>
        <v>2018</v>
      </c>
      <c r="B149" s="181" t="str">
        <f>Tabela1[[#This Row],[Missão]]</f>
        <v>Manaus</v>
      </c>
      <c r="C149" s="181">
        <f>Tabela1[[#This Row],[Aluno]]</f>
        <v>3189</v>
      </c>
      <c r="D149" s="181">
        <f>Tabela1[[#This Row],[Idade]]</f>
        <v>28</v>
      </c>
      <c r="E149" s="182">
        <f>Tabela1[[#This Row],[Peso Kg]]</f>
        <v>77</v>
      </c>
      <c r="F149" s="191">
        <f>Tabela1[[#This Row],[Cor da pele]]</f>
        <v>2</v>
      </c>
      <c r="G149" s="192" t="str">
        <f>Tabela1[[#This Row],[ACTN3]]</f>
        <v>RR</v>
      </c>
      <c r="H149" s="85" t="str">
        <f>Tabela1[[#This Row],[AGT]]</f>
        <v>MT</v>
      </c>
      <c r="I149" s="85" t="str">
        <f>Tabela1[[#This Row],[ECA]]</f>
        <v>ID</v>
      </c>
      <c r="J149" s="85" t="str">
        <f>Tabela1[[#This Row],[BDKRB2]]</f>
        <v>(+9,-9)</v>
      </c>
      <c r="K149" s="85">
        <f>Tabela1[[#This Row],[Score Força%]]</f>
        <v>212.5</v>
      </c>
      <c r="L149" s="193">
        <f>Tabela1[[#This Row],[Score Resistência %]]</f>
        <v>-112.5</v>
      </c>
      <c r="M149" s="192">
        <f>Tabela1[[#This Row],[Pré CK (U/L)]]</f>
        <v>85</v>
      </c>
      <c r="N149" s="85">
        <f>Tabela1[[#This Row],[Pós CK (U/L)]]</f>
        <v>4520</v>
      </c>
      <c r="O149" s="85">
        <f>Tabela1[[#This Row],[Pré CK MB U/L]]</f>
        <v>3</v>
      </c>
      <c r="P149" s="85">
        <f>Tabela1[[#This Row],[Pós CK MB U/L]]</f>
        <v>39</v>
      </c>
      <c r="Q149" s="85" t="str">
        <f>Tabela1[[#This Row],[Pré Lactato (mmol/L)]]</f>
        <v>-</v>
      </c>
      <c r="R149" s="85" t="str">
        <f>Tabela1[[#This Row],[Pós Lactato (mmol/L)]]</f>
        <v>-</v>
      </c>
      <c r="S149" s="85">
        <f>Tabela1[[#This Row],[Pré LDH (U/L)]]</f>
        <v>484</v>
      </c>
      <c r="T149" s="85">
        <f>Tabela1[[#This Row],[Pós LDH (U/L)]]</f>
        <v>1430</v>
      </c>
      <c r="U149" s="85">
        <f>Tabela1[[#This Row],[Pré AST (U/L)]]</f>
        <v>21</v>
      </c>
      <c r="V149" s="193">
        <f>Tabela1[[#This Row],[Pós AST (U/L)]]</f>
        <v>121</v>
      </c>
      <c r="W149" s="194">
        <f>Tabela1[[#This Row],[Pré Albumina (g/dL)]]</f>
        <v>4.7</v>
      </c>
      <c r="X149" s="125">
        <f>Tabela1[[#This Row],[Pós Albumina (g/dL)]]</f>
        <v>4.5999999999999996</v>
      </c>
      <c r="Y149" s="85">
        <f>Tabela1[[#This Row],[Pré TGP (g/dL)]]</f>
        <v>38</v>
      </c>
      <c r="Z149" s="85">
        <f>Tabela1[[#This Row],[Pós TGP (g/dL)]]</f>
        <v>33</v>
      </c>
      <c r="AA149" s="85">
        <f>Tabela1[[#This Row],[Pré GGT U/L]]</f>
        <v>30</v>
      </c>
      <c r="AB149" s="193">
        <f>Tabela1[[#This Row],[Pós GGT U/L]]</f>
        <v>37</v>
      </c>
      <c r="AC149" s="194">
        <f>Tabela1[[#This Row],[Pré Ac. Úrico (mg/dL)]]</f>
        <v>6.6</v>
      </c>
      <c r="AD149" s="125">
        <f>Tabela1[[#This Row],[Pós Ac. Úrico (mg/dL)2]]</f>
        <v>9.1</v>
      </c>
      <c r="AE14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4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149" s="85">
        <f>Tabela1[[#This Row],[Pré Ureia mg/dL]]</f>
        <v>23</v>
      </c>
      <c r="AH149" s="85">
        <f>Tabela1[[#This Row],[Pós Ureia mg/dL]]</f>
        <v>59</v>
      </c>
      <c r="AI149" s="125">
        <f>Tabela1[[#This Row],[Pré creatinina mg/dL]]</f>
        <v>1.1000000000000001</v>
      </c>
      <c r="AJ149" s="125">
        <f>Tabela1[[#This Row],[Pós creatinina mg/dL]]</f>
        <v>1.2</v>
      </c>
      <c r="AK149" s="180">
        <f t="shared" si="8"/>
        <v>9.9999999999999867E-2</v>
      </c>
      <c r="AL149" s="125">
        <f>Tabela1[[#This Row],[Pré Fósforo mg/dL]]</f>
        <v>4.5</v>
      </c>
      <c r="AM149" s="125">
        <f>Tabela1[[#This Row],[Pós Fósforo mg/dL]]</f>
        <v>4.5</v>
      </c>
      <c r="AN149" s="125">
        <f>Tabela1[[#This Row],[Pré Proteína Total (g/dL)]]</f>
        <v>7.3</v>
      </c>
      <c r="AO149" s="125">
        <f>Tabela1[[#This Row],[Pós Proteína Total (g/dL)]]</f>
        <v>7.1</v>
      </c>
      <c r="AP149" s="85">
        <f>Tabela1[[#This Row],[Pré FE (ug/dL)]]</f>
        <v>106</v>
      </c>
      <c r="AQ149" s="193" t="str">
        <f>Tabela1[[#This Row],[Pós FE (ug/dL)]]</f>
        <v>-</v>
      </c>
      <c r="AR149" s="194">
        <f>Tabela1[[#This Row],[Pré calcio mg/dL]]</f>
        <v>9</v>
      </c>
      <c r="AS149" s="125">
        <f>Tabela1[[#This Row],[Pós calcio mg/dL]]</f>
        <v>10.4</v>
      </c>
      <c r="AT149" s="125">
        <f>Tabela1[[#This Row],[Pré Potássio mmol/L]]</f>
        <v>4.8</v>
      </c>
      <c r="AU149" s="125">
        <f>Tabela1[[#This Row],[Pós Potássio mmol/L]]</f>
        <v>5.3</v>
      </c>
      <c r="AV149" s="85">
        <f>Tabela1[[#This Row],[Glicose pré]]</f>
        <v>105</v>
      </c>
      <c r="AW149" s="85">
        <f>Tabela1[[#This Row],[Glicose pós]]</f>
        <v>75</v>
      </c>
      <c r="AX149" s="85">
        <f>Tabela1[[#This Row],[Pré Sódio mmol/L]]</f>
        <v>145</v>
      </c>
      <c r="AY149" s="85">
        <f>Tabela1[[#This Row],[Pós Sódio mmol/L]]</f>
        <v>145</v>
      </c>
      <c r="AZ149" s="125">
        <f>Tabela1[[#This Row],[Pré Magnésio mg/dL]]</f>
        <v>2</v>
      </c>
      <c r="BA149" s="125">
        <f>Tabela1[[#This Row],[Pós Magnésio mg/dL]]</f>
        <v>2.4</v>
      </c>
      <c r="BB149" s="85">
        <f>Tabela1[[#This Row],[Pré Cloro mmol/L]]</f>
        <v>102</v>
      </c>
      <c r="BC149" s="85">
        <f>Tabela1[[#This Row],[Pós Cloro mmol/L]]</f>
        <v>110</v>
      </c>
      <c r="BD14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303.16966666666667</v>
      </c>
      <c r="BE14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308.18300000000005</v>
      </c>
      <c r="BF149" s="194">
        <f>Tabela1[[#This Row],[Pré RBC 10^6/mm³]]</f>
        <v>4.76</v>
      </c>
      <c r="BG149" s="125">
        <f>Tabela1[[#This Row],[Pós RBC 10^6/mm³]]</f>
        <v>4.0199999999999996</v>
      </c>
      <c r="BH149" s="125">
        <f>Tabela1[[#This Row],[Pré HGB g/dL]]</f>
        <v>14.6</v>
      </c>
      <c r="BI149" s="125">
        <f>Tabela1[[#This Row],[Pós HGB g/dL]]</f>
        <v>13.3</v>
      </c>
      <c r="BJ149" s="125">
        <f>Tabela1[[#This Row],[Pré HCT %]]</f>
        <v>44.6</v>
      </c>
      <c r="BK149" s="125">
        <f>Tabela1[[#This Row],[Pós HCT %]]</f>
        <v>39</v>
      </c>
      <c r="BL149" s="125">
        <f>Tabela1[[#This Row],[Pré MCV fL]]</f>
        <v>93.7</v>
      </c>
      <c r="BM149" s="125">
        <f>Tabela1[[#This Row],[Pós MCV fL]]</f>
        <v>97</v>
      </c>
      <c r="BN149" s="125">
        <f>Tabela1[[#This Row],[Pré MCH pg]]</f>
        <v>30.7</v>
      </c>
      <c r="BO149" s="125">
        <f>Tabela1[[#This Row],[Pós MCH pg]]</f>
        <v>33.1</v>
      </c>
      <c r="BP149" s="125">
        <f>Tabela1[[#This Row],[Pré MCHC g/dL]]</f>
        <v>32.700000000000003</v>
      </c>
      <c r="BQ149" s="125">
        <f>Tabela1[[#This Row],[Pós MCHC g/dL]]</f>
        <v>34.1</v>
      </c>
      <c r="BR149" s="85">
        <f>Tabela1[[#This Row],[Pré PLT 10³/mm³]]</f>
        <v>200</v>
      </c>
      <c r="BS149" s="85">
        <f>Tabela1[[#This Row],[Pós PLT 10³/mm³]]</f>
        <v>153</v>
      </c>
      <c r="BT149" s="125">
        <f>Tabela1[[#This Row],[Pré RDW %]]</f>
        <v>12.6</v>
      </c>
      <c r="BU149" s="125">
        <f>Tabela1[[#This Row],[Pós RDW %]]</f>
        <v>12.3</v>
      </c>
      <c r="BV149" s="179">
        <f>Tabela1[[#This Row],[Pré RET %]]</f>
        <v>0.87</v>
      </c>
      <c r="BW149" s="196" t="str">
        <f>Tabela1[[#This Row],[Pós RET %]]</f>
        <v>-</v>
      </c>
      <c r="BX149" s="197">
        <f>Tabela1[[#This Row],[Pré WBC 10³/mm³]]</f>
        <v>7.02</v>
      </c>
      <c r="BY149" s="179">
        <f>Tabela1[[#This Row],[Pós WBC 10³/mm³]]</f>
        <v>7.08</v>
      </c>
      <c r="BZ149" s="125">
        <f>Tabela1[[#This Row],[Pré NEUT %]]</f>
        <v>62.4</v>
      </c>
      <c r="CA149" s="125">
        <f>Tabela1[[#This Row],[Pós NEUT %]]</f>
        <v>54</v>
      </c>
      <c r="CB149" s="125">
        <f>Tabela1[[#This Row],[Pré LINF %]]</f>
        <v>29.5</v>
      </c>
      <c r="CC149" s="125">
        <f>Tabela1[[#This Row],[Pós LINF %]]</f>
        <v>30</v>
      </c>
      <c r="CD149" s="125">
        <f>Tabela1[[#This Row],[Pré MONO %]]</f>
        <v>6.4</v>
      </c>
      <c r="CE149" s="125">
        <f>Tabela1[[#This Row],[Pós MONO %]]</f>
        <v>14</v>
      </c>
      <c r="CF149" s="125">
        <f>Tabela1[[#This Row],[Pré EOS %]]</f>
        <v>1.6</v>
      </c>
      <c r="CG149" s="125">
        <f>Tabela1[[#This Row],[Pós EOS %]]</f>
        <v>2</v>
      </c>
      <c r="CH149" s="125">
        <f>Tabela1[[#This Row],[Pré BASO %]]</f>
        <v>0.1</v>
      </c>
      <c r="CI149" s="198">
        <f>Tabela1[[#This Row],[Pós BASO %]]</f>
        <v>0</v>
      </c>
      <c r="CJ149" s="199" t="str">
        <f t="shared" si="9"/>
        <v>NÃO</v>
      </c>
      <c r="CK149" s="200" t="str">
        <f t="shared" si="10"/>
        <v>SIM</v>
      </c>
      <c r="CL149" s="194">
        <f t="shared" si="11"/>
        <v>70.76357999999999</v>
      </c>
      <c r="CM149" s="125">
        <f>Tabela1[[#This Row],[MCT KG]]</f>
        <v>78.599999999999994</v>
      </c>
      <c r="CN149" s="85">
        <f>Tabela1[[#This Row],[ESTATURA]]</f>
        <v>179</v>
      </c>
      <c r="CO149" s="85">
        <f>Tabela1[[#This Row],[vo2max estimado]]</f>
        <v>53.31</v>
      </c>
      <c r="CP149" s="85">
        <f>Tabela1[[#This Row],[Handgrip     Dominante]]</f>
        <v>50</v>
      </c>
      <c r="CQ149" s="85">
        <f>Tabela1[[#This Row],[Handgrip Contrário]]</f>
        <v>44</v>
      </c>
      <c r="CR149" s="281">
        <f>Tabela1[[#This Row],[% gordura]]</f>
        <v>9.9700000000000006</v>
      </c>
    </row>
    <row r="150" spans="1:96" ht="15.75" customHeight="1">
      <c r="A150" s="279">
        <f>Tabela1[[#This Row],[Ano]]</f>
        <v>2018</v>
      </c>
      <c r="B150" s="181" t="str">
        <f>Tabela1[[#This Row],[Missão]]</f>
        <v>Manaus</v>
      </c>
      <c r="C150" s="181">
        <f>Tabela1[[#This Row],[Aluno]]</f>
        <v>3190</v>
      </c>
      <c r="D150" s="181">
        <f>Tabela1[[#This Row],[Idade]]</f>
        <v>29</v>
      </c>
      <c r="E150" s="182">
        <f>Tabela1[[#This Row],[Peso Kg]]</f>
        <v>80</v>
      </c>
      <c r="F150" s="191">
        <f>Tabela1[[#This Row],[Cor da pele]]</f>
        <v>1</v>
      </c>
      <c r="G150" s="192" t="str">
        <f>Tabela1[[#This Row],[ACTN3]]</f>
        <v>-</v>
      </c>
      <c r="H150" s="85" t="str">
        <f>Tabela1[[#This Row],[AGT]]</f>
        <v>-</v>
      </c>
      <c r="I150" s="85" t="str">
        <f>Tabela1[[#This Row],[ECA]]</f>
        <v>-</v>
      </c>
      <c r="J150" s="85" t="str">
        <f>Tabela1[[#This Row],[BDKRB2]]</f>
        <v>-</v>
      </c>
      <c r="K150" s="85" t="str">
        <f>Tabela1[[#This Row],[Score Força%]]</f>
        <v>-</v>
      </c>
      <c r="L150" s="193" t="str">
        <f>Tabela1[[#This Row],[Score Resistência %]]</f>
        <v>-</v>
      </c>
      <c r="M150" s="192">
        <f>Tabela1[[#This Row],[Pré CK (U/L)]]</f>
        <v>603</v>
      </c>
      <c r="N150" s="85">
        <f>Tabela1[[#This Row],[Pós CK (U/L)]]</f>
        <v>6580</v>
      </c>
      <c r="O150" s="85">
        <f>Tabela1[[#This Row],[Pré CK MB U/L]]</f>
        <v>3</v>
      </c>
      <c r="P150" s="85">
        <f>Tabela1[[#This Row],[Pós CK MB U/L]]</f>
        <v>98</v>
      </c>
      <c r="Q150" s="85" t="str">
        <f>Tabela1[[#This Row],[Pré Lactato (mmol/L)]]</f>
        <v>-</v>
      </c>
      <c r="R150" s="85" t="str">
        <f>Tabela1[[#This Row],[Pós Lactato (mmol/L)]]</f>
        <v>-</v>
      </c>
      <c r="S150" s="85">
        <f>Tabela1[[#This Row],[Pré LDH (U/L)]]</f>
        <v>796</v>
      </c>
      <c r="T150" s="85">
        <f>Tabela1[[#This Row],[Pós LDH (U/L)]]</f>
        <v>1866</v>
      </c>
      <c r="U150" s="85">
        <f>Tabela1[[#This Row],[Pré AST (U/L)]]</f>
        <v>53</v>
      </c>
      <c r="V150" s="193">
        <f>Tabela1[[#This Row],[Pós AST (U/L)]]</f>
        <v>177</v>
      </c>
      <c r="W150" s="194">
        <f>Tabela1[[#This Row],[Pré Albumina (g/dL)]]</f>
        <v>4.4000000000000004</v>
      </c>
      <c r="X150" s="125">
        <f>Tabela1[[#This Row],[Pós Albumina (g/dL)]]</f>
        <v>4.3</v>
      </c>
      <c r="Y150" s="85">
        <f>Tabela1[[#This Row],[Pré TGP (g/dL)]]</f>
        <v>45</v>
      </c>
      <c r="Z150" s="85">
        <f>Tabela1[[#This Row],[Pós TGP (g/dL)]]</f>
        <v>42</v>
      </c>
      <c r="AA150" s="85">
        <f>Tabela1[[#This Row],[Pré GGT U/L]]</f>
        <v>21</v>
      </c>
      <c r="AB150" s="193">
        <f>Tabela1[[#This Row],[Pós GGT U/L]]</f>
        <v>21</v>
      </c>
      <c r="AC150" s="194">
        <f>Tabela1[[#This Row],[Pré Ac. Úrico (mg/dL)]]</f>
        <v>4.0999999999999996</v>
      </c>
      <c r="AD150" s="125">
        <f>Tabela1[[#This Row],[Pós Ac. Úrico (mg/dL)2]]</f>
        <v>6.6</v>
      </c>
      <c r="AE15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5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50" s="85">
        <f>Tabela1[[#This Row],[Pré Ureia mg/dL]]</f>
        <v>43</v>
      </c>
      <c r="AH150" s="85">
        <f>Tabela1[[#This Row],[Pós Ureia mg/dL]]</f>
        <v>54</v>
      </c>
      <c r="AI150" s="125">
        <f>Tabela1[[#This Row],[Pré creatinina mg/dL]]</f>
        <v>1</v>
      </c>
      <c r="AJ150" s="125">
        <f>Tabela1[[#This Row],[Pós creatinina mg/dL]]</f>
        <v>1</v>
      </c>
      <c r="AK150" s="180">
        <f t="shared" si="8"/>
        <v>0</v>
      </c>
      <c r="AL150" s="125">
        <f>Tabela1[[#This Row],[Pré Fósforo mg/dL]]</f>
        <v>4.3</v>
      </c>
      <c r="AM150" s="125">
        <f>Tabela1[[#This Row],[Pós Fósforo mg/dL]]</f>
        <v>5.0999999999999996</v>
      </c>
      <c r="AN150" s="125">
        <f>Tabela1[[#This Row],[Pré Proteína Total (g/dL)]]</f>
        <v>7.3</v>
      </c>
      <c r="AO150" s="125">
        <f>Tabela1[[#This Row],[Pós Proteína Total (g/dL)]]</f>
        <v>7.4</v>
      </c>
      <c r="AP150" s="85">
        <f>Tabela1[[#This Row],[Pré FE (ug/dL)]]</f>
        <v>68</v>
      </c>
      <c r="AQ150" s="193" t="str">
        <f>Tabela1[[#This Row],[Pós FE (ug/dL)]]</f>
        <v>-</v>
      </c>
      <c r="AR150" s="194">
        <f>Tabela1[[#This Row],[Pré calcio mg/dL]]</f>
        <v>8.5</v>
      </c>
      <c r="AS150" s="125">
        <f>Tabela1[[#This Row],[Pós calcio mg/dL]]</f>
        <v>10.1</v>
      </c>
      <c r="AT150" s="125">
        <f>Tabela1[[#This Row],[Pré Potássio mmol/L]]</f>
        <v>4.4000000000000004</v>
      </c>
      <c r="AU150" s="125">
        <f>Tabela1[[#This Row],[Pós Potássio mmol/L]]</f>
        <v>5.3</v>
      </c>
      <c r="AV150" s="85">
        <f>Tabela1[[#This Row],[Glicose pré]]</f>
        <v>99</v>
      </c>
      <c r="AW150" s="85">
        <f>Tabela1[[#This Row],[Glicose pós]]</f>
        <v>93</v>
      </c>
      <c r="AX150" s="85">
        <f>Tabela1[[#This Row],[Pré Sódio mmol/L]]</f>
        <v>143</v>
      </c>
      <c r="AY150" s="85">
        <f>Tabela1[[#This Row],[Pós Sódio mmol/L]]</f>
        <v>146</v>
      </c>
      <c r="AZ150" s="125">
        <f>Tabela1[[#This Row],[Pré Magnésio mg/dL]]</f>
        <v>1.9</v>
      </c>
      <c r="BA150" s="125">
        <f>Tabela1[[#This Row],[Pós Magnésio mg/dL]]</f>
        <v>2.5</v>
      </c>
      <c r="BB150" s="85">
        <f>Tabela1[[#This Row],[Pré Cloro mmol/L]]</f>
        <v>100</v>
      </c>
      <c r="BC150" s="85">
        <f>Tabela1[[#This Row],[Pós Cloro mmol/L]]</f>
        <v>112</v>
      </c>
      <c r="BD15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301.65566666666672</v>
      </c>
      <c r="BE15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310.35966666666673</v>
      </c>
      <c r="BF150" s="194">
        <f>Tabela1[[#This Row],[Pré RBC 10^6/mm³]]</f>
        <v>4.5199999999999996</v>
      </c>
      <c r="BG150" s="125">
        <f>Tabela1[[#This Row],[Pós RBC 10^6/mm³]]</f>
        <v>4.1100000000000003</v>
      </c>
      <c r="BH150" s="125">
        <f>Tabela1[[#This Row],[Pré HGB g/dL]]</f>
        <v>13.2</v>
      </c>
      <c r="BI150" s="125">
        <f>Tabela1[[#This Row],[Pós HGB g/dL]]</f>
        <v>12.8</v>
      </c>
      <c r="BJ150" s="125">
        <f>Tabela1[[#This Row],[Pré HCT %]]</f>
        <v>42.2</v>
      </c>
      <c r="BK150" s="125">
        <f>Tabela1[[#This Row],[Pós HCT %]]</f>
        <v>38.1</v>
      </c>
      <c r="BL150" s="125">
        <f>Tabela1[[#This Row],[Pré MCV fL]]</f>
        <v>93.4</v>
      </c>
      <c r="BM150" s="125">
        <f>Tabela1[[#This Row],[Pós MCV fL]]</f>
        <v>92.7</v>
      </c>
      <c r="BN150" s="125">
        <f>Tabela1[[#This Row],[Pré MCH pg]]</f>
        <v>29.2</v>
      </c>
      <c r="BO150" s="125">
        <f>Tabela1[[#This Row],[Pós MCH pg]]</f>
        <v>31.1</v>
      </c>
      <c r="BP150" s="125">
        <f>Tabela1[[#This Row],[Pré MCHC g/dL]]</f>
        <v>31.3</v>
      </c>
      <c r="BQ150" s="125">
        <f>Tabela1[[#This Row],[Pós MCHC g/dL]]</f>
        <v>33.6</v>
      </c>
      <c r="BR150" s="85">
        <f>Tabela1[[#This Row],[Pré PLT 10³/mm³]]</f>
        <v>244</v>
      </c>
      <c r="BS150" s="85">
        <f>Tabela1[[#This Row],[Pós PLT 10³/mm³]]</f>
        <v>201</v>
      </c>
      <c r="BT150" s="125">
        <f>Tabela1[[#This Row],[Pré RDW %]]</f>
        <v>13.2</v>
      </c>
      <c r="BU150" s="125">
        <f>Tabela1[[#This Row],[Pós RDW %]]</f>
        <v>11.3</v>
      </c>
      <c r="BV150" s="179">
        <f>Tabela1[[#This Row],[Pré RET %]]</f>
        <v>0.17</v>
      </c>
      <c r="BW150" s="196" t="str">
        <f>Tabela1[[#This Row],[Pós RET %]]</f>
        <v>-</v>
      </c>
      <c r="BX150" s="197">
        <f>Tabela1[[#This Row],[Pré WBC 10³/mm³]]</f>
        <v>5.81</v>
      </c>
      <c r="BY150" s="179">
        <f>Tabela1[[#This Row],[Pós WBC 10³/mm³]]</f>
        <v>5.84</v>
      </c>
      <c r="BZ150" s="125">
        <f>Tabela1[[#This Row],[Pré NEUT %]]</f>
        <v>63.9</v>
      </c>
      <c r="CA150" s="125">
        <f>Tabela1[[#This Row],[Pós NEUT %]]</f>
        <v>67</v>
      </c>
      <c r="CB150" s="125">
        <f>Tabela1[[#This Row],[Pré LINF %]]</f>
        <v>27.9</v>
      </c>
      <c r="CC150" s="125">
        <f>Tabela1[[#This Row],[Pós LINF %]]</f>
        <v>24</v>
      </c>
      <c r="CD150" s="125">
        <f>Tabela1[[#This Row],[Pré MONO %]]</f>
        <v>6.4</v>
      </c>
      <c r="CE150" s="125">
        <f>Tabela1[[#This Row],[Pós MONO %]]</f>
        <v>8</v>
      </c>
      <c r="CF150" s="125">
        <f>Tabela1[[#This Row],[Pré EOS %]]</f>
        <v>1.5</v>
      </c>
      <c r="CG150" s="125">
        <f>Tabela1[[#This Row],[Pós EOS %]]</f>
        <v>1</v>
      </c>
      <c r="CH150" s="125">
        <f>Tabela1[[#This Row],[Pré BASO %]]</f>
        <v>0.3</v>
      </c>
      <c r="CI150" s="198">
        <f>Tabela1[[#This Row],[Pós BASO %]]</f>
        <v>0</v>
      </c>
      <c r="CJ150" s="199" t="str">
        <f t="shared" si="9"/>
        <v>NÃO</v>
      </c>
      <c r="CK150" s="200" t="str">
        <f t="shared" si="10"/>
        <v>SIM</v>
      </c>
      <c r="CL150" s="194">
        <f t="shared" si="11"/>
        <v>72.151949999999999</v>
      </c>
      <c r="CM150" s="125">
        <f>Tabela1[[#This Row],[MCT KG]]</f>
        <v>81.5</v>
      </c>
      <c r="CN150" s="85">
        <f>Tabela1[[#This Row],[ESTATURA]]</f>
        <v>175</v>
      </c>
      <c r="CO150" s="85">
        <f>Tabela1[[#This Row],[vo2max estimado]]</f>
        <v>51.49</v>
      </c>
      <c r="CP150" s="85">
        <f>Tabela1[[#This Row],[Handgrip     Dominante]]</f>
        <v>49.5</v>
      </c>
      <c r="CQ150" s="85">
        <f>Tabela1[[#This Row],[Handgrip Contrário]]</f>
        <v>41</v>
      </c>
      <c r="CR150" s="281">
        <f>Tabela1[[#This Row],[% gordura]]</f>
        <v>11.47</v>
      </c>
    </row>
    <row r="151" spans="1:96" ht="15.75" customHeight="1">
      <c r="A151" s="279">
        <f>Tabela1[[#This Row],[Ano]]</f>
        <v>2018</v>
      </c>
      <c r="B151" s="181" t="str">
        <f>Tabela1[[#This Row],[Missão]]</f>
        <v>Manaus</v>
      </c>
      <c r="C151" s="181">
        <f>Tabela1[[#This Row],[Aluno]]</f>
        <v>3193</v>
      </c>
      <c r="D151" s="181">
        <f>Tabela1[[#This Row],[Idade]]</f>
        <v>29</v>
      </c>
      <c r="E151" s="182">
        <f>Tabela1[[#This Row],[Peso Kg]]</f>
        <v>83</v>
      </c>
      <c r="F151" s="191">
        <f>Tabela1[[#This Row],[Cor da pele]]</f>
        <v>0</v>
      </c>
      <c r="G151" s="192" t="str">
        <f>Tabela1[[#This Row],[ACTN3]]</f>
        <v>-</v>
      </c>
      <c r="H151" s="85" t="str">
        <f>Tabela1[[#This Row],[AGT]]</f>
        <v>-</v>
      </c>
      <c r="I151" s="85" t="str">
        <f>Tabela1[[#This Row],[ECA]]</f>
        <v>-</v>
      </c>
      <c r="J151" s="85" t="str">
        <f>Tabela1[[#This Row],[BDKRB2]]</f>
        <v>-</v>
      </c>
      <c r="K151" s="85" t="str">
        <f>Tabela1[[#This Row],[Score Força%]]</f>
        <v>-</v>
      </c>
      <c r="L151" s="193" t="str">
        <f>Tabela1[[#This Row],[Score Resistência %]]</f>
        <v>-</v>
      </c>
      <c r="M151" s="192">
        <f>Tabela1[[#This Row],[Pré CK (U/L)]]</f>
        <v>83</v>
      </c>
      <c r="N151" s="85">
        <f>Tabela1[[#This Row],[Pós CK (U/L)]]</f>
        <v>916</v>
      </c>
      <c r="O151" s="85">
        <f>Tabela1[[#This Row],[Pré CK MB U/L]]</f>
        <v>3</v>
      </c>
      <c r="P151" s="85">
        <f>Tabela1[[#This Row],[Pós CK MB U/L]]</f>
        <v>8</v>
      </c>
      <c r="Q151" s="85" t="str">
        <f>Tabela1[[#This Row],[Pré Lactato (mmol/L)]]</f>
        <v>-</v>
      </c>
      <c r="R151" s="85" t="str">
        <f>Tabela1[[#This Row],[Pós Lactato (mmol/L)]]</f>
        <v>-</v>
      </c>
      <c r="S151" s="85">
        <f>Tabela1[[#This Row],[Pré LDH (U/L)]]</f>
        <v>334</v>
      </c>
      <c r="T151" s="85">
        <f>Tabela1[[#This Row],[Pós LDH (U/L)]]</f>
        <v>792</v>
      </c>
      <c r="U151" s="85">
        <f>Tabela1[[#This Row],[Pré AST (U/L)]]</f>
        <v>17</v>
      </c>
      <c r="V151" s="193">
        <f>Tabela1[[#This Row],[Pós AST (U/L)]]</f>
        <v>59</v>
      </c>
      <c r="W151" s="194">
        <f>Tabela1[[#This Row],[Pré Albumina (g/dL)]]</f>
        <v>4.5</v>
      </c>
      <c r="X151" s="125">
        <f>Tabela1[[#This Row],[Pós Albumina (g/dL)]]</f>
        <v>3.7</v>
      </c>
      <c r="Y151" s="85">
        <f>Tabela1[[#This Row],[Pré TGP (g/dL)]]</f>
        <v>30</v>
      </c>
      <c r="Z151" s="85">
        <f>Tabela1[[#This Row],[Pós TGP (g/dL)]]</f>
        <v>28</v>
      </c>
      <c r="AA151" s="85">
        <f>Tabela1[[#This Row],[Pré GGT U/L]]</f>
        <v>19</v>
      </c>
      <c r="AB151" s="193">
        <f>Tabela1[[#This Row],[Pós GGT U/L]]</f>
        <v>18</v>
      </c>
      <c r="AC151" s="194">
        <f>Tabela1[[#This Row],[Pré Ac. Úrico (mg/dL)]]</f>
        <v>5.2</v>
      </c>
      <c r="AD151" s="125">
        <f>Tabela1[[#This Row],[Pós Ac. Úrico (mg/dL)2]]</f>
        <v>6.4</v>
      </c>
      <c r="AE15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15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51" s="85">
        <f>Tabela1[[#This Row],[Pré Ureia mg/dL]]</f>
        <v>33</v>
      </c>
      <c r="AH151" s="85">
        <f>Tabela1[[#This Row],[Pós Ureia mg/dL]]</f>
        <v>32</v>
      </c>
      <c r="AI151" s="125">
        <f>Tabela1[[#This Row],[Pré creatinina mg/dL]]</f>
        <v>1.2</v>
      </c>
      <c r="AJ151" s="125">
        <f>Tabela1[[#This Row],[Pós creatinina mg/dL]]</f>
        <v>0.9</v>
      </c>
      <c r="AK151" s="180">
        <f t="shared" si="8"/>
        <v>0</v>
      </c>
      <c r="AL151" s="125">
        <f>Tabela1[[#This Row],[Pré Fósforo mg/dL]]</f>
        <v>4.5999999999999996</v>
      </c>
      <c r="AM151" s="125">
        <f>Tabela1[[#This Row],[Pós Fósforo mg/dL]]</f>
        <v>4.5</v>
      </c>
      <c r="AN151" s="125">
        <f>Tabela1[[#This Row],[Pré Proteína Total (g/dL)]]</f>
        <v>7.5</v>
      </c>
      <c r="AO151" s="125">
        <f>Tabela1[[#This Row],[Pós Proteína Total (g/dL)]]</f>
        <v>6.6</v>
      </c>
      <c r="AP151" s="85">
        <f>Tabela1[[#This Row],[Pré FE (ug/dL)]]</f>
        <v>108</v>
      </c>
      <c r="AQ151" s="193" t="str">
        <f>Tabela1[[#This Row],[Pós FE (ug/dL)]]</f>
        <v>-</v>
      </c>
      <c r="AR151" s="194">
        <f>Tabela1[[#This Row],[Pré calcio mg/dL]]</f>
        <v>8.9</v>
      </c>
      <c r="AS151" s="125">
        <f>Tabela1[[#This Row],[Pós calcio mg/dL]]</f>
        <v>8.9</v>
      </c>
      <c r="AT151" s="125">
        <f>Tabela1[[#This Row],[Pré Potássio mmol/L]]</f>
        <v>5.0999999999999996</v>
      </c>
      <c r="AU151" s="125">
        <f>Tabela1[[#This Row],[Pós Potássio mmol/L]]</f>
        <v>4.3</v>
      </c>
      <c r="AV151" s="85">
        <f>Tabela1[[#This Row],[Glicose pré]]</f>
        <v>96</v>
      </c>
      <c r="AW151" s="85">
        <f>Tabela1[[#This Row],[Glicose pós]]</f>
        <v>92</v>
      </c>
      <c r="AX151" s="85">
        <f>Tabela1[[#This Row],[Pré Sódio mmol/L]]</f>
        <v>149</v>
      </c>
      <c r="AY151" s="85">
        <f>Tabela1[[#This Row],[Pós Sódio mmol/L]]</f>
        <v>138</v>
      </c>
      <c r="AZ151" s="125">
        <f>Tabela1[[#This Row],[Pré Magnésio mg/dL]]</f>
        <v>2.4</v>
      </c>
      <c r="BA151" s="125">
        <f>Tabela1[[#This Row],[Pós Magnésio mg/dL]]</f>
        <v>2.4</v>
      </c>
      <c r="BB151" s="85">
        <f>Tabela1[[#This Row],[Pré Cloro mmol/L]]</f>
        <v>102</v>
      </c>
      <c r="BC151" s="85">
        <f>Tabela1[[#This Row],[Pós Cloro mmol/L]]</f>
        <v>104</v>
      </c>
      <c r="BD15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312.2593333333333</v>
      </c>
      <c r="BE15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289.88911111111116</v>
      </c>
      <c r="BF151" s="194">
        <f>Tabela1[[#This Row],[Pré RBC 10^6/mm³]]</f>
        <v>4.6399999999999997</v>
      </c>
      <c r="BG151" s="125">
        <f>Tabela1[[#This Row],[Pós RBC 10^6/mm³]]</f>
        <v>3.88</v>
      </c>
      <c r="BH151" s="125">
        <f>Tabela1[[#This Row],[Pré HGB g/dL]]</f>
        <v>13.7</v>
      </c>
      <c r="BI151" s="125">
        <f>Tabela1[[#This Row],[Pós HGB g/dL]]</f>
        <v>12.2</v>
      </c>
      <c r="BJ151" s="125">
        <f>Tabela1[[#This Row],[Pré HCT %]]</f>
        <v>42.3</v>
      </c>
      <c r="BK151" s="125">
        <f>Tabela1[[#This Row],[Pós HCT %]]</f>
        <v>35.700000000000003</v>
      </c>
      <c r="BL151" s="125">
        <f>Tabela1[[#This Row],[Pré MCV fL]]</f>
        <v>91.2</v>
      </c>
      <c r="BM151" s="125">
        <f>Tabela1[[#This Row],[Pós MCV fL]]</f>
        <v>92</v>
      </c>
      <c r="BN151" s="125">
        <f>Tabela1[[#This Row],[Pré MCH pg]]</f>
        <v>29.5</v>
      </c>
      <c r="BO151" s="125">
        <f>Tabela1[[#This Row],[Pós MCH pg]]</f>
        <v>31.4</v>
      </c>
      <c r="BP151" s="125">
        <f>Tabela1[[#This Row],[Pré MCHC g/dL]]</f>
        <v>32.4</v>
      </c>
      <c r="BQ151" s="125">
        <f>Tabela1[[#This Row],[Pós MCHC g/dL]]</f>
        <v>34.200000000000003</v>
      </c>
      <c r="BR151" s="85">
        <f>Tabela1[[#This Row],[Pré PLT 10³/mm³]]</f>
        <v>293</v>
      </c>
      <c r="BS151" s="85">
        <f>Tabela1[[#This Row],[Pós PLT 10³/mm³]]</f>
        <v>255</v>
      </c>
      <c r="BT151" s="125">
        <f>Tabela1[[#This Row],[Pré RDW %]]</f>
        <v>12.6</v>
      </c>
      <c r="BU151" s="125">
        <f>Tabela1[[#This Row],[Pós RDW %]]</f>
        <v>11.2</v>
      </c>
      <c r="BV151" s="179">
        <f>Tabela1[[#This Row],[Pré RET %]]</f>
        <v>0.19</v>
      </c>
      <c r="BW151" s="196" t="str">
        <f>Tabela1[[#This Row],[Pós RET %]]</f>
        <v>-</v>
      </c>
      <c r="BX151" s="197">
        <f>Tabela1[[#This Row],[Pré WBC 10³/mm³]]</f>
        <v>6.95</v>
      </c>
      <c r="BY151" s="179">
        <f>Tabela1[[#This Row],[Pós WBC 10³/mm³]]</f>
        <v>7.4</v>
      </c>
      <c r="BZ151" s="125">
        <f>Tabela1[[#This Row],[Pré NEUT %]]</f>
        <v>56.4</v>
      </c>
      <c r="CA151" s="125">
        <f>Tabela1[[#This Row],[Pós NEUT %]]</f>
        <v>67</v>
      </c>
      <c r="CB151" s="125">
        <f>Tabela1[[#This Row],[Pré LINF %]]</f>
        <v>35.1</v>
      </c>
      <c r="CC151" s="125">
        <f>Tabela1[[#This Row],[Pós LINF %]]</f>
        <v>18</v>
      </c>
      <c r="CD151" s="125">
        <f>Tabela1[[#This Row],[Pré MONO %]]</f>
        <v>7.2</v>
      </c>
      <c r="CE151" s="125">
        <f>Tabela1[[#This Row],[Pós MONO %]]</f>
        <v>12</v>
      </c>
      <c r="CF151" s="125">
        <f>Tabela1[[#This Row],[Pré EOS %]]</f>
        <v>1</v>
      </c>
      <c r="CG151" s="125">
        <f>Tabela1[[#This Row],[Pós EOS %]]</f>
        <v>2</v>
      </c>
      <c r="CH151" s="125">
        <f>Tabela1[[#This Row],[Pré BASO %]]</f>
        <v>0.3</v>
      </c>
      <c r="CI151" s="198">
        <f>Tabela1[[#This Row],[Pós BASO %]]</f>
        <v>1</v>
      </c>
      <c r="CJ151" s="199" t="str">
        <f t="shared" si="9"/>
        <v>NÃO</v>
      </c>
      <c r="CK151" s="200" t="str">
        <f t="shared" si="10"/>
        <v>NÃO</v>
      </c>
      <c r="CL151" s="194">
        <f t="shared" si="11"/>
        <v>72.809100000000001</v>
      </c>
      <c r="CM151" s="125">
        <f>Tabela1[[#This Row],[MCT KG]]</f>
        <v>81.900000000000006</v>
      </c>
      <c r="CN151" s="85">
        <f>Tabela1[[#This Row],[ESTATURA]]</f>
        <v>180.5</v>
      </c>
      <c r="CO151" s="85">
        <f>Tabela1[[#This Row],[vo2max estimado]]</f>
        <v>51.93</v>
      </c>
      <c r="CP151" s="85">
        <f>Tabela1[[#This Row],[Handgrip     Dominante]]</f>
        <v>44.5</v>
      </c>
      <c r="CQ151" s="85">
        <f>Tabela1[[#This Row],[Handgrip Contrário]]</f>
        <v>46.5</v>
      </c>
      <c r="CR151" s="281">
        <f>Tabela1[[#This Row],[% gordura]]</f>
        <v>11.1</v>
      </c>
    </row>
    <row r="152" spans="1:96" ht="15.75" customHeight="1">
      <c r="A152" s="279">
        <f>Tabela1[[#This Row],[Ano]]</f>
        <v>2018</v>
      </c>
      <c r="B152" s="181" t="str">
        <f>Tabela1[[#This Row],[Missão]]</f>
        <v>Manaus</v>
      </c>
      <c r="C152" s="181">
        <f>Tabela1[[#This Row],[Aluno]]</f>
        <v>3194</v>
      </c>
      <c r="D152" s="181">
        <f>Tabela1[[#This Row],[Idade]]</f>
        <v>28</v>
      </c>
      <c r="E152" s="182">
        <f>Tabela1[[#This Row],[Peso Kg]]</f>
        <v>81</v>
      </c>
      <c r="F152" s="191">
        <f>Tabela1[[#This Row],[Cor da pele]]</f>
        <v>1</v>
      </c>
      <c r="G152" s="192" t="str">
        <f>Tabela1[[#This Row],[ACTN3]]</f>
        <v>-</v>
      </c>
      <c r="H152" s="85" t="str">
        <f>Tabela1[[#This Row],[AGT]]</f>
        <v>-</v>
      </c>
      <c r="I152" s="85" t="str">
        <f>Tabela1[[#This Row],[ECA]]</f>
        <v>-</v>
      </c>
      <c r="J152" s="85" t="str">
        <f>Tabela1[[#This Row],[BDKRB2]]</f>
        <v>-</v>
      </c>
      <c r="K152" s="85" t="str">
        <f>Tabela1[[#This Row],[Score Força%]]</f>
        <v>-</v>
      </c>
      <c r="L152" s="193" t="str">
        <f>Tabela1[[#This Row],[Score Resistência %]]</f>
        <v>-</v>
      </c>
      <c r="M152" s="192">
        <f>Tabela1[[#This Row],[Pré CK (U/L)]]</f>
        <v>103</v>
      </c>
      <c r="N152" s="85">
        <f>Tabela1[[#This Row],[Pós CK (U/L)]]</f>
        <v>2961</v>
      </c>
      <c r="O152" s="85">
        <f>Tabela1[[#This Row],[Pré CK MB U/L]]</f>
        <v>3</v>
      </c>
      <c r="P152" s="85">
        <f>Tabela1[[#This Row],[Pós CK MB U/L]]</f>
        <v>46</v>
      </c>
      <c r="Q152" s="85" t="str">
        <f>Tabela1[[#This Row],[Pré Lactato (mmol/L)]]</f>
        <v>-</v>
      </c>
      <c r="R152" s="85" t="str">
        <f>Tabela1[[#This Row],[Pós Lactato (mmol/L)]]</f>
        <v>-</v>
      </c>
      <c r="S152" s="85">
        <f>Tabela1[[#This Row],[Pré LDH (U/L)]]</f>
        <v>499</v>
      </c>
      <c r="T152" s="85">
        <f>Tabela1[[#This Row],[Pós LDH (U/L)]]</f>
        <v>1023</v>
      </c>
      <c r="U152" s="85">
        <f>Tabela1[[#This Row],[Pré AST (U/L)]]</f>
        <v>21</v>
      </c>
      <c r="V152" s="193">
        <f>Tabela1[[#This Row],[Pós AST (U/L)]]</f>
        <v>110</v>
      </c>
      <c r="W152" s="194">
        <f>Tabela1[[#This Row],[Pré Albumina (g/dL)]]</f>
        <v>4.7</v>
      </c>
      <c r="X152" s="125">
        <f>Tabela1[[#This Row],[Pós Albumina (g/dL)]]</f>
        <v>3.7</v>
      </c>
      <c r="Y152" s="85">
        <f>Tabela1[[#This Row],[Pré TGP (g/dL)]]</f>
        <v>21</v>
      </c>
      <c r="Z152" s="85">
        <f>Tabela1[[#This Row],[Pós TGP (g/dL)]]</f>
        <v>30</v>
      </c>
      <c r="AA152" s="85">
        <f>Tabela1[[#This Row],[Pré GGT U/L]]</f>
        <v>14</v>
      </c>
      <c r="AB152" s="193">
        <f>Tabela1[[#This Row],[Pós GGT U/L]]</f>
        <v>16</v>
      </c>
      <c r="AC152" s="194">
        <f>Tabela1[[#This Row],[Pré Ac. Úrico (mg/dL)]]</f>
        <v>4.0999999999999996</v>
      </c>
      <c r="AD152" s="125">
        <f>Tabela1[[#This Row],[Pós Ac. Úrico (mg/dL)2]]</f>
        <v>6.3</v>
      </c>
      <c r="AE15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5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52" s="85">
        <f>Tabela1[[#This Row],[Pré Ureia mg/dL]]</f>
        <v>33</v>
      </c>
      <c r="AH152" s="85">
        <f>Tabela1[[#This Row],[Pós Ureia mg/dL]]</f>
        <v>38</v>
      </c>
      <c r="AI152" s="125">
        <f>Tabela1[[#This Row],[Pré creatinina mg/dL]]</f>
        <v>1</v>
      </c>
      <c r="AJ152" s="125">
        <f>Tabela1[[#This Row],[Pós creatinina mg/dL]]</f>
        <v>0.9</v>
      </c>
      <c r="AK152" s="180">
        <f t="shared" si="8"/>
        <v>0</v>
      </c>
      <c r="AL152" s="125">
        <f>Tabela1[[#This Row],[Pré Fósforo mg/dL]]</f>
        <v>4.3</v>
      </c>
      <c r="AM152" s="125">
        <f>Tabela1[[#This Row],[Pós Fósforo mg/dL]]</f>
        <v>4</v>
      </c>
      <c r="AN152" s="125">
        <f>Tabela1[[#This Row],[Pré Proteína Total (g/dL)]]</f>
        <v>8</v>
      </c>
      <c r="AO152" s="125">
        <f>Tabela1[[#This Row],[Pós Proteína Total (g/dL)]]</f>
        <v>6.8</v>
      </c>
      <c r="AP152" s="85">
        <f>Tabela1[[#This Row],[Pré FE (ug/dL)]]</f>
        <v>99</v>
      </c>
      <c r="AQ152" s="193" t="str">
        <f>Tabela1[[#This Row],[Pós FE (ug/dL)]]</f>
        <v>-</v>
      </c>
      <c r="AR152" s="194">
        <f>Tabela1[[#This Row],[Pré calcio mg/dL]]</f>
        <v>8.9</v>
      </c>
      <c r="AS152" s="125">
        <f>Tabela1[[#This Row],[Pós calcio mg/dL]]</f>
        <v>9.1999999999999993</v>
      </c>
      <c r="AT152" s="125">
        <f>Tabela1[[#This Row],[Pré Potássio mmol/L]]</f>
        <v>4.8</v>
      </c>
      <c r="AU152" s="125">
        <f>Tabela1[[#This Row],[Pós Potássio mmol/L]]</f>
        <v>4.7</v>
      </c>
      <c r="AV152" s="85">
        <f>Tabela1[[#This Row],[Glicose pré]]</f>
        <v>122</v>
      </c>
      <c r="AW152" s="85">
        <f>Tabela1[[#This Row],[Glicose pós]]</f>
        <v>102</v>
      </c>
      <c r="AX152" s="85">
        <f>Tabela1[[#This Row],[Pré Sódio mmol/L]]</f>
        <v>143</v>
      </c>
      <c r="AY152" s="85">
        <f>Tabela1[[#This Row],[Pós Sódio mmol/L]]</f>
        <v>137</v>
      </c>
      <c r="AZ152" s="125">
        <f>Tabela1[[#This Row],[Pré Magnésio mg/dL]]</f>
        <v>2</v>
      </c>
      <c r="BA152" s="125">
        <f>Tabela1[[#This Row],[Pós Magnésio mg/dL]]</f>
        <v>2.2999999999999998</v>
      </c>
      <c r="BB152" s="85">
        <f>Tabela1[[#This Row],[Pré Cloro mmol/L]]</f>
        <v>100</v>
      </c>
      <c r="BC152" s="85">
        <f>Tabela1[[#This Row],[Pós Cloro mmol/L]]</f>
        <v>103</v>
      </c>
      <c r="BD15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302.20244444444444</v>
      </c>
      <c r="BE15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290.41199999999998</v>
      </c>
      <c r="BF152" s="194">
        <f>Tabela1[[#This Row],[Pré RBC 10^6/mm³]]</f>
        <v>5.21</v>
      </c>
      <c r="BG152" s="125">
        <f>Tabela1[[#This Row],[Pós RBC 10^6/mm³]]</f>
        <v>4.08</v>
      </c>
      <c r="BH152" s="125">
        <f>Tabela1[[#This Row],[Pré HGB g/dL]]</f>
        <v>15.2</v>
      </c>
      <c r="BI152" s="125">
        <f>Tabela1[[#This Row],[Pós HGB g/dL]]</f>
        <v>12.1</v>
      </c>
      <c r="BJ152" s="125">
        <f>Tabela1[[#This Row],[Pré HCT %]]</f>
        <v>46.1</v>
      </c>
      <c r="BK152" s="125">
        <f>Tabela1[[#This Row],[Pós HCT %]]</f>
        <v>36.6</v>
      </c>
      <c r="BL152" s="125">
        <f>Tabela1[[#This Row],[Pré MCV fL]]</f>
        <v>88.5</v>
      </c>
      <c r="BM152" s="125">
        <f>Tabela1[[#This Row],[Pós MCV fL]]</f>
        <v>89.7</v>
      </c>
      <c r="BN152" s="125">
        <f>Tabela1[[#This Row],[Pré MCH pg]]</f>
        <v>29.2</v>
      </c>
      <c r="BO152" s="125">
        <f>Tabela1[[#This Row],[Pós MCH pg]]</f>
        <v>29.7</v>
      </c>
      <c r="BP152" s="125">
        <f>Tabela1[[#This Row],[Pré MCHC g/dL]]</f>
        <v>33</v>
      </c>
      <c r="BQ152" s="125">
        <f>Tabela1[[#This Row],[Pós MCHC g/dL]]</f>
        <v>33.1</v>
      </c>
      <c r="BR152" s="85">
        <f>Tabela1[[#This Row],[Pré PLT 10³/mm³]]</f>
        <v>236</v>
      </c>
      <c r="BS152" s="85">
        <f>Tabela1[[#This Row],[Pós PLT 10³/mm³]]</f>
        <v>319</v>
      </c>
      <c r="BT152" s="125">
        <f>Tabela1[[#This Row],[Pré RDW %]]</f>
        <v>12.8</v>
      </c>
      <c r="BU152" s="125">
        <f>Tabela1[[#This Row],[Pós RDW %]]</f>
        <v>12.7</v>
      </c>
      <c r="BV152" s="179">
        <f>Tabela1[[#This Row],[Pré RET %]]</f>
        <v>0.25</v>
      </c>
      <c r="BW152" s="196" t="str">
        <f>Tabela1[[#This Row],[Pós RET %]]</f>
        <v>-</v>
      </c>
      <c r="BX152" s="197">
        <f>Tabela1[[#This Row],[Pré WBC 10³/mm³]]</f>
        <v>4.97</v>
      </c>
      <c r="BY152" s="179">
        <f>Tabela1[[#This Row],[Pós WBC 10³/mm³]]</f>
        <v>4.75</v>
      </c>
      <c r="BZ152" s="125">
        <f>Tabela1[[#This Row],[Pré NEUT %]]</f>
        <v>56.5</v>
      </c>
      <c r="CA152" s="125">
        <f>Tabela1[[#This Row],[Pós NEUT %]]</f>
        <v>54</v>
      </c>
      <c r="CB152" s="125">
        <f>Tabela1[[#This Row],[Pré LINF %]]</f>
        <v>32.799999999999997</v>
      </c>
      <c r="CC152" s="125">
        <f>Tabela1[[#This Row],[Pós LINF %]]</f>
        <v>31</v>
      </c>
      <c r="CD152" s="125">
        <f>Tabela1[[#This Row],[Pré MONO %]]</f>
        <v>9.1</v>
      </c>
      <c r="CE152" s="125">
        <f>Tabela1[[#This Row],[Pós MONO %]]</f>
        <v>13</v>
      </c>
      <c r="CF152" s="125">
        <f>Tabela1[[#This Row],[Pré EOS %]]</f>
        <v>1.2</v>
      </c>
      <c r="CG152" s="125">
        <f>Tabela1[[#This Row],[Pós EOS %]]</f>
        <v>2</v>
      </c>
      <c r="CH152" s="125">
        <f>Tabela1[[#This Row],[Pré BASO %]]</f>
        <v>0.4</v>
      </c>
      <c r="CI152" s="198">
        <f>Tabela1[[#This Row],[Pós BASO %]]</f>
        <v>0</v>
      </c>
      <c r="CJ152" s="199" t="str">
        <f t="shared" si="9"/>
        <v>NÃO</v>
      </c>
      <c r="CK152" s="200" t="str">
        <f t="shared" si="10"/>
        <v>SIM</v>
      </c>
      <c r="CL152" s="194">
        <f t="shared" si="11"/>
        <v>71.943809999999999</v>
      </c>
      <c r="CM152" s="125">
        <f>Tabela1[[#This Row],[MCT KG]]</f>
        <v>81.099999999999994</v>
      </c>
      <c r="CN152" s="85">
        <f>Tabela1[[#This Row],[ESTATURA]]</f>
        <v>178</v>
      </c>
      <c r="CO152" s="85">
        <f>Tabela1[[#This Row],[vo2max estimado]]</f>
        <v>51.6</v>
      </c>
      <c r="CP152" s="85">
        <f>Tabela1[[#This Row],[Handgrip     Dominante]]</f>
        <v>45.5</v>
      </c>
      <c r="CQ152" s="85">
        <f>Tabela1[[#This Row],[Handgrip Contrário]]</f>
        <v>43</v>
      </c>
      <c r="CR152" s="281">
        <f>Tabela1[[#This Row],[% gordura]]</f>
        <v>11.29</v>
      </c>
    </row>
    <row r="153" spans="1:96" ht="15.75" customHeight="1">
      <c r="A153" s="279">
        <f>Tabela1[[#This Row],[Ano]]</f>
        <v>2018</v>
      </c>
      <c r="B153" s="181" t="str">
        <f>Tabela1[[#This Row],[Missão]]</f>
        <v>Manaus</v>
      </c>
      <c r="C153" s="181">
        <f>Tabela1[[#This Row],[Aluno]]</f>
        <v>3195</v>
      </c>
      <c r="D153" s="181">
        <f>Tabela1[[#This Row],[Idade]]</f>
        <v>26</v>
      </c>
      <c r="E153" s="182">
        <f>Tabela1[[#This Row],[Peso Kg]]</f>
        <v>68</v>
      </c>
      <c r="F153" s="191">
        <f>Tabela1[[#This Row],[Cor da pele]]</f>
        <v>1</v>
      </c>
      <c r="G153" s="192" t="str">
        <f>Tabela1[[#This Row],[ACTN3]]</f>
        <v>-</v>
      </c>
      <c r="H153" s="85" t="str">
        <f>Tabela1[[#This Row],[AGT]]</f>
        <v>-</v>
      </c>
      <c r="I153" s="85" t="str">
        <f>Tabela1[[#This Row],[ECA]]</f>
        <v>-</v>
      </c>
      <c r="J153" s="85" t="str">
        <f>Tabela1[[#This Row],[BDKRB2]]</f>
        <v>-</v>
      </c>
      <c r="K153" s="85" t="str">
        <f>Tabela1[[#This Row],[Score Força%]]</f>
        <v>-</v>
      </c>
      <c r="L153" s="193" t="str">
        <f>Tabela1[[#This Row],[Score Resistência %]]</f>
        <v>-</v>
      </c>
      <c r="M153" s="192">
        <f>Tabela1[[#This Row],[Pré CK (U/L)]]</f>
        <v>100</v>
      </c>
      <c r="N153" s="85">
        <f>Tabela1[[#This Row],[Pós CK (U/L)]]</f>
        <v>1211</v>
      </c>
      <c r="O153" s="85">
        <f>Tabela1[[#This Row],[Pré CK MB U/L]]</f>
        <v>3</v>
      </c>
      <c r="P153" s="85">
        <f>Tabela1[[#This Row],[Pós CK MB U/L]]</f>
        <v>26</v>
      </c>
      <c r="Q153" s="85" t="str">
        <f>Tabela1[[#This Row],[Pré Lactato (mmol/L)]]</f>
        <v>-</v>
      </c>
      <c r="R153" s="85" t="str">
        <f>Tabela1[[#This Row],[Pós Lactato (mmol/L)]]</f>
        <v>-</v>
      </c>
      <c r="S153" s="85">
        <f>Tabela1[[#This Row],[Pré LDH (U/L)]]</f>
        <v>441</v>
      </c>
      <c r="T153" s="85">
        <f>Tabela1[[#This Row],[Pós LDH (U/L)]]</f>
        <v>1039</v>
      </c>
      <c r="U153" s="85">
        <f>Tabela1[[#This Row],[Pré AST (U/L)]]</f>
        <v>23</v>
      </c>
      <c r="V153" s="193">
        <f>Tabela1[[#This Row],[Pós AST (U/L)]]</f>
        <v>77</v>
      </c>
      <c r="W153" s="194">
        <f>Tabela1[[#This Row],[Pré Albumina (g/dL)]]</f>
        <v>5.0999999999999996</v>
      </c>
      <c r="X153" s="125">
        <f>Tabela1[[#This Row],[Pós Albumina (g/dL)]]</f>
        <v>4.5</v>
      </c>
      <c r="Y153" s="85">
        <f>Tabela1[[#This Row],[Pré TGP (g/dL)]]</f>
        <v>37</v>
      </c>
      <c r="Z153" s="85">
        <f>Tabela1[[#This Row],[Pós TGP (g/dL)]]</f>
        <v>27</v>
      </c>
      <c r="AA153" s="85">
        <f>Tabela1[[#This Row],[Pré GGT U/L]]</f>
        <v>19</v>
      </c>
      <c r="AB153" s="193">
        <f>Tabela1[[#This Row],[Pós GGT U/L]]</f>
        <v>20</v>
      </c>
      <c r="AC153" s="194">
        <f>Tabela1[[#This Row],[Pré Ac. Úrico (mg/dL)]]</f>
        <v>4.2</v>
      </c>
      <c r="AD153" s="125">
        <f>Tabela1[[#This Row],[Pós Ac. Úrico (mg/dL)2]]</f>
        <v>6.2</v>
      </c>
      <c r="AE15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15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153" s="85">
        <f>Tabela1[[#This Row],[Pré Ureia mg/dL]]</f>
        <v>28</v>
      </c>
      <c r="AH153" s="85">
        <f>Tabela1[[#This Row],[Pós Ureia mg/dL]]</f>
        <v>50</v>
      </c>
      <c r="AI153" s="125">
        <f>Tabela1[[#This Row],[Pré creatinina mg/dL]]</f>
        <v>0.8</v>
      </c>
      <c r="AJ153" s="125">
        <f>Tabela1[[#This Row],[Pós creatinina mg/dL]]</f>
        <v>0.8</v>
      </c>
      <c r="AK153" s="180">
        <f t="shared" si="8"/>
        <v>0</v>
      </c>
      <c r="AL153" s="125">
        <f>Tabela1[[#This Row],[Pré Fósforo mg/dL]]</f>
        <v>4.5</v>
      </c>
      <c r="AM153" s="125">
        <f>Tabela1[[#This Row],[Pós Fósforo mg/dL]]</f>
        <v>4.4000000000000004</v>
      </c>
      <c r="AN153" s="125">
        <f>Tabela1[[#This Row],[Pré Proteína Total (g/dL)]]</f>
        <v>8.1999999999999993</v>
      </c>
      <c r="AO153" s="125">
        <f>Tabela1[[#This Row],[Pós Proteína Total (g/dL)]]</f>
        <v>7.6</v>
      </c>
      <c r="AP153" s="85">
        <f>Tabela1[[#This Row],[Pré FE (ug/dL)]]</f>
        <v>110</v>
      </c>
      <c r="AQ153" s="193" t="str">
        <f>Tabela1[[#This Row],[Pós FE (ug/dL)]]</f>
        <v>-</v>
      </c>
      <c r="AR153" s="194">
        <f>Tabela1[[#This Row],[Pré calcio mg/dL]]</f>
        <v>9.1999999999999993</v>
      </c>
      <c r="AS153" s="125">
        <f>Tabela1[[#This Row],[Pós calcio mg/dL]]</f>
        <v>9.8000000000000007</v>
      </c>
      <c r="AT153" s="125">
        <f>Tabela1[[#This Row],[Pré Potássio mmol/L]]</f>
        <v>4.2</v>
      </c>
      <c r="AU153" s="125">
        <f>Tabela1[[#This Row],[Pós Potássio mmol/L]]</f>
        <v>4.5999999999999996</v>
      </c>
      <c r="AV153" s="85">
        <f>Tabela1[[#This Row],[Glicose pré]]</f>
        <v>90</v>
      </c>
      <c r="AW153" s="85">
        <f>Tabela1[[#This Row],[Glicose pós]]</f>
        <v>93</v>
      </c>
      <c r="AX153" s="85">
        <f>Tabela1[[#This Row],[Pré Sódio mmol/L]]</f>
        <v>145</v>
      </c>
      <c r="AY153" s="85">
        <f>Tabela1[[#This Row],[Pós Sódio mmol/L]]</f>
        <v>138</v>
      </c>
      <c r="AZ153" s="125">
        <f>Tabela1[[#This Row],[Pré Magnésio mg/dL]]</f>
        <v>2.1</v>
      </c>
      <c r="BA153" s="125">
        <f>Tabela1[[#This Row],[Pós Magnésio mg/dL]]</f>
        <v>2.4</v>
      </c>
      <c r="BB153" s="85">
        <f>Tabela1[[#This Row],[Pré Cloro mmol/L]]</f>
        <v>98</v>
      </c>
      <c r="BC153" s="85">
        <f>Tabela1[[#This Row],[Pós Cloro mmol/L]]</f>
        <v>102</v>
      </c>
      <c r="BD15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301.92866666666669</v>
      </c>
      <c r="BE15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293.51099999999997</v>
      </c>
      <c r="BF153" s="194">
        <f>Tabela1[[#This Row],[Pré RBC 10^6/mm³]]</f>
        <v>5.1100000000000003</v>
      </c>
      <c r="BG153" s="125">
        <f>Tabela1[[#This Row],[Pós RBC 10^6/mm³]]</f>
        <v>4.22</v>
      </c>
      <c r="BH153" s="125">
        <f>Tabela1[[#This Row],[Pré HGB g/dL]]</f>
        <v>15.5</v>
      </c>
      <c r="BI153" s="125">
        <f>Tabela1[[#This Row],[Pós HGB g/dL]]</f>
        <v>13.8</v>
      </c>
      <c r="BJ153" s="125">
        <f>Tabela1[[#This Row],[Pré HCT %]]</f>
        <v>48.1</v>
      </c>
      <c r="BK153" s="125">
        <f>Tabela1[[#This Row],[Pós HCT %]]</f>
        <v>39.5</v>
      </c>
      <c r="BL153" s="125">
        <f>Tabela1[[#This Row],[Pré MCV fL]]</f>
        <v>94.1</v>
      </c>
      <c r="BM153" s="125">
        <f>Tabela1[[#This Row],[Pós MCV fL]]</f>
        <v>93.6</v>
      </c>
      <c r="BN153" s="125">
        <f>Tabela1[[#This Row],[Pré MCH pg]]</f>
        <v>30.3</v>
      </c>
      <c r="BO153" s="125">
        <f>Tabela1[[#This Row],[Pós MCH pg]]</f>
        <v>32.700000000000003</v>
      </c>
      <c r="BP153" s="125">
        <f>Tabela1[[#This Row],[Pré MCHC g/dL]]</f>
        <v>32.200000000000003</v>
      </c>
      <c r="BQ153" s="125">
        <f>Tabela1[[#This Row],[Pós MCHC g/dL]]</f>
        <v>34.9</v>
      </c>
      <c r="BR153" s="85">
        <f>Tabela1[[#This Row],[Pré PLT 10³/mm³]]</f>
        <v>222</v>
      </c>
      <c r="BS153" s="85">
        <f>Tabela1[[#This Row],[Pós PLT 10³/mm³]]</f>
        <v>240</v>
      </c>
      <c r="BT153" s="125">
        <f>Tabela1[[#This Row],[Pré RDW %]]</f>
        <v>12.7</v>
      </c>
      <c r="BU153" s="125">
        <f>Tabela1[[#This Row],[Pós RDW %]]</f>
        <v>13</v>
      </c>
      <c r="BV153" s="179">
        <f>Tabela1[[#This Row],[Pré RET %]]</f>
        <v>0.37</v>
      </c>
      <c r="BW153" s="196" t="str">
        <f>Tabela1[[#This Row],[Pós RET %]]</f>
        <v>-</v>
      </c>
      <c r="BX153" s="197">
        <f>Tabela1[[#This Row],[Pré WBC 10³/mm³]]</f>
        <v>7</v>
      </c>
      <c r="BY153" s="179">
        <f>Tabela1[[#This Row],[Pós WBC 10³/mm³]]</f>
        <v>6.99</v>
      </c>
      <c r="BZ153" s="125">
        <f>Tabela1[[#This Row],[Pré NEUT %]]</f>
        <v>57.3</v>
      </c>
      <c r="CA153" s="125">
        <f>Tabela1[[#This Row],[Pós NEUT %]]</f>
        <v>59</v>
      </c>
      <c r="CB153" s="125">
        <f>Tabela1[[#This Row],[Pré LINF %]]</f>
        <v>30.1</v>
      </c>
      <c r="CC153" s="125">
        <f>Tabela1[[#This Row],[Pós LINF %]]</f>
        <v>26</v>
      </c>
      <c r="CD153" s="125">
        <f>Tabela1[[#This Row],[Pré MONO %]]</f>
        <v>10.6</v>
      </c>
      <c r="CE153" s="125">
        <f>Tabela1[[#This Row],[Pós MONO %]]</f>
        <v>12</v>
      </c>
      <c r="CF153" s="125">
        <f>Tabela1[[#This Row],[Pré EOS %]]</f>
        <v>1.6</v>
      </c>
      <c r="CG153" s="125">
        <f>Tabela1[[#This Row],[Pós EOS %]]</f>
        <v>2</v>
      </c>
      <c r="CH153" s="125">
        <f>Tabela1[[#This Row],[Pré BASO %]]</f>
        <v>0.4</v>
      </c>
      <c r="CI153" s="198">
        <f>Tabela1[[#This Row],[Pós BASO %]]</f>
        <v>1</v>
      </c>
      <c r="CJ153" s="199" t="str">
        <f t="shared" si="9"/>
        <v>NÃO</v>
      </c>
      <c r="CK153" s="200" t="str">
        <f t="shared" si="10"/>
        <v>SIM</v>
      </c>
      <c r="CL153" s="194">
        <f t="shared" si="11"/>
        <v>62.5396</v>
      </c>
      <c r="CM153" s="125">
        <f>Tabela1[[#This Row],[MCT KG]]</f>
        <v>68</v>
      </c>
      <c r="CN153" s="85">
        <f>Tabela1[[#This Row],[ESTATURA]]</f>
        <v>173</v>
      </c>
      <c r="CO153" s="85">
        <f>Tabela1[[#This Row],[vo2max estimado]]</f>
        <v>55.9</v>
      </c>
      <c r="CP153" s="85">
        <f>Tabela1[[#This Row],[Handgrip     Dominante]]</f>
        <v>39</v>
      </c>
      <c r="CQ153" s="85">
        <f>Tabela1[[#This Row],[Handgrip Contrário]]</f>
        <v>39</v>
      </c>
      <c r="CR153" s="281">
        <f>Tabela1[[#This Row],[% gordura]]</f>
        <v>8.0299999999999994</v>
      </c>
    </row>
    <row r="154" spans="1:96" ht="15.75" customHeight="1">
      <c r="A154" s="279">
        <f>Tabela1[[#This Row],[Ano]]</f>
        <v>2018</v>
      </c>
      <c r="B154" s="181" t="str">
        <f>Tabela1[[#This Row],[Missão]]</f>
        <v>Manaus</v>
      </c>
      <c r="C154" s="181">
        <f>Tabela1[[#This Row],[Aluno]]</f>
        <v>3196</v>
      </c>
      <c r="D154" s="181">
        <f>Tabela1[[#This Row],[Idade]]</f>
        <v>27</v>
      </c>
      <c r="E154" s="182">
        <f>Tabela1[[#This Row],[Peso Kg]]</f>
        <v>80</v>
      </c>
      <c r="F154" s="191">
        <f>Tabela1[[#This Row],[Cor da pele]]</f>
        <v>1</v>
      </c>
      <c r="G154" s="192" t="str">
        <f>Tabela1[[#This Row],[ACTN3]]</f>
        <v>-</v>
      </c>
      <c r="H154" s="85" t="str">
        <f>Tabela1[[#This Row],[AGT]]</f>
        <v>-</v>
      </c>
      <c r="I154" s="85" t="str">
        <f>Tabela1[[#This Row],[ECA]]</f>
        <v>-</v>
      </c>
      <c r="J154" s="85" t="str">
        <f>Tabela1[[#This Row],[BDKRB2]]</f>
        <v>-</v>
      </c>
      <c r="K154" s="85" t="str">
        <f>Tabela1[[#This Row],[Score Força%]]</f>
        <v>-</v>
      </c>
      <c r="L154" s="193" t="str">
        <f>Tabela1[[#This Row],[Score Resistência %]]</f>
        <v>-</v>
      </c>
      <c r="M154" s="192">
        <f>Tabela1[[#This Row],[Pré CK (U/L)]]</f>
        <v>215</v>
      </c>
      <c r="N154" s="85">
        <f>Tabela1[[#This Row],[Pós CK (U/L)]]</f>
        <v>6479</v>
      </c>
      <c r="O154" s="85">
        <f>Tabela1[[#This Row],[Pré CK MB U/L]]</f>
        <v>3</v>
      </c>
      <c r="P154" s="85">
        <f>Tabela1[[#This Row],[Pós CK MB U/L]]</f>
        <v>23</v>
      </c>
      <c r="Q154" s="85" t="str">
        <f>Tabela1[[#This Row],[Pré Lactato (mmol/L)]]</f>
        <v>-</v>
      </c>
      <c r="R154" s="85" t="str">
        <f>Tabela1[[#This Row],[Pós Lactato (mmol/L)]]</f>
        <v>-</v>
      </c>
      <c r="S154" s="85">
        <f>Tabela1[[#This Row],[Pré LDH (U/L)]]</f>
        <v>607</v>
      </c>
      <c r="T154" s="85">
        <f>Tabela1[[#This Row],[Pós LDH (U/L)]]</f>
        <v>862</v>
      </c>
      <c r="U154" s="85">
        <f>Tabela1[[#This Row],[Pré AST (U/L)]]</f>
        <v>23</v>
      </c>
      <c r="V154" s="193">
        <f>Tabela1[[#This Row],[Pós AST (U/L)]]</f>
        <v>82</v>
      </c>
      <c r="W154" s="194">
        <f>Tabela1[[#This Row],[Pré Albumina (g/dL)]]</f>
        <v>4.5999999999999996</v>
      </c>
      <c r="X154" s="125">
        <f>Tabela1[[#This Row],[Pós Albumina (g/dL)]]</f>
        <v>3.8</v>
      </c>
      <c r="Y154" s="85">
        <f>Tabela1[[#This Row],[Pré TGP (g/dL)]]</f>
        <v>27</v>
      </c>
      <c r="Z154" s="85">
        <f>Tabela1[[#This Row],[Pós TGP (g/dL)]]</f>
        <v>29</v>
      </c>
      <c r="AA154" s="85">
        <f>Tabela1[[#This Row],[Pré GGT U/L]]</f>
        <v>25</v>
      </c>
      <c r="AB154" s="193">
        <f>Tabela1[[#This Row],[Pós GGT U/L]]</f>
        <v>21</v>
      </c>
      <c r="AC154" s="194">
        <f>Tabela1[[#This Row],[Pré Ac. Úrico (mg/dL)]]</f>
        <v>5.7</v>
      </c>
      <c r="AD154" s="125">
        <f>Tabela1[[#This Row],[Pós Ac. Úrico (mg/dL)2]]</f>
        <v>7.9</v>
      </c>
      <c r="AE15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5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54" s="85">
        <f>Tabela1[[#This Row],[Pré Ureia mg/dL]]</f>
        <v>31</v>
      </c>
      <c r="AH154" s="85">
        <f>Tabela1[[#This Row],[Pós Ureia mg/dL]]</f>
        <v>51</v>
      </c>
      <c r="AI154" s="125">
        <f>Tabela1[[#This Row],[Pré creatinina mg/dL]]</f>
        <v>1.1000000000000001</v>
      </c>
      <c r="AJ154" s="125">
        <f>Tabela1[[#This Row],[Pós creatinina mg/dL]]</f>
        <v>1.1000000000000001</v>
      </c>
      <c r="AK154" s="180">
        <f t="shared" si="8"/>
        <v>0</v>
      </c>
      <c r="AL154" s="125">
        <f>Tabela1[[#This Row],[Pré Fósforo mg/dL]]</f>
        <v>4.0999999999999996</v>
      </c>
      <c r="AM154" s="125">
        <f>Tabela1[[#This Row],[Pós Fósforo mg/dL]]</f>
        <v>3.9</v>
      </c>
      <c r="AN154" s="125">
        <f>Tabela1[[#This Row],[Pré Proteína Total (g/dL)]]</f>
        <v>7.8</v>
      </c>
      <c r="AO154" s="125">
        <f>Tabela1[[#This Row],[Pós Proteína Total (g/dL)]]</f>
        <v>6.8</v>
      </c>
      <c r="AP154" s="85">
        <f>Tabela1[[#This Row],[Pré FE (ug/dL)]]</f>
        <v>82</v>
      </c>
      <c r="AQ154" s="193" t="str">
        <f>Tabela1[[#This Row],[Pós FE (ug/dL)]]</f>
        <v>-</v>
      </c>
      <c r="AR154" s="194">
        <f>Tabela1[[#This Row],[Pré calcio mg/dL]]</f>
        <v>8.4</v>
      </c>
      <c r="AS154" s="125">
        <f>Tabela1[[#This Row],[Pós calcio mg/dL]]</f>
        <v>9.1999999999999993</v>
      </c>
      <c r="AT154" s="125">
        <f>Tabela1[[#This Row],[Pré Potássio mmol/L]]</f>
        <v>4.5</v>
      </c>
      <c r="AU154" s="125">
        <f>Tabela1[[#This Row],[Pós Potássio mmol/L]]</f>
        <v>4.5</v>
      </c>
      <c r="AV154" s="85">
        <f>Tabela1[[#This Row],[Glicose pré]]</f>
        <v>95</v>
      </c>
      <c r="AW154" s="85">
        <f>Tabela1[[#This Row],[Glicose pós]]</f>
        <v>91</v>
      </c>
      <c r="AX154" s="85">
        <f>Tabela1[[#This Row],[Pré Sódio mmol/L]]</f>
        <v>144</v>
      </c>
      <c r="AY154" s="85">
        <f>Tabela1[[#This Row],[Pós Sódio mmol/L]]</f>
        <v>137</v>
      </c>
      <c r="AZ154" s="125">
        <f>Tabela1[[#This Row],[Pré Magnésio mg/dL]]</f>
        <v>2.1</v>
      </c>
      <c r="BA154" s="125">
        <f>Tabela1[[#This Row],[Pós Magnésio mg/dL]]</f>
        <v>2.2000000000000002</v>
      </c>
      <c r="BB154" s="85">
        <f>Tabela1[[#This Row],[Pré Cloro mmol/L]]</f>
        <v>101</v>
      </c>
      <c r="BC154" s="85">
        <f>Tabela1[[#This Row],[Pós Cloro mmol/L]]</f>
        <v>103</v>
      </c>
      <c r="BD15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301.44611111111118</v>
      </c>
      <c r="BE15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291.50388888888887</v>
      </c>
      <c r="BF154" s="194">
        <f>Tabela1[[#This Row],[Pré RBC 10^6/mm³]]</f>
        <v>5.43</v>
      </c>
      <c r="BG154" s="125">
        <f>Tabela1[[#This Row],[Pós RBC 10^6/mm³]]</f>
        <v>4.5599999999999996</v>
      </c>
      <c r="BH154" s="125">
        <f>Tabela1[[#This Row],[Pré HGB g/dL]]</f>
        <v>14.8</v>
      </c>
      <c r="BI154" s="125">
        <f>Tabela1[[#This Row],[Pós HGB g/dL]]</f>
        <v>13.1</v>
      </c>
      <c r="BJ154" s="125">
        <f>Tabela1[[#This Row],[Pré HCT %]]</f>
        <v>45.7</v>
      </c>
      <c r="BK154" s="125">
        <f>Tabela1[[#This Row],[Pós HCT %]]</f>
        <v>38.9</v>
      </c>
      <c r="BL154" s="125">
        <f>Tabela1[[#This Row],[Pré MCV fL]]</f>
        <v>84.2</v>
      </c>
      <c r="BM154" s="125">
        <f>Tabela1[[#This Row],[Pós MCV fL]]</f>
        <v>85.3</v>
      </c>
      <c r="BN154" s="125">
        <f>Tabela1[[#This Row],[Pré MCH pg]]</f>
        <v>27.3</v>
      </c>
      <c r="BO154" s="125">
        <f>Tabela1[[#This Row],[Pós MCH pg]]</f>
        <v>28.7</v>
      </c>
      <c r="BP154" s="125">
        <f>Tabela1[[#This Row],[Pré MCHC g/dL]]</f>
        <v>32.4</v>
      </c>
      <c r="BQ154" s="125">
        <f>Tabela1[[#This Row],[Pós MCHC g/dL]]</f>
        <v>33.700000000000003</v>
      </c>
      <c r="BR154" s="85">
        <f>Tabela1[[#This Row],[Pré PLT 10³/mm³]]</f>
        <v>262</v>
      </c>
      <c r="BS154" s="85">
        <f>Tabela1[[#This Row],[Pós PLT 10³/mm³]]</f>
        <v>225</v>
      </c>
      <c r="BT154" s="125">
        <f>Tabela1[[#This Row],[Pré RDW %]]</f>
        <v>12.7</v>
      </c>
      <c r="BU154" s="125">
        <f>Tabela1[[#This Row],[Pós RDW %]]</f>
        <v>12.1</v>
      </c>
      <c r="BV154" s="179">
        <f>Tabela1[[#This Row],[Pré RET %]]</f>
        <v>1.22</v>
      </c>
      <c r="BW154" s="196" t="str">
        <f>Tabela1[[#This Row],[Pós RET %]]</f>
        <v>-</v>
      </c>
      <c r="BX154" s="197">
        <f>Tabela1[[#This Row],[Pré WBC 10³/mm³]]</f>
        <v>6.29</v>
      </c>
      <c r="BY154" s="179">
        <f>Tabela1[[#This Row],[Pós WBC 10³/mm³]]</f>
        <v>7.47</v>
      </c>
      <c r="BZ154" s="125">
        <f>Tabela1[[#This Row],[Pré NEUT %]]</f>
        <v>49.1</v>
      </c>
      <c r="CA154" s="125">
        <f>Tabela1[[#This Row],[Pós NEUT %]]</f>
        <v>56</v>
      </c>
      <c r="CB154" s="125">
        <f>Tabela1[[#This Row],[Pré LINF %]]</f>
        <v>42.6</v>
      </c>
      <c r="CC154" s="125">
        <f>Tabela1[[#This Row],[Pós LINF %]]</f>
        <v>34</v>
      </c>
      <c r="CD154" s="125">
        <f>Tabela1[[#This Row],[Pré MONO %]]</f>
        <v>5.9</v>
      </c>
      <c r="CE154" s="125">
        <f>Tabela1[[#This Row],[Pós MONO %]]</f>
        <v>8</v>
      </c>
      <c r="CF154" s="125">
        <f>Tabela1[[#This Row],[Pré EOS %]]</f>
        <v>1.9</v>
      </c>
      <c r="CG154" s="125">
        <f>Tabela1[[#This Row],[Pós EOS %]]</f>
        <v>2</v>
      </c>
      <c r="CH154" s="125">
        <f>Tabela1[[#This Row],[Pré BASO %]]</f>
        <v>0.5</v>
      </c>
      <c r="CI154" s="198">
        <f>Tabela1[[#This Row],[Pós BASO %]]</f>
        <v>0</v>
      </c>
      <c r="CJ154" s="199" t="str">
        <f t="shared" si="9"/>
        <v>NÃO</v>
      </c>
      <c r="CK154" s="200" t="str">
        <f t="shared" si="10"/>
        <v>SIM</v>
      </c>
      <c r="CL154" s="194">
        <f t="shared" si="11"/>
        <v>70.30368</v>
      </c>
      <c r="CM154" s="125">
        <f>Tabela1[[#This Row],[MCT KG]]</f>
        <v>82.4</v>
      </c>
      <c r="CN154" s="85">
        <f>Tabela1[[#This Row],[ESTATURA]]</f>
        <v>168</v>
      </c>
      <c r="CO154" s="85">
        <f>Tabela1[[#This Row],[vo2max estimado]]</f>
        <v>50.7</v>
      </c>
      <c r="CP154" s="85">
        <f>Tabela1[[#This Row],[Handgrip     Dominante]]</f>
        <v>60</v>
      </c>
      <c r="CQ154" s="85">
        <f>Tabela1[[#This Row],[Handgrip Contrário]]</f>
        <v>58</v>
      </c>
      <c r="CR154" s="281">
        <f>Tabela1[[#This Row],[% gordura]]</f>
        <v>14.68</v>
      </c>
    </row>
    <row r="155" spans="1:96" ht="15.75" customHeight="1">
      <c r="A155" s="279">
        <f>Tabela1[[#This Row],[Ano]]</f>
        <v>2018</v>
      </c>
      <c r="B155" s="181" t="str">
        <f>Tabela1[[#This Row],[Missão]]</f>
        <v>Ladário</v>
      </c>
      <c r="C155" s="181">
        <f>Tabela1[[#This Row],[Aluno]]</f>
        <v>3155</v>
      </c>
      <c r="D155" s="181">
        <f>Tabela1[[#This Row],[Idade]]</f>
        <v>26</v>
      </c>
      <c r="E155" s="182">
        <f>Tabela1[[#This Row],[Peso Kg]]</f>
        <v>70</v>
      </c>
      <c r="F155" s="191">
        <f>Tabela1[[#This Row],[Cor da pele]]</f>
        <v>1</v>
      </c>
      <c r="G155" s="192" t="str">
        <f>Tabela1[[#This Row],[ACTN3]]</f>
        <v>RR</v>
      </c>
      <c r="H155" s="85" t="str">
        <f>Tabela1[[#This Row],[AGT]]</f>
        <v>MT</v>
      </c>
      <c r="I155" s="85" t="str">
        <f>Tabela1[[#This Row],[ECA]]</f>
        <v>II</v>
      </c>
      <c r="J155" s="85" t="str">
        <f>Tabela1[[#This Row],[BDKRB2]]</f>
        <v>(+9,-9)</v>
      </c>
      <c r="K155" s="85">
        <f>Tabela1[[#This Row],[Score Força%]]</f>
        <v>50</v>
      </c>
      <c r="L155" s="193">
        <f>Tabela1[[#This Row],[Score Resistência %]]</f>
        <v>50</v>
      </c>
      <c r="M155" s="192">
        <f>Tabela1[[#This Row],[Pré CK (U/L)]]</f>
        <v>681</v>
      </c>
      <c r="N155" s="85">
        <f>Tabela1[[#This Row],[Pós CK (U/L)]]</f>
        <v>429</v>
      </c>
      <c r="O155" s="85" t="str">
        <f>Tabela1[[#This Row],[Pré CK MB U/L]]</f>
        <v>-</v>
      </c>
      <c r="P155" s="85" t="str">
        <f>Tabela1[[#This Row],[Pós CK MB U/L]]</f>
        <v>-</v>
      </c>
      <c r="Q155" s="85" t="str">
        <f>Tabela1[[#This Row],[Pré Lactato (mmol/L)]]</f>
        <v>-</v>
      </c>
      <c r="R155" s="85" t="str">
        <f>Tabela1[[#This Row],[Pós Lactato (mmol/L)]]</f>
        <v>-</v>
      </c>
      <c r="S155" s="85" t="str">
        <f>Tabela1[[#This Row],[Pré LDH (U/L)]]</f>
        <v>-</v>
      </c>
      <c r="T155" s="85" t="str">
        <f>Tabela1[[#This Row],[Pós LDH (U/L)]]</f>
        <v>-</v>
      </c>
      <c r="U155" s="85" t="str">
        <f>Tabela1[[#This Row],[Pré AST (U/L)]]</f>
        <v>-</v>
      </c>
      <c r="V155" s="193" t="str">
        <f>Tabela1[[#This Row],[Pós AST (U/L)]]</f>
        <v>-</v>
      </c>
      <c r="W155" s="194">
        <f>Tabela1[[#This Row],[Pré Albumina (g/dL)]]</f>
        <v>3.94</v>
      </c>
      <c r="X155" s="125">
        <f>Tabela1[[#This Row],[Pós Albumina (g/dL)]]</f>
        <v>4</v>
      </c>
      <c r="Y155" s="85" t="str">
        <f>Tabela1[[#This Row],[Pré TGP (g/dL)]]</f>
        <v>-</v>
      </c>
      <c r="Z155" s="85" t="str">
        <f>Tabela1[[#This Row],[Pós TGP (g/dL)]]</f>
        <v>-</v>
      </c>
      <c r="AA155" s="85" t="str">
        <f>Tabela1[[#This Row],[Pré GGT U/L]]</f>
        <v>-</v>
      </c>
      <c r="AB155" s="193" t="str">
        <f>Tabela1[[#This Row],[Pós GGT U/L]]</f>
        <v>-</v>
      </c>
      <c r="AC155" s="194">
        <f>Tabela1[[#This Row],[Pré Ac. Úrico (mg/dL)]]</f>
        <v>4.8</v>
      </c>
      <c r="AD155" s="125">
        <f>Tabela1[[#This Row],[Pós Ac. Úrico (mg/dL)2]]</f>
        <v>6.2</v>
      </c>
      <c r="AE15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15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155" s="85">
        <f>Tabela1[[#This Row],[Pré Ureia mg/dL]]</f>
        <v>46</v>
      </c>
      <c r="AH155" s="85">
        <f>Tabela1[[#This Row],[Pós Ureia mg/dL]]</f>
        <v>39</v>
      </c>
      <c r="AI155" s="125">
        <f>Tabela1[[#This Row],[Pré creatinina mg/dL]]</f>
        <v>0.8</v>
      </c>
      <c r="AJ155" s="125">
        <f>Tabela1[[#This Row],[Pós creatinina mg/dL]]</f>
        <v>1.3</v>
      </c>
      <c r="AK155" s="180">
        <f t="shared" si="8"/>
        <v>0.5</v>
      </c>
      <c r="AL155" s="125">
        <f>Tabela1[[#This Row],[Pré Fósforo mg/dL]]</f>
        <v>4.3</v>
      </c>
      <c r="AM155" s="125">
        <f>Tabela1[[#This Row],[Pós Fósforo mg/dL]]</f>
        <v>5.6</v>
      </c>
      <c r="AN155" s="125" t="str">
        <f>Tabela1[[#This Row],[Pré Proteína Total (g/dL)]]</f>
        <v>-</v>
      </c>
      <c r="AO155" s="125" t="str">
        <f>Tabela1[[#This Row],[Pós Proteína Total (g/dL)]]</f>
        <v>-</v>
      </c>
      <c r="AP155" s="85" t="str">
        <f>Tabela1[[#This Row],[Pré FE (ug/dL)]]</f>
        <v>-</v>
      </c>
      <c r="AQ155" s="193" t="str">
        <f>Tabela1[[#This Row],[Pós FE (ug/dL)]]</f>
        <v>-</v>
      </c>
      <c r="AR155" s="194">
        <f>Tabela1[[#This Row],[Pré calcio mg/dL]]</f>
        <v>9.4</v>
      </c>
      <c r="AS155" s="125">
        <f>Tabela1[[#This Row],[Pós calcio mg/dL]]</f>
        <v>9.5</v>
      </c>
      <c r="AT155" s="125" t="str">
        <f>Tabela1[[#This Row],[Pré Potássio mmol/L]]</f>
        <v>-</v>
      </c>
      <c r="AU155" s="125" t="str">
        <f>Tabela1[[#This Row],[Pós Potássio mmol/L]]</f>
        <v>-</v>
      </c>
      <c r="AV155" s="85">
        <f>Tabela1[[#This Row],[Glicose pré]]</f>
        <v>102</v>
      </c>
      <c r="AW155" s="85">
        <f>Tabela1[[#This Row],[Glicose pós]]</f>
        <v>107</v>
      </c>
      <c r="AX155" s="85" t="str">
        <f>Tabela1[[#This Row],[Pré Sódio mmol/L]]</f>
        <v>-</v>
      </c>
      <c r="AY155" s="85" t="str">
        <f>Tabela1[[#This Row],[Pós Sódio mmol/L]]</f>
        <v>-</v>
      </c>
      <c r="AZ155" s="125" t="str">
        <f>Tabela1[[#This Row],[Pré Magnésio mg/dL]]</f>
        <v>-</v>
      </c>
      <c r="BA155" s="125" t="str">
        <f>Tabela1[[#This Row],[Pós Magnésio mg/dL]]</f>
        <v>-</v>
      </c>
      <c r="BB155" s="85" t="str">
        <f>Tabela1[[#This Row],[Pré Cloro mmol/L]]</f>
        <v>-</v>
      </c>
      <c r="BC155" s="85" t="str">
        <f>Tabela1[[#This Row],[Pós Cloro mmol/L]]</f>
        <v>-</v>
      </c>
      <c r="BD155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155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155" s="194">
        <f>Tabela1[[#This Row],[Pré RBC 10^6/mm³]]</f>
        <v>4</v>
      </c>
      <c r="BG155" s="125">
        <f>Tabela1[[#This Row],[Pós RBC 10^6/mm³]]</f>
        <v>4.2</v>
      </c>
      <c r="BH155" s="125">
        <f>Tabela1[[#This Row],[Pré HGB g/dL]]</f>
        <v>12</v>
      </c>
      <c r="BI155" s="125">
        <f>Tabela1[[#This Row],[Pós HGB g/dL]]</f>
        <v>12.4</v>
      </c>
      <c r="BJ155" s="125">
        <f>Tabela1[[#This Row],[Pré HCT %]]</f>
        <v>36.6</v>
      </c>
      <c r="BK155" s="125">
        <f>Tabela1[[#This Row],[Pós HCT %]]</f>
        <v>37.700000000000003</v>
      </c>
      <c r="BL155" s="125">
        <f>Tabela1[[#This Row],[Pré MCV fL]]</f>
        <v>90.4</v>
      </c>
      <c r="BM155" s="125" t="str">
        <f>Tabela1[[#This Row],[Pós MCV fL]]</f>
        <v>-</v>
      </c>
      <c r="BN155" s="125">
        <f>Tabela1[[#This Row],[Pré MCH pg]]</f>
        <v>29.6</v>
      </c>
      <c r="BO155" s="125" t="str">
        <f>Tabela1[[#This Row],[Pós MCH pg]]</f>
        <v>-</v>
      </c>
      <c r="BP155" s="125">
        <f>Tabela1[[#This Row],[Pré MCHC g/dL]]</f>
        <v>32.799999999999997</v>
      </c>
      <c r="BQ155" s="125" t="str">
        <f>Tabela1[[#This Row],[Pós MCHC g/dL]]</f>
        <v>-</v>
      </c>
      <c r="BR155" s="85">
        <f>Tabela1[[#This Row],[Pré PLT 10³/mm³]]</f>
        <v>338</v>
      </c>
      <c r="BS155" s="85" t="str">
        <f>Tabela1[[#This Row],[Pós PLT 10³/mm³]]</f>
        <v>-</v>
      </c>
      <c r="BT155" s="125">
        <f>Tabela1[[#This Row],[Pré RDW %]]</f>
        <v>13.9</v>
      </c>
      <c r="BU155" s="125" t="str">
        <f>Tabela1[[#This Row],[Pós RDW %]]</f>
        <v>-</v>
      </c>
      <c r="BV155" s="179" t="str">
        <f>Tabela1[[#This Row],[Pré RET %]]</f>
        <v>-</v>
      </c>
      <c r="BW155" s="196" t="str">
        <f>Tabela1[[#This Row],[Pós RET %]]</f>
        <v>-</v>
      </c>
      <c r="BX155" s="197">
        <f>Tabela1[[#This Row],[Pré WBC 10³/mm³]]</f>
        <v>10.06</v>
      </c>
      <c r="BY155" s="179" t="str">
        <f>Tabela1[[#This Row],[Pós WBC 10³/mm³]]</f>
        <v>-</v>
      </c>
      <c r="BZ155" s="125">
        <f>Tabela1[[#This Row],[Pré NEUT %]]</f>
        <v>74</v>
      </c>
      <c r="CA155" s="125" t="str">
        <f>Tabela1[[#This Row],[Pós NEUT %]]</f>
        <v>-</v>
      </c>
      <c r="CB155" s="125">
        <f>Tabela1[[#This Row],[Pré LINF %]]</f>
        <v>13</v>
      </c>
      <c r="CC155" s="125" t="str">
        <f>Tabela1[[#This Row],[Pós LINF %]]</f>
        <v>-</v>
      </c>
      <c r="CD155" s="125">
        <f>Tabela1[[#This Row],[Pré MONO %]]</f>
        <v>8</v>
      </c>
      <c r="CE155" s="125" t="str">
        <f>Tabela1[[#This Row],[Pós MONO %]]</f>
        <v>-</v>
      </c>
      <c r="CF155" s="125">
        <f>Tabela1[[#This Row],[Pré EOS %]]</f>
        <v>1</v>
      </c>
      <c r="CG155" s="125" t="str">
        <f>Tabela1[[#This Row],[Pós EOS %]]</f>
        <v>-</v>
      </c>
      <c r="CH155" s="125">
        <f>Tabela1[[#This Row],[Pré BASO %]]</f>
        <v>0</v>
      </c>
      <c r="CI155" s="198" t="str">
        <f>Tabela1[[#This Row],[Pós BASO %]]</f>
        <v>-</v>
      </c>
      <c r="CJ155" s="199" t="str">
        <f t="shared" si="9"/>
        <v>SIM</v>
      </c>
      <c r="CK155" s="200" t="str">
        <f t="shared" si="10"/>
        <v>NÃO</v>
      </c>
      <c r="CL155" s="194">
        <f t="shared" si="11"/>
        <v>71.28528</v>
      </c>
      <c r="CM155" s="125">
        <f>Tabela1[[#This Row],[MCT KG]]</f>
        <v>75.900000000000006</v>
      </c>
      <c r="CN155" s="85">
        <f>Tabela1[[#This Row],[ESTATURA]]</f>
        <v>171</v>
      </c>
      <c r="CO155" s="85">
        <f>Tabela1[[#This Row],[vo2max estimado]]</f>
        <v>54.68</v>
      </c>
      <c r="CP155" s="85">
        <f>Tabela1[[#This Row],[Handgrip     Dominante]]</f>
        <v>42</v>
      </c>
      <c r="CQ155" s="85">
        <f>Tabela1[[#This Row],[Handgrip Contrário]]</f>
        <v>43</v>
      </c>
      <c r="CR155" s="281">
        <f>Tabela1[[#This Row],[% gordura]]</f>
        <v>6.08</v>
      </c>
    </row>
    <row r="156" spans="1:96" ht="15.75" customHeight="1">
      <c r="A156" s="279">
        <f>Tabela1[[#This Row],[Ano]]</f>
        <v>2018</v>
      </c>
      <c r="B156" s="181" t="str">
        <f>Tabela1[[#This Row],[Missão]]</f>
        <v>Ladário</v>
      </c>
      <c r="C156" s="181">
        <f>Tabela1[[#This Row],[Aluno]]</f>
        <v>3156</v>
      </c>
      <c r="D156" s="181">
        <f>Tabela1[[#This Row],[Idade]]</f>
        <v>26</v>
      </c>
      <c r="E156" s="182">
        <f>Tabela1[[#This Row],[Peso Kg]]</f>
        <v>74</v>
      </c>
      <c r="F156" s="191">
        <f>Tabela1[[#This Row],[Cor da pele]]</f>
        <v>1</v>
      </c>
      <c r="G156" s="192" t="str">
        <f>Tabela1[[#This Row],[ACTN3]]</f>
        <v>RX</v>
      </c>
      <c r="H156" s="85" t="str">
        <f>Tabela1[[#This Row],[AGT]]</f>
        <v>MM</v>
      </c>
      <c r="I156" s="85" t="str">
        <f>Tabela1[[#This Row],[ECA]]</f>
        <v>ID</v>
      </c>
      <c r="J156" s="85" t="str">
        <f>Tabela1[[#This Row],[BDKRB2]]</f>
        <v>(+9,+9)</v>
      </c>
      <c r="K156" s="85">
        <f>Tabela1[[#This Row],[Score Força%]]</f>
        <v>50</v>
      </c>
      <c r="L156" s="193">
        <f>Tabela1[[#This Row],[Score Resistência %]]</f>
        <v>50</v>
      </c>
      <c r="M156" s="192">
        <f>Tabela1[[#This Row],[Pré CK (U/L)]]</f>
        <v>408</v>
      </c>
      <c r="N156" s="85">
        <f>Tabela1[[#This Row],[Pós CK (U/L)]]</f>
        <v>356</v>
      </c>
      <c r="O156" s="85" t="str">
        <f>Tabela1[[#This Row],[Pré CK MB U/L]]</f>
        <v>-</v>
      </c>
      <c r="P156" s="85" t="str">
        <f>Tabela1[[#This Row],[Pós CK MB U/L]]</f>
        <v>-</v>
      </c>
      <c r="Q156" s="85" t="str">
        <f>Tabela1[[#This Row],[Pré Lactato (mmol/L)]]</f>
        <v>-</v>
      </c>
      <c r="R156" s="85" t="str">
        <f>Tabela1[[#This Row],[Pós Lactato (mmol/L)]]</f>
        <v>-</v>
      </c>
      <c r="S156" s="85" t="str">
        <f>Tabela1[[#This Row],[Pré LDH (U/L)]]</f>
        <v>-</v>
      </c>
      <c r="T156" s="85" t="str">
        <f>Tabela1[[#This Row],[Pós LDH (U/L)]]</f>
        <v>-</v>
      </c>
      <c r="U156" s="85" t="str">
        <f>Tabela1[[#This Row],[Pré AST (U/L)]]</f>
        <v>-</v>
      </c>
      <c r="V156" s="193" t="str">
        <f>Tabela1[[#This Row],[Pós AST (U/L)]]</f>
        <v>-</v>
      </c>
      <c r="W156" s="194">
        <f>Tabela1[[#This Row],[Pré Albumina (g/dL)]]</f>
        <v>4.3499999999999996</v>
      </c>
      <c r="X156" s="125">
        <f>Tabela1[[#This Row],[Pós Albumina (g/dL)]]</f>
        <v>3.7</v>
      </c>
      <c r="Y156" s="85" t="str">
        <f>Tabela1[[#This Row],[Pré TGP (g/dL)]]</f>
        <v>-</v>
      </c>
      <c r="Z156" s="85" t="str">
        <f>Tabela1[[#This Row],[Pós TGP (g/dL)]]</f>
        <v>-</v>
      </c>
      <c r="AA156" s="85" t="str">
        <f>Tabela1[[#This Row],[Pré GGT U/L]]</f>
        <v>-</v>
      </c>
      <c r="AB156" s="193" t="str">
        <f>Tabela1[[#This Row],[Pós GGT U/L]]</f>
        <v>-</v>
      </c>
      <c r="AC156" s="194">
        <f>Tabela1[[#This Row],[Pré Ac. Úrico (mg/dL)]]</f>
        <v>4</v>
      </c>
      <c r="AD156" s="125">
        <f>Tabela1[[#This Row],[Pós Ac. Úrico (mg/dL)2]]</f>
        <v>3.5</v>
      </c>
      <c r="AE15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102.6670154219542</v>
      </c>
      <c r="AF15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156" s="85">
        <f>Tabela1[[#This Row],[Pré Ureia mg/dL]]</f>
        <v>37</v>
      </c>
      <c r="AH156" s="85">
        <f>Tabela1[[#This Row],[Pós Ureia mg/dL]]</f>
        <v>43</v>
      </c>
      <c r="AI156" s="125">
        <f>Tabela1[[#This Row],[Pré creatinina mg/dL]]</f>
        <v>1.02</v>
      </c>
      <c r="AJ156" s="125">
        <f>Tabela1[[#This Row],[Pós creatinina mg/dL]]</f>
        <v>1.3</v>
      </c>
      <c r="AK156" s="180">
        <f t="shared" si="8"/>
        <v>0.28000000000000003</v>
      </c>
      <c r="AL156" s="125">
        <f>Tabela1[[#This Row],[Pré Fósforo mg/dL]]</f>
        <v>3.01</v>
      </c>
      <c r="AM156" s="125">
        <f>Tabela1[[#This Row],[Pós Fósforo mg/dL]]</f>
        <v>4.4000000000000004</v>
      </c>
      <c r="AN156" s="125" t="str">
        <f>Tabela1[[#This Row],[Pré Proteína Total (g/dL)]]</f>
        <v>-</v>
      </c>
      <c r="AO156" s="125" t="str">
        <f>Tabela1[[#This Row],[Pós Proteína Total (g/dL)]]</f>
        <v>-</v>
      </c>
      <c r="AP156" s="85" t="str">
        <f>Tabela1[[#This Row],[Pré FE (ug/dL)]]</f>
        <v>-</v>
      </c>
      <c r="AQ156" s="193" t="str">
        <f>Tabela1[[#This Row],[Pós FE (ug/dL)]]</f>
        <v>-</v>
      </c>
      <c r="AR156" s="194">
        <f>Tabela1[[#This Row],[Pré calcio mg/dL]]</f>
        <v>8.5</v>
      </c>
      <c r="AS156" s="125">
        <f>Tabela1[[#This Row],[Pós calcio mg/dL]]</f>
        <v>9</v>
      </c>
      <c r="AT156" s="125" t="str">
        <f>Tabela1[[#This Row],[Pré Potássio mmol/L]]</f>
        <v>-</v>
      </c>
      <c r="AU156" s="125" t="str">
        <f>Tabela1[[#This Row],[Pós Potássio mmol/L]]</f>
        <v>-</v>
      </c>
      <c r="AV156" s="85">
        <f>Tabela1[[#This Row],[Glicose pré]]</f>
        <v>94</v>
      </c>
      <c r="AW156" s="85">
        <f>Tabela1[[#This Row],[Glicose pós]]</f>
        <v>65</v>
      </c>
      <c r="AX156" s="85" t="str">
        <f>Tabela1[[#This Row],[Pré Sódio mmol/L]]</f>
        <v>-</v>
      </c>
      <c r="AY156" s="85" t="str">
        <f>Tabela1[[#This Row],[Pós Sódio mmol/L]]</f>
        <v>-</v>
      </c>
      <c r="AZ156" s="125" t="str">
        <f>Tabela1[[#This Row],[Pré Magnésio mg/dL]]</f>
        <v>-</v>
      </c>
      <c r="BA156" s="125" t="str">
        <f>Tabela1[[#This Row],[Pós Magnésio mg/dL]]</f>
        <v>-</v>
      </c>
      <c r="BB156" s="85" t="str">
        <f>Tabela1[[#This Row],[Pré Cloro mmol/L]]</f>
        <v>-</v>
      </c>
      <c r="BC156" s="85" t="str">
        <f>Tabela1[[#This Row],[Pós Cloro mmol/L]]</f>
        <v>-</v>
      </c>
      <c r="BD156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156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156" s="194">
        <f>Tabela1[[#This Row],[Pré RBC 10^6/mm³]]</f>
        <v>4.5</v>
      </c>
      <c r="BG156" s="125">
        <f>Tabela1[[#This Row],[Pós RBC 10^6/mm³]]</f>
        <v>4.5999999999999996</v>
      </c>
      <c r="BH156" s="125">
        <f>Tabela1[[#This Row],[Pré HGB g/dL]]</f>
        <v>13.7</v>
      </c>
      <c r="BI156" s="125">
        <f>Tabela1[[#This Row],[Pós HGB g/dL]]</f>
        <v>14.1</v>
      </c>
      <c r="BJ156" s="125">
        <f>Tabela1[[#This Row],[Pré HCT %]]</f>
        <v>41.5</v>
      </c>
      <c r="BK156" s="125">
        <f>Tabela1[[#This Row],[Pós HCT %]]</f>
        <v>42.2</v>
      </c>
      <c r="BL156" s="125">
        <f>Tabela1[[#This Row],[Pré MCV fL]]</f>
        <v>92.6</v>
      </c>
      <c r="BM156" s="125">
        <f>Tabela1[[#This Row],[Pós MCV fL]]</f>
        <v>91.5</v>
      </c>
      <c r="BN156" s="125">
        <f>Tabela1[[#This Row],[Pré MCH pg]]</f>
        <v>30.6</v>
      </c>
      <c r="BO156" s="125">
        <f>Tabela1[[#This Row],[Pós MCH pg]]</f>
        <v>30.6</v>
      </c>
      <c r="BP156" s="125">
        <f>Tabela1[[#This Row],[Pré MCHC g/dL]]</f>
        <v>33</v>
      </c>
      <c r="BQ156" s="125">
        <f>Tabela1[[#This Row],[Pós MCHC g/dL]]</f>
        <v>33.4</v>
      </c>
      <c r="BR156" s="85">
        <f>Tabela1[[#This Row],[Pré PLT 10³/mm³]]</f>
        <v>226</v>
      </c>
      <c r="BS156" s="85">
        <f>Tabela1[[#This Row],[Pós PLT 10³/mm³]]</f>
        <v>287</v>
      </c>
      <c r="BT156" s="125">
        <f>Tabela1[[#This Row],[Pré RDW %]]</f>
        <v>13.1</v>
      </c>
      <c r="BU156" s="125">
        <f>Tabela1[[#This Row],[Pós RDW %]]</f>
        <v>12.4</v>
      </c>
      <c r="BV156" s="179" t="str">
        <f>Tabela1[[#This Row],[Pré RET %]]</f>
        <v>-</v>
      </c>
      <c r="BW156" s="196" t="str">
        <f>Tabela1[[#This Row],[Pós RET %]]</f>
        <v>-</v>
      </c>
      <c r="BX156" s="197">
        <f>Tabela1[[#This Row],[Pré WBC 10³/mm³]]</f>
        <v>7.46</v>
      </c>
      <c r="BY156" s="179">
        <f>Tabela1[[#This Row],[Pós WBC 10³/mm³]]</f>
        <v>6.97</v>
      </c>
      <c r="BZ156" s="125">
        <f>Tabela1[[#This Row],[Pré NEUT %]]</f>
        <v>76</v>
      </c>
      <c r="CA156" s="125">
        <f>Tabela1[[#This Row],[Pós NEUT %]]</f>
        <v>69</v>
      </c>
      <c r="CB156" s="125">
        <f>Tabela1[[#This Row],[Pré LINF %]]</f>
        <v>15</v>
      </c>
      <c r="CC156" s="125">
        <f>Tabela1[[#This Row],[Pós LINF %]]</f>
        <v>23</v>
      </c>
      <c r="CD156" s="125">
        <f>Tabela1[[#This Row],[Pré MONO %]]</f>
        <v>8</v>
      </c>
      <c r="CE156" s="125">
        <f>Tabela1[[#This Row],[Pós MONO %]]</f>
        <v>7</v>
      </c>
      <c r="CF156" s="125">
        <f>Tabela1[[#This Row],[Pré EOS %]]</f>
        <v>1</v>
      </c>
      <c r="CG156" s="125">
        <f>Tabela1[[#This Row],[Pós EOS %]]</f>
        <v>1</v>
      </c>
      <c r="CH156" s="125">
        <f>Tabela1[[#This Row],[Pré BASO %]]</f>
        <v>0</v>
      </c>
      <c r="CI156" s="198">
        <f>Tabela1[[#This Row],[Pós BASO %]]</f>
        <v>0</v>
      </c>
      <c r="CJ156" s="199" t="str">
        <f t="shared" si="9"/>
        <v>NÃO</v>
      </c>
      <c r="CK156" s="200" t="str">
        <f t="shared" si="10"/>
        <v>NÃO</v>
      </c>
      <c r="CL156" s="194">
        <f t="shared" si="11"/>
        <v>72.293760000000006</v>
      </c>
      <c r="CM156" s="125">
        <f>Tabela1[[#This Row],[MCT KG]]</f>
        <v>79.2</v>
      </c>
      <c r="CN156" s="85">
        <f>Tabela1[[#This Row],[ESTATURA]]</f>
        <v>174</v>
      </c>
      <c r="CO156" s="85">
        <f>Tabela1[[#This Row],[vo2max estimado]]</f>
        <v>53.64</v>
      </c>
      <c r="CP156" s="85">
        <f>Tabela1[[#This Row],[Handgrip     Dominante]]</f>
        <v>49.5</v>
      </c>
      <c r="CQ156" s="85">
        <f>Tabela1[[#This Row],[Handgrip Contrário]]</f>
        <v>49.5</v>
      </c>
      <c r="CR156" s="281">
        <f>Tabela1[[#This Row],[% gordura]]</f>
        <v>8.7200000000000006</v>
      </c>
    </row>
    <row r="157" spans="1:96" ht="15.75" customHeight="1">
      <c r="A157" s="279">
        <f>Tabela1[[#This Row],[Ano]]</f>
        <v>2018</v>
      </c>
      <c r="B157" s="181" t="str">
        <f>Tabela1[[#This Row],[Missão]]</f>
        <v>Ladário</v>
      </c>
      <c r="C157" s="181">
        <f>Tabela1[[#This Row],[Aluno]]</f>
        <v>3159</v>
      </c>
      <c r="D157" s="181">
        <f>Tabela1[[#This Row],[Idade]]</f>
        <v>25</v>
      </c>
      <c r="E157" s="182">
        <f>Tabela1[[#This Row],[Peso Kg]]</f>
        <v>84</v>
      </c>
      <c r="F157" s="191">
        <f>Tabela1[[#This Row],[Cor da pele]]</f>
        <v>1</v>
      </c>
      <c r="G157" s="192" t="str">
        <f>Tabela1[[#This Row],[ACTN3]]</f>
        <v>RR</v>
      </c>
      <c r="H157" s="85" t="str">
        <f>Tabela1[[#This Row],[AGT]]</f>
        <v>TT</v>
      </c>
      <c r="I157" s="85" t="str">
        <f>Tabela1[[#This Row],[ECA]]</f>
        <v>DD</v>
      </c>
      <c r="J157" s="85" t="str">
        <f>Tabela1[[#This Row],[BDKRB2]]</f>
        <v>(+9,-9)</v>
      </c>
      <c r="K157" s="85" t="str">
        <f>Tabela1[[#This Row],[Score Força%]]</f>
        <v>-</v>
      </c>
      <c r="L157" s="193" t="str">
        <f>Tabela1[[#This Row],[Score Resistência %]]</f>
        <v>-</v>
      </c>
      <c r="M157" s="192">
        <f>Tabela1[[#This Row],[Pré CK (U/L)]]</f>
        <v>286</v>
      </c>
      <c r="N157" s="85">
        <f>Tabela1[[#This Row],[Pós CK (U/L)]]</f>
        <v>356</v>
      </c>
      <c r="O157" s="85" t="str">
        <f>Tabela1[[#This Row],[Pré CK MB U/L]]</f>
        <v>-</v>
      </c>
      <c r="P157" s="85" t="str">
        <f>Tabela1[[#This Row],[Pós CK MB U/L]]</f>
        <v>-</v>
      </c>
      <c r="Q157" s="85" t="str">
        <f>Tabela1[[#This Row],[Pré Lactato (mmol/L)]]</f>
        <v>-</v>
      </c>
      <c r="R157" s="85" t="str">
        <f>Tabela1[[#This Row],[Pós Lactato (mmol/L)]]</f>
        <v>-</v>
      </c>
      <c r="S157" s="85" t="str">
        <f>Tabela1[[#This Row],[Pré LDH (U/L)]]</f>
        <v>-</v>
      </c>
      <c r="T157" s="85" t="str">
        <f>Tabela1[[#This Row],[Pós LDH (U/L)]]</f>
        <v>-</v>
      </c>
      <c r="U157" s="85" t="str">
        <f>Tabela1[[#This Row],[Pré AST (U/L)]]</f>
        <v>-</v>
      </c>
      <c r="V157" s="193" t="str">
        <f>Tabela1[[#This Row],[Pós AST (U/L)]]</f>
        <v>-</v>
      </c>
      <c r="W157" s="194">
        <f>Tabela1[[#This Row],[Pré Albumina (g/dL)]]</f>
        <v>4.1399999999999997</v>
      </c>
      <c r="X157" s="125">
        <f>Tabela1[[#This Row],[Pós Albumina (g/dL)]]</f>
        <v>4.0999999999999996</v>
      </c>
      <c r="Y157" s="85" t="str">
        <f>Tabela1[[#This Row],[Pré TGP (g/dL)]]</f>
        <v>-</v>
      </c>
      <c r="Z157" s="85" t="str">
        <f>Tabela1[[#This Row],[Pós TGP (g/dL)]]</f>
        <v>-</v>
      </c>
      <c r="AA157" s="85" t="str">
        <f>Tabela1[[#This Row],[Pré GGT U/L]]</f>
        <v>-</v>
      </c>
      <c r="AB157" s="193" t="str">
        <f>Tabela1[[#This Row],[Pós GGT U/L]]</f>
        <v>-</v>
      </c>
      <c r="AC157" s="194">
        <f>Tabela1[[#This Row],[Pré Ac. Úrico (mg/dL)]]</f>
        <v>5.3</v>
      </c>
      <c r="AD157" s="125">
        <f>Tabela1[[#This Row],[Pós Ac. Úrico (mg/dL)2]]</f>
        <v>5.4</v>
      </c>
      <c r="AE15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94.80676889262574</v>
      </c>
      <c r="AF15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157" s="85">
        <f>Tabela1[[#This Row],[Pré Ureia mg/dL]]</f>
        <v>40</v>
      </c>
      <c r="AH157" s="85">
        <f>Tabela1[[#This Row],[Pós Ureia mg/dL]]</f>
        <v>37</v>
      </c>
      <c r="AI157" s="125">
        <f>Tabela1[[#This Row],[Pré creatinina mg/dL]]</f>
        <v>1.0900000000000001</v>
      </c>
      <c r="AJ157" s="125">
        <f>Tabela1[[#This Row],[Pós creatinina mg/dL]]</f>
        <v>1.2</v>
      </c>
      <c r="AK157" s="180">
        <f t="shared" si="8"/>
        <v>0.10999999999999988</v>
      </c>
      <c r="AL157" s="125">
        <f>Tabela1[[#This Row],[Pré Fósforo mg/dL]]</f>
        <v>3.68</v>
      </c>
      <c r="AM157" s="125">
        <f>Tabela1[[#This Row],[Pós Fósforo mg/dL]]</f>
        <v>4.5999999999999996</v>
      </c>
      <c r="AN157" s="125" t="str">
        <f>Tabela1[[#This Row],[Pré Proteína Total (g/dL)]]</f>
        <v>-</v>
      </c>
      <c r="AO157" s="125" t="str">
        <f>Tabela1[[#This Row],[Pós Proteína Total (g/dL)]]</f>
        <v>-</v>
      </c>
      <c r="AP157" s="85" t="str">
        <f>Tabela1[[#This Row],[Pré FE (ug/dL)]]</f>
        <v>-</v>
      </c>
      <c r="AQ157" s="193" t="str">
        <f>Tabela1[[#This Row],[Pós FE (ug/dL)]]</f>
        <v>-</v>
      </c>
      <c r="AR157" s="194">
        <f>Tabela1[[#This Row],[Pré calcio mg/dL]]</f>
        <v>9.1999999999999993</v>
      </c>
      <c r="AS157" s="125">
        <f>Tabela1[[#This Row],[Pós calcio mg/dL]]</f>
        <v>10</v>
      </c>
      <c r="AT157" s="125" t="str">
        <f>Tabela1[[#This Row],[Pré Potássio mmol/L]]</f>
        <v>-</v>
      </c>
      <c r="AU157" s="125" t="str">
        <f>Tabela1[[#This Row],[Pós Potássio mmol/L]]</f>
        <v>-</v>
      </c>
      <c r="AV157" s="85" t="str">
        <f>Tabela1[[#This Row],[Glicose pré]]</f>
        <v>0</v>
      </c>
      <c r="AW157" s="85">
        <f>Tabela1[[#This Row],[Glicose pós]]</f>
        <v>99</v>
      </c>
      <c r="AX157" s="85" t="str">
        <f>Tabela1[[#This Row],[Pré Sódio mmol/L]]</f>
        <v>-</v>
      </c>
      <c r="AY157" s="85" t="str">
        <f>Tabela1[[#This Row],[Pós Sódio mmol/L]]</f>
        <v>-</v>
      </c>
      <c r="AZ157" s="125" t="str">
        <f>Tabela1[[#This Row],[Pré Magnésio mg/dL]]</f>
        <v>-</v>
      </c>
      <c r="BA157" s="125" t="str">
        <f>Tabela1[[#This Row],[Pós Magnésio mg/dL]]</f>
        <v>-</v>
      </c>
      <c r="BB157" s="85" t="str">
        <f>Tabela1[[#This Row],[Pré Cloro mmol/L]]</f>
        <v>-</v>
      </c>
      <c r="BC157" s="85" t="str">
        <f>Tabela1[[#This Row],[Pós Cloro mmol/L]]</f>
        <v>-</v>
      </c>
      <c r="BD157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157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157" s="194">
        <f>Tabela1[[#This Row],[Pré RBC 10^6/mm³]]</f>
        <v>4.7</v>
      </c>
      <c r="BG157" s="125">
        <f>Tabela1[[#This Row],[Pós RBC 10^6/mm³]]</f>
        <v>4.7</v>
      </c>
      <c r="BH157" s="125">
        <f>Tabela1[[#This Row],[Pré HGB g/dL]]</f>
        <v>13.6</v>
      </c>
      <c r="BI157" s="125">
        <f>Tabela1[[#This Row],[Pós HGB g/dL]]</f>
        <v>13.4</v>
      </c>
      <c r="BJ157" s="125">
        <f>Tabela1[[#This Row],[Pré HCT %]]</f>
        <v>41.8</v>
      </c>
      <c r="BK157" s="125">
        <f>Tabela1[[#This Row],[Pós HCT %]]</f>
        <v>41</v>
      </c>
      <c r="BL157" s="125">
        <f>Tabela1[[#This Row],[Pré MCV fL]]</f>
        <v>88.2</v>
      </c>
      <c r="BM157" s="125">
        <f>Tabela1[[#This Row],[Pós MCV fL]]</f>
        <v>87.2</v>
      </c>
      <c r="BN157" s="125">
        <f>Tabela1[[#This Row],[Pré MCH pg]]</f>
        <v>28.7</v>
      </c>
      <c r="BO157" s="125">
        <f>Tabela1[[#This Row],[Pós MCH pg]]</f>
        <v>28.5</v>
      </c>
      <c r="BP157" s="125">
        <f>Tabela1[[#This Row],[Pré MCHC g/dL]]</f>
        <v>32.5</v>
      </c>
      <c r="BQ157" s="125">
        <f>Tabela1[[#This Row],[Pós MCHC g/dL]]</f>
        <v>32.700000000000003</v>
      </c>
      <c r="BR157" s="85">
        <f>Tabela1[[#This Row],[Pré PLT 10³/mm³]]</f>
        <v>249</v>
      </c>
      <c r="BS157" s="85">
        <f>Tabela1[[#This Row],[Pós PLT 10³/mm³]]</f>
        <v>246</v>
      </c>
      <c r="BT157" s="125">
        <f>Tabela1[[#This Row],[Pré RDW %]]</f>
        <v>13.2</v>
      </c>
      <c r="BU157" s="125">
        <f>Tabela1[[#This Row],[Pós RDW %]]</f>
        <v>12.9</v>
      </c>
      <c r="BV157" s="179" t="str">
        <f>Tabela1[[#This Row],[Pré RET %]]</f>
        <v>-</v>
      </c>
      <c r="BW157" s="196" t="str">
        <f>Tabela1[[#This Row],[Pós RET %]]</f>
        <v>-</v>
      </c>
      <c r="BX157" s="197">
        <f>Tabela1[[#This Row],[Pré WBC 10³/mm³]]</f>
        <v>5.27</v>
      </c>
      <c r="BY157" s="179">
        <f>Tabela1[[#This Row],[Pós WBC 10³/mm³]]</f>
        <v>5.38</v>
      </c>
      <c r="BZ157" s="125">
        <f>Tabela1[[#This Row],[Pré NEUT %]]</f>
        <v>58</v>
      </c>
      <c r="CA157" s="125">
        <f>Tabela1[[#This Row],[Pós NEUT %]]</f>
        <v>55</v>
      </c>
      <c r="CB157" s="125">
        <f>Tabela1[[#This Row],[Pré LINF %]]</f>
        <v>32</v>
      </c>
      <c r="CC157" s="125">
        <f>Tabela1[[#This Row],[Pós LINF %]]</f>
        <v>36</v>
      </c>
      <c r="CD157" s="125">
        <f>Tabela1[[#This Row],[Pré MONO %]]</f>
        <v>7</v>
      </c>
      <c r="CE157" s="125">
        <f>Tabela1[[#This Row],[Pós MONO %]]</f>
        <v>7</v>
      </c>
      <c r="CF157" s="125">
        <f>Tabela1[[#This Row],[Pré EOS %]]</f>
        <v>2</v>
      </c>
      <c r="CG157" s="125">
        <f>Tabela1[[#This Row],[Pós EOS %]]</f>
        <v>2</v>
      </c>
      <c r="CH157" s="125">
        <f>Tabela1[[#This Row],[Pré BASO %]]</f>
        <v>1</v>
      </c>
      <c r="CI157" s="198">
        <f>Tabela1[[#This Row],[Pós BASO %]]</f>
        <v>0</v>
      </c>
      <c r="CJ157" s="199" t="str">
        <f t="shared" si="9"/>
        <v>NÃO</v>
      </c>
      <c r="CK157" s="200" t="str">
        <f t="shared" si="10"/>
        <v>NÃO</v>
      </c>
      <c r="CL157" s="194">
        <f t="shared" si="11"/>
        <v>75.355769999999993</v>
      </c>
      <c r="CM157" s="125">
        <f>Tabela1[[#This Row],[MCT KG]]</f>
        <v>84.3</v>
      </c>
      <c r="CN157" s="85">
        <f>Tabela1[[#This Row],[ESTATURA]]</f>
        <v>178</v>
      </c>
      <c r="CO157" s="85">
        <f>Tabela1[[#This Row],[vo2max estimado]]</f>
        <v>52.69</v>
      </c>
      <c r="CP157" s="85">
        <f>Tabela1[[#This Row],[Handgrip     Dominante]]</f>
        <v>60</v>
      </c>
      <c r="CQ157" s="85">
        <f>Tabela1[[#This Row],[Handgrip Contrário]]</f>
        <v>57</v>
      </c>
      <c r="CR157" s="281">
        <f>Tabela1[[#This Row],[% gordura]]</f>
        <v>10.61</v>
      </c>
    </row>
    <row r="158" spans="1:96" ht="15.75" customHeight="1">
      <c r="A158" s="279">
        <f>Tabela1[[#This Row],[Ano]]</f>
        <v>2018</v>
      </c>
      <c r="B158" s="181" t="str">
        <f>Tabela1[[#This Row],[Missão]]</f>
        <v>Ladário</v>
      </c>
      <c r="C158" s="181">
        <f>Tabela1[[#This Row],[Aluno]]</f>
        <v>3165</v>
      </c>
      <c r="D158" s="181">
        <f>Tabela1[[#This Row],[Idade]]</f>
        <v>33</v>
      </c>
      <c r="E158" s="182">
        <f>Tabela1[[#This Row],[Peso Kg]]</f>
        <v>79</v>
      </c>
      <c r="F158" s="191">
        <f>Tabela1[[#This Row],[Cor da pele]]</f>
        <v>1</v>
      </c>
      <c r="G158" s="192" t="str">
        <f>Tabela1[[#This Row],[ACTN3]]</f>
        <v>RR</v>
      </c>
      <c r="H158" s="85" t="str">
        <f>Tabela1[[#This Row],[AGT]]</f>
        <v>MT</v>
      </c>
      <c r="I158" s="85" t="str">
        <f>Tabela1[[#This Row],[ECA]]</f>
        <v>II</v>
      </c>
      <c r="J158" s="85" t="str">
        <f>Tabela1[[#This Row],[BDKRB2]]</f>
        <v>(+9,-9)</v>
      </c>
      <c r="K158" s="85">
        <f>Tabela1[[#This Row],[Score Força%]]</f>
        <v>50</v>
      </c>
      <c r="L158" s="193">
        <f>Tabela1[[#This Row],[Score Resistência %]]</f>
        <v>50</v>
      </c>
      <c r="M158" s="192">
        <f>Tabela1[[#This Row],[Pré CK (U/L)]]</f>
        <v>206</v>
      </c>
      <c r="N158" s="85" t="str">
        <f>Tabela1[[#This Row],[Pós CK (U/L)]]</f>
        <v>-</v>
      </c>
      <c r="O158" s="85" t="str">
        <f>Tabela1[[#This Row],[Pré CK MB U/L]]</f>
        <v>-</v>
      </c>
      <c r="P158" s="85" t="str">
        <f>Tabela1[[#This Row],[Pós CK MB U/L]]</f>
        <v>-</v>
      </c>
      <c r="Q158" s="85" t="str">
        <f>Tabela1[[#This Row],[Pré Lactato (mmol/L)]]</f>
        <v>-</v>
      </c>
      <c r="R158" s="85" t="str">
        <f>Tabela1[[#This Row],[Pós Lactato (mmol/L)]]</f>
        <v>-</v>
      </c>
      <c r="S158" s="85" t="str">
        <f>Tabela1[[#This Row],[Pré LDH (U/L)]]</f>
        <v>-</v>
      </c>
      <c r="T158" s="85" t="str">
        <f>Tabela1[[#This Row],[Pós LDH (U/L)]]</f>
        <v>-</v>
      </c>
      <c r="U158" s="85" t="str">
        <f>Tabela1[[#This Row],[Pré AST (U/L)]]</f>
        <v>-</v>
      </c>
      <c r="V158" s="193" t="str">
        <f>Tabela1[[#This Row],[Pós AST (U/L)]]</f>
        <v>-</v>
      </c>
      <c r="W158" s="194">
        <f>Tabela1[[#This Row],[Pré Albumina (g/dL)]]</f>
        <v>4.32</v>
      </c>
      <c r="X158" s="125" t="str">
        <f>Tabela1[[#This Row],[Pós Albumina (g/dL)]]</f>
        <v>-</v>
      </c>
      <c r="Y158" s="85" t="str">
        <f>Tabela1[[#This Row],[Pré TGP (g/dL)]]</f>
        <v>-</v>
      </c>
      <c r="Z158" s="85" t="str">
        <f>Tabela1[[#This Row],[Pós TGP (g/dL)]]</f>
        <v>-</v>
      </c>
      <c r="AA158" s="85" t="str">
        <f>Tabela1[[#This Row],[Pré GGT U/L]]</f>
        <v>-</v>
      </c>
      <c r="AB158" s="193" t="str">
        <f>Tabela1[[#This Row],[Pós GGT U/L]]</f>
        <v>-</v>
      </c>
      <c r="AC158" s="194">
        <f>Tabela1[[#This Row],[Pré Ac. Úrico (mg/dL)]]</f>
        <v>5.2</v>
      </c>
      <c r="AD158" s="125" t="str">
        <f>Tabela1[[#This Row],[Pós Ac. Úrico (mg/dL)2]]</f>
        <v>-</v>
      </c>
      <c r="AE15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114.70216226319162</v>
      </c>
      <c r="AF158" s="180" t="str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Dados Insuficientes</v>
      </c>
      <c r="AG158" s="85">
        <f>Tabela1[[#This Row],[Pré Ureia mg/dL]]</f>
        <v>50</v>
      </c>
      <c r="AH158" s="85" t="str">
        <f>Tabela1[[#This Row],[Pós Ureia mg/dL]]</f>
        <v>-</v>
      </c>
      <c r="AI158" s="125">
        <f>Tabela1[[#This Row],[Pré creatinina mg/dL]]</f>
        <v>0.93</v>
      </c>
      <c r="AJ158" s="125" t="str">
        <f>Tabela1[[#This Row],[Pós creatinina mg/dL]]</f>
        <v>-</v>
      </c>
      <c r="AK158" s="180" t="str">
        <f t="shared" si="8"/>
        <v>Dados Insuficientes</v>
      </c>
      <c r="AL158" s="125">
        <f>Tabela1[[#This Row],[Pré Fósforo mg/dL]]</f>
        <v>3.7</v>
      </c>
      <c r="AM158" s="125" t="str">
        <f>Tabela1[[#This Row],[Pós Fósforo mg/dL]]</f>
        <v>-</v>
      </c>
      <c r="AN158" s="125" t="str">
        <f>Tabela1[[#This Row],[Pré Proteína Total (g/dL)]]</f>
        <v>-</v>
      </c>
      <c r="AO158" s="125" t="str">
        <f>Tabela1[[#This Row],[Pós Proteína Total (g/dL)]]</f>
        <v>-</v>
      </c>
      <c r="AP158" s="85" t="str">
        <f>Tabela1[[#This Row],[Pré FE (ug/dL)]]</f>
        <v>-</v>
      </c>
      <c r="AQ158" s="193" t="str">
        <f>Tabela1[[#This Row],[Pós FE (ug/dL)]]</f>
        <v>-</v>
      </c>
      <c r="AR158" s="194">
        <f>Tabela1[[#This Row],[Pré calcio mg/dL]]</f>
        <v>8.6999999999999993</v>
      </c>
      <c r="AS158" s="125" t="str">
        <f>Tabela1[[#This Row],[Pós calcio mg/dL]]</f>
        <v>-</v>
      </c>
      <c r="AT158" s="125" t="str">
        <f>Tabela1[[#This Row],[Pré Potássio mmol/L]]</f>
        <v>-</v>
      </c>
      <c r="AU158" s="125" t="str">
        <f>Tabela1[[#This Row],[Pós Potássio mmol/L]]</f>
        <v>-</v>
      </c>
      <c r="AV158" s="85">
        <f>Tabela1[[#This Row],[Glicose pré]]</f>
        <v>81</v>
      </c>
      <c r="AW158" s="85" t="str">
        <f>Tabela1[[#This Row],[Glicose pós]]</f>
        <v>0</v>
      </c>
      <c r="AX158" s="85" t="str">
        <f>Tabela1[[#This Row],[Pré Sódio mmol/L]]</f>
        <v>-</v>
      </c>
      <c r="AY158" s="85" t="str">
        <f>Tabela1[[#This Row],[Pós Sódio mmol/L]]</f>
        <v>-</v>
      </c>
      <c r="AZ158" s="125" t="str">
        <f>Tabela1[[#This Row],[Pré Magnésio mg/dL]]</f>
        <v>-</v>
      </c>
      <c r="BA158" s="125" t="str">
        <f>Tabela1[[#This Row],[Pós Magnésio mg/dL]]</f>
        <v>-</v>
      </c>
      <c r="BB158" s="85" t="str">
        <f>Tabela1[[#This Row],[Pré Cloro mmol/L]]</f>
        <v>-</v>
      </c>
      <c r="BC158" s="85" t="str">
        <f>Tabela1[[#This Row],[Pós Cloro mmol/L]]</f>
        <v>-</v>
      </c>
      <c r="BD158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158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158" s="194">
        <f>Tabela1[[#This Row],[Pré RBC 10^6/mm³]]</f>
        <v>3.5</v>
      </c>
      <c r="BG158" s="125" t="str">
        <f>Tabela1[[#This Row],[Pós RBC 10^6/mm³]]</f>
        <v>-</v>
      </c>
      <c r="BH158" s="125">
        <f>Tabela1[[#This Row],[Pré HGB g/dL]]</f>
        <v>10.9</v>
      </c>
      <c r="BI158" s="125" t="str">
        <f>Tabela1[[#This Row],[Pós HGB g/dL]]</f>
        <v>-</v>
      </c>
      <c r="BJ158" s="125">
        <f>Tabela1[[#This Row],[Pré HCT %]]</f>
        <v>34.299999999999997</v>
      </c>
      <c r="BK158" s="125" t="str">
        <f>Tabela1[[#This Row],[Pós HCT %]]</f>
        <v>-</v>
      </c>
      <c r="BL158" s="125">
        <f>Tabela1[[#This Row],[Pré MCV fL]]</f>
        <v>99.1</v>
      </c>
      <c r="BM158" s="125" t="str">
        <f>Tabela1[[#This Row],[Pós MCV fL]]</f>
        <v>-</v>
      </c>
      <c r="BN158" s="125">
        <f>Tabela1[[#This Row],[Pré MCH pg]]</f>
        <v>31.5</v>
      </c>
      <c r="BO158" s="125" t="str">
        <f>Tabela1[[#This Row],[Pós MCH pg]]</f>
        <v>-</v>
      </c>
      <c r="BP158" s="125">
        <f>Tabela1[[#This Row],[Pré MCHC g/dL]]</f>
        <v>31.8</v>
      </c>
      <c r="BQ158" s="125" t="str">
        <f>Tabela1[[#This Row],[Pós MCHC g/dL]]</f>
        <v>-</v>
      </c>
      <c r="BR158" s="85">
        <f>Tabela1[[#This Row],[Pré PLT 10³/mm³]]</f>
        <v>237</v>
      </c>
      <c r="BS158" s="85" t="str">
        <f>Tabela1[[#This Row],[Pós PLT 10³/mm³]]</f>
        <v>-</v>
      </c>
      <c r="BT158" s="125">
        <f>Tabela1[[#This Row],[Pré RDW %]]</f>
        <v>13.5</v>
      </c>
      <c r="BU158" s="125" t="str">
        <f>Tabela1[[#This Row],[Pós RDW %]]</f>
        <v>-</v>
      </c>
      <c r="BV158" s="179" t="str">
        <f>Tabela1[[#This Row],[Pré RET %]]</f>
        <v>-</v>
      </c>
      <c r="BW158" s="196" t="str">
        <f>Tabela1[[#This Row],[Pós RET %]]</f>
        <v>-</v>
      </c>
      <c r="BX158" s="197">
        <f>Tabela1[[#This Row],[Pré WBC 10³/mm³]]</f>
        <v>8.91</v>
      </c>
      <c r="BY158" s="179" t="str">
        <f>Tabela1[[#This Row],[Pós WBC 10³/mm³]]</f>
        <v>-</v>
      </c>
      <c r="BZ158" s="125">
        <f>Tabela1[[#This Row],[Pré NEUT %]]</f>
        <v>80</v>
      </c>
      <c r="CA158" s="125" t="str">
        <f>Tabela1[[#This Row],[Pós NEUT %]]</f>
        <v>-</v>
      </c>
      <c r="CB158" s="125">
        <f>Tabela1[[#This Row],[Pré LINF %]]</f>
        <v>13</v>
      </c>
      <c r="CC158" s="125" t="str">
        <f>Tabela1[[#This Row],[Pós LINF %]]</f>
        <v>-</v>
      </c>
      <c r="CD158" s="125">
        <f>Tabela1[[#This Row],[Pré MONO %]]</f>
        <v>6</v>
      </c>
      <c r="CE158" s="125" t="str">
        <f>Tabela1[[#This Row],[Pós MONO %]]</f>
        <v>-</v>
      </c>
      <c r="CF158" s="125">
        <f>Tabela1[[#This Row],[Pré EOS %]]</f>
        <v>1</v>
      </c>
      <c r="CG158" s="125" t="str">
        <f>Tabela1[[#This Row],[Pós EOS %]]</f>
        <v>-</v>
      </c>
      <c r="CH158" s="125" t="str">
        <f>Tabela1[[#This Row],[Pré BASO %]]</f>
        <v>-</v>
      </c>
      <c r="CI158" s="198" t="str">
        <f>Tabela1[[#This Row],[Pós BASO %]]</f>
        <v>-</v>
      </c>
      <c r="CJ158" s="199" t="str">
        <f t="shared" si="9"/>
        <v>Dados insuficientes</v>
      </c>
      <c r="CK158" s="200" t="str">
        <f t="shared" si="10"/>
        <v>SIM</v>
      </c>
      <c r="CL158" s="194">
        <f t="shared" si="11"/>
        <v>67.787359999999993</v>
      </c>
      <c r="CM158" s="125">
        <f>Tabela1[[#This Row],[MCT KG]]</f>
        <v>79.599999999999994</v>
      </c>
      <c r="CN158" s="85">
        <f>Tabela1[[#This Row],[ESTATURA]]</f>
        <v>182</v>
      </c>
      <c r="CO158" s="85">
        <f>Tabela1[[#This Row],[vo2max estimado]]</f>
        <v>51.21</v>
      </c>
      <c r="CP158" s="85">
        <f>Tabela1[[#This Row],[Handgrip     Dominante]]</f>
        <v>51</v>
      </c>
      <c r="CQ158" s="85">
        <f>Tabela1[[#This Row],[Handgrip Contrário]]</f>
        <v>49</v>
      </c>
      <c r="CR158" s="281">
        <f>Tabela1[[#This Row],[% gordura]]</f>
        <v>14.84</v>
      </c>
    </row>
    <row r="159" spans="1:96" ht="15.75" customHeight="1">
      <c r="A159" s="279">
        <f>Tabela1[[#This Row],[Ano]]</f>
        <v>2018</v>
      </c>
      <c r="B159" s="181" t="str">
        <f>Tabela1[[#This Row],[Missão]]</f>
        <v>Ladário</v>
      </c>
      <c r="C159" s="181">
        <f>Tabela1[[#This Row],[Aluno]]</f>
        <v>3175</v>
      </c>
      <c r="D159" s="181">
        <f>Tabela1[[#This Row],[Idade]]</f>
        <v>32</v>
      </c>
      <c r="E159" s="182">
        <f>Tabela1[[#This Row],[Peso Kg]]</f>
        <v>96</v>
      </c>
      <c r="F159" s="191">
        <f>Tabela1[[#This Row],[Cor da pele]]</f>
        <v>2</v>
      </c>
      <c r="G159" s="192" t="str">
        <f>Tabela1[[#This Row],[ACTN3]]</f>
        <v>RX</v>
      </c>
      <c r="H159" s="85" t="str">
        <f>Tabela1[[#This Row],[AGT]]</f>
        <v>MM</v>
      </c>
      <c r="I159" s="85" t="str">
        <f>Tabela1[[#This Row],[ECA]]</f>
        <v>ID</v>
      </c>
      <c r="J159" s="85" t="str">
        <f>Tabela1[[#This Row],[BDKRB2]]</f>
        <v>(+9,+9)</v>
      </c>
      <c r="K159" s="85">
        <f>Tabela1[[#This Row],[Score Força%]]</f>
        <v>45.8333333333333</v>
      </c>
      <c r="L159" s="193">
        <f>Tabela1[[#This Row],[Score Resistência %]]</f>
        <v>54.1666666666667</v>
      </c>
      <c r="M159" s="192">
        <f>Tabela1[[#This Row],[Pré CK (U/L)]]</f>
        <v>473</v>
      </c>
      <c r="N159" s="85">
        <f>Tabela1[[#This Row],[Pós CK (U/L)]]</f>
        <v>1239</v>
      </c>
      <c r="O159" s="85" t="str">
        <f>Tabela1[[#This Row],[Pré CK MB U/L]]</f>
        <v>-</v>
      </c>
      <c r="P159" s="85" t="str">
        <f>Tabela1[[#This Row],[Pós CK MB U/L]]</f>
        <v>-</v>
      </c>
      <c r="Q159" s="85" t="str">
        <f>Tabela1[[#This Row],[Pré Lactato (mmol/L)]]</f>
        <v>-</v>
      </c>
      <c r="R159" s="85" t="str">
        <f>Tabela1[[#This Row],[Pós Lactato (mmol/L)]]</f>
        <v>-</v>
      </c>
      <c r="S159" s="85" t="str">
        <f>Tabela1[[#This Row],[Pré LDH (U/L)]]</f>
        <v>-</v>
      </c>
      <c r="T159" s="85" t="str">
        <f>Tabela1[[#This Row],[Pós LDH (U/L)]]</f>
        <v>-</v>
      </c>
      <c r="U159" s="85" t="str">
        <f>Tabela1[[#This Row],[Pré AST (U/L)]]</f>
        <v>-</v>
      </c>
      <c r="V159" s="193" t="str">
        <f>Tabela1[[#This Row],[Pós AST (U/L)]]</f>
        <v>-</v>
      </c>
      <c r="W159" s="194">
        <f>Tabela1[[#This Row],[Pré Albumina (g/dL)]]</f>
        <v>4.09</v>
      </c>
      <c r="X159" s="125">
        <f>Tabela1[[#This Row],[Pós Albumina (g/dL)]]</f>
        <v>4.2</v>
      </c>
      <c r="Y159" s="85" t="str">
        <f>Tabela1[[#This Row],[Pré TGP (g/dL)]]</f>
        <v>-</v>
      </c>
      <c r="Z159" s="85" t="str">
        <f>Tabela1[[#This Row],[Pós TGP (g/dL)]]</f>
        <v>-</v>
      </c>
      <c r="AA159" s="85" t="str">
        <f>Tabela1[[#This Row],[Pré GGT U/L]]</f>
        <v>-</v>
      </c>
      <c r="AB159" s="193" t="str">
        <f>Tabela1[[#This Row],[Pós GGT U/L]]</f>
        <v>-</v>
      </c>
      <c r="AC159" s="194">
        <f>Tabela1[[#This Row],[Pré Ac. Úrico (mg/dL)]]</f>
        <v>4.9000000000000004</v>
      </c>
      <c r="AD159" s="125">
        <f>Tabela1[[#This Row],[Pós Ac. Úrico (mg/dL)2]]</f>
        <v>5.4</v>
      </c>
      <c r="AE15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111.81055850665446</v>
      </c>
      <c r="AF159" s="180" t="str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Dados Insuficientes</v>
      </c>
      <c r="AG159" s="85">
        <f>Tabela1[[#This Row],[Pré Ureia mg/dL]]</f>
        <v>40</v>
      </c>
      <c r="AH159" s="85">
        <f>Tabela1[[#This Row],[Pós Ureia mg/dL]]</f>
        <v>40</v>
      </c>
      <c r="AI159" s="125">
        <f>Tabela1[[#This Row],[Pré creatinina mg/dL]]</f>
        <v>0.95</v>
      </c>
      <c r="AJ159" s="125" t="str">
        <f>Tabela1[[#This Row],[Pós creatinina mg/dL]]</f>
        <v>-</v>
      </c>
      <c r="AK159" s="180" t="str">
        <f t="shared" si="8"/>
        <v>Dados Insuficientes</v>
      </c>
      <c r="AL159" s="125">
        <f>Tabela1[[#This Row],[Pré Fósforo mg/dL]]</f>
        <v>3.95</v>
      </c>
      <c r="AM159" s="125">
        <f>Tabela1[[#This Row],[Pós Fósforo mg/dL]]</f>
        <v>3.7</v>
      </c>
      <c r="AN159" s="125" t="str">
        <f>Tabela1[[#This Row],[Pré Proteína Total (g/dL)]]</f>
        <v>-</v>
      </c>
      <c r="AO159" s="125" t="str">
        <f>Tabela1[[#This Row],[Pós Proteína Total (g/dL)]]</f>
        <v>-</v>
      </c>
      <c r="AP159" s="85" t="str">
        <f>Tabela1[[#This Row],[Pré FE (ug/dL)]]</f>
        <v>-</v>
      </c>
      <c r="AQ159" s="193" t="str">
        <f>Tabela1[[#This Row],[Pós FE (ug/dL)]]</f>
        <v>-</v>
      </c>
      <c r="AR159" s="194">
        <f>Tabela1[[#This Row],[Pré calcio mg/dL]]</f>
        <v>8.8000000000000007</v>
      </c>
      <c r="AS159" s="125">
        <f>Tabela1[[#This Row],[Pós calcio mg/dL]]</f>
        <v>10.3</v>
      </c>
      <c r="AT159" s="125" t="str">
        <f>Tabela1[[#This Row],[Pré Potássio mmol/L]]</f>
        <v>-</v>
      </c>
      <c r="AU159" s="125" t="str">
        <f>Tabela1[[#This Row],[Pós Potássio mmol/L]]</f>
        <v>-</v>
      </c>
      <c r="AV159" s="85">
        <f>Tabela1[[#This Row],[Glicose pré]]</f>
        <v>93</v>
      </c>
      <c r="AW159" s="85">
        <f>Tabela1[[#This Row],[Glicose pós]]</f>
        <v>86</v>
      </c>
      <c r="AX159" s="85" t="str">
        <f>Tabela1[[#This Row],[Pré Sódio mmol/L]]</f>
        <v>-</v>
      </c>
      <c r="AY159" s="85" t="str">
        <f>Tabela1[[#This Row],[Pós Sódio mmol/L]]</f>
        <v>-</v>
      </c>
      <c r="AZ159" s="125" t="str">
        <f>Tabela1[[#This Row],[Pré Magnésio mg/dL]]</f>
        <v>-</v>
      </c>
      <c r="BA159" s="125" t="str">
        <f>Tabela1[[#This Row],[Pós Magnésio mg/dL]]</f>
        <v>-</v>
      </c>
      <c r="BB159" s="85" t="str">
        <f>Tabela1[[#This Row],[Pré Cloro mmol/L]]</f>
        <v>-</v>
      </c>
      <c r="BC159" s="85" t="str">
        <f>Tabela1[[#This Row],[Pós Cloro mmol/L]]</f>
        <v>-</v>
      </c>
      <c r="BD159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159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159" s="194">
        <f>Tabela1[[#This Row],[Pré RBC 10^6/mm³]]</f>
        <v>4.5</v>
      </c>
      <c r="BG159" s="125">
        <f>Tabela1[[#This Row],[Pós RBC 10^6/mm³]]</f>
        <v>4.4000000000000004</v>
      </c>
      <c r="BH159" s="125">
        <f>Tabela1[[#This Row],[Pré HGB g/dL]]</f>
        <v>13.3</v>
      </c>
      <c r="BI159" s="125">
        <f>Tabela1[[#This Row],[Pós HGB g/dL]]</f>
        <v>13.2</v>
      </c>
      <c r="BJ159" s="125">
        <f>Tabela1[[#This Row],[Pré HCT %]]</f>
        <v>41.4</v>
      </c>
      <c r="BK159" s="125">
        <f>Tabela1[[#This Row],[Pós HCT %]]</f>
        <v>40.700000000000003</v>
      </c>
      <c r="BL159" s="125">
        <f>Tabela1[[#This Row],[Pré MCV fL]]</f>
        <v>92</v>
      </c>
      <c r="BM159" s="125">
        <f>Tabela1[[#This Row],[Pós MCV fL]]</f>
        <v>91.7</v>
      </c>
      <c r="BN159" s="125">
        <f>Tabela1[[#This Row],[Pré MCH pg]]</f>
        <v>29.6</v>
      </c>
      <c r="BO159" s="125">
        <f>Tabela1[[#This Row],[Pós MCH pg]]</f>
        <v>29.7</v>
      </c>
      <c r="BP159" s="125">
        <f>Tabela1[[#This Row],[Pré MCHC g/dL]]</f>
        <v>32.1</v>
      </c>
      <c r="BQ159" s="125">
        <f>Tabela1[[#This Row],[Pós MCHC g/dL]]</f>
        <v>32.4</v>
      </c>
      <c r="BR159" s="85">
        <f>Tabela1[[#This Row],[Pré PLT 10³/mm³]]</f>
        <v>193</v>
      </c>
      <c r="BS159" s="85">
        <f>Tabela1[[#This Row],[Pós PLT 10³/mm³]]</f>
        <v>179</v>
      </c>
      <c r="BT159" s="125">
        <f>Tabela1[[#This Row],[Pré RDW %]]</f>
        <v>13.3</v>
      </c>
      <c r="BU159" s="125">
        <f>Tabela1[[#This Row],[Pós RDW %]]</f>
        <v>13</v>
      </c>
      <c r="BV159" s="179" t="str">
        <f>Tabela1[[#This Row],[Pré RET %]]</f>
        <v>-</v>
      </c>
      <c r="BW159" s="196" t="str">
        <f>Tabela1[[#This Row],[Pós RET %]]</f>
        <v>-</v>
      </c>
      <c r="BX159" s="197">
        <f>Tabela1[[#This Row],[Pré WBC 10³/mm³]]</f>
        <v>6.22</v>
      </c>
      <c r="BY159" s="179">
        <f>Tabela1[[#This Row],[Pós WBC 10³/mm³]]</f>
        <v>6.35</v>
      </c>
      <c r="BZ159" s="125">
        <f>Tabela1[[#This Row],[Pré NEUT %]]</f>
        <v>60</v>
      </c>
      <c r="CA159" s="125">
        <f>Tabela1[[#This Row],[Pós NEUT %]]</f>
        <v>52</v>
      </c>
      <c r="CB159" s="125">
        <f>Tabela1[[#This Row],[Pré LINF %]]</f>
        <v>29</v>
      </c>
      <c r="CC159" s="125">
        <f>Tabela1[[#This Row],[Pós LINF %]]</f>
        <v>37</v>
      </c>
      <c r="CD159" s="125">
        <f>Tabela1[[#This Row],[Pré MONO %]]</f>
        <v>8</v>
      </c>
      <c r="CE159" s="125">
        <f>Tabela1[[#This Row],[Pós MONO %]]</f>
        <v>8</v>
      </c>
      <c r="CF159" s="125">
        <f>Tabela1[[#This Row],[Pré EOS %]]</f>
        <v>3</v>
      </c>
      <c r="CG159" s="125">
        <f>Tabela1[[#This Row],[Pós EOS %]]</f>
        <v>3</v>
      </c>
      <c r="CH159" s="125">
        <f>Tabela1[[#This Row],[Pré BASO %]]</f>
        <v>0</v>
      </c>
      <c r="CI159" s="198">
        <f>Tabela1[[#This Row],[Pós BASO %]]</f>
        <v>0</v>
      </c>
      <c r="CJ159" s="199" t="str">
        <f t="shared" si="9"/>
        <v>Dados insuficientes</v>
      </c>
      <c r="CK159" s="200" t="str">
        <f t="shared" si="10"/>
        <v>SIM</v>
      </c>
      <c r="CL159" s="194">
        <f t="shared" si="11"/>
        <v>82.029080000000008</v>
      </c>
      <c r="CM159" s="125">
        <f>Tabela1[[#This Row],[MCT KG]]</f>
        <v>90.7</v>
      </c>
      <c r="CN159" s="85">
        <f>Tabela1[[#This Row],[ESTATURA]]</f>
        <v>191</v>
      </c>
      <c r="CO159" s="85">
        <f>Tabela1[[#This Row],[vo2max estimado]]</f>
        <v>50.01</v>
      </c>
      <c r="CP159" s="85">
        <f>Tabela1[[#This Row],[Handgrip     Dominante]]</f>
        <v>56.5</v>
      </c>
      <c r="CQ159" s="85">
        <f>Tabela1[[#This Row],[Handgrip Contrário]]</f>
        <v>54.5</v>
      </c>
      <c r="CR159" s="281">
        <f>Tabela1[[#This Row],[% gordura]]</f>
        <v>9.56</v>
      </c>
    </row>
    <row r="160" spans="1:96" ht="15.75" customHeight="1">
      <c r="A160" s="279">
        <f>Tabela1[[#This Row],[Ano]]</f>
        <v>2018</v>
      </c>
      <c r="B160" s="181" t="str">
        <f>Tabela1[[#This Row],[Missão]]</f>
        <v>Ladário</v>
      </c>
      <c r="C160" s="181">
        <f>Tabela1[[#This Row],[Aluno]]</f>
        <v>3181</v>
      </c>
      <c r="D160" s="181">
        <f>Tabela1[[#This Row],[Idade]]</f>
        <v>28</v>
      </c>
      <c r="E160" s="182">
        <f>Tabela1[[#This Row],[Peso Kg]]</f>
        <v>82</v>
      </c>
      <c r="F160" s="191">
        <f>Tabela1[[#This Row],[Cor da pele]]</f>
        <v>1</v>
      </c>
      <c r="G160" s="192" t="str">
        <f>Tabela1[[#This Row],[ACTN3]]</f>
        <v>RX</v>
      </c>
      <c r="H160" s="85" t="str">
        <f>Tabela1[[#This Row],[AGT]]</f>
        <v>MT</v>
      </c>
      <c r="I160" s="85" t="str">
        <f>Tabela1[[#This Row],[ECA]]</f>
        <v>ID</v>
      </c>
      <c r="J160" s="85" t="str">
        <f>Tabela1[[#This Row],[BDKRB2]]</f>
        <v>(+9,-9)</v>
      </c>
      <c r="K160" s="85">
        <f>Tabela1[[#This Row],[Score Força%]]</f>
        <v>54.1666666666667</v>
      </c>
      <c r="L160" s="193">
        <f>Tabela1[[#This Row],[Score Resistência %]]</f>
        <v>45.8333333333333</v>
      </c>
      <c r="M160" s="192">
        <f>Tabela1[[#This Row],[Pré CK (U/L)]]</f>
        <v>433</v>
      </c>
      <c r="N160" s="85">
        <f>Tabela1[[#This Row],[Pós CK (U/L)]]</f>
        <v>1125</v>
      </c>
      <c r="O160" s="85" t="str">
        <f>Tabela1[[#This Row],[Pré CK MB U/L]]</f>
        <v>-</v>
      </c>
      <c r="P160" s="85" t="str">
        <f>Tabela1[[#This Row],[Pós CK MB U/L]]</f>
        <v>-</v>
      </c>
      <c r="Q160" s="85" t="str">
        <f>Tabela1[[#This Row],[Pré Lactato (mmol/L)]]</f>
        <v>-</v>
      </c>
      <c r="R160" s="85" t="str">
        <f>Tabela1[[#This Row],[Pós Lactato (mmol/L)]]</f>
        <v>-</v>
      </c>
      <c r="S160" s="85" t="str">
        <f>Tabela1[[#This Row],[Pré LDH (U/L)]]</f>
        <v>-</v>
      </c>
      <c r="T160" s="85" t="str">
        <f>Tabela1[[#This Row],[Pós LDH (U/L)]]</f>
        <v>-</v>
      </c>
      <c r="U160" s="85" t="str">
        <f>Tabela1[[#This Row],[Pré AST (U/L)]]</f>
        <v>-</v>
      </c>
      <c r="V160" s="193" t="str">
        <f>Tabela1[[#This Row],[Pós AST (U/L)]]</f>
        <v>-</v>
      </c>
      <c r="W160" s="194">
        <f>Tabela1[[#This Row],[Pré Albumina (g/dL)]]</f>
        <v>4.0199999999999996</v>
      </c>
      <c r="X160" s="125">
        <f>Tabela1[[#This Row],[Pós Albumina (g/dL)]]</f>
        <v>3.5</v>
      </c>
      <c r="Y160" s="85" t="str">
        <f>Tabela1[[#This Row],[Pré TGP (g/dL)]]</f>
        <v>-</v>
      </c>
      <c r="Z160" s="85" t="str">
        <f>Tabela1[[#This Row],[Pós TGP (g/dL)]]</f>
        <v>-</v>
      </c>
      <c r="AA160" s="85" t="str">
        <f>Tabela1[[#This Row],[Pré GGT U/L]]</f>
        <v>-</v>
      </c>
      <c r="AB160" s="193" t="str">
        <f>Tabela1[[#This Row],[Pós GGT U/L]]</f>
        <v>-</v>
      </c>
      <c r="AC160" s="194">
        <f>Tabela1[[#This Row],[Pré Ac. Úrico (mg/dL)]]</f>
        <v>4.5</v>
      </c>
      <c r="AD160" s="125">
        <f>Tabela1[[#This Row],[Pós Ac. Úrico (mg/dL)2]]</f>
        <v>5.0999999999999996</v>
      </c>
      <c r="AE16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100.30235640269777</v>
      </c>
      <c r="AF160" s="180" t="str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Dados Insuficientes</v>
      </c>
      <c r="AG160" s="85">
        <f>Tabela1[[#This Row],[Pré Ureia mg/dL]]</f>
        <v>41</v>
      </c>
      <c r="AH160" s="85">
        <f>Tabela1[[#This Row],[Pós Ureia mg/dL]]</f>
        <v>43</v>
      </c>
      <c r="AI160" s="125">
        <f>Tabela1[[#This Row],[Pré creatinina mg/dL]]</f>
        <v>1.04</v>
      </c>
      <c r="AJ160" s="125" t="str">
        <f>Tabela1[[#This Row],[Pós creatinina mg/dL]]</f>
        <v>-</v>
      </c>
      <c r="AK160" s="180" t="str">
        <f t="shared" si="8"/>
        <v>Dados Insuficientes</v>
      </c>
      <c r="AL160" s="125">
        <f>Tabela1[[#This Row],[Pré Fósforo mg/dL]]</f>
        <v>4.38</v>
      </c>
      <c r="AM160" s="125">
        <f>Tabela1[[#This Row],[Pós Fósforo mg/dL]]</f>
        <v>2.6</v>
      </c>
      <c r="AN160" s="125" t="str">
        <f>Tabela1[[#This Row],[Pré Proteína Total (g/dL)]]</f>
        <v>-</v>
      </c>
      <c r="AO160" s="125" t="str">
        <f>Tabela1[[#This Row],[Pós Proteína Total (g/dL)]]</f>
        <v>-</v>
      </c>
      <c r="AP160" s="85" t="str">
        <f>Tabela1[[#This Row],[Pré FE (ug/dL)]]</f>
        <v>-</v>
      </c>
      <c r="AQ160" s="193" t="str">
        <f>Tabela1[[#This Row],[Pós FE (ug/dL)]]</f>
        <v>-</v>
      </c>
      <c r="AR160" s="194">
        <f>Tabela1[[#This Row],[Pré calcio mg/dL]]</f>
        <v>9.1999999999999993</v>
      </c>
      <c r="AS160" s="125">
        <f>Tabela1[[#This Row],[Pós calcio mg/dL]]</f>
        <v>10.1</v>
      </c>
      <c r="AT160" s="125" t="str">
        <f>Tabela1[[#This Row],[Pré Potássio mmol/L]]</f>
        <v>-</v>
      </c>
      <c r="AU160" s="125" t="str">
        <f>Tabela1[[#This Row],[Pós Potássio mmol/L]]</f>
        <v>-</v>
      </c>
      <c r="AV160" s="85">
        <f>Tabela1[[#This Row],[Glicose pré]]</f>
        <v>83</v>
      </c>
      <c r="AW160" s="85">
        <f>Tabela1[[#This Row],[Glicose pós]]</f>
        <v>82</v>
      </c>
      <c r="AX160" s="85" t="str">
        <f>Tabela1[[#This Row],[Pré Sódio mmol/L]]</f>
        <v>-</v>
      </c>
      <c r="AY160" s="85" t="str">
        <f>Tabela1[[#This Row],[Pós Sódio mmol/L]]</f>
        <v>-</v>
      </c>
      <c r="AZ160" s="125" t="str">
        <f>Tabela1[[#This Row],[Pré Magnésio mg/dL]]</f>
        <v>-</v>
      </c>
      <c r="BA160" s="125" t="str">
        <f>Tabela1[[#This Row],[Pós Magnésio mg/dL]]</f>
        <v>-</v>
      </c>
      <c r="BB160" s="85" t="str">
        <f>Tabela1[[#This Row],[Pré Cloro mmol/L]]</f>
        <v>-</v>
      </c>
      <c r="BC160" s="85" t="str">
        <f>Tabela1[[#This Row],[Pós Cloro mmol/L]]</f>
        <v>-</v>
      </c>
      <c r="BD160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160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160" s="194">
        <f>Tabela1[[#This Row],[Pré RBC 10^6/mm³]]</f>
        <v>4.5</v>
      </c>
      <c r="BG160" s="125">
        <f>Tabela1[[#This Row],[Pós RBC 10^6/mm³]]</f>
        <v>4.7</v>
      </c>
      <c r="BH160" s="125">
        <f>Tabela1[[#This Row],[Pré HGB g/dL]]</f>
        <v>13.8</v>
      </c>
      <c r="BI160" s="125">
        <f>Tabela1[[#This Row],[Pós HGB g/dL]]</f>
        <v>14.4</v>
      </c>
      <c r="BJ160" s="125">
        <f>Tabela1[[#This Row],[Pré HCT %]]</f>
        <v>41.6</v>
      </c>
      <c r="BK160" s="125">
        <f>Tabela1[[#This Row],[Pós HCT %]]</f>
        <v>43.6</v>
      </c>
      <c r="BL160" s="125">
        <f>Tabela1[[#This Row],[Pré MCV fL]]</f>
        <v>93.5</v>
      </c>
      <c r="BM160" s="125">
        <f>Tabela1[[#This Row],[Pós MCV fL]]</f>
        <v>93.6</v>
      </c>
      <c r="BN160" s="125">
        <f>Tabela1[[#This Row],[Pré MCH pg]]</f>
        <v>31</v>
      </c>
      <c r="BO160" s="125">
        <f>Tabela1[[#This Row],[Pós MCH pg]]</f>
        <v>30.9</v>
      </c>
      <c r="BP160" s="125">
        <f>Tabela1[[#This Row],[Pré MCHC g/dL]]</f>
        <v>33.200000000000003</v>
      </c>
      <c r="BQ160" s="125">
        <f>Tabela1[[#This Row],[Pós MCHC g/dL]]</f>
        <v>33</v>
      </c>
      <c r="BR160" s="85">
        <f>Tabela1[[#This Row],[Pré PLT 10³/mm³]]</f>
        <v>242</v>
      </c>
      <c r="BS160" s="85">
        <f>Tabela1[[#This Row],[Pós PLT 10³/mm³]]</f>
        <v>273</v>
      </c>
      <c r="BT160" s="125">
        <f>Tabela1[[#This Row],[Pré RDW %]]</f>
        <v>12.7</v>
      </c>
      <c r="BU160" s="125">
        <f>Tabela1[[#This Row],[Pós RDW %]]</f>
        <v>12.7</v>
      </c>
      <c r="BV160" s="179" t="str">
        <f>Tabela1[[#This Row],[Pré RET %]]</f>
        <v>-</v>
      </c>
      <c r="BW160" s="196" t="str">
        <f>Tabela1[[#This Row],[Pós RET %]]</f>
        <v>-</v>
      </c>
      <c r="BX160" s="197">
        <f>Tabela1[[#This Row],[Pré WBC 10³/mm³]]</f>
        <v>10.199999999999999</v>
      </c>
      <c r="BY160" s="179">
        <f>Tabela1[[#This Row],[Pós WBC 10³/mm³]]</f>
        <v>8.43</v>
      </c>
      <c r="BZ160" s="125">
        <f>Tabela1[[#This Row],[Pré NEUT %]]</f>
        <v>78</v>
      </c>
      <c r="CA160" s="125">
        <f>Tabela1[[#This Row],[Pós NEUT %]]</f>
        <v>67</v>
      </c>
      <c r="CB160" s="125">
        <f>Tabela1[[#This Row],[Pré LINF %]]</f>
        <v>13</v>
      </c>
      <c r="CC160" s="125">
        <f>Tabela1[[#This Row],[Pós LINF %]]</f>
        <v>22</v>
      </c>
      <c r="CD160" s="125">
        <f>Tabela1[[#This Row],[Pré MONO %]]</f>
        <v>7</v>
      </c>
      <c r="CE160" s="125">
        <f>Tabela1[[#This Row],[Pós MONO %]]</f>
        <v>9</v>
      </c>
      <c r="CF160" s="125">
        <f>Tabela1[[#This Row],[Pré EOS %]]</f>
        <v>2</v>
      </c>
      <c r="CG160" s="125">
        <f>Tabela1[[#This Row],[Pós EOS %]]</f>
        <v>2</v>
      </c>
      <c r="CH160" s="125">
        <f>Tabela1[[#This Row],[Pré BASO %]]</f>
        <v>0</v>
      </c>
      <c r="CI160" s="198">
        <f>Tabela1[[#This Row],[Pós BASO %]]</f>
        <v>0</v>
      </c>
      <c r="CJ160" s="199" t="str">
        <f t="shared" si="9"/>
        <v>Dados insuficientes</v>
      </c>
      <c r="CK160" s="200" t="str">
        <f t="shared" si="10"/>
        <v>SIM</v>
      </c>
      <c r="CL160" s="194">
        <f t="shared" si="11"/>
        <v>77.353679999999997</v>
      </c>
      <c r="CM160" s="125">
        <f>Tabela1[[#This Row],[MCT KG]]</f>
        <v>84.3</v>
      </c>
      <c r="CN160" s="85">
        <f>Tabela1[[#This Row],[ESTATURA]]</f>
        <v>190</v>
      </c>
      <c r="CO160" s="85">
        <f>Tabela1[[#This Row],[vo2max estimado]]</f>
        <v>51.12</v>
      </c>
      <c r="CP160" s="85">
        <f>Tabela1[[#This Row],[Handgrip     Dominante]]</f>
        <v>54.5</v>
      </c>
      <c r="CQ160" s="85">
        <f>Tabela1[[#This Row],[Handgrip Contrário]]</f>
        <v>50.5</v>
      </c>
      <c r="CR160" s="281">
        <f>Tabela1[[#This Row],[% gordura]]</f>
        <v>8.24</v>
      </c>
    </row>
    <row r="161" spans="1:96" ht="15.75" customHeight="1">
      <c r="A161" s="279">
        <f>Tabela1[[#This Row],[Ano]]</f>
        <v>2018</v>
      </c>
      <c r="B161" s="181" t="str">
        <f>Tabela1[[#This Row],[Missão]]</f>
        <v>Ladário</v>
      </c>
      <c r="C161" s="181">
        <f>Tabela1[[#This Row],[Aluno]]</f>
        <v>3183</v>
      </c>
      <c r="D161" s="181">
        <f>Tabela1[[#This Row],[Idade]]</f>
        <v>26</v>
      </c>
      <c r="E161" s="182">
        <f>Tabela1[[#This Row],[Peso Kg]]</f>
        <v>90</v>
      </c>
      <c r="F161" s="191">
        <f>Tabela1[[#This Row],[Cor da pele]]</f>
        <v>1</v>
      </c>
      <c r="G161" s="192" t="str">
        <f>Tabela1[[#This Row],[ACTN3]]</f>
        <v>-</v>
      </c>
      <c r="H161" s="85" t="str">
        <f>Tabela1[[#This Row],[AGT]]</f>
        <v>-</v>
      </c>
      <c r="I161" s="85" t="str">
        <f>Tabela1[[#This Row],[ECA]]</f>
        <v>-</v>
      </c>
      <c r="J161" s="85" t="str">
        <f>Tabela1[[#This Row],[BDKRB2]]</f>
        <v>-</v>
      </c>
      <c r="K161" s="85" t="str">
        <f>Tabela1[[#This Row],[Score Força%]]</f>
        <v>-</v>
      </c>
      <c r="L161" s="193" t="str">
        <f>Tabela1[[#This Row],[Score Resistência %]]</f>
        <v>-</v>
      </c>
      <c r="M161" s="192">
        <f>Tabela1[[#This Row],[Pré CK (U/L)]]</f>
        <v>285</v>
      </c>
      <c r="N161" s="85">
        <f>Tabela1[[#This Row],[Pós CK (U/L)]]</f>
        <v>971</v>
      </c>
      <c r="O161" s="85" t="str">
        <f>Tabela1[[#This Row],[Pré CK MB U/L]]</f>
        <v>-</v>
      </c>
      <c r="P161" s="85" t="str">
        <f>Tabela1[[#This Row],[Pós CK MB U/L]]</f>
        <v>-</v>
      </c>
      <c r="Q161" s="85" t="str">
        <f>Tabela1[[#This Row],[Pré Lactato (mmol/L)]]</f>
        <v>-</v>
      </c>
      <c r="R161" s="85" t="str">
        <f>Tabela1[[#This Row],[Pós Lactato (mmol/L)]]</f>
        <v>-</v>
      </c>
      <c r="S161" s="85" t="str">
        <f>Tabela1[[#This Row],[Pré LDH (U/L)]]</f>
        <v>-</v>
      </c>
      <c r="T161" s="85" t="str">
        <f>Tabela1[[#This Row],[Pós LDH (U/L)]]</f>
        <v>-</v>
      </c>
      <c r="U161" s="85" t="str">
        <f>Tabela1[[#This Row],[Pré AST (U/L)]]</f>
        <v>-</v>
      </c>
      <c r="V161" s="193" t="str">
        <f>Tabela1[[#This Row],[Pós AST (U/L)]]</f>
        <v>-</v>
      </c>
      <c r="W161" s="194">
        <f>Tabela1[[#This Row],[Pré Albumina (g/dL)]]</f>
        <v>4.1100000000000003</v>
      </c>
      <c r="X161" s="125">
        <f>Tabela1[[#This Row],[Pós Albumina (g/dL)]]</f>
        <v>3.7</v>
      </c>
      <c r="Y161" s="85" t="str">
        <f>Tabela1[[#This Row],[Pré TGP (g/dL)]]</f>
        <v>-</v>
      </c>
      <c r="Z161" s="85" t="str">
        <f>Tabela1[[#This Row],[Pós TGP (g/dL)]]</f>
        <v>-</v>
      </c>
      <c r="AA161" s="85" t="str">
        <f>Tabela1[[#This Row],[Pré GGT U/L]]</f>
        <v>-</v>
      </c>
      <c r="AB161" s="193" t="str">
        <f>Tabela1[[#This Row],[Pós GGT U/L]]</f>
        <v>-</v>
      </c>
      <c r="AC161" s="194">
        <f>Tabela1[[#This Row],[Pré Ac. Úrico (mg/dL)]]</f>
        <v>5.6</v>
      </c>
      <c r="AD161" s="125">
        <f>Tabela1[[#This Row],[Pós Ac. Úrico (mg/dL)2]]</f>
        <v>6.1</v>
      </c>
      <c r="AE16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6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161" s="85">
        <f>Tabela1[[#This Row],[Pré Ureia mg/dL]]</f>
        <v>20</v>
      </c>
      <c r="AH161" s="85">
        <f>Tabela1[[#This Row],[Pós Ureia mg/dL]]</f>
        <v>29</v>
      </c>
      <c r="AI161" s="125">
        <f>Tabela1[[#This Row],[Pré creatinina mg/dL]]</f>
        <v>0.9</v>
      </c>
      <c r="AJ161" s="125">
        <f>Tabela1[[#This Row],[Pós creatinina mg/dL]]</f>
        <v>0.8</v>
      </c>
      <c r="AK161" s="180">
        <f t="shared" si="8"/>
        <v>0</v>
      </c>
      <c r="AL161" s="125">
        <f>Tabela1[[#This Row],[Pré Fósforo mg/dL]]</f>
        <v>3.98</v>
      </c>
      <c r="AM161" s="125">
        <f>Tabela1[[#This Row],[Pós Fósforo mg/dL]]</f>
        <v>5</v>
      </c>
      <c r="AN161" s="125" t="str">
        <f>Tabela1[[#This Row],[Pré Proteína Total (g/dL)]]</f>
        <v>-</v>
      </c>
      <c r="AO161" s="125" t="str">
        <f>Tabela1[[#This Row],[Pós Proteína Total (g/dL)]]</f>
        <v>-</v>
      </c>
      <c r="AP161" s="85" t="str">
        <f>Tabela1[[#This Row],[Pré FE (ug/dL)]]</f>
        <v>-</v>
      </c>
      <c r="AQ161" s="193" t="str">
        <f>Tabela1[[#This Row],[Pós FE (ug/dL)]]</f>
        <v>-</v>
      </c>
      <c r="AR161" s="194">
        <f>Tabela1[[#This Row],[Pré calcio mg/dL]]</f>
        <v>10</v>
      </c>
      <c r="AS161" s="125">
        <f>Tabela1[[#This Row],[Pós calcio mg/dL]]</f>
        <v>9.6</v>
      </c>
      <c r="AT161" s="125" t="str">
        <f>Tabela1[[#This Row],[Pré Potássio mmol/L]]</f>
        <v>-</v>
      </c>
      <c r="AU161" s="125" t="str">
        <f>Tabela1[[#This Row],[Pós Potássio mmol/L]]</f>
        <v>-</v>
      </c>
      <c r="AV161" s="85">
        <f>Tabela1[[#This Row],[Glicose pré]]</f>
        <v>83</v>
      </c>
      <c r="AW161" s="85">
        <f>Tabela1[[#This Row],[Glicose pós]]</f>
        <v>90</v>
      </c>
      <c r="AX161" s="85" t="str">
        <f>Tabela1[[#This Row],[Pré Sódio mmol/L]]</f>
        <v>-</v>
      </c>
      <c r="AY161" s="85" t="str">
        <f>Tabela1[[#This Row],[Pós Sódio mmol/L]]</f>
        <v>-</v>
      </c>
      <c r="AZ161" s="125" t="str">
        <f>Tabela1[[#This Row],[Pré Magnésio mg/dL]]</f>
        <v>-</v>
      </c>
      <c r="BA161" s="125" t="str">
        <f>Tabela1[[#This Row],[Pós Magnésio mg/dL]]</f>
        <v>-</v>
      </c>
      <c r="BB161" s="85" t="str">
        <f>Tabela1[[#This Row],[Pré Cloro mmol/L]]</f>
        <v>-</v>
      </c>
      <c r="BC161" s="85" t="str">
        <f>Tabela1[[#This Row],[Pós Cloro mmol/L]]</f>
        <v>-</v>
      </c>
      <c r="BD161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161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161" s="194">
        <f>Tabela1[[#This Row],[Pré RBC 10^6/mm³]]</f>
        <v>4.4000000000000004</v>
      </c>
      <c r="BG161" s="125">
        <f>Tabela1[[#This Row],[Pós RBC 10^6/mm³]]</f>
        <v>4.3</v>
      </c>
      <c r="BH161" s="125">
        <f>Tabela1[[#This Row],[Pré HGB g/dL]]</f>
        <v>13.1</v>
      </c>
      <c r="BI161" s="125">
        <f>Tabela1[[#This Row],[Pós HGB g/dL]]</f>
        <v>12.8</v>
      </c>
      <c r="BJ161" s="125">
        <f>Tabela1[[#This Row],[Pré HCT %]]</f>
        <v>39.6</v>
      </c>
      <c r="BK161" s="125">
        <f>Tabela1[[#This Row],[Pós HCT %]]</f>
        <v>38.4</v>
      </c>
      <c r="BL161" s="125">
        <f>Tabela1[[#This Row],[Pré MCV fL]]</f>
        <v>89.8</v>
      </c>
      <c r="BM161" s="125">
        <f>Tabela1[[#This Row],[Pós MCV fL]]</f>
        <v>89.1</v>
      </c>
      <c r="BN161" s="125">
        <f>Tabela1[[#This Row],[Pré MCH pg]]</f>
        <v>29.7</v>
      </c>
      <c r="BO161" s="125">
        <f>Tabela1[[#This Row],[Pós MCH pg]]</f>
        <v>29.7</v>
      </c>
      <c r="BP161" s="125">
        <f>Tabela1[[#This Row],[Pré MCHC g/dL]]</f>
        <v>33.1</v>
      </c>
      <c r="BQ161" s="125">
        <f>Tabela1[[#This Row],[Pós MCHC g/dL]]</f>
        <v>33.299999999999997</v>
      </c>
      <c r="BR161" s="85">
        <f>Tabela1[[#This Row],[Pré PLT 10³/mm³]]</f>
        <v>316</v>
      </c>
      <c r="BS161" s="85">
        <f>Tabela1[[#This Row],[Pós PLT 10³/mm³]]</f>
        <v>329</v>
      </c>
      <c r="BT161" s="125">
        <f>Tabela1[[#This Row],[Pré RDW %]]</f>
        <v>13.5</v>
      </c>
      <c r="BU161" s="125">
        <f>Tabela1[[#This Row],[Pós RDW %]]</f>
        <v>13.3</v>
      </c>
      <c r="BV161" s="179" t="str">
        <f>Tabela1[[#This Row],[Pré RET %]]</f>
        <v>-</v>
      </c>
      <c r="BW161" s="196" t="str">
        <f>Tabela1[[#This Row],[Pós RET %]]</f>
        <v>-</v>
      </c>
      <c r="BX161" s="197">
        <f>Tabela1[[#This Row],[Pré WBC 10³/mm³]]</f>
        <v>10.26</v>
      </c>
      <c r="BY161" s="179">
        <f>Tabela1[[#This Row],[Pós WBC 10³/mm³]]</f>
        <v>61</v>
      </c>
      <c r="BZ161" s="125">
        <f>Tabela1[[#This Row],[Pré NEUT %]]</f>
        <v>66</v>
      </c>
      <c r="CA161" s="125">
        <f>Tabela1[[#This Row],[Pós NEUT %]]</f>
        <v>28</v>
      </c>
      <c r="CB161" s="125">
        <f>Tabela1[[#This Row],[Pré LINF %]]</f>
        <v>19</v>
      </c>
      <c r="CC161" s="125">
        <f>Tabela1[[#This Row],[Pós LINF %]]</f>
        <v>28</v>
      </c>
      <c r="CD161" s="125">
        <f>Tabela1[[#This Row],[Pré MONO %]]</f>
        <v>7</v>
      </c>
      <c r="CE161" s="125">
        <f>Tabela1[[#This Row],[Pós MONO %]]</f>
        <v>8</v>
      </c>
      <c r="CF161" s="125">
        <f>Tabela1[[#This Row],[Pré EOS %]]</f>
        <v>5</v>
      </c>
      <c r="CG161" s="125">
        <f>Tabela1[[#This Row],[Pós EOS %]]</f>
        <v>3</v>
      </c>
      <c r="CH161" s="125">
        <f>Tabela1[[#This Row],[Pré BASO %]]</f>
        <v>0</v>
      </c>
      <c r="CI161" s="198">
        <f>Tabela1[[#This Row],[Pós BASO %]]</f>
        <v>0</v>
      </c>
      <c r="CJ161" s="199" t="str">
        <f t="shared" si="9"/>
        <v>NÃO</v>
      </c>
      <c r="CK161" s="200" t="str">
        <f t="shared" si="10"/>
        <v>NÃO</v>
      </c>
      <c r="CL161" s="194">
        <f t="shared" si="11"/>
        <v>82.441199999999995</v>
      </c>
      <c r="CM161" s="125">
        <f>Tabela1[[#This Row],[MCT KG]]</f>
        <v>92</v>
      </c>
      <c r="CN161" s="85">
        <f>Tabela1[[#This Row],[ESTATURA]]</f>
        <v>174.4</v>
      </c>
      <c r="CO161" s="85">
        <f>Tabela1[[#This Row],[vo2max estimado]]</f>
        <v>49.71</v>
      </c>
      <c r="CP161" s="85">
        <f>Tabela1[[#This Row],[Handgrip     Dominante]]</f>
        <v>55</v>
      </c>
      <c r="CQ161" s="85">
        <f>Tabela1[[#This Row],[Handgrip Contrário]]</f>
        <v>55.5</v>
      </c>
      <c r="CR161" s="281">
        <f>Tabela1[[#This Row],[% gordura]]</f>
        <v>10.39</v>
      </c>
    </row>
    <row r="162" spans="1:96" ht="15.75" customHeight="1">
      <c r="A162" s="279">
        <f>Tabela1[[#This Row],[Ano]]</f>
        <v>2018</v>
      </c>
      <c r="B162" s="181" t="str">
        <f>Tabela1[[#This Row],[Missão]]</f>
        <v>Ladário</v>
      </c>
      <c r="C162" s="181">
        <f>Tabela1[[#This Row],[Aluno]]</f>
        <v>3187</v>
      </c>
      <c r="D162" s="181">
        <f>Tabela1[[#This Row],[Idade]]</f>
        <v>25</v>
      </c>
      <c r="E162" s="182">
        <f>Tabela1[[#This Row],[Peso Kg]]</f>
        <v>85</v>
      </c>
      <c r="F162" s="191">
        <f>Tabela1[[#This Row],[Cor da pele]]</f>
        <v>1</v>
      </c>
      <c r="G162" s="192" t="str">
        <f>Tabela1[[#This Row],[ACTN3]]</f>
        <v>RX</v>
      </c>
      <c r="H162" s="85" t="str">
        <f>Tabela1[[#This Row],[AGT]]</f>
        <v>MM</v>
      </c>
      <c r="I162" s="85" t="str">
        <f>Tabela1[[#This Row],[ECA]]</f>
        <v>II</v>
      </c>
      <c r="J162" s="85" t="str">
        <f>Tabela1[[#This Row],[BDKRB2]]</f>
        <v>(+9,-9)</v>
      </c>
      <c r="K162" s="85">
        <f>Tabela1[[#This Row],[Score Força%]]</f>
        <v>25</v>
      </c>
      <c r="L162" s="193">
        <f>Tabela1[[#This Row],[Score Resistência %]]</f>
        <v>75</v>
      </c>
      <c r="M162" s="192">
        <f>Tabela1[[#This Row],[Pré CK (U/L)]]</f>
        <v>348</v>
      </c>
      <c r="N162" s="85">
        <f>Tabela1[[#This Row],[Pós CK (U/L)]]</f>
        <v>3538</v>
      </c>
      <c r="O162" s="85" t="str">
        <f>Tabela1[[#This Row],[Pré CK MB U/L]]</f>
        <v>-</v>
      </c>
      <c r="P162" s="85" t="str">
        <f>Tabela1[[#This Row],[Pós CK MB U/L]]</f>
        <v>-</v>
      </c>
      <c r="Q162" s="85" t="str">
        <f>Tabela1[[#This Row],[Pré Lactato (mmol/L)]]</f>
        <v>-</v>
      </c>
      <c r="R162" s="85" t="str">
        <f>Tabela1[[#This Row],[Pós Lactato (mmol/L)]]</f>
        <v>-</v>
      </c>
      <c r="S162" s="85" t="str">
        <f>Tabela1[[#This Row],[Pré LDH (U/L)]]</f>
        <v>-</v>
      </c>
      <c r="T162" s="85" t="str">
        <f>Tabela1[[#This Row],[Pós LDH (U/L)]]</f>
        <v>-</v>
      </c>
      <c r="U162" s="85" t="str">
        <f>Tabela1[[#This Row],[Pré AST (U/L)]]</f>
        <v>-</v>
      </c>
      <c r="V162" s="193" t="str">
        <f>Tabela1[[#This Row],[Pós AST (U/L)]]</f>
        <v>-</v>
      </c>
      <c r="W162" s="194">
        <f>Tabela1[[#This Row],[Pré Albumina (g/dL)]]</f>
        <v>3.97</v>
      </c>
      <c r="X162" s="125">
        <f>Tabela1[[#This Row],[Pós Albumina (g/dL)]]</f>
        <v>4.0999999999999996</v>
      </c>
      <c r="Y162" s="85" t="str">
        <f>Tabela1[[#This Row],[Pré TGP (g/dL)]]</f>
        <v>-</v>
      </c>
      <c r="Z162" s="85" t="str">
        <f>Tabela1[[#This Row],[Pós TGP (g/dL)]]</f>
        <v>-</v>
      </c>
      <c r="AA162" s="85" t="str">
        <f>Tabela1[[#This Row],[Pré GGT U/L]]</f>
        <v>-</v>
      </c>
      <c r="AB162" s="193" t="str">
        <f>Tabela1[[#This Row],[Pós GGT U/L]]</f>
        <v>-</v>
      </c>
      <c r="AC162" s="194">
        <f>Tabela1[[#This Row],[Pré Ac. Úrico (mg/dL)]]</f>
        <v>5.0999999999999996</v>
      </c>
      <c r="AD162" s="125">
        <f>Tabela1[[#This Row],[Pós Ac. Úrico (mg/dL)2]]</f>
        <v>6.6</v>
      </c>
      <c r="AE16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121.81731567621033</v>
      </c>
      <c r="AF16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62" s="85">
        <f>Tabela1[[#This Row],[Pré Ureia mg/dL]]</f>
        <v>39</v>
      </c>
      <c r="AH162" s="85">
        <f>Tabela1[[#This Row],[Pós Ureia mg/dL]]</f>
        <v>37</v>
      </c>
      <c r="AI162" s="125">
        <f>Tabela1[[#This Row],[Pré creatinina mg/dL]]</f>
        <v>0.84</v>
      </c>
      <c r="AJ162" s="125">
        <f>Tabela1[[#This Row],[Pós creatinina mg/dL]]</f>
        <v>1</v>
      </c>
      <c r="AK162" s="180">
        <f t="shared" si="8"/>
        <v>0.16000000000000003</v>
      </c>
      <c r="AL162" s="125">
        <f>Tabela1[[#This Row],[Pré Fósforo mg/dL]]</f>
        <v>4.13</v>
      </c>
      <c r="AM162" s="125">
        <f>Tabela1[[#This Row],[Pós Fósforo mg/dL]]</f>
        <v>2.8</v>
      </c>
      <c r="AN162" s="125" t="str">
        <f>Tabela1[[#This Row],[Pré Proteína Total (g/dL)]]</f>
        <v>-</v>
      </c>
      <c r="AO162" s="125" t="str">
        <f>Tabela1[[#This Row],[Pós Proteína Total (g/dL)]]</f>
        <v>-</v>
      </c>
      <c r="AP162" s="85" t="str">
        <f>Tabela1[[#This Row],[Pré FE (ug/dL)]]</f>
        <v>-</v>
      </c>
      <c r="AQ162" s="193" t="str">
        <f>Tabela1[[#This Row],[Pós FE (ug/dL)]]</f>
        <v>-</v>
      </c>
      <c r="AR162" s="194">
        <f>Tabela1[[#This Row],[Pré calcio mg/dL]]</f>
        <v>10</v>
      </c>
      <c r="AS162" s="125">
        <f>Tabela1[[#This Row],[Pós calcio mg/dL]]</f>
        <v>9.6</v>
      </c>
      <c r="AT162" s="125" t="str">
        <f>Tabela1[[#This Row],[Pré Potássio mmol/L]]</f>
        <v>-</v>
      </c>
      <c r="AU162" s="125" t="str">
        <f>Tabela1[[#This Row],[Pós Potássio mmol/L]]</f>
        <v>-</v>
      </c>
      <c r="AV162" s="85">
        <f>Tabela1[[#This Row],[Glicose pré]]</f>
        <v>91</v>
      </c>
      <c r="AW162" s="85">
        <f>Tabela1[[#This Row],[Glicose pós]]</f>
        <v>83</v>
      </c>
      <c r="AX162" s="85" t="str">
        <f>Tabela1[[#This Row],[Pré Sódio mmol/L]]</f>
        <v>-</v>
      </c>
      <c r="AY162" s="85" t="str">
        <f>Tabela1[[#This Row],[Pós Sódio mmol/L]]</f>
        <v>-</v>
      </c>
      <c r="AZ162" s="125" t="str">
        <f>Tabela1[[#This Row],[Pré Magnésio mg/dL]]</f>
        <v>-</v>
      </c>
      <c r="BA162" s="125" t="str">
        <f>Tabela1[[#This Row],[Pós Magnésio mg/dL]]</f>
        <v>-</v>
      </c>
      <c r="BB162" s="85" t="str">
        <f>Tabela1[[#This Row],[Pré Cloro mmol/L]]</f>
        <v>-</v>
      </c>
      <c r="BC162" s="85" t="str">
        <f>Tabela1[[#This Row],[Pós Cloro mmol/L]]</f>
        <v>-</v>
      </c>
      <c r="BD162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162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162" s="194">
        <f>Tabela1[[#This Row],[Pré RBC 10^6/mm³]]</f>
        <v>4.0999999999999996</v>
      </c>
      <c r="BG162" s="125">
        <f>Tabela1[[#This Row],[Pós RBC 10^6/mm³]]</f>
        <v>4.0999999999999996</v>
      </c>
      <c r="BH162" s="125">
        <f>Tabela1[[#This Row],[Pré HGB g/dL]]</f>
        <v>12.3</v>
      </c>
      <c r="BI162" s="125">
        <f>Tabela1[[#This Row],[Pós HGB g/dL]]</f>
        <v>12</v>
      </c>
      <c r="BJ162" s="125">
        <f>Tabela1[[#This Row],[Pré HCT %]]</f>
        <v>37</v>
      </c>
      <c r="BK162" s="125">
        <f>Tabela1[[#This Row],[Pós HCT %]]</f>
        <v>36.299999999999997</v>
      </c>
      <c r="BL162" s="125">
        <f>Tabela1[[#This Row],[Pré MCV fL]]</f>
        <v>89.4</v>
      </c>
      <c r="BM162" s="125">
        <f>Tabela1[[#This Row],[Pós MCV fL]]</f>
        <v>88.8</v>
      </c>
      <c r="BN162" s="125">
        <f>Tabela1[[#This Row],[Pré MCH pg]]</f>
        <v>29.7</v>
      </c>
      <c r="BO162" s="125">
        <f>Tabela1[[#This Row],[Pós MCH pg]]</f>
        <v>29.3</v>
      </c>
      <c r="BP162" s="125">
        <f>Tabela1[[#This Row],[Pré MCHC g/dL]]</f>
        <v>33.200000000000003</v>
      </c>
      <c r="BQ162" s="125">
        <f>Tabela1[[#This Row],[Pós MCHC g/dL]]</f>
        <v>33.1</v>
      </c>
      <c r="BR162" s="85">
        <f>Tabela1[[#This Row],[Pré PLT 10³/mm³]]</f>
        <v>229</v>
      </c>
      <c r="BS162" s="85">
        <f>Tabela1[[#This Row],[Pós PLT 10³/mm³]]</f>
        <v>250</v>
      </c>
      <c r="BT162" s="125">
        <f>Tabela1[[#This Row],[Pré RDW %]]</f>
        <v>13.4</v>
      </c>
      <c r="BU162" s="125">
        <f>Tabela1[[#This Row],[Pós RDW %]]</f>
        <v>13.4</v>
      </c>
      <c r="BV162" s="179" t="str">
        <f>Tabela1[[#This Row],[Pré RET %]]</f>
        <v>-</v>
      </c>
      <c r="BW162" s="196" t="str">
        <f>Tabela1[[#This Row],[Pós RET %]]</f>
        <v>-</v>
      </c>
      <c r="BX162" s="197">
        <f>Tabela1[[#This Row],[Pré WBC 10³/mm³]]</f>
        <v>7.26</v>
      </c>
      <c r="BY162" s="179">
        <f>Tabela1[[#This Row],[Pós WBC 10³/mm³]]</f>
        <v>7.67</v>
      </c>
      <c r="BZ162" s="125">
        <f>Tabela1[[#This Row],[Pré NEUT %]]</f>
        <v>67</v>
      </c>
      <c r="CA162" s="125">
        <f>Tabela1[[#This Row],[Pós NEUT %]]</f>
        <v>64</v>
      </c>
      <c r="CB162" s="125">
        <f>Tabela1[[#This Row],[Pré LINF %]]</f>
        <v>20</v>
      </c>
      <c r="CC162" s="125">
        <f>Tabela1[[#This Row],[Pós LINF %]]</f>
        <v>23</v>
      </c>
      <c r="CD162" s="125">
        <f>Tabela1[[#This Row],[Pré MONO %]]</f>
        <v>8</v>
      </c>
      <c r="CE162" s="125">
        <f>Tabela1[[#This Row],[Pós MONO %]]</f>
        <v>7</v>
      </c>
      <c r="CF162" s="125">
        <f>Tabela1[[#This Row],[Pré EOS %]]</f>
        <v>5</v>
      </c>
      <c r="CG162" s="125">
        <f>Tabela1[[#This Row],[Pós EOS %]]</f>
        <v>3</v>
      </c>
      <c r="CH162" s="125">
        <f>Tabela1[[#This Row],[Pré BASO %]]</f>
        <v>0</v>
      </c>
      <c r="CI162" s="198">
        <f>Tabela1[[#This Row],[Pós BASO %]]</f>
        <v>0</v>
      </c>
      <c r="CJ162" s="199" t="str">
        <f t="shared" si="9"/>
        <v>NÃO</v>
      </c>
      <c r="CK162" s="200" t="str">
        <f t="shared" si="10"/>
        <v>SIM</v>
      </c>
      <c r="CL162" s="194">
        <f t="shared" si="11"/>
        <v>79.512460000000004</v>
      </c>
      <c r="CM162" s="125">
        <f>Tabela1[[#This Row],[MCT KG]]</f>
        <v>85.7</v>
      </c>
      <c r="CN162" s="85">
        <f>Tabela1[[#This Row],[ESTATURA]]</f>
        <v>185</v>
      </c>
      <c r="CO162" s="85">
        <f>Tabela1[[#This Row],[vo2max estimado]]</f>
        <v>52.04</v>
      </c>
      <c r="CP162" s="85">
        <f>Tabela1[[#This Row],[Handgrip     Dominante]]</f>
        <v>50</v>
      </c>
      <c r="CQ162" s="85">
        <f>Tabela1[[#This Row],[Handgrip Contrário]]</f>
        <v>50</v>
      </c>
      <c r="CR162" s="281">
        <f>Tabela1[[#This Row],[% gordura]]</f>
        <v>7.22</v>
      </c>
    </row>
    <row r="163" spans="1:96" ht="15.75" customHeight="1">
      <c r="A163" s="279">
        <f>Tabela1[[#This Row],[Ano]]</f>
        <v>2018</v>
      </c>
      <c r="B163" s="181" t="str">
        <f>Tabela1[[#This Row],[Missão]]</f>
        <v>Ladário</v>
      </c>
      <c r="C163" s="181">
        <f>Tabela1[[#This Row],[Aluno]]</f>
        <v>3189</v>
      </c>
      <c r="D163" s="181">
        <f>Tabela1[[#This Row],[Idade]]</f>
        <v>28</v>
      </c>
      <c r="E163" s="182">
        <f>Tabela1[[#This Row],[Peso Kg]]</f>
        <v>77</v>
      </c>
      <c r="F163" s="191">
        <f>Tabela1[[#This Row],[Cor da pele]]</f>
        <v>2</v>
      </c>
      <c r="G163" s="192" t="str">
        <f>Tabela1[[#This Row],[ACTN3]]</f>
        <v>RR</v>
      </c>
      <c r="H163" s="85" t="str">
        <f>Tabela1[[#This Row],[AGT]]</f>
        <v>MT</v>
      </c>
      <c r="I163" s="85" t="str">
        <f>Tabela1[[#This Row],[ECA]]</f>
        <v>ID</v>
      </c>
      <c r="J163" s="85" t="str">
        <f>Tabela1[[#This Row],[BDKRB2]]</f>
        <v>(+9,-9)</v>
      </c>
      <c r="K163" s="85">
        <f>Tabela1[[#This Row],[Score Força%]]</f>
        <v>212.5</v>
      </c>
      <c r="L163" s="193">
        <f>Tabela1[[#This Row],[Score Resistência %]]</f>
        <v>-112.5</v>
      </c>
      <c r="M163" s="192">
        <f>Tabela1[[#This Row],[Pré CK (U/L)]]</f>
        <v>239</v>
      </c>
      <c r="N163" s="85">
        <f>Tabela1[[#This Row],[Pós CK (U/L)]]</f>
        <v>275</v>
      </c>
      <c r="O163" s="85" t="str">
        <f>Tabela1[[#This Row],[Pré CK MB U/L]]</f>
        <v>-</v>
      </c>
      <c r="P163" s="85" t="str">
        <f>Tabela1[[#This Row],[Pós CK MB U/L]]</f>
        <v>-</v>
      </c>
      <c r="Q163" s="85" t="str">
        <f>Tabela1[[#This Row],[Pré Lactato (mmol/L)]]</f>
        <v>-</v>
      </c>
      <c r="R163" s="85" t="str">
        <f>Tabela1[[#This Row],[Pós Lactato (mmol/L)]]</f>
        <v>-</v>
      </c>
      <c r="S163" s="85" t="str">
        <f>Tabela1[[#This Row],[Pré LDH (U/L)]]</f>
        <v>-</v>
      </c>
      <c r="T163" s="85" t="str">
        <f>Tabela1[[#This Row],[Pós LDH (U/L)]]</f>
        <v>-</v>
      </c>
      <c r="U163" s="85" t="str">
        <f>Tabela1[[#This Row],[Pré AST (U/L)]]</f>
        <v>-</v>
      </c>
      <c r="V163" s="193" t="str">
        <f>Tabela1[[#This Row],[Pós AST (U/L)]]</f>
        <v>-</v>
      </c>
      <c r="W163" s="194">
        <f>Tabela1[[#This Row],[Pré Albumina (g/dL)]]</f>
        <v>5.05</v>
      </c>
      <c r="X163" s="125">
        <f>Tabela1[[#This Row],[Pós Albumina (g/dL)]]</f>
        <v>4</v>
      </c>
      <c r="Y163" s="85" t="str">
        <f>Tabela1[[#This Row],[Pré TGP (g/dL)]]</f>
        <v>-</v>
      </c>
      <c r="Z163" s="85" t="str">
        <f>Tabela1[[#This Row],[Pós TGP (g/dL)]]</f>
        <v>-</v>
      </c>
      <c r="AA163" s="85" t="str">
        <f>Tabela1[[#This Row],[Pré GGT U/L]]</f>
        <v>-</v>
      </c>
      <c r="AB163" s="193" t="str">
        <f>Tabela1[[#This Row],[Pós GGT U/L]]</f>
        <v>-</v>
      </c>
      <c r="AC163" s="194">
        <f>Tabela1[[#This Row],[Pré Ac. Úrico (mg/dL)]]</f>
        <v>5.9</v>
      </c>
      <c r="AD163" s="125">
        <f>Tabela1[[#This Row],[Pós Ac. Úrico (mg/dL)2]]</f>
        <v>7.3</v>
      </c>
      <c r="AE16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120.53316357041693</v>
      </c>
      <c r="AF16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63" s="85">
        <f>Tabela1[[#This Row],[Pré Ureia mg/dL]]</f>
        <v>36</v>
      </c>
      <c r="AH163" s="85">
        <f>Tabela1[[#This Row],[Pós Ureia mg/dL]]</f>
        <v>37</v>
      </c>
      <c r="AI163" s="125">
        <f>Tabela1[[#This Row],[Pré creatinina mg/dL]]</f>
        <v>0.87</v>
      </c>
      <c r="AJ163" s="125">
        <f>Tabela1[[#This Row],[Pós creatinina mg/dL]]</f>
        <v>1.1000000000000001</v>
      </c>
      <c r="AK163" s="180">
        <f t="shared" si="8"/>
        <v>0.23000000000000009</v>
      </c>
      <c r="AL163" s="125">
        <f>Tabela1[[#This Row],[Pré Fósforo mg/dL]]</f>
        <v>4.54</v>
      </c>
      <c r="AM163" s="125">
        <f>Tabela1[[#This Row],[Pós Fósforo mg/dL]]</f>
        <v>4.4000000000000004</v>
      </c>
      <c r="AN163" s="125" t="str">
        <f>Tabela1[[#This Row],[Pré Proteína Total (g/dL)]]</f>
        <v>-</v>
      </c>
      <c r="AO163" s="125" t="str">
        <f>Tabela1[[#This Row],[Pós Proteína Total (g/dL)]]</f>
        <v>-</v>
      </c>
      <c r="AP163" s="85" t="str">
        <f>Tabela1[[#This Row],[Pré FE (ug/dL)]]</f>
        <v>-</v>
      </c>
      <c r="AQ163" s="193" t="str">
        <f>Tabela1[[#This Row],[Pós FE (ug/dL)]]</f>
        <v>-</v>
      </c>
      <c r="AR163" s="194">
        <f>Tabela1[[#This Row],[Pré calcio mg/dL]]</f>
        <v>10.4</v>
      </c>
      <c r="AS163" s="125">
        <f>Tabela1[[#This Row],[Pós calcio mg/dL]]</f>
        <v>10</v>
      </c>
      <c r="AT163" s="125" t="str">
        <f>Tabela1[[#This Row],[Pré Potássio mmol/L]]</f>
        <v>-</v>
      </c>
      <c r="AU163" s="125" t="str">
        <f>Tabela1[[#This Row],[Pós Potássio mmol/L]]</f>
        <v>-</v>
      </c>
      <c r="AV163" s="85">
        <f>Tabela1[[#This Row],[Glicose pré]]</f>
        <v>88</v>
      </c>
      <c r="AW163" s="85">
        <f>Tabela1[[#This Row],[Glicose pós]]</f>
        <v>132</v>
      </c>
      <c r="AX163" s="85" t="str">
        <f>Tabela1[[#This Row],[Pré Sódio mmol/L]]</f>
        <v>-</v>
      </c>
      <c r="AY163" s="85" t="str">
        <f>Tabela1[[#This Row],[Pós Sódio mmol/L]]</f>
        <v>-</v>
      </c>
      <c r="AZ163" s="125" t="str">
        <f>Tabela1[[#This Row],[Pré Magnésio mg/dL]]</f>
        <v>-</v>
      </c>
      <c r="BA163" s="125" t="str">
        <f>Tabela1[[#This Row],[Pós Magnésio mg/dL]]</f>
        <v>-</v>
      </c>
      <c r="BB163" s="85" t="str">
        <f>Tabela1[[#This Row],[Pré Cloro mmol/L]]</f>
        <v>-</v>
      </c>
      <c r="BC163" s="85" t="str">
        <f>Tabela1[[#This Row],[Pós Cloro mmol/L]]</f>
        <v>-</v>
      </c>
      <c r="BD163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163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163" s="194">
        <f>Tabela1[[#This Row],[Pré RBC 10^6/mm³]]</f>
        <v>4.5999999999999996</v>
      </c>
      <c r="BG163" s="125">
        <f>Tabela1[[#This Row],[Pós RBC 10^6/mm³]]</f>
        <v>4.5</v>
      </c>
      <c r="BH163" s="125">
        <f>Tabela1[[#This Row],[Pré HGB g/dL]]</f>
        <v>14.5</v>
      </c>
      <c r="BI163" s="125">
        <f>Tabela1[[#This Row],[Pós HGB g/dL]]</f>
        <v>14.3</v>
      </c>
      <c r="BJ163" s="125">
        <f>Tabela1[[#This Row],[Pré HCT %]]</f>
        <v>43.2</v>
      </c>
      <c r="BK163" s="125">
        <f>Tabela1[[#This Row],[Pós HCT %]]</f>
        <v>42.4</v>
      </c>
      <c r="BL163" s="125">
        <f>Tabela1[[#This Row],[Pré MCV fL]]</f>
        <v>94.1</v>
      </c>
      <c r="BM163" s="125">
        <f>Tabela1[[#This Row],[Pós MCV fL]]</f>
        <v>93.6</v>
      </c>
      <c r="BN163" s="125">
        <f>Tabela1[[#This Row],[Pré MCH pg]]</f>
        <v>31.6</v>
      </c>
      <c r="BO163" s="125">
        <f>Tabela1[[#This Row],[Pós MCH pg]]</f>
        <v>31.6</v>
      </c>
      <c r="BP163" s="125">
        <f>Tabela1[[#This Row],[Pré MCHC g/dL]]</f>
        <v>33.6</v>
      </c>
      <c r="BQ163" s="125">
        <f>Tabela1[[#This Row],[Pós MCHC g/dL]]</f>
        <v>33.700000000000003</v>
      </c>
      <c r="BR163" s="85">
        <f>Tabela1[[#This Row],[Pré PLT 10³/mm³]]</f>
        <v>187</v>
      </c>
      <c r="BS163" s="85">
        <f>Tabela1[[#This Row],[Pós PLT 10³/mm³]]</f>
        <v>192</v>
      </c>
      <c r="BT163" s="125">
        <f>Tabela1[[#This Row],[Pré RDW %]]</f>
        <v>13.8</v>
      </c>
      <c r="BU163" s="125">
        <f>Tabela1[[#This Row],[Pós RDW %]]</f>
        <v>13.7</v>
      </c>
      <c r="BV163" s="179" t="str">
        <f>Tabela1[[#This Row],[Pré RET %]]</f>
        <v>-</v>
      </c>
      <c r="BW163" s="196" t="str">
        <f>Tabela1[[#This Row],[Pós RET %]]</f>
        <v>-</v>
      </c>
      <c r="BX163" s="197">
        <f>Tabela1[[#This Row],[Pré WBC 10³/mm³]]</f>
        <v>17.809999999999999</v>
      </c>
      <c r="BY163" s="179">
        <f>Tabela1[[#This Row],[Pós WBC 10³/mm³]]</f>
        <v>9.15</v>
      </c>
      <c r="BZ163" s="125">
        <f>Tabela1[[#This Row],[Pré NEUT %]]</f>
        <v>89</v>
      </c>
      <c r="CA163" s="125">
        <f>Tabela1[[#This Row],[Pós NEUT %]]</f>
        <v>73</v>
      </c>
      <c r="CB163" s="125">
        <f>Tabela1[[#This Row],[Pré LINF %]]</f>
        <v>2</v>
      </c>
      <c r="CC163" s="125">
        <f>Tabela1[[#This Row],[Pós LINF %]]</f>
        <v>18</v>
      </c>
      <c r="CD163" s="125">
        <f>Tabela1[[#This Row],[Pré MONO %]]</f>
        <v>4</v>
      </c>
      <c r="CE163" s="125">
        <f>Tabela1[[#This Row],[Pós MONO %]]</f>
        <v>8</v>
      </c>
      <c r="CF163" s="125">
        <f>Tabela1[[#This Row],[Pré EOS %]]</f>
        <v>0</v>
      </c>
      <c r="CG163" s="125">
        <f>Tabela1[[#This Row],[Pós EOS %]]</f>
        <v>1</v>
      </c>
      <c r="CH163" s="125">
        <f>Tabela1[[#This Row],[Pré BASO %]]</f>
        <v>0</v>
      </c>
      <c r="CI163" s="198">
        <f>Tabela1[[#This Row],[Pós BASO %]]</f>
        <v>0</v>
      </c>
      <c r="CJ163" s="199" t="str">
        <f t="shared" si="9"/>
        <v>NÃO</v>
      </c>
      <c r="CK163" s="200" t="str">
        <f t="shared" si="10"/>
        <v>NÃO</v>
      </c>
      <c r="CL163" s="194">
        <f t="shared" si="11"/>
        <v>70.76357999999999</v>
      </c>
      <c r="CM163" s="125">
        <f>Tabela1[[#This Row],[MCT KG]]</f>
        <v>78.599999999999994</v>
      </c>
      <c r="CN163" s="85">
        <f>Tabela1[[#This Row],[ESTATURA]]</f>
        <v>179</v>
      </c>
      <c r="CO163" s="85">
        <f>Tabela1[[#This Row],[vo2max estimado]]</f>
        <v>53.31</v>
      </c>
      <c r="CP163" s="85">
        <f>Tabela1[[#This Row],[Handgrip     Dominante]]</f>
        <v>50</v>
      </c>
      <c r="CQ163" s="85">
        <f>Tabela1[[#This Row],[Handgrip Contrário]]</f>
        <v>44</v>
      </c>
      <c r="CR163" s="281">
        <f>Tabela1[[#This Row],[% gordura]]</f>
        <v>9.9700000000000006</v>
      </c>
    </row>
    <row r="164" spans="1:96" ht="15.75" customHeight="1">
      <c r="A164" s="279">
        <f>Tabela1[[#This Row],[Ano]]</f>
        <v>2018</v>
      </c>
      <c r="B164" s="181" t="str">
        <f>Tabela1[[#This Row],[Missão]]</f>
        <v>Ladário</v>
      </c>
      <c r="C164" s="181">
        <f>Tabela1[[#This Row],[Aluno]]</f>
        <v>3190</v>
      </c>
      <c r="D164" s="181">
        <f>Tabela1[[#This Row],[Idade]]</f>
        <v>29</v>
      </c>
      <c r="E164" s="182">
        <f>Tabela1[[#This Row],[Peso Kg]]</f>
        <v>80</v>
      </c>
      <c r="F164" s="191">
        <f>Tabela1[[#This Row],[Cor da pele]]</f>
        <v>1</v>
      </c>
      <c r="G164" s="192" t="str">
        <f>Tabela1[[#This Row],[ACTN3]]</f>
        <v>-</v>
      </c>
      <c r="H164" s="85" t="str">
        <f>Tabela1[[#This Row],[AGT]]</f>
        <v>-</v>
      </c>
      <c r="I164" s="85" t="str">
        <f>Tabela1[[#This Row],[ECA]]</f>
        <v>-</v>
      </c>
      <c r="J164" s="85" t="str">
        <f>Tabela1[[#This Row],[BDKRB2]]</f>
        <v>-</v>
      </c>
      <c r="K164" s="85" t="str">
        <f>Tabela1[[#This Row],[Score Força%]]</f>
        <v>-</v>
      </c>
      <c r="L164" s="193" t="str">
        <f>Tabela1[[#This Row],[Score Resistência %]]</f>
        <v>-</v>
      </c>
      <c r="M164" s="192">
        <f>Tabela1[[#This Row],[Pré CK (U/L)]]</f>
        <v>594</v>
      </c>
      <c r="N164" s="85">
        <f>Tabela1[[#This Row],[Pós CK (U/L)]]</f>
        <v>752</v>
      </c>
      <c r="O164" s="85" t="str">
        <f>Tabela1[[#This Row],[Pré CK MB U/L]]</f>
        <v>-</v>
      </c>
      <c r="P164" s="85" t="str">
        <f>Tabela1[[#This Row],[Pós CK MB U/L]]</f>
        <v>-</v>
      </c>
      <c r="Q164" s="85" t="str">
        <f>Tabela1[[#This Row],[Pré Lactato (mmol/L)]]</f>
        <v>-</v>
      </c>
      <c r="R164" s="85" t="str">
        <f>Tabela1[[#This Row],[Pós Lactato (mmol/L)]]</f>
        <v>-</v>
      </c>
      <c r="S164" s="85" t="str">
        <f>Tabela1[[#This Row],[Pré LDH (U/L)]]</f>
        <v>-</v>
      </c>
      <c r="T164" s="85" t="str">
        <f>Tabela1[[#This Row],[Pós LDH (U/L)]]</f>
        <v>-</v>
      </c>
      <c r="U164" s="85" t="str">
        <f>Tabela1[[#This Row],[Pré AST (U/L)]]</f>
        <v>-</v>
      </c>
      <c r="V164" s="193" t="str">
        <f>Tabela1[[#This Row],[Pós AST (U/L)]]</f>
        <v>-</v>
      </c>
      <c r="W164" s="194">
        <f>Tabela1[[#This Row],[Pré Albumina (g/dL)]]</f>
        <v>4.1900000000000004</v>
      </c>
      <c r="X164" s="125">
        <f>Tabela1[[#This Row],[Pós Albumina (g/dL)]]</f>
        <v>3.9</v>
      </c>
      <c r="Y164" s="85" t="str">
        <f>Tabela1[[#This Row],[Pré TGP (g/dL)]]</f>
        <v>-</v>
      </c>
      <c r="Z164" s="85" t="str">
        <f>Tabela1[[#This Row],[Pós TGP (g/dL)]]</f>
        <v>-</v>
      </c>
      <c r="AA164" s="85" t="str">
        <f>Tabela1[[#This Row],[Pré GGT U/L]]</f>
        <v>-</v>
      </c>
      <c r="AB164" s="193" t="str">
        <f>Tabela1[[#This Row],[Pós GGT U/L]]</f>
        <v>-</v>
      </c>
      <c r="AC164" s="194">
        <f>Tabela1[[#This Row],[Pré Ac. Úrico (mg/dL)]]</f>
        <v>4.5</v>
      </c>
      <c r="AD164" s="125">
        <f>Tabela1[[#This Row],[Pós Ac. Úrico (mg/dL)2]]</f>
        <v>5.7</v>
      </c>
      <c r="AE16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125.06079084596884</v>
      </c>
      <c r="AF164" s="180" t="str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Dados Insuficientes</v>
      </c>
      <c r="AG164" s="85">
        <f>Tabela1[[#This Row],[Pré Ureia mg/dL]]</f>
        <v>36</v>
      </c>
      <c r="AH164" s="85">
        <f>Tabela1[[#This Row],[Pós Ureia mg/dL]]</f>
        <v>39</v>
      </c>
      <c r="AI164" s="125">
        <f>Tabela1[[#This Row],[Pré creatinina mg/dL]]</f>
        <v>0.77</v>
      </c>
      <c r="AJ164" s="125" t="str">
        <f>Tabela1[[#This Row],[Pós creatinina mg/dL]]</f>
        <v>-</v>
      </c>
      <c r="AK164" s="180" t="str">
        <f t="shared" si="8"/>
        <v>Dados Insuficientes</v>
      </c>
      <c r="AL164" s="125">
        <f>Tabela1[[#This Row],[Pré Fósforo mg/dL]]</f>
        <v>3.46</v>
      </c>
      <c r="AM164" s="125">
        <f>Tabela1[[#This Row],[Pós Fósforo mg/dL]]</f>
        <v>3.4</v>
      </c>
      <c r="AN164" s="125" t="str">
        <f>Tabela1[[#This Row],[Pré Proteína Total (g/dL)]]</f>
        <v>-</v>
      </c>
      <c r="AO164" s="125" t="str">
        <f>Tabela1[[#This Row],[Pós Proteína Total (g/dL)]]</f>
        <v>-</v>
      </c>
      <c r="AP164" s="85" t="str">
        <f>Tabela1[[#This Row],[Pré FE (ug/dL)]]</f>
        <v>-</v>
      </c>
      <c r="AQ164" s="193" t="str">
        <f>Tabela1[[#This Row],[Pós FE (ug/dL)]]</f>
        <v>-</v>
      </c>
      <c r="AR164" s="194">
        <f>Tabela1[[#This Row],[Pré calcio mg/dL]]</f>
        <v>8.6</v>
      </c>
      <c r="AS164" s="125">
        <f>Tabela1[[#This Row],[Pós calcio mg/dL]]</f>
        <v>10.199999999999999</v>
      </c>
      <c r="AT164" s="125" t="str">
        <f>Tabela1[[#This Row],[Pré Potássio mmol/L]]</f>
        <v>-</v>
      </c>
      <c r="AU164" s="125" t="str">
        <f>Tabela1[[#This Row],[Pós Potássio mmol/L]]</f>
        <v>-</v>
      </c>
      <c r="AV164" s="85">
        <f>Tabela1[[#This Row],[Glicose pré]]</f>
        <v>90</v>
      </c>
      <c r="AW164" s="85">
        <f>Tabela1[[#This Row],[Glicose pós]]</f>
        <v>78</v>
      </c>
      <c r="AX164" s="85" t="str">
        <f>Tabela1[[#This Row],[Pré Sódio mmol/L]]</f>
        <v>-</v>
      </c>
      <c r="AY164" s="85" t="str">
        <f>Tabela1[[#This Row],[Pós Sódio mmol/L]]</f>
        <v>-</v>
      </c>
      <c r="AZ164" s="125" t="str">
        <f>Tabela1[[#This Row],[Pré Magnésio mg/dL]]</f>
        <v>-</v>
      </c>
      <c r="BA164" s="125" t="str">
        <f>Tabela1[[#This Row],[Pós Magnésio mg/dL]]</f>
        <v>-</v>
      </c>
      <c r="BB164" s="85" t="str">
        <f>Tabela1[[#This Row],[Pré Cloro mmol/L]]</f>
        <v>-</v>
      </c>
      <c r="BC164" s="85" t="str">
        <f>Tabela1[[#This Row],[Pós Cloro mmol/L]]</f>
        <v>-</v>
      </c>
      <c r="BD164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164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164" s="194">
        <f>Tabela1[[#This Row],[Pré RBC 10^6/mm³]]</f>
        <v>4.3</v>
      </c>
      <c r="BG164" s="125">
        <f>Tabela1[[#This Row],[Pós RBC 10^6/mm³]]</f>
        <v>4.2</v>
      </c>
      <c r="BH164" s="125">
        <f>Tabela1[[#This Row],[Pré HGB g/dL]]</f>
        <v>13</v>
      </c>
      <c r="BI164" s="125">
        <f>Tabela1[[#This Row],[Pós HGB g/dL]]</f>
        <v>12.5</v>
      </c>
      <c r="BJ164" s="125">
        <f>Tabela1[[#This Row],[Pré HCT %]]</f>
        <v>40.5</v>
      </c>
      <c r="BK164" s="125">
        <f>Tabela1[[#This Row],[Pós HCT %]]</f>
        <v>38.9</v>
      </c>
      <c r="BL164" s="125">
        <f>Tabela1[[#This Row],[Pré MCV fL]]</f>
        <v>94.2</v>
      </c>
      <c r="BM164" s="125">
        <f>Tabela1[[#This Row],[Pós MCV fL]]</f>
        <v>93.5</v>
      </c>
      <c r="BN164" s="125">
        <f>Tabela1[[#This Row],[Pré MCH pg]]</f>
        <v>30.2</v>
      </c>
      <c r="BO164" s="125">
        <f>Tabela1[[#This Row],[Pós MCH pg]]</f>
        <v>30</v>
      </c>
      <c r="BP164" s="125">
        <f>Tabela1[[#This Row],[Pré MCHC g/dL]]</f>
        <v>32.1</v>
      </c>
      <c r="BQ164" s="125">
        <f>Tabela1[[#This Row],[Pós MCHC g/dL]]</f>
        <v>32.1</v>
      </c>
      <c r="BR164" s="85">
        <f>Tabela1[[#This Row],[Pré PLT 10³/mm³]]</f>
        <v>236</v>
      </c>
      <c r="BS164" s="85">
        <f>Tabela1[[#This Row],[Pós PLT 10³/mm³]]</f>
        <v>241</v>
      </c>
      <c r="BT164" s="125">
        <f>Tabela1[[#This Row],[Pré RDW %]]</f>
        <v>14.4</v>
      </c>
      <c r="BU164" s="125">
        <f>Tabela1[[#This Row],[Pós RDW %]]</f>
        <v>14</v>
      </c>
      <c r="BV164" s="179" t="str">
        <f>Tabela1[[#This Row],[Pré RET %]]</f>
        <v>-</v>
      </c>
      <c r="BW164" s="196" t="str">
        <f>Tabela1[[#This Row],[Pós RET %]]</f>
        <v>-</v>
      </c>
      <c r="BX164" s="197">
        <f>Tabela1[[#This Row],[Pré WBC 10³/mm³]]</f>
        <v>5.45</v>
      </c>
      <c r="BY164" s="179">
        <f>Tabela1[[#This Row],[Pós WBC 10³/mm³]]</f>
        <v>6.33</v>
      </c>
      <c r="BZ164" s="125">
        <f>Tabela1[[#This Row],[Pré NEUT %]]</f>
        <v>73</v>
      </c>
      <c r="CA164" s="125">
        <f>Tabela1[[#This Row],[Pós NEUT %]]</f>
        <v>69</v>
      </c>
      <c r="CB164" s="125">
        <f>Tabela1[[#This Row],[Pré LINF %]]</f>
        <v>18</v>
      </c>
      <c r="CC164" s="125">
        <f>Tabela1[[#This Row],[Pós LINF %]]</f>
        <v>24</v>
      </c>
      <c r="CD164" s="125">
        <f>Tabela1[[#This Row],[Pré MONO %]]</f>
        <v>7</v>
      </c>
      <c r="CE164" s="125">
        <f>Tabela1[[#This Row],[Pós MONO %]]</f>
        <v>6</v>
      </c>
      <c r="CF164" s="125">
        <f>Tabela1[[#This Row],[Pré EOS %]]</f>
        <v>1</v>
      </c>
      <c r="CG164" s="125">
        <f>Tabela1[[#This Row],[Pós EOS %]]</f>
        <v>1</v>
      </c>
      <c r="CH164" s="125">
        <f>Tabela1[[#This Row],[Pré BASO %]]</f>
        <v>0</v>
      </c>
      <c r="CI164" s="198">
        <f>Tabela1[[#This Row],[Pós BASO %]]</f>
        <v>0</v>
      </c>
      <c r="CJ164" s="199" t="str">
        <f t="shared" si="9"/>
        <v>Dados insuficientes</v>
      </c>
      <c r="CK164" s="200" t="str">
        <f t="shared" si="10"/>
        <v>NÃO</v>
      </c>
      <c r="CL164" s="194">
        <f t="shared" si="11"/>
        <v>72.151949999999999</v>
      </c>
      <c r="CM164" s="125">
        <f>Tabela1[[#This Row],[MCT KG]]</f>
        <v>81.5</v>
      </c>
      <c r="CN164" s="85">
        <f>Tabela1[[#This Row],[ESTATURA]]</f>
        <v>175</v>
      </c>
      <c r="CO164" s="85">
        <f>Tabela1[[#This Row],[vo2max estimado]]</f>
        <v>51.49</v>
      </c>
      <c r="CP164" s="85">
        <f>Tabela1[[#This Row],[Handgrip     Dominante]]</f>
        <v>49.5</v>
      </c>
      <c r="CQ164" s="85">
        <f>Tabela1[[#This Row],[Handgrip Contrário]]</f>
        <v>41</v>
      </c>
      <c r="CR164" s="281">
        <f>Tabela1[[#This Row],[% gordura]]</f>
        <v>11.47</v>
      </c>
    </row>
    <row r="165" spans="1:96" ht="15.75" customHeight="1">
      <c r="A165" s="279">
        <f>Tabela1[[#This Row],[Ano]]</f>
        <v>2018</v>
      </c>
      <c r="B165" s="181" t="str">
        <f>Tabela1[[#This Row],[Missão]]</f>
        <v>Ladário</v>
      </c>
      <c r="C165" s="181">
        <f>Tabela1[[#This Row],[Aluno]]</f>
        <v>3193</v>
      </c>
      <c r="D165" s="181">
        <f>Tabela1[[#This Row],[Idade]]</f>
        <v>29</v>
      </c>
      <c r="E165" s="182">
        <f>Tabela1[[#This Row],[Peso Kg]]</f>
        <v>83</v>
      </c>
      <c r="F165" s="191">
        <f>Tabela1[[#This Row],[Cor da pele]]</f>
        <v>0</v>
      </c>
      <c r="G165" s="192" t="str">
        <f>Tabela1[[#This Row],[ACTN3]]</f>
        <v>-</v>
      </c>
      <c r="H165" s="85" t="str">
        <f>Tabela1[[#This Row],[AGT]]</f>
        <v>-</v>
      </c>
      <c r="I165" s="85" t="str">
        <f>Tabela1[[#This Row],[ECA]]</f>
        <v>-</v>
      </c>
      <c r="J165" s="85" t="str">
        <f>Tabela1[[#This Row],[BDKRB2]]</f>
        <v>-</v>
      </c>
      <c r="K165" s="85" t="str">
        <f>Tabela1[[#This Row],[Score Força%]]</f>
        <v>-</v>
      </c>
      <c r="L165" s="193" t="str">
        <f>Tabela1[[#This Row],[Score Resistência %]]</f>
        <v>-</v>
      </c>
      <c r="M165" s="192">
        <f>Tabela1[[#This Row],[Pré CK (U/L)]]</f>
        <v>189</v>
      </c>
      <c r="N165" s="85">
        <f>Tabela1[[#This Row],[Pós CK (U/L)]]</f>
        <v>242</v>
      </c>
      <c r="O165" s="85" t="str">
        <f>Tabela1[[#This Row],[Pré CK MB U/L]]</f>
        <v>-</v>
      </c>
      <c r="P165" s="85" t="str">
        <f>Tabela1[[#This Row],[Pós CK MB U/L]]</f>
        <v>-</v>
      </c>
      <c r="Q165" s="85" t="str">
        <f>Tabela1[[#This Row],[Pré Lactato (mmol/L)]]</f>
        <v>-</v>
      </c>
      <c r="R165" s="85" t="str">
        <f>Tabela1[[#This Row],[Pós Lactato (mmol/L)]]</f>
        <v>-</v>
      </c>
      <c r="S165" s="85" t="str">
        <f>Tabela1[[#This Row],[Pré LDH (U/L)]]</f>
        <v>-</v>
      </c>
      <c r="T165" s="85" t="str">
        <f>Tabela1[[#This Row],[Pós LDH (U/L)]]</f>
        <v>-</v>
      </c>
      <c r="U165" s="85" t="str">
        <f>Tabela1[[#This Row],[Pré AST (U/L)]]</f>
        <v>-</v>
      </c>
      <c r="V165" s="193" t="str">
        <f>Tabela1[[#This Row],[Pós AST (U/L)]]</f>
        <v>-</v>
      </c>
      <c r="W165" s="194">
        <f>Tabela1[[#This Row],[Pré Albumina (g/dL)]]</f>
        <v>4.0599999999999996</v>
      </c>
      <c r="X165" s="125">
        <f>Tabela1[[#This Row],[Pós Albumina (g/dL)]]</f>
        <v>3.8</v>
      </c>
      <c r="Y165" s="85" t="str">
        <f>Tabela1[[#This Row],[Pré TGP (g/dL)]]</f>
        <v>-</v>
      </c>
      <c r="Z165" s="85" t="str">
        <f>Tabela1[[#This Row],[Pós TGP (g/dL)]]</f>
        <v>-</v>
      </c>
      <c r="AA165" s="85" t="str">
        <f>Tabela1[[#This Row],[Pré GGT U/L]]</f>
        <v>-</v>
      </c>
      <c r="AB165" s="193" t="str">
        <f>Tabela1[[#This Row],[Pós GGT U/L]]</f>
        <v>-</v>
      </c>
      <c r="AC165" s="194">
        <f>Tabela1[[#This Row],[Pré Ac. Úrico (mg/dL)]]</f>
        <v>5.3</v>
      </c>
      <c r="AD165" s="125">
        <f>Tabela1[[#This Row],[Pós Ac. Úrico (mg/dL)2]]</f>
        <v>6</v>
      </c>
      <c r="AE16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122.70707003788462</v>
      </c>
      <c r="AF16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165" s="85">
        <f>Tabela1[[#This Row],[Pré Ureia mg/dL]]</f>
        <v>32</v>
      </c>
      <c r="AH165" s="85">
        <f>Tabela1[[#This Row],[Pós Ureia mg/dL]]</f>
        <v>38</v>
      </c>
      <c r="AI165" s="125">
        <f>Tabela1[[#This Row],[Pré creatinina mg/dL]]</f>
        <v>0.82</v>
      </c>
      <c r="AJ165" s="125">
        <f>Tabela1[[#This Row],[Pós creatinina mg/dL]]</f>
        <v>1.2</v>
      </c>
      <c r="AK165" s="180">
        <f t="shared" si="8"/>
        <v>0.38</v>
      </c>
      <c r="AL165" s="125">
        <f>Tabela1[[#This Row],[Pré Fósforo mg/dL]]</f>
        <v>2.5099999999999998</v>
      </c>
      <c r="AM165" s="125">
        <f>Tabela1[[#This Row],[Pós Fósforo mg/dL]]</f>
        <v>5</v>
      </c>
      <c r="AN165" s="125" t="str">
        <f>Tabela1[[#This Row],[Pré Proteína Total (g/dL)]]</f>
        <v>-</v>
      </c>
      <c r="AO165" s="125" t="str">
        <f>Tabela1[[#This Row],[Pós Proteína Total (g/dL)]]</f>
        <v>-</v>
      </c>
      <c r="AP165" s="85" t="str">
        <f>Tabela1[[#This Row],[Pré FE (ug/dL)]]</f>
        <v>-</v>
      </c>
      <c r="AQ165" s="193" t="str">
        <f>Tabela1[[#This Row],[Pós FE (ug/dL)]]</f>
        <v>-</v>
      </c>
      <c r="AR165" s="194">
        <f>Tabela1[[#This Row],[Pré calcio mg/dL]]</f>
        <v>8.6999999999999993</v>
      </c>
      <c r="AS165" s="125">
        <f>Tabela1[[#This Row],[Pós calcio mg/dL]]</f>
        <v>9.5</v>
      </c>
      <c r="AT165" s="125" t="str">
        <f>Tabela1[[#This Row],[Pré Potássio mmol/L]]</f>
        <v>-</v>
      </c>
      <c r="AU165" s="125" t="str">
        <f>Tabela1[[#This Row],[Pós Potássio mmol/L]]</f>
        <v>-</v>
      </c>
      <c r="AV165" s="85">
        <f>Tabela1[[#This Row],[Glicose pré]]</f>
        <v>93</v>
      </c>
      <c r="AW165" s="85">
        <f>Tabela1[[#This Row],[Glicose pós]]</f>
        <v>111</v>
      </c>
      <c r="AX165" s="85" t="str">
        <f>Tabela1[[#This Row],[Pré Sódio mmol/L]]</f>
        <v>-</v>
      </c>
      <c r="AY165" s="85" t="str">
        <f>Tabela1[[#This Row],[Pós Sódio mmol/L]]</f>
        <v>-</v>
      </c>
      <c r="AZ165" s="125" t="str">
        <f>Tabela1[[#This Row],[Pré Magnésio mg/dL]]</f>
        <v>-</v>
      </c>
      <c r="BA165" s="125" t="str">
        <f>Tabela1[[#This Row],[Pós Magnésio mg/dL]]</f>
        <v>-</v>
      </c>
      <c r="BB165" s="85" t="str">
        <f>Tabela1[[#This Row],[Pré Cloro mmol/L]]</f>
        <v>-</v>
      </c>
      <c r="BC165" s="85" t="str">
        <f>Tabela1[[#This Row],[Pós Cloro mmol/L]]</f>
        <v>-</v>
      </c>
      <c r="BD165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165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165" s="194">
        <f>Tabela1[[#This Row],[Pré RBC 10^6/mm³]]</f>
        <v>4.0999999999999996</v>
      </c>
      <c r="BG165" s="125">
        <f>Tabela1[[#This Row],[Pós RBC 10^6/mm³]]</f>
        <v>4.0999999999999996</v>
      </c>
      <c r="BH165" s="125">
        <f>Tabela1[[#This Row],[Pré HGB g/dL]]</f>
        <v>12.2</v>
      </c>
      <c r="BI165" s="125">
        <f>Tabela1[[#This Row],[Pós HGB g/dL]]</f>
        <v>12.5</v>
      </c>
      <c r="BJ165" s="125">
        <f>Tabela1[[#This Row],[Pré HCT %]]</f>
        <v>37.200000000000003</v>
      </c>
      <c r="BK165" s="125">
        <f>Tabela1[[#This Row],[Pós HCT %]]</f>
        <v>37.4</v>
      </c>
      <c r="BL165" s="125">
        <f>Tabela1[[#This Row],[Pré MCV fL]]</f>
        <v>91.4</v>
      </c>
      <c r="BM165" s="125">
        <f>Tabela1[[#This Row],[Pós MCV fL]]</f>
        <v>90.8</v>
      </c>
      <c r="BN165" s="125">
        <f>Tabela1[[#This Row],[Pré MCH pg]]</f>
        <v>30</v>
      </c>
      <c r="BO165" s="125">
        <f>Tabela1[[#This Row],[Pós MCH pg]]</f>
        <v>30.3</v>
      </c>
      <c r="BP165" s="125">
        <f>Tabela1[[#This Row],[Pré MCHC g/dL]]</f>
        <v>32.799999999999997</v>
      </c>
      <c r="BQ165" s="125">
        <f>Tabela1[[#This Row],[Pós MCHC g/dL]]</f>
        <v>33.4</v>
      </c>
      <c r="BR165" s="85">
        <f>Tabela1[[#This Row],[Pré PLT 10³/mm³]]</f>
        <v>296</v>
      </c>
      <c r="BS165" s="85">
        <f>Tabela1[[#This Row],[Pós PLT 10³/mm³]]</f>
        <v>279</v>
      </c>
      <c r="BT165" s="125">
        <f>Tabela1[[#This Row],[Pré RDW %]]</f>
        <v>13.3</v>
      </c>
      <c r="BU165" s="125">
        <f>Tabela1[[#This Row],[Pós RDW %]]</f>
        <v>13.2</v>
      </c>
      <c r="BV165" s="179" t="str">
        <f>Tabela1[[#This Row],[Pré RET %]]</f>
        <v>-</v>
      </c>
      <c r="BW165" s="196" t="str">
        <f>Tabela1[[#This Row],[Pós RET %]]</f>
        <v>-</v>
      </c>
      <c r="BX165" s="197">
        <f>Tabela1[[#This Row],[Pré WBC 10³/mm³]]</f>
        <v>8.66</v>
      </c>
      <c r="BY165" s="179">
        <f>Tabela1[[#This Row],[Pós WBC 10³/mm³]]</f>
        <v>8.0299999999999994</v>
      </c>
      <c r="BZ165" s="125">
        <f>Tabela1[[#This Row],[Pré NEUT %]]</f>
        <v>72</v>
      </c>
      <c r="CA165" s="125">
        <f>Tabela1[[#This Row],[Pós NEUT %]]</f>
        <v>72</v>
      </c>
      <c r="CB165" s="125">
        <f>Tabela1[[#This Row],[Pré LINF %]]</f>
        <v>19</v>
      </c>
      <c r="CC165" s="125">
        <f>Tabela1[[#This Row],[Pós LINF %]]</f>
        <v>20</v>
      </c>
      <c r="CD165" s="125">
        <f>Tabela1[[#This Row],[Pré MONO %]]</f>
        <v>7</v>
      </c>
      <c r="CE165" s="125">
        <f>Tabela1[[#This Row],[Pós MONO %]]</f>
        <v>7</v>
      </c>
      <c r="CF165" s="125">
        <f>Tabela1[[#This Row],[Pré EOS %]]</f>
        <v>2</v>
      </c>
      <c r="CG165" s="125">
        <f>Tabela1[[#This Row],[Pós EOS %]]</f>
        <v>1</v>
      </c>
      <c r="CH165" s="125">
        <f>Tabela1[[#This Row],[Pré BASO %]]</f>
        <v>0</v>
      </c>
      <c r="CI165" s="198">
        <f>Tabela1[[#This Row],[Pós BASO %]]</f>
        <v>0</v>
      </c>
      <c r="CJ165" s="199" t="str">
        <f t="shared" si="9"/>
        <v>SIM</v>
      </c>
      <c r="CK165" s="200" t="str">
        <f t="shared" si="10"/>
        <v>NÃO</v>
      </c>
      <c r="CL165" s="194">
        <f t="shared" si="11"/>
        <v>72.809100000000001</v>
      </c>
      <c r="CM165" s="125">
        <f>Tabela1[[#This Row],[MCT KG]]</f>
        <v>81.900000000000006</v>
      </c>
      <c r="CN165" s="85">
        <f>Tabela1[[#This Row],[ESTATURA]]</f>
        <v>180.5</v>
      </c>
      <c r="CO165" s="85">
        <f>Tabela1[[#This Row],[vo2max estimado]]</f>
        <v>51.93</v>
      </c>
      <c r="CP165" s="85">
        <f>Tabela1[[#This Row],[Handgrip     Dominante]]</f>
        <v>44.5</v>
      </c>
      <c r="CQ165" s="85">
        <f>Tabela1[[#This Row],[Handgrip Contrário]]</f>
        <v>46.5</v>
      </c>
      <c r="CR165" s="281">
        <f>Tabela1[[#This Row],[% gordura]]</f>
        <v>11.1</v>
      </c>
    </row>
    <row r="166" spans="1:96" ht="15.75" customHeight="1">
      <c r="A166" s="279">
        <f>Tabela1[[#This Row],[Ano]]</f>
        <v>2018</v>
      </c>
      <c r="B166" s="181" t="str">
        <f>Tabela1[[#This Row],[Missão]]</f>
        <v>Ladário</v>
      </c>
      <c r="C166" s="181">
        <f>Tabela1[[#This Row],[Aluno]]</f>
        <v>3194</v>
      </c>
      <c r="D166" s="181">
        <f>Tabela1[[#This Row],[Idade]]</f>
        <v>28</v>
      </c>
      <c r="E166" s="182">
        <f>Tabela1[[#This Row],[Peso Kg]]</f>
        <v>81</v>
      </c>
      <c r="F166" s="191">
        <f>Tabela1[[#This Row],[Cor da pele]]</f>
        <v>1</v>
      </c>
      <c r="G166" s="192" t="str">
        <f>Tabela1[[#This Row],[ACTN3]]</f>
        <v>-</v>
      </c>
      <c r="H166" s="85" t="str">
        <f>Tabela1[[#This Row],[AGT]]</f>
        <v>-</v>
      </c>
      <c r="I166" s="85" t="str">
        <f>Tabela1[[#This Row],[ECA]]</f>
        <v>-</v>
      </c>
      <c r="J166" s="85" t="str">
        <f>Tabela1[[#This Row],[BDKRB2]]</f>
        <v>-</v>
      </c>
      <c r="K166" s="85" t="str">
        <f>Tabela1[[#This Row],[Score Força%]]</f>
        <v>-</v>
      </c>
      <c r="L166" s="193" t="str">
        <f>Tabela1[[#This Row],[Score Resistência %]]</f>
        <v>-</v>
      </c>
      <c r="M166" s="192">
        <f>Tabela1[[#This Row],[Pré CK (U/L)]]</f>
        <v>363</v>
      </c>
      <c r="N166" s="85">
        <f>Tabela1[[#This Row],[Pós CK (U/L)]]</f>
        <v>396</v>
      </c>
      <c r="O166" s="85" t="str">
        <f>Tabela1[[#This Row],[Pré CK MB U/L]]</f>
        <v>-</v>
      </c>
      <c r="P166" s="85" t="str">
        <f>Tabela1[[#This Row],[Pós CK MB U/L]]</f>
        <v>-</v>
      </c>
      <c r="Q166" s="85" t="str">
        <f>Tabela1[[#This Row],[Pré Lactato (mmol/L)]]</f>
        <v>-</v>
      </c>
      <c r="R166" s="85" t="str">
        <f>Tabela1[[#This Row],[Pós Lactato (mmol/L)]]</f>
        <v>-</v>
      </c>
      <c r="S166" s="85" t="str">
        <f>Tabela1[[#This Row],[Pré LDH (U/L)]]</f>
        <v>-</v>
      </c>
      <c r="T166" s="85" t="str">
        <f>Tabela1[[#This Row],[Pós LDH (U/L)]]</f>
        <v>-</v>
      </c>
      <c r="U166" s="85" t="str">
        <f>Tabela1[[#This Row],[Pré AST (U/L)]]</f>
        <v>-</v>
      </c>
      <c r="V166" s="193" t="str">
        <f>Tabela1[[#This Row],[Pós AST (U/L)]]</f>
        <v>-</v>
      </c>
      <c r="W166" s="194">
        <f>Tabela1[[#This Row],[Pré Albumina (g/dL)]]</f>
        <v>4.8499999999999996</v>
      </c>
      <c r="X166" s="125">
        <f>Tabela1[[#This Row],[Pós Albumina (g/dL)]]</f>
        <v>3.5</v>
      </c>
      <c r="Y166" s="85" t="str">
        <f>Tabela1[[#This Row],[Pré TGP (g/dL)]]</f>
        <v>-</v>
      </c>
      <c r="Z166" s="85" t="str">
        <f>Tabela1[[#This Row],[Pós TGP (g/dL)]]</f>
        <v>-</v>
      </c>
      <c r="AA166" s="85" t="str">
        <f>Tabela1[[#This Row],[Pré GGT U/L]]</f>
        <v>-</v>
      </c>
      <c r="AB166" s="193" t="str">
        <f>Tabela1[[#This Row],[Pós GGT U/L]]</f>
        <v>-</v>
      </c>
      <c r="AC166" s="194">
        <f>Tabela1[[#This Row],[Pré Ac. Úrico (mg/dL)]]</f>
        <v>4.3</v>
      </c>
      <c r="AD166" s="125">
        <f>Tabela1[[#This Row],[Pós Ac. Úrico (mg/dL)2]]</f>
        <v>6.5</v>
      </c>
      <c r="AE16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129.2733324383216</v>
      </c>
      <c r="AF16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166" s="85">
        <f>Tabela1[[#This Row],[Pré Ureia mg/dL]]</f>
        <v>30</v>
      </c>
      <c r="AH166" s="85">
        <f>Tabela1[[#This Row],[Pós Ureia mg/dL]]</f>
        <v>25</v>
      </c>
      <c r="AI166" s="125">
        <f>Tabela1[[#This Row],[Pré creatinina mg/dL]]</f>
        <v>0.69</v>
      </c>
      <c r="AJ166" s="125">
        <f>Tabela1[[#This Row],[Pós creatinina mg/dL]]</f>
        <v>0.8</v>
      </c>
      <c r="AK166" s="180">
        <f t="shared" si="8"/>
        <v>0.1100000000000001</v>
      </c>
      <c r="AL166" s="125">
        <f>Tabela1[[#This Row],[Pré Fósforo mg/dL]]</f>
        <v>3.35</v>
      </c>
      <c r="AM166" s="125">
        <f>Tabela1[[#This Row],[Pós Fósforo mg/dL]]</f>
        <v>10.5</v>
      </c>
      <c r="AN166" s="125" t="str">
        <f>Tabela1[[#This Row],[Pré Proteína Total (g/dL)]]</f>
        <v>-</v>
      </c>
      <c r="AO166" s="125" t="str">
        <f>Tabela1[[#This Row],[Pós Proteína Total (g/dL)]]</f>
        <v>-</v>
      </c>
      <c r="AP166" s="85" t="str">
        <f>Tabela1[[#This Row],[Pré FE (ug/dL)]]</f>
        <v>-</v>
      </c>
      <c r="AQ166" s="193" t="str">
        <f>Tabela1[[#This Row],[Pós FE (ug/dL)]]</f>
        <v>-</v>
      </c>
      <c r="AR166" s="194">
        <f>Tabela1[[#This Row],[Pré calcio mg/dL]]</f>
        <v>10.1</v>
      </c>
      <c r="AS166" s="125">
        <f>Tabela1[[#This Row],[Pós calcio mg/dL]]</f>
        <v>10</v>
      </c>
      <c r="AT166" s="125" t="str">
        <f>Tabela1[[#This Row],[Pré Potássio mmol/L]]</f>
        <v>-</v>
      </c>
      <c r="AU166" s="125" t="str">
        <f>Tabela1[[#This Row],[Pós Potássio mmol/L]]</f>
        <v>-</v>
      </c>
      <c r="AV166" s="85">
        <f>Tabela1[[#This Row],[Glicose pré]]</f>
        <v>105</v>
      </c>
      <c r="AW166" s="85">
        <f>Tabela1[[#This Row],[Glicose pós]]</f>
        <v>100</v>
      </c>
      <c r="AX166" s="85" t="str">
        <f>Tabela1[[#This Row],[Pré Sódio mmol/L]]</f>
        <v>-</v>
      </c>
      <c r="AY166" s="85" t="str">
        <f>Tabela1[[#This Row],[Pós Sódio mmol/L]]</f>
        <v>-</v>
      </c>
      <c r="AZ166" s="125" t="str">
        <f>Tabela1[[#This Row],[Pré Magnésio mg/dL]]</f>
        <v>-</v>
      </c>
      <c r="BA166" s="125" t="str">
        <f>Tabela1[[#This Row],[Pós Magnésio mg/dL]]</f>
        <v>-</v>
      </c>
      <c r="BB166" s="85" t="str">
        <f>Tabela1[[#This Row],[Pré Cloro mmol/L]]</f>
        <v>-</v>
      </c>
      <c r="BC166" s="85" t="str">
        <f>Tabela1[[#This Row],[Pós Cloro mmol/L]]</f>
        <v>-</v>
      </c>
      <c r="BD166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166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166" s="194">
        <f>Tabela1[[#This Row],[Pré RBC 10^6/mm³]]</f>
        <v>4.5</v>
      </c>
      <c r="BG166" s="125">
        <f>Tabela1[[#This Row],[Pós RBC 10^6/mm³]]</f>
        <v>4.0999999999999996</v>
      </c>
      <c r="BH166" s="125">
        <f>Tabela1[[#This Row],[Pré HGB g/dL]]</f>
        <v>14.2</v>
      </c>
      <c r="BI166" s="125">
        <f>Tabela1[[#This Row],[Pós HGB g/dL]]</f>
        <v>11.9</v>
      </c>
      <c r="BJ166" s="125">
        <f>Tabela1[[#This Row],[Pré HCT %]]</f>
        <v>43.7</v>
      </c>
      <c r="BK166" s="125">
        <f>Tabela1[[#This Row],[Pós HCT %]]</f>
        <v>36.700000000000003</v>
      </c>
      <c r="BL166" s="125">
        <f>Tabela1[[#This Row],[Pré MCV fL]]</f>
        <v>96.3</v>
      </c>
      <c r="BM166" s="125">
        <f>Tabela1[[#This Row],[Pós MCV fL]]</f>
        <v>90</v>
      </c>
      <c r="BN166" s="125">
        <f>Tabela1[[#This Row],[Pré MCH pg]]</f>
        <v>31.3</v>
      </c>
      <c r="BO166" s="125">
        <f>Tabela1[[#This Row],[Pós MCH pg]]</f>
        <v>29.2</v>
      </c>
      <c r="BP166" s="125">
        <f>Tabela1[[#This Row],[Pré MCHC g/dL]]</f>
        <v>32.5</v>
      </c>
      <c r="BQ166" s="125">
        <f>Tabela1[[#This Row],[Pós MCHC g/dL]]</f>
        <v>32.4</v>
      </c>
      <c r="BR166" s="85">
        <f>Tabela1[[#This Row],[Pré PLT 10³/mm³]]</f>
        <v>272</v>
      </c>
      <c r="BS166" s="85">
        <f>Tabela1[[#This Row],[Pós PLT 10³/mm³]]</f>
        <v>273</v>
      </c>
      <c r="BT166" s="125">
        <f>Tabela1[[#This Row],[Pré RDW %]]</f>
        <v>13.4</v>
      </c>
      <c r="BU166" s="125">
        <f>Tabela1[[#This Row],[Pós RDW %]]</f>
        <v>13.9</v>
      </c>
      <c r="BV166" s="179" t="str">
        <f>Tabela1[[#This Row],[Pré RET %]]</f>
        <v>-</v>
      </c>
      <c r="BW166" s="196" t="str">
        <f>Tabela1[[#This Row],[Pós RET %]]</f>
        <v>-</v>
      </c>
      <c r="BX166" s="197">
        <f>Tabela1[[#This Row],[Pré WBC 10³/mm³]]</f>
        <v>8.64</v>
      </c>
      <c r="BY166" s="179">
        <f>Tabela1[[#This Row],[Pós WBC 10³/mm³]]</f>
        <v>5.82</v>
      </c>
      <c r="BZ166" s="125">
        <f>Tabela1[[#This Row],[Pré NEUT %]]</f>
        <v>73</v>
      </c>
      <c r="CA166" s="125">
        <f>Tabela1[[#This Row],[Pós NEUT %]]</f>
        <v>65</v>
      </c>
      <c r="CB166" s="125">
        <f>Tabela1[[#This Row],[Pré LINF %]]</f>
        <v>17</v>
      </c>
      <c r="CC166" s="125">
        <f>Tabela1[[#This Row],[Pós LINF %]]</f>
        <v>25</v>
      </c>
      <c r="CD166" s="125">
        <f>Tabela1[[#This Row],[Pré MONO %]]</f>
        <v>8</v>
      </c>
      <c r="CE166" s="125">
        <f>Tabela1[[#This Row],[Pós MONO %]]</f>
        <v>9</v>
      </c>
      <c r="CF166" s="125">
        <f>Tabela1[[#This Row],[Pré EOS %]]</f>
        <v>2</v>
      </c>
      <c r="CG166" s="125">
        <f>Tabela1[[#This Row],[Pós EOS %]]</f>
        <v>1</v>
      </c>
      <c r="CH166" s="125">
        <f>Tabela1[[#This Row],[Pré BASO %]]</f>
        <v>0</v>
      </c>
      <c r="CI166" s="198">
        <f>Tabela1[[#This Row],[Pós BASO %]]</f>
        <v>0</v>
      </c>
      <c r="CJ166" s="199" t="str">
        <f t="shared" si="9"/>
        <v>NÃO</v>
      </c>
      <c r="CK166" s="200" t="str">
        <f t="shared" si="10"/>
        <v>NÃO</v>
      </c>
      <c r="CL166" s="194">
        <f t="shared" si="11"/>
        <v>71.943809999999999</v>
      </c>
      <c r="CM166" s="125">
        <f>Tabela1[[#This Row],[MCT KG]]</f>
        <v>81.099999999999994</v>
      </c>
      <c r="CN166" s="85">
        <f>Tabela1[[#This Row],[ESTATURA]]</f>
        <v>178</v>
      </c>
      <c r="CO166" s="85">
        <f>Tabela1[[#This Row],[vo2max estimado]]</f>
        <v>51.6</v>
      </c>
      <c r="CP166" s="85">
        <f>Tabela1[[#This Row],[Handgrip     Dominante]]</f>
        <v>45.5</v>
      </c>
      <c r="CQ166" s="85">
        <f>Tabela1[[#This Row],[Handgrip Contrário]]</f>
        <v>43</v>
      </c>
      <c r="CR166" s="281">
        <f>Tabela1[[#This Row],[% gordura]]</f>
        <v>11.29</v>
      </c>
    </row>
    <row r="167" spans="1:96" ht="15.75" customHeight="1">
      <c r="A167" s="279">
        <f>Tabela1[[#This Row],[Ano]]</f>
        <v>2018</v>
      </c>
      <c r="B167" s="181" t="str">
        <f>Tabela1[[#This Row],[Missão]]</f>
        <v>Ladário</v>
      </c>
      <c r="C167" s="181">
        <f>Tabela1[[#This Row],[Aluno]]</f>
        <v>3195</v>
      </c>
      <c r="D167" s="181">
        <f>Tabela1[[#This Row],[Idade]]</f>
        <v>26</v>
      </c>
      <c r="E167" s="182">
        <f>Tabela1[[#This Row],[Peso Kg]]</f>
        <v>68</v>
      </c>
      <c r="F167" s="191">
        <f>Tabela1[[#This Row],[Cor da pele]]</f>
        <v>1</v>
      </c>
      <c r="G167" s="192" t="str">
        <f>Tabela1[[#This Row],[ACTN3]]</f>
        <v>-</v>
      </c>
      <c r="H167" s="85" t="str">
        <f>Tabela1[[#This Row],[AGT]]</f>
        <v>-</v>
      </c>
      <c r="I167" s="85" t="str">
        <f>Tabela1[[#This Row],[ECA]]</f>
        <v>-</v>
      </c>
      <c r="J167" s="85" t="str">
        <f>Tabela1[[#This Row],[BDKRB2]]</f>
        <v>-</v>
      </c>
      <c r="K167" s="85" t="str">
        <f>Tabela1[[#This Row],[Score Força%]]</f>
        <v>-</v>
      </c>
      <c r="L167" s="193" t="str">
        <f>Tabela1[[#This Row],[Score Resistência %]]</f>
        <v>-</v>
      </c>
      <c r="M167" s="192">
        <f>Tabela1[[#This Row],[Pré CK (U/L)]]</f>
        <v>300</v>
      </c>
      <c r="N167" s="85">
        <f>Tabela1[[#This Row],[Pós CK (U/L)]]</f>
        <v>291</v>
      </c>
      <c r="O167" s="85" t="str">
        <f>Tabela1[[#This Row],[Pré CK MB U/L]]</f>
        <v>-</v>
      </c>
      <c r="P167" s="85" t="str">
        <f>Tabela1[[#This Row],[Pós CK MB U/L]]</f>
        <v>-</v>
      </c>
      <c r="Q167" s="85" t="str">
        <f>Tabela1[[#This Row],[Pré Lactato (mmol/L)]]</f>
        <v>-</v>
      </c>
      <c r="R167" s="85" t="str">
        <f>Tabela1[[#This Row],[Pós Lactato (mmol/L)]]</f>
        <v>-</v>
      </c>
      <c r="S167" s="85" t="str">
        <f>Tabela1[[#This Row],[Pré LDH (U/L)]]</f>
        <v>-</v>
      </c>
      <c r="T167" s="85" t="str">
        <f>Tabela1[[#This Row],[Pós LDH (U/L)]]</f>
        <v>-</v>
      </c>
      <c r="U167" s="85" t="str">
        <f>Tabela1[[#This Row],[Pré AST (U/L)]]</f>
        <v>-</v>
      </c>
      <c r="V167" s="193" t="str">
        <f>Tabela1[[#This Row],[Pós AST (U/L)]]</f>
        <v>-</v>
      </c>
      <c r="W167" s="194">
        <f>Tabela1[[#This Row],[Pré Albumina (g/dL)]]</f>
        <v>4.17</v>
      </c>
      <c r="X167" s="125">
        <f>Tabela1[[#This Row],[Pós Albumina (g/dL)]]</f>
        <v>4.8</v>
      </c>
      <c r="Y167" s="85" t="str">
        <f>Tabela1[[#This Row],[Pré TGP (g/dL)]]</f>
        <v>-</v>
      </c>
      <c r="Z167" s="85" t="str">
        <f>Tabela1[[#This Row],[Pós TGP (g/dL)]]</f>
        <v>-</v>
      </c>
      <c r="AA167" s="85" t="str">
        <f>Tabela1[[#This Row],[Pré GGT U/L]]</f>
        <v>-</v>
      </c>
      <c r="AB167" s="193" t="str">
        <f>Tabela1[[#This Row],[Pós GGT U/L]]</f>
        <v>-</v>
      </c>
      <c r="AC167" s="194">
        <f>Tabela1[[#This Row],[Pré Ac. Úrico (mg/dL)]]</f>
        <v>5.6</v>
      </c>
      <c r="AD167" s="125">
        <f>Tabela1[[#This Row],[Pós Ac. Úrico (mg/dL)2]]</f>
        <v>6.2</v>
      </c>
      <c r="AE16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119.70866504090141</v>
      </c>
      <c r="AF16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167" s="85">
        <f>Tabela1[[#This Row],[Pré Ureia mg/dL]]</f>
        <v>27</v>
      </c>
      <c r="AH167" s="85">
        <f>Tabela1[[#This Row],[Pós Ureia mg/dL]]</f>
        <v>46</v>
      </c>
      <c r="AI167" s="125">
        <f>Tabela1[[#This Row],[Pré creatinina mg/dL]]</f>
        <v>0.89</v>
      </c>
      <c r="AJ167" s="125">
        <f>Tabela1[[#This Row],[Pós creatinina mg/dL]]</f>
        <v>1.2</v>
      </c>
      <c r="AK167" s="180">
        <f t="shared" si="8"/>
        <v>0.30999999999999994</v>
      </c>
      <c r="AL167" s="125">
        <f>Tabela1[[#This Row],[Pré Fósforo mg/dL]]</f>
        <v>2.9</v>
      </c>
      <c r="AM167" s="125">
        <f>Tabela1[[#This Row],[Pós Fósforo mg/dL]]</f>
        <v>3.8</v>
      </c>
      <c r="AN167" s="125" t="str">
        <f>Tabela1[[#This Row],[Pré Proteína Total (g/dL)]]</f>
        <v>-</v>
      </c>
      <c r="AO167" s="125" t="str">
        <f>Tabela1[[#This Row],[Pós Proteína Total (g/dL)]]</f>
        <v>-</v>
      </c>
      <c r="AP167" s="85" t="str">
        <f>Tabela1[[#This Row],[Pré FE (ug/dL)]]</f>
        <v>-</v>
      </c>
      <c r="AQ167" s="193" t="str">
        <f>Tabela1[[#This Row],[Pós FE (ug/dL)]]</f>
        <v>-</v>
      </c>
      <c r="AR167" s="194">
        <f>Tabela1[[#This Row],[Pré calcio mg/dL]]</f>
        <v>9.1</v>
      </c>
      <c r="AS167" s="125">
        <f>Tabela1[[#This Row],[Pós calcio mg/dL]]</f>
        <v>10.3</v>
      </c>
      <c r="AT167" s="125" t="str">
        <f>Tabela1[[#This Row],[Pré Potássio mmol/L]]</f>
        <v>-</v>
      </c>
      <c r="AU167" s="125" t="str">
        <f>Tabela1[[#This Row],[Pós Potássio mmol/L]]</f>
        <v>-</v>
      </c>
      <c r="AV167" s="85">
        <f>Tabela1[[#This Row],[Glicose pré]]</f>
        <v>91</v>
      </c>
      <c r="AW167" s="85">
        <f>Tabela1[[#This Row],[Glicose pós]]</f>
        <v>85</v>
      </c>
      <c r="AX167" s="85" t="str">
        <f>Tabela1[[#This Row],[Pré Sódio mmol/L]]</f>
        <v>-</v>
      </c>
      <c r="AY167" s="85" t="str">
        <f>Tabela1[[#This Row],[Pós Sódio mmol/L]]</f>
        <v>-</v>
      </c>
      <c r="AZ167" s="125" t="str">
        <f>Tabela1[[#This Row],[Pré Magnésio mg/dL]]</f>
        <v>-</v>
      </c>
      <c r="BA167" s="125" t="str">
        <f>Tabela1[[#This Row],[Pós Magnésio mg/dL]]</f>
        <v>-</v>
      </c>
      <c r="BB167" s="85" t="str">
        <f>Tabela1[[#This Row],[Pré Cloro mmol/L]]</f>
        <v>-</v>
      </c>
      <c r="BC167" s="85" t="str">
        <f>Tabela1[[#This Row],[Pós Cloro mmol/L]]</f>
        <v>-</v>
      </c>
      <c r="BD167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167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167" s="194">
        <f>Tabela1[[#This Row],[Pré RBC 10^6/mm³]]</f>
        <v>4.3</v>
      </c>
      <c r="BG167" s="125">
        <f>Tabela1[[#This Row],[Pós RBC 10^6/mm³]]</f>
        <v>4.5999999999999996</v>
      </c>
      <c r="BH167" s="125">
        <f>Tabela1[[#This Row],[Pré HGB g/dL]]</f>
        <v>12.6</v>
      </c>
      <c r="BI167" s="125">
        <f>Tabela1[[#This Row],[Pós HGB g/dL]]</f>
        <v>14.3</v>
      </c>
      <c r="BJ167" s="125">
        <f>Tabela1[[#This Row],[Pré HCT %]]</f>
        <v>39.200000000000003</v>
      </c>
      <c r="BK167" s="125">
        <f>Tabela1[[#This Row],[Pós HCT %]]</f>
        <v>43.4</v>
      </c>
      <c r="BL167" s="125">
        <f>Tabela1[[#This Row],[Pré MCV fL]]</f>
        <v>90.5</v>
      </c>
      <c r="BM167" s="125">
        <f>Tabela1[[#This Row],[Pós MCV fL]]</f>
        <v>95.2</v>
      </c>
      <c r="BN167" s="125">
        <f>Tabela1[[#This Row],[Pré MCH pg]]</f>
        <v>29.1</v>
      </c>
      <c r="BO167" s="125">
        <f>Tabela1[[#This Row],[Pós MCH pg]]</f>
        <v>31.4</v>
      </c>
      <c r="BP167" s="125">
        <f>Tabela1[[#This Row],[Pré MCHC g/dL]]</f>
        <v>32.1</v>
      </c>
      <c r="BQ167" s="125">
        <f>Tabela1[[#This Row],[Pós MCHC g/dL]]</f>
        <v>32.9</v>
      </c>
      <c r="BR167" s="85">
        <f>Tabela1[[#This Row],[Pré PLT 10³/mm³]]</f>
        <v>355</v>
      </c>
      <c r="BS167" s="85">
        <f>Tabela1[[#This Row],[Pós PLT 10³/mm³]]</f>
        <v>279</v>
      </c>
      <c r="BT167" s="125">
        <f>Tabela1[[#This Row],[Pré RDW %]]</f>
        <v>14.2</v>
      </c>
      <c r="BU167" s="125">
        <f>Tabela1[[#This Row],[Pós RDW %]]</f>
        <v>13.3</v>
      </c>
      <c r="BV167" s="179" t="str">
        <f>Tabela1[[#This Row],[Pré RET %]]</f>
        <v>-</v>
      </c>
      <c r="BW167" s="196" t="str">
        <f>Tabela1[[#This Row],[Pós RET %]]</f>
        <v>-</v>
      </c>
      <c r="BX167" s="197">
        <f>Tabela1[[#This Row],[Pré WBC 10³/mm³]]</f>
        <v>6.4</v>
      </c>
      <c r="BY167" s="179">
        <f>Tabela1[[#This Row],[Pós WBC 10³/mm³]]</f>
        <v>8.52</v>
      </c>
      <c r="BZ167" s="125">
        <f>Tabela1[[#This Row],[Pré NEUT %]]</f>
        <v>70</v>
      </c>
      <c r="CA167" s="125">
        <f>Tabela1[[#This Row],[Pós NEUT %]]</f>
        <v>72</v>
      </c>
      <c r="CB167" s="125">
        <f>Tabela1[[#This Row],[Pré LINF %]]</f>
        <v>20</v>
      </c>
      <c r="CC167" s="125">
        <f>Tabela1[[#This Row],[Pós LINF %]]</f>
        <v>19</v>
      </c>
      <c r="CD167" s="125">
        <f>Tabela1[[#This Row],[Pré MONO %]]</f>
        <v>10</v>
      </c>
      <c r="CE167" s="125">
        <f>Tabela1[[#This Row],[Pós MONO %]]</f>
        <v>8</v>
      </c>
      <c r="CF167" s="125">
        <f>Tabela1[[#This Row],[Pré EOS %]]</f>
        <v>0</v>
      </c>
      <c r="CG167" s="125">
        <f>Tabela1[[#This Row],[Pós EOS %]]</f>
        <v>1</v>
      </c>
      <c r="CH167" s="125">
        <f>Tabela1[[#This Row],[Pré BASO %]]</f>
        <v>0</v>
      </c>
      <c r="CI167" s="198">
        <f>Tabela1[[#This Row],[Pós BASO %]]</f>
        <v>0</v>
      </c>
      <c r="CJ167" s="199" t="str">
        <f t="shared" si="9"/>
        <v>SIM</v>
      </c>
      <c r="CK167" s="200" t="str">
        <f t="shared" si="10"/>
        <v>NÃO</v>
      </c>
      <c r="CL167" s="194">
        <f t="shared" si="11"/>
        <v>62.5396</v>
      </c>
      <c r="CM167" s="125">
        <f>Tabela1[[#This Row],[MCT KG]]</f>
        <v>68</v>
      </c>
      <c r="CN167" s="85">
        <f>Tabela1[[#This Row],[ESTATURA]]</f>
        <v>173</v>
      </c>
      <c r="CO167" s="85">
        <f>Tabela1[[#This Row],[vo2max estimado]]</f>
        <v>55.9</v>
      </c>
      <c r="CP167" s="85">
        <f>Tabela1[[#This Row],[Handgrip     Dominante]]</f>
        <v>39</v>
      </c>
      <c r="CQ167" s="85">
        <f>Tabela1[[#This Row],[Handgrip Contrário]]</f>
        <v>39</v>
      </c>
      <c r="CR167" s="281">
        <f>Tabela1[[#This Row],[% gordura]]</f>
        <v>8.0299999999999994</v>
      </c>
    </row>
    <row r="168" spans="1:96" ht="15.75" customHeight="1">
      <c r="A168" s="279">
        <f>Tabela1[[#This Row],[Ano]]</f>
        <v>2018</v>
      </c>
      <c r="B168" s="181" t="str">
        <f>Tabela1[[#This Row],[Missão]]</f>
        <v>Ladário</v>
      </c>
      <c r="C168" s="181">
        <f>Tabela1[[#This Row],[Aluno]]</f>
        <v>3196</v>
      </c>
      <c r="D168" s="181">
        <f>Tabela1[[#This Row],[Idade]]</f>
        <v>27</v>
      </c>
      <c r="E168" s="182">
        <f>Tabela1[[#This Row],[Peso Kg]]</f>
        <v>80</v>
      </c>
      <c r="F168" s="191">
        <f>Tabela1[[#This Row],[Cor da pele]]</f>
        <v>1</v>
      </c>
      <c r="G168" s="192" t="str">
        <f>Tabela1[[#This Row],[ACTN3]]</f>
        <v>-</v>
      </c>
      <c r="H168" s="85" t="str">
        <f>Tabela1[[#This Row],[AGT]]</f>
        <v>-</v>
      </c>
      <c r="I168" s="85" t="str">
        <f>Tabela1[[#This Row],[ECA]]</f>
        <v>-</v>
      </c>
      <c r="J168" s="85" t="str">
        <f>Tabela1[[#This Row],[BDKRB2]]</f>
        <v>-</v>
      </c>
      <c r="K168" s="85" t="str">
        <f>Tabela1[[#This Row],[Score Força%]]</f>
        <v>-</v>
      </c>
      <c r="L168" s="193" t="str">
        <f>Tabela1[[#This Row],[Score Resistência %]]</f>
        <v>-</v>
      </c>
      <c r="M168" s="192">
        <f>Tabela1[[#This Row],[Pré CK (U/L)]]</f>
        <v>723</v>
      </c>
      <c r="N168" s="85">
        <f>Tabela1[[#This Row],[Pós CK (U/L)]]</f>
        <v>542</v>
      </c>
      <c r="O168" s="85" t="str">
        <f>Tabela1[[#This Row],[Pré CK MB U/L]]</f>
        <v>-</v>
      </c>
      <c r="P168" s="85" t="str">
        <f>Tabela1[[#This Row],[Pós CK MB U/L]]</f>
        <v>-</v>
      </c>
      <c r="Q168" s="85" t="str">
        <f>Tabela1[[#This Row],[Pré Lactato (mmol/L)]]</f>
        <v>-</v>
      </c>
      <c r="R168" s="85" t="str">
        <f>Tabela1[[#This Row],[Pós Lactato (mmol/L)]]</f>
        <v>-</v>
      </c>
      <c r="S168" s="85" t="str">
        <f>Tabela1[[#This Row],[Pré LDH (U/L)]]</f>
        <v>-</v>
      </c>
      <c r="T168" s="85" t="str">
        <f>Tabela1[[#This Row],[Pós LDH (U/L)]]</f>
        <v>-</v>
      </c>
      <c r="U168" s="85" t="str">
        <f>Tabela1[[#This Row],[Pré AST (U/L)]]</f>
        <v>-</v>
      </c>
      <c r="V168" s="193" t="str">
        <f>Tabela1[[#This Row],[Pós AST (U/L)]]</f>
        <v>-</v>
      </c>
      <c r="W168" s="194">
        <f>Tabela1[[#This Row],[Pré Albumina (g/dL)]]</f>
        <v>4.2</v>
      </c>
      <c r="X168" s="125">
        <f>Tabela1[[#This Row],[Pós Albumina (g/dL)]]</f>
        <v>3.5</v>
      </c>
      <c r="Y168" s="85" t="str">
        <f>Tabela1[[#This Row],[Pré TGP (g/dL)]]</f>
        <v>-</v>
      </c>
      <c r="Z168" s="85" t="str">
        <f>Tabela1[[#This Row],[Pós TGP (g/dL)]]</f>
        <v>-</v>
      </c>
      <c r="AA168" s="85" t="str">
        <f>Tabela1[[#This Row],[Pré GGT U/L]]</f>
        <v>-</v>
      </c>
      <c r="AB168" s="193" t="str">
        <f>Tabela1[[#This Row],[Pós GGT U/L]]</f>
        <v>-</v>
      </c>
      <c r="AC168" s="194">
        <f>Tabela1[[#This Row],[Pré Ac. Úrico (mg/dL)]]</f>
        <v>8</v>
      </c>
      <c r="AD168" s="125">
        <f>Tabela1[[#This Row],[Pós Ac. Úrico (mg/dL)2]]</f>
        <v>8</v>
      </c>
      <c r="AE16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109.04984736895145</v>
      </c>
      <c r="AF16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68" s="85">
        <f>Tabela1[[#This Row],[Pré Ureia mg/dL]]</f>
        <v>36</v>
      </c>
      <c r="AH168" s="85">
        <f>Tabela1[[#This Row],[Pós Ureia mg/dL]]</f>
        <v>40</v>
      </c>
      <c r="AI168" s="125">
        <f>Tabela1[[#This Row],[Pré creatinina mg/dL]]</f>
        <v>0.97</v>
      </c>
      <c r="AJ168" s="125">
        <f>Tabela1[[#This Row],[Pós creatinina mg/dL]]</f>
        <v>1.1000000000000001</v>
      </c>
      <c r="AK168" s="180">
        <f t="shared" si="8"/>
        <v>0.13000000000000012</v>
      </c>
      <c r="AL168" s="125">
        <f>Tabela1[[#This Row],[Pré Fósforo mg/dL]]</f>
        <v>3.53</v>
      </c>
      <c r="AM168" s="125">
        <f>Tabela1[[#This Row],[Pós Fósforo mg/dL]]</f>
        <v>2.6</v>
      </c>
      <c r="AN168" s="125" t="str">
        <f>Tabela1[[#This Row],[Pré Proteína Total (g/dL)]]</f>
        <v>-</v>
      </c>
      <c r="AO168" s="125" t="str">
        <f>Tabela1[[#This Row],[Pós Proteína Total (g/dL)]]</f>
        <v>-</v>
      </c>
      <c r="AP168" s="85" t="str">
        <f>Tabela1[[#This Row],[Pré FE (ug/dL)]]</f>
        <v>-</v>
      </c>
      <c r="AQ168" s="193" t="str">
        <f>Tabela1[[#This Row],[Pós FE (ug/dL)]]</f>
        <v>-</v>
      </c>
      <c r="AR168" s="194">
        <f>Tabela1[[#This Row],[Pré calcio mg/dL]]</f>
        <v>9</v>
      </c>
      <c r="AS168" s="125">
        <f>Tabela1[[#This Row],[Pós calcio mg/dL]]</f>
        <v>9.1</v>
      </c>
      <c r="AT168" s="125" t="str">
        <f>Tabela1[[#This Row],[Pré Potássio mmol/L]]</f>
        <v>-</v>
      </c>
      <c r="AU168" s="125" t="str">
        <f>Tabela1[[#This Row],[Pós Potássio mmol/L]]</f>
        <v>-</v>
      </c>
      <c r="AV168" s="85">
        <f>Tabela1[[#This Row],[Glicose pré]]</f>
        <v>102</v>
      </c>
      <c r="AW168" s="85">
        <f>Tabela1[[#This Row],[Glicose pós]]</f>
        <v>95</v>
      </c>
      <c r="AX168" s="85" t="str">
        <f>Tabela1[[#This Row],[Pré Sódio mmol/L]]</f>
        <v>-</v>
      </c>
      <c r="AY168" s="85" t="str">
        <f>Tabela1[[#This Row],[Pós Sódio mmol/L]]</f>
        <v>-</v>
      </c>
      <c r="AZ168" s="125" t="str">
        <f>Tabela1[[#This Row],[Pré Magnésio mg/dL]]</f>
        <v>-</v>
      </c>
      <c r="BA168" s="125" t="str">
        <f>Tabela1[[#This Row],[Pós Magnésio mg/dL]]</f>
        <v>-</v>
      </c>
      <c r="BB168" s="85" t="str">
        <f>Tabela1[[#This Row],[Pré Cloro mmol/L]]</f>
        <v>-</v>
      </c>
      <c r="BC168" s="85" t="str">
        <f>Tabela1[[#This Row],[Pós Cloro mmol/L]]</f>
        <v>-</v>
      </c>
      <c r="BD168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168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168" s="194">
        <f>Tabela1[[#This Row],[Pré RBC 10^6/mm³]]</f>
        <v>4.2</v>
      </c>
      <c r="BG168" s="125">
        <f>Tabela1[[#This Row],[Pós RBC 10^6/mm³]]</f>
        <v>5</v>
      </c>
      <c r="BH168" s="125">
        <f>Tabela1[[#This Row],[Pré HGB g/dL]]</f>
        <v>12.3</v>
      </c>
      <c r="BI168" s="125">
        <f>Tabela1[[#This Row],[Pós HGB g/dL]]</f>
        <v>13.8</v>
      </c>
      <c r="BJ168" s="125">
        <f>Tabela1[[#This Row],[Pré HCT %]]</f>
        <v>38.700000000000003</v>
      </c>
      <c r="BK168" s="125">
        <f>Tabela1[[#This Row],[Pós HCT %]]</f>
        <v>41.1</v>
      </c>
      <c r="BL168" s="125">
        <f>Tabela1[[#This Row],[Pré MCV fL]]</f>
        <v>91.5</v>
      </c>
      <c r="BM168" s="125">
        <f>Tabela1[[#This Row],[Pós MCV fL]]</f>
        <v>82.4</v>
      </c>
      <c r="BN168" s="125">
        <f>Tabela1[[#This Row],[Pré MCH pg]]</f>
        <v>29.1</v>
      </c>
      <c r="BO168" s="125">
        <f>Tabela1[[#This Row],[Pós MCH pg]]</f>
        <v>27.7</v>
      </c>
      <c r="BP168" s="125">
        <f>Tabela1[[#This Row],[Pré MCHC g/dL]]</f>
        <v>31.8</v>
      </c>
      <c r="BQ168" s="125">
        <f>Tabela1[[#This Row],[Pós MCHC g/dL]]</f>
        <v>33.6</v>
      </c>
      <c r="BR168" s="85">
        <f>Tabela1[[#This Row],[Pré PLT 10³/mm³]]</f>
        <v>262</v>
      </c>
      <c r="BS168" s="85">
        <f>Tabela1[[#This Row],[Pós PLT 10³/mm³]]</f>
        <v>110</v>
      </c>
      <c r="BT168" s="125">
        <f>Tabela1[[#This Row],[Pré RDW %]]</f>
        <v>14.5</v>
      </c>
      <c r="BU168" s="125">
        <f>Tabela1[[#This Row],[Pós RDW %]]</f>
        <v>13.5</v>
      </c>
      <c r="BV168" s="179" t="str">
        <f>Tabela1[[#This Row],[Pré RET %]]</f>
        <v>-</v>
      </c>
      <c r="BW168" s="196" t="str">
        <f>Tabela1[[#This Row],[Pós RET %]]</f>
        <v>-</v>
      </c>
      <c r="BX168" s="197">
        <f>Tabela1[[#This Row],[Pré WBC 10³/mm³]]</f>
        <v>8.74</v>
      </c>
      <c r="BY168" s="179">
        <f>Tabela1[[#This Row],[Pós WBC 10³/mm³]]</f>
        <v>7.15</v>
      </c>
      <c r="BZ168" s="125">
        <f>Tabela1[[#This Row],[Pré NEUT %]]</f>
        <v>73</v>
      </c>
      <c r="CA168" s="125">
        <f>Tabela1[[#This Row],[Pós NEUT %]]</f>
        <v>67</v>
      </c>
      <c r="CB168" s="125">
        <f>Tabela1[[#This Row],[Pré LINF %]]</f>
        <v>14</v>
      </c>
      <c r="CC168" s="125">
        <f>Tabela1[[#This Row],[Pós LINF %]]</f>
        <v>26</v>
      </c>
      <c r="CD168" s="125">
        <f>Tabela1[[#This Row],[Pré MONO %]]</f>
        <v>10</v>
      </c>
      <c r="CE168" s="125">
        <f>Tabela1[[#This Row],[Pós MONO %]]</f>
        <v>6</v>
      </c>
      <c r="CF168" s="125">
        <f>Tabela1[[#This Row],[Pré EOS %]]</f>
        <v>2</v>
      </c>
      <c r="CG168" s="125">
        <f>Tabela1[[#This Row],[Pós EOS %]]</f>
        <v>1</v>
      </c>
      <c r="CH168" s="125">
        <f>Tabela1[[#This Row],[Pré BASO %]]</f>
        <v>0</v>
      </c>
      <c r="CI168" s="198">
        <f>Tabela1[[#This Row],[Pós BASO %]]</f>
        <v>0</v>
      </c>
      <c r="CJ168" s="199" t="str">
        <f t="shared" si="9"/>
        <v>NÃO</v>
      </c>
      <c r="CK168" s="200" t="str">
        <f t="shared" si="10"/>
        <v>NÃO</v>
      </c>
      <c r="CL168" s="194">
        <f t="shared" si="11"/>
        <v>70.30368</v>
      </c>
      <c r="CM168" s="125">
        <f>Tabela1[[#This Row],[MCT KG]]</f>
        <v>82.4</v>
      </c>
      <c r="CN168" s="85">
        <f>Tabela1[[#This Row],[ESTATURA]]</f>
        <v>168</v>
      </c>
      <c r="CO168" s="85">
        <f>Tabela1[[#This Row],[vo2max estimado]]</f>
        <v>50.7</v>
      </c>
      <c r="CP168" s="85">
        <f>Tabela1[[#This Row],[Handgrip     Dominante]]</f>
        <v>60</v>
      </c>
      <c r="CQ168" s="85">
        <f>Tabela1[[#This Row],[Handgrip Contrário]]</f>
        <v>58</v>
      </c>
      <c r="CR168" s="281">
        <f>Tabela1[[#This Row],[% gordura]]</f>
        <v>14.68</v>
      </c>
    </row>
    <row r="169" spans="1:96" ht="15.75" customHeight="1">
      <c r="A169" s="279">
        <f>Tabela1[[#This Row],[Ano]]</f>
        <v>2018</v>
      </c>
      <c r="B169" s="181" t="str">
        <f>Tabela1[[#This Row],[Missão]]</f>
        <v>Arraial</v>
      </c>
      <c r="C169" s="181">
        <f>Tabela1[[#This Row],[Aluno]]</f>
        <v>3155</v>
      </c>
      <c r="D169" s="181">
        <f>Tabela1[[#This Row],[Idade]]</f>
        <v>26</v>
      </c>
      <c r="E169" s="182">
        <f>Tabela1[[#This Row],[Peso Kg]]</f>
        <v>70</v>
      </c>
      <c r="F169" s="191">
        <f>Tabela1[[#This Row],[Cor da pele]]</f>
        <v>1</v>
      </c>
      <c r="G169" s="192" t="str">
        <f>Tabela1[[#This Row],[ACTN3]]</f>
        <v>RR</v>
      </c>
      <c r="H169" s="85" t="str">
        <f>Tabela1[[#This Row],[AGT]]</f>
        <v>MT</v>
      </c>
      <c r="I169" s="85" t="str">
        <f>Tabela1[[#This Row],[ECA]]</f>
        <v>II</v>
      </c>
      <c r="J169" s="85" t="str">
        <f>Tabela1[[#This Row],[BDKRB2]]</f>
        <v>(+9,-9)</v>
      </c>
      <c r="K169" s="85">
        <f>Tabela1[[#This Row],[Score Força%]]</f>
        <v>50</v>
      </c>
      <c r="L169" s="193">
        <f>Tabela1[[#This Row],[Score Resistência %]]</f>
        <v>50</v>
      </c>
      <c r="M169" s="192">
        <f>Tabela1[[#This Row],[Pré CK (U/L)]]</f>
        <v>103</v>
      </c>
      <c r="N169" s="85">
        <f>Tabela1[[#This Row],[Pós CK (U/L)]]</f>
        <v>117</v>
      </c>
      <c r="O169" s="85">
        <f>Tabela1[[#This Row],[Pré CK MB U/L]]</f>
        <v>4</v>
      </c>
      <c r="P169" s="85">
        <f>Tabela1[[#This Row],[Pós CK MB U/L]]</f>
        <v>3</v>
      </c>
      <c r="Q169" s="85" t="str">
        <f>Tabela1[[#This Row],[Pré Lactato (mmol/L)]]</f>
        <v>-</v>
      </c>
      <c r="R169" s="85" t="str">
        <f>Tabela1[[#This Row],[Pós Lactato (mmol/L)]]</f>
        <v>-</v>
      </c>
      <c r="S169" s="85">
        <f>Tabela1[[#This Row],[Pré LDH (U/L)]]</f>
        <v>549</v>
      </c>
      <c r="T169" s="85">
        <f>Tabela1[[#This Row],[Pós LDH (U/L)]]</f>
        <v>486</v>
      </c>
      <c r="U169" s="85">
        <f>Tabela1[[#This Row],[Pré AST (U/L)]]</f>
        <v>25</v>
      </c>
      <c r="V169" s="193">
        <f>Tabela1[[#This Row],[Pós AST (U/L)]]</f>
        <v>24</v>
      </c>
      <c r="W169" s="194">
        <f>Tabela1[[#This Row],[Pré Albumina (g/dL)]]</f>
        <v>4.5999999999999996</v>
      </c>
      <c r="X169" s="125">
        <f>Tabela1[[#This Row],[Pós Albumina (g/dL)]]</f>
        <v>4.3</v>
      </c>
      <c r="Y169" s="85">
        <f>Tabela1[[#This Row],[Pré TGP (g/dL)]]</f>
        <v>41</v>
      </c>
      <c r="Z169" s="85">
        <f>Tabela1[[#This Row],[Pós TGP (g/dL)]]</f>
        <v>37</v>
      </c>
      <c r="AA169" s="85">
        <f>Tabela1[[#This Row],[Pré GGT U/L]]</f>
        <v>29</v>
      </c>
      <c r="AB169" s="193">
        <f>Tabela1[[#This Row],[Pós GGT U/L]]</f>
        <v>35</v>
      </c>
      <c r="AC169" s="194">
        <f>Tabela1[[#This Row],[Pré Ac. Úrico (mg/dL)]]</f>
        <v>4.5999999999999996</v>
      </c>
      <c r="AD169" s="125">
        <f>Tabela1[[#This Row],[Pós Ac. Úrico (mg/dL)2]]</f>
        <v>5.0999999999999996</v>
      </c>
      <c r="AE16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6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69" s="85">
        <f>Tabela1[[#This Row],[Pré Ureia mg/dL]]</f>
        <v>43</v>
      </c>
      <c r="AH169" s="85">
        <f>Tabela1[[#This Row],[Pós Ureia mg/dL]]</f>
        <v>47</v>
      </c>
      <c r="AI169" s="125">
        <f>Tabela1[[#This Row],[Pré creatinina mg/dL]]</f>
        <v>0.9</v>
      </c>
      <c r="AJ169" s="125">
        <f>Tabela1[[#This Row],[Pós creatinina mg/dL]]</f>
        <v>1</v>
      </c>
      <c r="AK169" s="180">
        <f t="shared" si="8"/>
        <v>9.9999999999999978E-2</v>
      </c>
      <c r="AL169" s="125">
        <f>Tabela1[[#This Row],[Pré Fósforo mg/dL]]</f>
        <v>5.6</v>
      </c>
      <c r="AM169" s="125">
        <f>Tabela1[[#This Row],[Pós Fósforo mg/dL]]</f>
        <v>5.4</v>
      </c>
      <c r="AN169" s="125">
        <f>Tabela1[[#This Row],[Pré Proteína Total (g/dL)]]</f>
        <v>7.9</v>
      </c>
      <c r="AO169" s="125">
        <f>Tabela1[[#This Row],[Pós Proteína Total (g/dL)]]</f>
        <v>7.8</v>
      </c>
      <c r="AP169" s="85">
        <f>Tabela1[[#This Row],[Pré FE (ug/dL)]]</f>
        <v>72</v>
      </c>
      <c r="AQ169" s="193">
        <f>Tabela1[[#This Row],[Pós FE (ug/dL)]]</f>
        <v>90</v>
      </c>
      <c r="AR169" s="194">
        <f>Tabela1[[#This Row],[Pré calcio mg/dL]]</f>
        <v>10.5</v>
      </c>
      <c r="AS169" s="125">
        <f>Tabela1[[#This Row],[Pós calcio mg/dL]]</f>
        <v>10.3</v>
      </c>
      <c r="AT169" s="125">
        <f>Tabela1[[#This Row],[Pré Potássio mmol/L]]</f>
        <v>5.0999999999999996</v>
      </c>
      <c r="AU169" s="125">
        <f>Tabela1[[#This Row],[Pós Potássio mmol/L]]</f>
        <v>4.4000000000000004</v>
      </c>
      <c r="AV169" s="85">
        <f>Tabela1[[#This Row],[Glicose pré]]</f>
        <v>98</v>
      </c>
      <c r="AW169" s="85">
        <f>Tabela1[[#This Row],[Glicose pós]]</f>
        <v>90</v>
      </c>
      <c r="AX169" s="85">
        <f>Tabela1[[#This Row],[Pré Sódio mmol/L]]</f>
        <v>140</v>
      </c>
      <c r="AY169" s="85">
        <f>Tabela1[[#This Row],[Pós Sódio mmol/L]]</f>
        <v>139</v>
      </c>
      <c r="AZ169" s="125">
        <f>Tabela1[[#This Row],[Pré Magnésio mg/dL]]</f>
        <v>2.5</v>
      </c>
      <c r="BA169" s="125">
        <f>Tabela1[[#This Row],[Pós Magnésio mg/dL]]</f>
        <v>2.2000000000000002</v>
      </c>
      <c r="BB169" s="85">
        <f>Tabela1[[#This Row],[Pré Cloro mmol/L]]</f>
        <v>104</v>
      </c>
      <c r="BC169" s="85">
        <f>Tabela1[[#This Row],[Pós Cloro mmol/L]]</f>
        <v>101</v>
      </c>
      <c r="BD16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297.31377777777783</v>
      </c>
      <c r="BE16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294.30733333333336</v>
      </c>
      <c r="BF169" s="194">
        <f>Tabela1[[#This Row],[Pré RBC 10^6/mm³]]</f>
        <v>4.62</v>
      </c>
      <c r="BG169" s="125">
        <f>Tabela1[[#This Row],[Pós RBC 10^6/mm³]]</f>
        <v>4.68</v>
      </c>
      <c r="BH169" s="125">
        <f>Tabela1[[#This Row],[Pré HGB g/dL]]</f>
        <v>13.3</v>
      </c>
      <c r="BI169" s="125">
        <f>Tabela1[[#This Row],[Pós HGB g/dL]]</f>
        <v>13.2</v>
      </c>
      <c r="BJ169" s="125">
        <f>Tabela1[[#This Row],[Pré HCT %]]</f>
        <v>40.6</v>
      </c>
      <c r="BK169" s="125">
        <f>Tabela1[[#This Row],[Pós HCT %]]</f>
        <v>41.7</v>
      </c>
      <c r="BL169" s="125">
        <f>Tabela1[[#This Row],[Pré MCV fL]]</f>
        <v>87.9</v>
      </c>
      <c r="BM169" s="125">
        <f>Tabela1[[#This Row],[Pós MCV fL]]</f>
        <v>89.1</v>
      </c>
      <c r="BN169" s="125">
        <f>Tabela1[[#This Row],[Pré MCH pg]]</f>
        <v>28.8</v>
      </c>
      <c r="BO169" s="125">
        <f>Tabela1[[#This Row],[Pós MCH pg]]</f>
        <v>28.2</v>
      </c>
      <c r="BP169" s="125">
        <f>Tabela1[[#This Row],[Pré MCHC g/dL]]</f>
        <v>32.799999999999997</v>
      </c>
      <c r="BQ169" s="125">
        <f>Tabela1[[#This Row],[Pós MCHC g/dL]]</f>
        <v>31.7</v>
      </c>
      <c r="BR169" s="85">
        <f>Tabela1[[#This Row],[Pré PLT 10³/mm³]]</f>
        <v>362</v>
      </c>
      <c r="BS169" s="85">
        <f>Tabela1[[#This Row],[Pós PLT 10³/mm³]]</f>
        <v>285</v>
      </c>
      <c r="BT169" s="125">
        <f>Tabela1[[#This Row],[Pré RDW %]]</f>
        <v>13.4</v>
      </c>
      <c r="BU169" s="125">
        <f>Tabela1[[#This Row],[Pós RDW %]]</f>
        <v>13.7</v>
      </c>
      <c r="BV169" s="179">
        <f>Tabela1[[#This Row],[Pré RET %]]</f>
        <v>1.66</v>
      </c>
      <c r="BW169" s="196">
        <f>Tabela1[[#This Row],[Pós RET %]]</f>
        <v>1.68</v>
      </c>
      <c r="BX169" s="197">
        <f>Tabela1[[#This Row],[Pré WBC 10³/mm³]]</f>
        <v>7.11</v>
      </c>
      <c r="BY169" s="179">
        <f>Tabela1[[#This Row],[Pós WBC 10³/mm³]]</f>
        <v>7.55</v>
      </c>
      <c r="BZ169" s="125">
        <f>Tabela1[[#This Row],[Pré NEUT %]]</f>
        <v>61.1</v>
      </c>
      <c r="CA169" s="125">
        <f>Tabela1[[#This Row],[Pós NEUT %]]</f>
        <v>57.7</v>
      </c>
      <c r="CB169" s="125">
        <f>Tabela1[[#This Row],[Pré LINF %]]</f>
        <v>27.7</v>
      </c>
      <c r="CC169" s="125">
        <f>Tabela1[[#This Row],[Pós LINF %]]</f>
        <v>31.9</v>
      </c>
      <c r="CD169" s="125">
        <f>Tabela1[[#This Row],[Pré MONO %]]</f>
        <v>9.8000000000000007</v>
      </c>
      <c r="CE169" s="125">
        <f>Tabela1[[#This Row],[Pós MONO %]]</f>
        <v>9.1</v>
      </c>
      <c r="CF169" s="125">
        <f>Tabela1[[#This Row],[Pré EOS %]]</f>
        <v>1.1000000000000001</v>
      </c>
      <c r="CG169" s="125">
        <f>Tabela1[[#This Row],[Pós EOS %]]</f>
        <v>1.2</v>
      </c>
      <c r="CH169" s="125">
        <f>Tabela1[[#This Row],[Pré BASO %]]</f>
        <v>0.3</v>
      </c>
      <c r="CI169" s="198">
        <f>Tabela1[[#This Row],[Pós BASO %]]</f>
        <v>0.1</v>
      </c>
      <c r="CJ169" s="199" t="str">
        <f t="shared" si="9"/>
        <v>NÃO</v>
      </c>
      <c r="CK169" s="200" t="str">
        <f t="shared" si="10"/>
        <v>NÃO</v>
      </c>
      <c r="CL169" s="194">
        <f t="shared" si="11"/>
        <v>71.28528</v>
      </c>
      <c r="CM169" s="125">
        <f>Tabela1[[#This Row],[MCT KG]]</f>
        <v>75.900000000000006</v>
      </c>
      <c r="CN169" s="85">
        <f>Tabela1[[#This Row],[ESTATURA]]</f>
        <v>171</v>
      </c>
      <c r="CO169" s="85">
        <f>Tabela1[[#This Row],[vo2max estimado]]</f>
        <v>54.68</v>
      </c>
      <c r="CP169" s="85">
        <f>Tabela1[[#This Row],[Handgrip     Dominante]]</f>
        <v>42</v>
      </c>
      <c r="CQ169" s="85">
        <f>Tabela1[[#This Row],[Handgrip Contrário]]</f>
        <v>43</v>
      </c>
      <c r="CR169" s="281">
        <f>Tabela1[[#This Row],[% gordura]]</f>
        <v>6.08</v>
      </c>
    </row>
    <row r="170" spans="1:96" ht="15.75" customHeight="1">
      <c r="A170" s="279">
        <f>Tabela1[[#This Row],[Ano]]</f>
        <v>2018</v>
      </c>
      <c r="B170" s="181" t="str">
        <f>Tabela1[[#This Row],[Missão]]</f>
        <v>Arraial</v>
      </c>
      <c r="C170" s="181">
        <f>Tabela1[[#This Row],[Aluno]]</f>
        <v>3156</v>
      </c>
      <c r="D170" s="181">
        <f>Tabela1[[#This Row],[Idade]]</f>
        <v>26</v>
      </c>
      <c r="E170" s="182">
        <f>Tabela1[[#This Row],[Peso Kg]]</f>
        <v>74</v>
      </c>
      <c r="F170" s="191">
        <f>Tabela1[[#This Row],[Cor da pele]]</f>
        <v>1</v>
      </c>
      <c r="G170" s="192" t="str">
        <f>Tabela1[[#This Row],[ACTN3]]</f>
        <v>RX</v>
      </c>
      <c r="H170" s="85" t="str">
        <f>Tabela1[[#This Row],[AGT]]</f>
        <v>MM</v>
      </c>
      <c r="I170" s="85" t="str">
        <f>Tabela1[[#This Row],[ECA]]</f>
        <v>ID</v>
      </c>
      <c r="J170" s="85" t="str">
        <f>Tabela1[[#This Row],[BDKRB2]]</f>
        <v>(+9,+9)</v>
      </c>
      <c r="K170" s="85">
        <f>Tabela1[[#This Row],[Score Força%]]</f>
        <v>50</v>
      </c>
      <c r="L170" s="193">
        <f>Tabela1[[#This Row],[Score Resistência %]]</f>
        <v>50</v>
      </c>
      <c r="M170" s="192">
        <f>Tabela1[[#This Row],[Pré CK (U/L)]]</f>
        <v>129</v>
      </c>
      <c r="N170" s="85" t="str">
        <f>Tabela1[[#This Row],[Pós CK (U/L)]]</f>
        <v>-</v>
      </c>
      <c r="O170" s="85">
        <f>Tabela1[[#This Row],[Pré CK MB U/L]]</f>
        <v>4</v>
      </c>
      <c r="P170" s="85" t="str">
        <f>Tabela1[[#This Row],[Pós CK MB U/L]]</f>
        <v>-</v>
      </c>
      <c r="Q170" s="85" t="str">
        <f>Tabela1[[#This Row],[Pré Lactato (mmol/L)]]</f>
        <v>-</v>
      </c>
      <c r="R170" s="85" t="str">
        <f>Tabela1[[#This Row],[Pós Lactato (mmol/L)]]</f>
        <v>-</v>
      </c>
      <c r="S170" s="85">
        <f>Tabela1[[#This Row],[Pré LDH (U/L)]]</f>
        <v>497</v>
      </c>
      <c r="T170" s="85" t="str">
        <f>Tabela1[[#This Row],[Pós LDH (U/L)]]</f>
        <v>-</v>
      </c>
      <c r="U170" s="85">
        <f>Tabela1[[#This Row],[Pré AST (U/L)]]</f>
        <v>23</v>
      </c>
      <c r="V170" s="193" t="str">
        <f>Tabela1[[#This Row],[Pós AST (U/L)]]</f>
        <v>-</v>
      </c>
      <c r="W170" s="194">
        <f>Tabela1[[#This Row],[Pré Albumina (g/dL)]]</f>
        <v>4.4000000000000004</v>
      </c>
      <c r="X170" s="125" t="str">
        <f>Tabela1[[#This Row],[Pós Albumina (g/dL)]]</f>
        <v>-</v>
      </c>
      <c r="Y170" s="85">
        <f>Tabela1[[#This Row],[Pré TGP (g/dL)]]</f>
        <v>33</v>
      </c>
      <c r="Z170" s="85" t="str">
        <f>Tabela1[[#This Row],[Pós TGP (g/dL)]]</f>
        <v>-</v>
      </c>
      <c r="AA170" s="85">
        <f>Tabela1[[#This Row],[Pré GGT U/L]]</f>
        <v>24</v>
      </c>
      <c r="AB170" s="193" t="str">
        <f>Tabela1[[#This Row],[Pós GGT U/L]]</f>
        <v>-</v>
      </c>
      <c r="AC170" s="194">
        <f>Tabela1[[#This Row],[Pré Ac. Úrico (mg/dL)]]</f>
        <v>4.5</v>
      </c>
      <c r="AD170" s="125" t="str">
        <f>Tabela1[[#This Row],[Pós Ac. Úrico (mg/dL)2]]</f>
        <v>-</v>
      </c>
      <c r="AE17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70" s="180" t="str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Dados Insuficientes</v>
      </c>
      <c r="AG170" s="85">
        <f>Tabela1[[#This Row],[Pré Ureia mg/dL]]</f>
        <v>40</v>
      </c>
      <c r="AH170" s="85" t="str">
        <f>Tabela1[[#This Row],[Pós Ureia mg/dL]]</f>
        <v>-</v>
      </c>
      <c r="AI170" s="125">
        <f>Tabela1[[#This Row],[Pré creatinina mg/dL]]</f>
        <v>1.1000000000000001</v>
      </c>
      <c r="AJ170" s="125" t="str">
        <f>Tabela1[[#This Row],[Pós creatinina mg/dL]]</f>
        <v>-</v>
      </c>
      <c r="AK170" s="180" t="str">
        <f t="shared" si="8"/>
        <v>Dados Insuficientes</v>
      </c>
      <c r="AL170" s="125">
        <f>Tabela1[[#This Row],[Pré Fósforo mg/dL]]</f>
        <v>5.4</v>
      </c>
      <c r="AM170" s="125" t="str">
        <f>Tabela1[[#This Row],[Pós Fósforo mg/dL]]</f>
        <v>-</v>
      </c>
      <c r="AN170" s="125">
        <f>Tabela1[[#This Row],[Pré Proteína Total (g/dL)]]</f>
        <v>7.2</v>
      </c>
      <c r="AO170" s="125" t="str">
        <f>Tabela1[[#This Row],[Pós Proteína Total (g/dL)]]</f>
        <v>-</v>
      </c>
      <c r="AP170" s="85">
        <f>Tabela1[[#This Row],[Pré FE (ug/dL)]]</f>
        <v>112</v>
      </c>
      <c r="AQ170" s="193" t="str">
        <f>Tabela1[[#This Row],[Pós FE (ug/dL)]]</f>
        <v>-</v>
      </c>
      <c r="AR170" s="194">
        <f>Tabela1[[#This Row],[Pré calcio mg/dL]]</f>
        <v>10.5</v>
      </c>
      <c r="AS170" s="125" t="str">
        <f>Tabela1[[#This Row],[Pós calcio mg/dL]]</f>
        <v>-</v>
      </c>
      <c r="AT170" s="125">
        <f>Tabela1[[#This Row],[Pré Potássio mmol/L]]</f>
        <v>4.5</v>
      </c>
      <c r="AU170" s="125" t="str">
        <f>Tabela1[[#This Row],[Pós Potássio mmol/L]]</f>
        <v>-</v>
      </c>
      <c r="AV170" s="85">
        <f>Tabela1[[#This Row],[Glicose pré]]</f>
        <v>63</v>
      </c>
      <c r="AW170" s="85">
        <f>Tabela1[[#This Row],[Glicose pós]]</f>
        <v>82</v>
      </c>
      <c r="AX170" s="85">
        <f>Tabela1[[#This Row],[Pré Sódio mmol/L]]</f>
        <v>140</v>
      </c>
      <c r="AY170" s="85" t="str">
        <f>Tabela1[[#This Row],[Pós Sódio mmol/L]]</f>
        <v>-</v>
      </c>
      <c r="AZ170" s="125">
        <f>Tabela1[[#This Row],[Pré Magnésio mg/dL]]</f>
        <v>2.2000000000000002</v>
      </c>
      <c r="BA170" s="125" t="str">
        <f>Tabela1[[#This Row],[Pós Magnésio mg/dL]]</f>
        <v>-</v>
      </c>
      <c r="BB170" s="85">
        <f>Tabela1[[#This Row],[Pré Cloro mmol/L]]</f>
        <v>100</v>
      </c>
      <c r="BC170" s="85" t="str">
        <f>Tabela1[[#This Row],[Pós Cloro mmol/L]]</f>
        <v>-</v>
      </c>
      <c r="BD17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293.4616666666667</v>
      </c>
      <c r="BE170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170" s="194">
        <f>Tabela1[[#This Row],[Pré RBC 10^6/mm³]]</f>
        <v>5.15</v>
      </c>
      <c r="BG170" s="125">
        <f>Tabela1[[#This Row],[Pós RBC 10^6/mm³]]</f>
        <v>5.19</v>
      </c>
      <c r="BH170" s="125">
        <f>Tabela1[[#This Row],[Pré HGB g/dL]]</f>
        <v>15.2</v>
      </c>
      <c r="BI170" s="125">
        <f>Tabela1[[#This Row],[Pós HGB g/dL]]</f>
        <v>15.4</v>
      </c>
      <c r="BJ170" s="125">
        <f>Tabela1[[#This Row],[Pré HCT %]]</f>
        <v>46.2</v>
      </c>
      <c r="BK170" s="125">
        <f>Tabela1[[#This Row],[Pós HCT %]]</f>
        <v>47.6</v>
      </c>
      <c r="BL170" s="125">
        <f>Tabela1[[#This Row],[Pré MCV fL]]</f>
        <v>89.7</v>
      </c>
      <c r="BM170" s="125">
        <f>Tabela1[[#This Row],[Pós MCV fL]]</f>
        <v>91.7</v>
      </c>
      <c r="BN170" s="125">
        <f>Tabela1[[#This Row],[Pré MCH pg]]</f>
        <v>29.5</v>
      </c>
      <c r="BO170" s="125">
        <f>Tabela1[[#This Row],[Pós MCH pg]]</f>
        <v>29.7</v>
      </c>
      <c r="BP170" s="125">
        <f>Tabela1[[#This Row],[Pré MCHC g/dL]]</f>
        <v>32.9</v>
      </c>
      <c r="BQ170" s="125">
        <f>Tabela1[[#This Row],[Pós MCHC g/dL]]</f>
        <v>32.4</v>
      </c>
      <c r="BR170" s="85">
        <f>Tabela1[[#This Row],[Pré PLT 10³/mm³]]</f>
        <v>272</v>
      </c>
      <c r="BS170" s="85">
        <f>Tabela1[[#This Row],[Pós PLT 10³/mm³]]</f>
        <v>248</v>
      </c>
      <c r="BT170" s="125">
        <f>Tabela1[[#This Row],[Pré RDW %]]</f>
        <v>12.1</v>
      </c>
      <c r="BU170" s="125">
        <f>Tabela1[[#This Row],[Pós RDW %]]</f>
        <v>11.9</v>
      </c>
      <c r="BV170" s="179">
        <f>Tabela1[[#This Row],[Pré RET %]]</f>
        <v>1.65</v>
      </c>
      <c r="BW170" s="196" t="str">
        <f>Tabela1[[#This Row],[Pós RET %]]</f>
        <v>-</v>
      </c>
      <c r="BX170" s="197">
        <f>Tabela1[[#This Row],[Pré WBC 10³/mm³]]</f>
        <v>6.02</v>
      </c>
      <c r="BY170" s="179">
        <f>Tabela1[[#This Row],[Pós WBC 10³/mm³]]</f>
        <v>5.71</v>
      </c>
      <c r="BZ170" s="125">
        <f>Tabela1[[#This Row],[Pré NEUT %]]</f>
        <v>62.6</v>
      </c>
      <c r="CA170" s="125">
        <f>Tabela1[[#This Row],[Pós NEUT %]]</f>
        <v>51.6</v>
      </c>
      <c r="CB170" s="125">
        <f>Tabela1[[#This Row],[Pré LINF %]]</f>
        <v>29.7</v>
      </c>
      <c r="CC170" s="125">
        <f>Tabela1[[#This Row],[Pós LINF %]]</f>
        <v>37.799999999999997</v>
      </c>
      <c r="CD170" s="125">
        <f>Tabela1[[#This Row],[Pré MONO %]]</f>
        <v>6</v>
      </c>
      <c r="CE170" s="125">
        <f>Tabela1[[#This Row],[Pós MONO %]]</f>
        <v>7.9</v>
      </c>
      <c r="CF170" s="125">
        <f>Tabela1[[#This Row],[Pré EOS %]]</f>
        <v>1.2</v>
      </c>
      <c r="CG170" s="125">
        <f>Tabela1[[#This Row],[Pós EOS %]]</f>
        <v>2.2999999999999998</v>
      </c>
      <c r="CH170" s="125">
        <f>Tabela1[[#This Row],[Pré BASO %]]</f>
        <v>0.5</v>
      </c>
      <c r="CI170" s="198">
        <f>Tabela1[[#This Row],[Pós BASO %]]</f>
        <v>0.4</v>
      </c>
      <c r="CJ170" s="199" t="str">
        <f t="shared" si="9"/>
        <v>Dados insuficientes</v>
      </c>
      <c r="CK170" s="200" t="str">
        <f t="shared" si="10"/>
        <v>SIM</v>
      </c>
      <c r="CL170" s="194">
        <f t="shared" si="11"/>
        <v>72.293760000000006</v>
      </c>
      <c r="CM170" s="125">
        <f>Tabela1[[#This Row],[MCT KG]]</f>
        <v>79.2</v>
      </c>
      <c r="CN170" s="85">
        <f>Tabela1[[#This Row],[ESTATURA]]</f>
        <v>174</v>
      </c>
      <c r="CO170" s="85">
        <f>Tabela1[[#This Row],[vo2max estimado]]</f>
        <v>53.64</v>
      </c>
      <c r="CP170" s="85">
        <f>Tabela1[[#This Row],[Handgrip     Dominante]]</f>
        <v>49.5</v>
      </c>
      <c r="CQ170" s="85">
        <f>Tabela1[[#This Row],[Handgrip Contrário]]</f>
        <v>49.5</v>
      </c>
      <c r="CR170" s="281">
        <f>Tabela1[[#This Row],[% gordura]]</f>
        <v>8.7200000000000006</v>
      </c>
    </row>
    <row r="171" spans="1:96" ht="15.75" customHeight="1">
      <c r="A171" s="279">
        <f>Tabela1[[#This Row],[Ano]]</f>
        <v>2018</v>
      </c>
      <c r="B171" s="181" t="str">
        <f>Tabela1[[#This Row],[Missão]]</f>
        <v>Arraial</v>
      </c>
      <c r="C171" s="181">
        <f>Tabela1[[#This Row],[Aluno]]</f>
        <v>3159</v>
      </c>
      <c r="D171" s="181">
        <f>Tabela1[[#This Row],[Idade]]</f>
        <v>25</v>
      </c>
      <c r="E171" s="182">
        <f>Tabela1[[#This Row],[Peso Kg]]</f>
        <v>84</v>
      </c>
      <c r="F171" s="191">
        <f>Tabela1[[#This Row],[Cor da pele]]</f>
        <v>1</v>
      </c>
      <c r="G171" s="192" t="str">
        <f>Tabela1[[#This Row],[ACTN3]]</f>
        <v>RR</v>
      </c>
      <c r="H171" s="85" t="str">
        <f>Tabela1[[#This Row],[AGT]]</f>
        <v>TT</v>
      </c>
      <c r="I171" s="85" t="str">
        <f>Tabela1[[#This Row],[ECA]]</f>
        <v>DD</v>
      </c>
      <c r="J171" s="85" t="str">
        <f>Tabela1[[#This Row],[BDKRB2]]</f>
        <v>(+9,-9)</v>
      </c>
      <c r="K171" s="85" t="str">
        <f>Tabela1[[#This Row],[Score Força%]]</f>
        <v>-</v>
      </c>
      <c r="L171" s="193" t="str">
        <f>Tabela1[[#This Row],[Score Resistência %]]</f>
        <v>-</v>
      </c>
      <c r="M171" s="192">
        <f>Tabela1[[#This Row],[Pré CK (U/L)]]</f>
        <v>130</v>
      </c>
      <c r="N171" s="85">
        <f>Tabela1[[#This Row],[Pós CK (U/L)]]</f>
        <v>148</v>
      </c>
      <c r="O171" s="85">
        <f>Tabela1[[#This Row],[Pré CK MB U/L]]</f>
        <v>3</v>
      </c>
      <c r="P171" s="85">
        <f>Tabela1[[#This Row],[Pós CK MB U/L]]</f>
        <v>4</v>
      </c>
      <c r="Q171" s="85" t="str">
        <f>Tabela1[[#This Row],[Pré Lactato (mmol/L)]]</f>
        <v>-</v>
      </c>
      <c r="R171" s="85" t="str">
        <f>Tabela1[[#This Row],[Pós Lactato (mmol/L)]]</f>
        <v>-</v>
      </c>
      <c r="S171" s="85">
        <f>Tabela1[[#This Row],[Pré LDH (U/L)]]</f>
        <v>342</v>
      </c>
      <c r="T171" s="85">
        <f>Tabela1[[#This Row],[Pós LDH (U/L)]]</f>
        <v>203</v>
      </c>
      <c r="U171" s="85">
        <f>Tabela1[[#This Row],[Pré AST (U/L)]]</f>
        <v>32</v>
      </c>
      <c r="V171" s="193">
        <f>Tabela1[[#This Row],[Pós AST (U/L)]]</f>
        <v>30</v>
      </c>
      <c r="W171" s="194">
        <f>Tabela1[[#This Row],[Pré Albumina (g/dL)]]</f>
        <v>4.3</v>
      </c>
      <c r="X171" s="125">
        <f>Tabela1[[#This Row],[Pós Albumina (g/dL)]]</f>
        <v>4.2</v>
      </c>
      <c r="Y171" s="85">
        <f>Tabela1[[#This Row],[Pré TGP (g/dL)]]</f>
        <v>30</v>
      </c>
      <c r="Z171" s="85">
        <f>Tabela1[[#This Row],[Pós TGP (g/dL)]]</f>
        <v>37</v>
      </c>
      <c r="AA171" s="85">
        <f>Tabela1[[#This Row],[Pré GGT U/L]]</f>
        <v>18</v>
      </c>
      <c r="AB171" s="193">
        <f>Tabela1[[#This Row],[Pós GGT U/L]]</f>
        <v>18</v>
      </c>
      <c r="AC171" s="194">
        <f>Tabela1[[#This Row],[Pré Ac. Úrico (mg/dL)]]</f>
        <v>5.0999999999999996</v>
      </c>
      <c r="AD171" s="125">
        <f>Tabela1[[#This Row],[Pós Ac. Úrico (mg/dL)2]]</f>
        <v>5.4</v>
      </c>
      <c r="AE17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7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71" s="85">
        <f>Tabela1[[#This Row],[Pré Ureia mg/dL]]</f>
        <v>41</v>
      </c>
      <c r="AH171" s="85">
        <f>Tabela1[[#This Row],[Pós Ureia mg/dL]]</f>
        <v>41</v>
      </c>
      <c r="AI171" s="125">
        <f>Tabela1[[#This Row],[Pré creatinina mg/dL]]</f>
        <v>1</v>
      </c>
      <c r="AJ171" s="125">
        <f>Tabela1[[#This Row],[Pós creatinina mg/dL]]</f>
        <v>1.1000000000000001</v>
      </c>
      <c r="AK171" s="180">
        <f t="shared" si="8"/>
        <v>0.10000000000000009</v>
      </c>
      <c r="AL171" s="125">
        <f>Tabela1[[#This Row],[Pré Fósforo mg/dL]]</f>
        <v>5</v>
      </c>
      <c r="AM171" s="125">
        <f>Tabela1[[#This Row],[Pós Fósforo mg/dL]]</f>
        <v>4.8</v>
      </c>
      <c r="AN171" s="125">
        <f>Tabela1[[#This Row],[Pré Proteína Total (g/dL)]]</f>
        <v>7.4</v>
      </c>
      <c r="AO171" s="125">
        <f>Tabela1[[#This Row],[Pós Proteína Total (g/dL)]]</f>
        <v>7.3</v>
      </c>
      <c r="AP171" s="85">
        <f>Tabela1[[#This Row],[Pré FE (ug/dL)]]</f>
        <v>87</v>
      </c>
      <c r="AQ171" s="193">
        <f>Tabela1[[#This Row],[Pós FE (ug/dL)]]</f>
        <v>96</v>
      </c>
      <c r="AR171" s="194">
        <f>Tabela1[[#This Row],[Pré calcio mg/dL]]</f>
        <v>10.1</v>
      </c>
      <c r="AS171" s="125">
        <f>Tabela1[[#This Row],[Pós calcio mg/dL]]</f>
        <v>10</v>
      </c>
      <c r="AT171" s="125">
        <f>Tabela1[[#This Row],[Pré Potássio mmol/L]]</f>
        <v>6</v>
      </c>
      <c r="AU171" s="125">
        <f>Tabela1[[#This Row],[Pós Potássio mmol/L]]</f>
        <v>4.5</v>
      </c>
      <c r="AV171" s="85">
        <f>Tabela1[[#This Row],[Glicose pré]]</f>
        <v>93</v>
      </c>
      <c r="AW171" s="85">
        <f>Tabela1[[#This Row],[Glicose pós]]</f>
        <v>88</v>
      </c>
      <c r="AX171" s="85">
        <f>Tabela1[[#This Row],[Pré Sódio mmol/L]]</f>
        <v>138</v>
      </c>
      <c r="AY171" s="85">
        <f>Tabela1[[#This Row],[Pós Sódio mmol/L]]</f>
        <v>139</v>
      </c>
      <c r="AZ171" s="125">
        <f>Tabela1[[#This Row],[Pré Magnésio mg/dL]]</f>
        <v>2</v>
      </c>
      <c r="BA171" s="125">
        <f>Tabela1[[#This Row],[Pós Magnésio mg/dL]]</f>
        <v>2.1</v>
      </c>
      <c r="BB171" s="85">
        <f>Tabela1[[#This Row],[Pré Cloro mmol/L]]</f>
        <v>104</v>
      </c>
      <c r="BC171" s="85">
        <f>Tabela1[[#This Row],[Pós Cloro mmol/L]]</f>
        <v>104</v>
      </c>
      <c r="BD17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294.61500000000001</v>
      </c>
      <c r="BE17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293.36555555555555</v>
      </c>
      <c r="BF171" s="194">
        <f>Tabela1[[#This Row],[Pré RBC 10^6/mm³]]</f>
        <v>5.12</v>
      </c>
      <c r="BG171" s="125">
        <f>Tabela1[[#This Row],[Pós RBC 10^6/mm³]]</f>
        <v>5.1100000000000003</v>
      </c>
      <c r="BH171" s="125">
        <f>Tabela1[[#This Row],[Pré HGB g/dL]]</f>
        <v>14.2</v>
      </c>
      <c r="BI171" s="125">
        <f>Tabela1[[#This Row],[Pós HGB g/dL]]</f>
        <v>14.3</v>
      </c>
      <c r="BJ171" s="125">
        <f>Tabela1[[#This Row],[Pré HCT %]]</f>
        <v>44.2</v>
      </c>
      <c r="BK171" s="125">
        <f>Tabela1[[#This Row],[Pós HCT %]]</f>
        <v>45.2</v>
      </c>
      <c r="BL171" s="125">
        <f>Tabela1[[#This Row],[Pré MCV fL]]</f>
        <v>86.3</v>
      </c>
      <c r="BM171" s="125">
        <f>Tabela1[[#This Row],[Pós MCV fL]]</f>
        <v>88.5</v>
      </c>
      <c r="BN171" s="125">
        <f>Tabela1[[#This Row],[Pré MCH pg]]</f>
        <v>27.7</v>
      </c>
      <c r="BO171" s="125">
        <f>Tabela1[[#This Row],[Pós MCH pg]]</f>
        <v>28</v>
      </c>
      <c r="BP171" s="125">
        <f>Tabela1[[#This Row],[Pré MCHC g/dL]]</f>
        <v>32.1</v>
      </c>
      <c r="BQ171" s="125">
        <f>Tabela1[[#This Row],[Pós MCHC g/dL]]</f>
        <v>31.6</v>
      </c>
      <c r="BR171" s="85">
        <f>Tabela1[[#This Row],[Pré PLT 10³/mm³]]</f>
        <v>245</v>
      </c>
      <c r="BS171" s="85">
        <f>Tabela1[[#This Row],[Pós PLT 10³/mm³]]</f>
        <v>246</v>
      </c>
      <c r="BT171" s="125">
        <f>Tabela1[[#This Row],[Pré RDW %]]</f>
        <v>12.5</v>
      </c>
      <c r="BU171" s="125">
        <f>Tabela1[[#This Row],[Pós RDW %]]</f>
        <v>12.6</v>
      </c>
      <c r="BV171" s="179">
        <f>Tabela1[[#This Row],[Pré RET %]]</f>
        <v>1.48</v>
      </c>
      <c r="BW171" s="196" t="str">
        <f>Tabela1[[#This Row],[Pós RET %]]</f>
        <v>-</v>
      </c>
      <c r="BX171" s="197">
        <f>Tabela1[[#This Row],[Pré WBC 10³/mm³]]</f>
        <v>5.15</v>
      </c>
      <c r="BY171" s="179">
        <f>Tabela1[[#This Row],[Pós WBC 10³/mm³]]</f>
        <v>5.48</v>
      </c>
      <c r="BZ171" s="125">
        <f>Tabela1[[#This Row],[Pré NEUT %]]</f>
        <v>45.5</v>
      </c>
      <c r="CA171" s="125">
        <f>Tabela1[[#This Row],[Pós NEUT %]]</f>
        <v>34.200000000000003</v>
      </c>
      <c r="CB171" s="125">
        <f>Tabela1[[#This Row],[Pré LINF %]]</f>
        <v>43.3</v>
      </c>
      <c r="CC171" s="125">
        <f>Tabela1[[#This Row],[Pós LINF %]]</f>
        <v>51.8</v>
      </c>
      <c r="CD171" s="125">
        <f>Tabela1[[#This Row],[Pré MONO %]]</f>
        <v>8.3000000000000007</v>
      </c>
      <c r="CE171" s="125">
        <f>Tabela1[[#This Row],[Pós MONO %]]</f>
        <v>9.1</v>
      </c>
      <c r="CF171" s="125">
        <f>Tabela1[[#This Row],[Pré EOS %]]</f>
        <v>1.9</v>
      </c>
      <c r="CG171" s="125">
        <f>Tabela1[[#This Row],[Pós EOS %]]</f>
        <v>3.6</v>
      </c>
      <c r="CH171" s="125">
        <f>Tabela1[[#This Row],[Pré BASO %]]</f>
        <v>1</v>
      </c>
      <c r="CI171" s="198">
        <f>Tabela1[[#This Row],[Pós BASO %]]</f>
        <v>1.3</v>
      </c>
      <c r="CJ171" s="199" t="str">
        <f t="shared" si="9"/>
        <v>NÃO</v>
      </c>
      <c r="CK171" s="200" t="str">
        <f t="shared" si="10"/>
        <v>NÃO</v>
      </c>
      <c r="CL171" s="194">
        <f t="shared" si="11"/>
        <v>75.355769999999993</v>
      </c>
      <c r="CM171" s="125">
        <f>Tabela1[[#This Row],[MCT KG]]</f>
        <v>84.3</v>
      </c>
      <c r="CN171" s="85">
        <f>Tabela1[[#This Row],[ESTATURA]]</f>
        <v>178</v>
      </c>
      <c r="CO171" s="85">
        <f>Tabela1[[#This Row],[vo2max estimado]]</f>
        <v>52.69</v>
      </c>
      <c r="CP171" s="85">
        <f>Tabela1[[#This Row],[Handgrip     Dominante]]</f>
        <v>60</v>
      </c>
      <c r="CQ171" s="85">
        <f>Tabela1[[#This Row],[Handgrip Contrário]]</f>
        <v>57</v>
      </c>
      <c r="CR171" s="281">
        <f>Tabela1[[#This Row],[% gordura]]</f>
        <v>10.61</v>
      </c>
    </row>
    <row r="172" spans="1:96" ht="15.75" customHeight="1">
      <c r="A172" s="279">
        <f>Tabela1[[#This Row],[Ano]]</f>
        <v>2018</v>
      </c>
      <c r="B172" s="181" t="str">
        <f>Tabela1[[#This Row],[Missão]]</f>
        <v>Arraial</v>
      </c>
      <c r="C172" s="181">
        <f>Tabela1[[#This Row],[Aluno]]</f>
        <v>3169</v>
      </c>
      <c r="D172" s="181">
        <f>Tabela1[[#This Row],[Idade]]</f>
        <v>31</v>
      </c>
      <c r="E172" s="182">
        <f>Tabela1[[#This Row],[Peso Kg]]</f>
        <v>89</v>
      </c>
      <c r="F172" s="191">
        <f>Tabela1[[#This Row],[Cor da pele]]</f>
        <v>1</v>
      </c>
      <c r="G172" s="192" t="str">
        <f>Tabela1[[#This Row],[ACTN3]]</f>
        <v>XX</v>
      </c>
      <c r="H172" s="85" t="str">
        <f>Tabela1[[#This Row],[AGT]]</f>
        <v>MT</v>
      </c>
      <c r="I172" s="85" t="str">
        <f>Tabela1[[#This Row],[ECA]]</f>
        <v>ID</v>
      </c>
      <c r="J172" s="85" t="str">
        <f>Tabela1[[#This Row],[BDKRB2]]</f>
        <v>(-9,-9)</v>
      </c>
      <c r="K172" s="85">
        <f>Tabela1[[#This Row],[Score Força%]]</f>
        <v>100</v>
      </c>
      <c r="L172" s="193">
        <f>Tabela1[[#This Row],[Score Resistência %]]</f>
        <v>0</v>
      </c>
      <c r="M172" s="192">
        <f>Tabela1[[#This Row],[Pré CK (U/L)]]</f>
        <v>202</v>
      </c>
      <c r="N172" s="85">
        <f>Tabela1[[#This Row],[Pós CK (U/L)]]</f>
        <v>181</v>
      </c>
      <c r="O172" s="85">
        <f>Tabela1[[#This Row],[Pré CK MB U/L]]</f>
        <v>3</v>
      </c>
      <c r="P172" s="85">
        <f>Tabela1[[#This Row],[Pós CK MB U/L]]</f>
        <v>3</v>
      </c>
      <c r="Q172" s="85" t="str">
        <f>Tabela1[[#This Row],[Pré Lactato (mmol/L)]]</f>
        <v>-</v>
      </c>
      <c r="R172" s="85" t="str">
        <f>Tabela1[[#This Row],[Pós Lactato (mmol/L)]]</f>
        <v>-</v>
      </c>
      <c r="S172" s="85">
        <f>Tabela1[[#This Row],[Pré LDH (U/L)]]</f>
        <v>485</v>
      </c>
      <c r="T172" s="85">
        <f>Tabela1[[#This Row],[Pós LDH (U/L)]]</f>
        <v>510</v>
      </c>
      <c r="U172" s="85">
        <f>Tabela1[[#This Row],[Pré AST (U/L)]]</f>
        <v>29</v>
      </c>
      <c r="V172" s="193">
        <f>Tabela1[[#This Row],[Pós AST (U/L)]]</f>
        <v>37</v>
      </c>
      <c r="W172" s="194">
        <f>Tabela1[[#This Row],[Pré Albumina (g/dL)]]</f>
        <v>4.2</v>
      </c>
      <c r="X172" s="125">
        <f>Tabela1[[#This Row],[Pós Albumina (g/dL)]]</f>
        <v>4.4000000000000004</v>
      </c>
      <c r="Y172" s="85">
        <f>Tabela1[[#This Row],[Pré TGP (g/dL)]]</f>
        <v>30</v>
      </c>
      <c r="Z172" s="85">
        <f>Tabela1[[#This Row],[Pós TGP (g/dL)]]</f>
        <v>43</v>
      </c>
      <c r="AA172" s="85">
        <f>Tabela1[[#This Row],[Pré GGT U/L]]</f>
        <v>19</v>
      </c>
      <c r="AB172" s="193">
        <f>Tabela1[[#This Row],[Pós GGT U/L]]</f>
        <v>20</v>
      </c>
      <c r="AC172" s="194">
        <f>Tabela1[[#This Row],[Pré Ac. Úrico (mg/dL)]]</f>
        <v>8.1</v>
      </c>
      <c r="AD172" s="125">
        <f>Tabela1[[#This Row],[Pós Ac. Úrico (mg/dL)2]]</f>
        <v>7.4</v>
      </c>
      <c r="AE17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7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72" s="85">
        <f>Tabela1[[#This Row],[Pré Ureia mg/dL]]</f>
        <v>42</v>
      </c>
      <c r="AH172" s="85">
        <f>Tabela1[[#This Row],[Pós Ureia mg/dL]]</f>
        <v>42</v>
      </c>
      <c r="AI172" s="125">
        <f>Tabela1[[#This Row],[Pré creatinina mg/dL]]</f>
        <v>1</v>
      </c>
      <c r="AJ172" s="125">
        <f>Tabela1[[#This Row],[Pós creatinina mg/dL]]</f>
        <v>0.9</v>
      </c>
      <c r="AK172" s="180">
        <f t="shared" si="8"/>
        <v>0</v>
      </c>
      <c r="AL172" s="125">
        <f>Tabela1[[#This Row],[Pré Fósforo mg/dL]]</f>
        <v>5.4</v>
      </c>
      <c r="AM172" s="125">
        <f>Tabela1[[#This Row],[Pós Fósforo mg/dL]]</f>
        <v>5.6</v>
      </c>
      <c r="AN172" s="125">
        <f>Tabela1[[#This Row],[Pré Proteína Total (g/dL)]]</f>
        <v>8</v>
      </c>
      <c r="AO172" s="125">
        <f>Tabela1[[#This Row],[Pós Proteína Total (g/dL)]]</f>
        <v>8.3000000000000007</v>
      </c>
      <c r="AP172" s="85">
        <f>Tabela1[[#This Row],[Pré FE (ug/dL)]]</f>
        <v>76</v>
      </c>
      <c r="AQ172" s="193">
        <f>Tabela1[[#This Row],[Pós FE (ug/dL)]]</f>
        <v>94</v>
      </c>
      <c r="AR172" s="194">
        <f>Tabela1[[#This Row],[Pré calcio mg/dL]]</f>
        <v>10</v>
      </c>
      <c r="AS172" s="125">
        <f>Tabela1[[#This Row],[Pós calcio mg/dL]]</f>
        <v>9.9</v>
      </c>
      <c r="AT172" s="125">
        <f>Tabela1[[#This Row],[Pré Potássio mmol/L]]</f>
        <v>4.9000000000000004</v>
      </c>
      <c r="AU172" s="125">
        <f>Tabela1[[#This Row],[Pós Potássio mmol/L]]</f>
        <v>4.7</v>
      </c>
      <c r="AV172" s="85">
        <f>Tabela1[[#This Row],[Glicose pré]]</f>
        <v>57</v>
      </c>
      <c r="AW172" s="85">
        <f>Tabela1[[#This Row],[Glicose pós]]</f>
        <v>91</v>
      </c>
      <c r="AX172" s="85">
        <f>Tabela1[[#This Row],[Pré Sódio mmol/L]]</f>
        <v>141</v>
      </c>
      <c r="AY172" s="85">
        <f>Tabela1[[#This Row],[Pós Sódio mmol/L]]</f>
        <v>142</v>
      </c>
      <c r="AZ172" s="125">
        <f>Tabela1[[#This Row],[Pré Magnésio mg/dL]]</f>
        <v>2.2000000000000002</v>
      </c>
      <c r="BA172" s="125">
        <f>Tabela1[[#This Row],[Pós Magnésio mg/dL]]</f>
        <v>2.2000000000000002</v>
      </c>
      <c r="BB172" s="85">
        <f>Tabela1[[#This Row],[Pré Cloro mmol/L]]</f>
        <v>101</v>
      </c>
      <c r="BC172" s="85">
        <f>Tabela1[[#This Row],[Pós Cloro mmol/L]]</f>
        <v>103</v>
      </c>
      <c r="BD17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296.01566666666668</v>
      </c>
      <c r="BE17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299.67588888888884</v>
      </c>
      <c r="BF172" s="194">
        <f>Tabela1[[#This Row],[Pré RBC 10^6/mm³]]</f>
        <v>4.7</v>
      </c>
      <c r="BG172" s="125">
        <f>Tabela1[[#This Row],[Pós RBC 10^6/mm³]]</f>
        <v>4.75</v>
      </c>
      <c r="BH172" s="125">
        <f>Tabela1[[#This Row],[Pré HGB g/dL]]</f>
        <v>13.1</v>
      </c>
      <c r="BI172" s="125">
        <f>Tabela1[[#This Row],[Pós HGB g/dL]]</f>
        <v>13.3</v>
      </c>
      <c r="BJ172" s="125">
        <f>Tabela1[[#This Row],[Pré HCT %]]</f>
        <v>42.4</v>
      </c>
      <c r="BK172" s="125">
        <f>Tabela1[[#This Row],[Pós HCT %]]</f>
        <v>43.7</v>
      </c>
      <c r="BL172" s="125">
        <f>Tabela1[[#This Row],[Pré MCV fL]]</f>
        <v>90.2</v>
      </c>
      <c r="BM172" s="125">
        <f>Tabela1[[#This Row],[Pós MCV fL]]</f>
        <v>92</v>
      </c>
      <c r="BN172" s="125">
        <f>Tabela1[[#This Row],[Pré MCH pg]]</f>
        <v>27.9</v>
      </c>
      <c r="BO172" s="125">
        <f>Tabela1[[#This Row],[Pós MCH pg]]</f>
        <v>28</v>
      </c>
      <c r="BP172" s="125">
        <f>Tabela1[[#This Row],[Pré MCHC g/dL]]</f>
        <v>30.9</v>
      </c>
      <c r="BQ172" s="125">
        <f>Tabela1[[#This Row],[Pós MCHC g/dL]]</f>
        <v>30.4</v>
      </c>
      <c r="BR172" s="85">
        <f>Tabela1[[#This Row],[Pré PLT 10³/mm³]]</f>
        <v>272</v>
      </c>
      <c r="BS172" s="85">
        <f>Tabela1[[#This Row],[Pós PLT 10³/mm³]]</f>
        <v>279</v>
      </c>
      <c r="BT172" s="125">
        <f>Tabela1[[#This Row],[Pré RDW %]]</f>
        <v>13.7</v>
      </c>
      <c r="BU172" s="125">
        <f>Tabela1[[#This Row],[Pós RDW %]]</f>
        <v>13.7</v>
      </c>
      <c r="BV172" s="179">
        <f>Tabela1[[#This Row],[Pré RET %]]</f>
        <v>1.22</v>
      </c>
      <c r="BW172" s="196" t="str">
        <f>Tabela1[[#This Row],[Pós RET %]]</f>
        <v>-</v>
      </c>
      <c r="BX172" s="197">
        <f>Tabela1[[#This Row],[Pré WBC 10³/mm³]]</f>
        <v>10.32</v>
      </c>
      <c r="BY172" s="179">
        <f>Tabela1[[#This Row],[Pós WBC 10³/mm³]]</f>
        <v>9.77</v>
      </c>
      <c r="BZ172" s="125">
        <f>Tabela1[[#This Row],[Pré NEUT %]]</f>
        <v>69.400000000000006</v>
      </c>
      <c r="CA172" s="125">
        <f>Tabela1[[#This Row],[Pós NEUT %]]</f>
        <v>63.5</v>
      </c>
      <c r="CB172" s="125">
        <f>Tabela1[[#This Row],[Pré LINF %]]</f>
        <v>20.6</v>
      </c>
      <c r="CC172" s="125">
        <f>Tabela1[[#This Row],[Pós LINF %]]</f>
        <v>24.9</v>
      </c>
      <c r="CD172" s="125">
        <f>Tabela1[[#This Row],[Pré MONO %]]</f>
        <v>8.3000000000000007</v>
      </c>
      <c r="CE172" s="125">
        <f>Tabela1[[#This Row],[Pós MONO %]]</f>
        <v>9.6</v>
      </c>
      <c r="CF172" s="125">
        <f>Tabela1[[#This Row],[Pré EOS %]]</f>
        <v>1.3</v>
      </c>
      <c r="CG172" s="125">
        <f>Tabela1[[#This Row],[Pós EOS %]]</f>
        <v>1.3</v>
      </c>
      <c r="CH172" s="125">
        <f>Tabela1[[#This Row],[Pré BASO %]]</f>
        <v>0.4</v>
      </c>
      <c r="CI172" s="198">
        <f>Tabela1[[#This Row],[Pós BASO %]]</f>
        <v>0.7</v>
      </c>
      <c r="CJ172" s="199" t="str">
        <f t="shared" si="9"/>
        <v>NÃO</v>
      </c>
      <c r="CK172" s="200" t="str">
        <f t="shared" si="10"/>
        <v>NÃO</v>
      </c>
      <c r="CL172" s="194">
        <f t="shared" si="11"/>
        <v>74.95620000000001</v>
      </c>
      <c r="CM172" s="125">
        <f>Tabela1[[#This Row],[MCT KG]]</f>
        <v>90.2</v>
      </c>
      <c r="CN172" s="85">
        <f>Tabela1[[#This Row],[ESTATURA]]</f>
        <v>184.5</v>
      </c>
      <c r="CO172" s="85">
        <f>Tabela1[[#This Row],[vo2max estimado]]</f>
        <v>48.67</v>
      </c>
      <c r="CP172" s="85">
        <f>Tabela1[[#This Row],[Handgrip     Dominante]]</f>
        <v>54</v>
      </c>
      <c r="CQ172" s="85">
        <f>Tabela1[[#This Row],[Handgrip Contrário]]</f>
        <v>47</v>
      </c>
      <c r="CR172" s="281">
        <f>Tabela1[[#This Row],[% gordura]]</f>
        <v>16.899999999999999</v>
      </c>
    </row>
    <row r="173" spans="1:96" ht="15.75" customHeight="1">
      <c r="A173" s="279">
        <f>Tabela1[[#This Row],[Ano]]</f>
        <v>2018</v>
      </c>
      <c r="B173" s="181" t="str">
        <f>Tabela1[[#This Row],[Missão]]</f>
        <v>Arraial</v>
      </c>
      <c r="C173" s="181">
        <f>Tabela1[[#This Row],[Aluno]]</f>
        <v>3175</v>
      </c>
      <c r="D173" s="181">
        <f>Tabela1[[#This Row],[Idade]]</f>
        <v>32</v>
      </c>
      <c r="E173" s="182">
        <f>Tabela1[[#This Row],[Peso Kg]]</f>
        <v>96</v>
      </c>
      <c r="F173" s="191">
        <f>Tabela1[[#This Row],[Cor da pele]]</f>
        <v>2</v>
      </c>
      <c r="G173" s="192" t="str">
        <f>Tabela1[[#This Row],[ACTN3]]</f>
        <v>RX</v>
      </c>
      <c r="H173" s="85" t="str">
        <f>Tabela1[[#This Row],[AGT]]</f>
        <v>MM</v>
      </c>
      <c r="I173" s="85" t="str">
        <f>Tabela1[[#This Row],[ECA]]</f>
        <v>ID</v>
      </c>
      <c r="J173" s="85" t="str">
        <f>Tabela1[[#This Row],[BDKRB2]]</f>
        <v>(+9,+9)</v>
      </c>
      <c r="K173" s="85">
        <f>Tabela1[[#This Row],[Score Força%]]</f>
        <v>45.8333333333333</v>
      </c>
      <c r="L173" s="193">
        <f>Tabela1[[#This Row],[Score Resistência %]]</f>
        <v>54.1666666666667</v>
      </c>
      <c r="M173" s="192">
        <f>Tabela1[[#This Row],[Pré CK (U/L)]]</f>
        <v>226</v>
      </c>
      <c r="N173" s="85">
        <f>Tabela1[[#This Row],[Pós CK (U/L)]]</f>
        <v>514</v>
      </c>
      <c r="O173" s="85">
        <f>Tabela1[[#This Row],[Pré CK MB U/L]]</f>
        <v>3</v>
      </c>
      <c r="P173" s="85">
        <f>Tabela1[[#This Row],[Pós CK MB U/L]]</f>
        <v>10</v>
      </c>
      <c r="Q173" s="85" t="str">
        <f>Tabela1[[#This Row],[Pré Lactato (mmol/L)]]</f>
        <v>-</v>
      </c>
      <c r="R173" s="85" t="str">
        <f>Tabela1[[#This Row],[Pós Lactato (mmol/L)]]</f>
        <v>-</v>
      </c>
      <c r="S173" s="85">
        <f>Tabela1[[#This Row],[Pré LDH (U/L)]]</f>
        <v>523</v>
      </c>
      <c r="T173" s="85">
        <f>Tabela1[[#This Row],[Pós LDH (U/L)]]</f>
        <v>534</v>
      </c>
      <c r="U173" s="85">
        <f>Tabela1[[#This Row],[Pré AST (U/L)]]</f>
        <v>29</v>
      </c>
      <c r="V173" s="193">
        <f>Tabela1[[#This Row],[Pós AST (U/L)]]</f>
        <v>42</v>
      </c>
      <c r="W173" s="194">
        <f>Tabela1[[#This Row],[Pré Albumina (g/dL)]]</f>
        <v>4.5999999999999996</v>
      </c>
      <c r="X173" s="125">
        <f>Tabela1[[#This Row],[Pós Albumina (g/dL)]]</f>
        <v>4.3</v>
      </c>
      <c r="Y173" s="85">
        <f>Tabela1[[#This Row],[Pré TGP (g/dL)]]</f>
        <v>39</v>
      </c>
      <c r="Z173" s="85">
        <f>Tabela1[[#This Row],[Pós TGP (g/dL)]]</f>
        <v>51</v>
      </c>
      <c r="AA173" s="85">
        <f>Tabela1[[#This Row],[Pré GGT U/L]]</f>
        <v>22</v>
      </c>
      <c r="AB173" s="193">
        <f>Tabela1[[#This Row],[Pós GGT U/L]]</f>
        <v>23</v>
      </c>
      <c r="AC173" s="194">
        <f>Tabela1[[#This Row],[Pré Ac. Úrico (mg/dL)]]</f>
        <v>4.5999999999999996</v>
      </c>
      <c r="AD173" s="125">
        <f>Tabela1[[#This Row],[Pós Ac. Úrico (mg/dL)2]]</f>
        <v>4.2</v>
      </c>
      <c r="AE17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7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73" s="85">
        <f>Tabela1[[#This Row],[Pré Ureia mg/dL]]</f>
        <v>44</v>
      </c>
      <c r="AH173" s="85">
        <f>Tabela1[[#This Row],[Pós Ureia mg/dL]]</f>
        <v>38</v>
      </c>
      <c r="AI173" s="125">
        <f>Tabela1[[#This Row],[Pré creatinina mg/dL]]</f>
        <v>1</v>
      </c>
      <c r="AJ173" s="125">
        <f>Tabela1[[#This Row],[Pós creatinina mg/dL]]</f>
        <v>1</v>
      </c>
      <c r="AK173" s="180">
        <f t="shared" si="8"/>
        <v>0</v>
      </c>
      <c r="AL173" s="125">
        <f>Tabela1[[#This Row],[Pré Fósforo mg/dL]]</f>
        <v>4.5</v>
      </c>
      <c r="AM173" s="125">
        <f>Tabela1[[#This Row],[Pós Fósforo mg/dL]]</f>
        <v>5.3</v>
      </c>
      <c r="AN173" s="125">
        <f>Tabela1[[#This Row],[Pré Proteína Total (g/dL)]]</f>
        <v>8.5</v>
      </c>
      <c r="AO173" s="125">
        <f>Tabela1[[#This Row],[Pós Proteína Total (g/dL)]]</f>
        <v>7.8</v>
      </c>
      <c r="AP173" s="85">
        <f>Tabela1[[#This Row],[Pré FE (ug/dL)]]</f>
        <v>83</v>
      </c>
      <c r="AQ173" s="193">
        <f>Tabela1[[#This Row],[Pós FE (ug/dL)]]</f>
        <v>106</v>
      </c>
      <c r="AR173" s="194">
        <f>Tabela1[[#This Row],[Pré calcio mg/dL]]</f>
        <v>10.7</v>
      </c>
      <c r="AS173" s="125">
        <f>Tabela1[[#This Row],[Pós calcio mg/dL]]</f>
        <v>10.3</v>
      </c>
      <c r="AT173" s="125">
        <f>Tabela1[[#This Row],[Pré Potássio mmol/L]]</f>
        <v>5.6</v>
      </c>
      <c r="AU173" s="125">
        <f>Tabela1[[#This Row],[Pós Potássio mmol/L]]</f>
        <v>4.3</v>
      </c>
      <c r="AV173" s="85">
        <f>Tabela1[[#This Row],[Glicose pré]]</f>
        <v>84</v>
      </c>
      <c r="AW173" s="85">
        <f>Tabela1[[#This Row],[Glicose pós]]</f>
        <v>87</v>
      </c>
      <c r="AX173" s="85">
        <f>Tabela1[[#This Row],[Pré Sódio mmol/L]]</f>
        <v>139</v>
      </c>
      <c r="AY173" s="85">
        <f>Tabela1[[#This Row],[Pós Sódio mmol/L]]</f>
        <v>138</v>
      </c>
      <c r="AZ173" s="125">
        <f>Tabela1[[#This Row],[Pré Magnésio mg/dL]]</f>
        <v>2</v>
      </c>
      <c r="BA173" s="125">
        <f>Tabela1[[#This Row],[Pós Magnésio mg/dL]]</f>
        <v>1.8</v>
      </c>
      <c r="BB173" s="85">
        <f>Tabela1[[#This Row],[Pré Cloro mmol/L]]</f>
        <v>102</v>
      </c>
      <c r="BC173" s="85">
        <f>Tabela1[[#This Row],[Pós Cloro mmol/L]]</f>
        <v>103</v>
      </c>
      <c r="BD17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295.65600000000001</v>
      </c>
      <c r="BE17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290.56966666666671</v>
      </c>
      <c r="BF173" s="194">
        <f>Tabela1[[#This Row],[Pré RBC 10^6/mm³]]</f>
        <v>5.04</v>
      </c>
      <c r="BG173" s="125">
        <f>Tabela1[[#This Row],[Pós RBC 10^6/mm³]]</f>
        <v>4.9000000000000004</v>
      </c>
      <c r="BH173" s="125">
        <f>Tabela1[[#This Row],[Pré HGB g/dL]]</f>
        <v>14.4</v>
      </c>
      <c r="BI173" s="125">
        <f>Tabela1[[#This Row],[Pós HGB g/dL]]</f>
        <v>14</v>
      </c>
      <c r="BJ173" s="125">
        <f>Tabela1[[#This Row],[Pré HCT %]]</f>
        <v>45.4</v>
      </c>
      <c r="BK173" s="125">
        <f>Tabela1[[#This Row],[Pós HCT %]]</f>
        <v>44.3</v>
      </c>
      <c r="BL173" s="125">
        <f>Tabela1[[#This Row],[Pré MCV fL]]</f>
        <v>90.1</v>
      </c>
      <c r="BM173" s="125">
        <f>Tabela1[[#This Row],[Pós MCV fL]]</f>
        <v>90.4</v>
      </c>
      <c r="BN173" s="125">
        <f>Tabela1[[#This Row],[Pré MCH pg]]</f>
        <v>28.6</v>
      </c>
      <c r="BO173" s="125">
        <f>Tabela1[[#This Row],[Pós MCH pg]]</f>
        <v>28.6</v>
      </c>
      <c r="BP173" s="125">
        <f>Tabela1[[#This Row],[Pré MCHC g/dL]]</f>
        <v>31.7</v>
      </c>
      <c r="BQ173" s="125">
        <f>Tabela1[[#This Row],[Pós MCHC g/dL]]</f>
        <v>31.6</v>
      </c>
      <c r="BR173" s="85">
        <f>Tabela1[[#This Row],[Pré PLT 10³/mm³]]</f>
        <v>192</v>
      </c>
      <c r="BS173" s="85">
        <f>Tabela1[[#This Row],[Pós PLT 10³/mm³]]</f>
        <v>191</v>
      </c>
      <c r="BT173" s="125">
        <f>Tabela1[[#This Row],[Pré RDW %]]</f>
        <v>12.8</v>
      </c>
      <c r="BU173" s="125">
        <f>Tabela1[[#This Row],[Pós RDW %]]</f>
        <v>12.6</v>
      </c>
      <c r="BV173" s="179">
        <f>Tabela1[[#This Row],[Pré RET %]]</f>
        <v>1.2</v>
      </c>
      <c r="BW173" s="196" t="str">
        <f>Tabela1[[#This Row],[Pós RET %]]</f>
        <v>-</v>
      </c>
      <c r="BX173" s="197">
        <f>Tabela1[[#This Row],[Pré WBC 10³/mm³]]</f>
        <v>6.11</v>
      </c>
      <c r="BY173" s="179">
        <f>Tabela1[[#This Row],[Pós WBC 10³/mm³]]</f>
        <v>8.1</v>
      </c>
      <c r="BZ173" s="125">
        <f>Tabela1[[#This Row],[Pré NEUT %]]</f>
        <v>41.3</v>
      </c>
      <c r="CA173" s="125">
        <f>Tabela1[[#This Row],[Pós NEUT %]]</f>
        <v>40</v>
      </c>
      <c r="CB173" s="125">
        <f>Tabela1[[#This Row],[Pré LINF %]]</f>
        <v>46.8</v>
      </c>
      <c r="CC173" s="125">
        <f>Tabela1[[#This Row],[Pós LINF %]]</f>
        <v>50.5</v>
      </c>
      <c r="CD173" s="125">
        <f>Tabela1[[#This Row],[Pré MONO %]]</f>
        <v>6.9</v>
      </c>
      <c r="CE173" s="125">
        <f>Tabela1[[#This Row],[Pós MONO %]]</f>
        <v>6.9</v>
      </c>
      <c r="CF173" s="125">
        <f>Tabela1[[#This Row],[Pré EOS %]]</f>
        <v>4.3</v>
      </c>
      <c r="CG173" s="125">
        <f>Tabela1[[#This Row],[Pós EOS %]]</f>
        <v>2.2000000000000002</v>
      </c>
      <c r="CH173" s="125">
        <f>Tabela1[[#This Row],[Pré BASO %]]</f>
        <v>0.7</v>
      </c>
      <c r="CI173" s="198">
        <f>Tabela1[[#This Row],[Pós BASO %]]</f>
        <v>0.4</v>
      </c>
      <c r="CJ173" s="199" t="str">
        <f t="shared" si="9"/>
        <v>NÃO</v>
      </c>
      <c r="CK173" s="200" t="str">
        <f t="shared" si="10"/>
        <v>NÃO</v>
      </c>
      <c r="CL173" s="194">
        <f t="shared" si="11"/>
        <v>82.029080000000008</v>
      </c>
      <c r="CM173" s="125">
        <f>Tabela1[[#This Row],[MCT KG]]</f>
        <v>90.7</v>
      </c>
      <c r="CN173" s="85">
        <f>Tabela1[[#This Row],[ESTATURA]]</f>
        <v>191</v>
      </c>
      <c r="CO173" s="85">
        <f>Tabela1[[#This Row],[vo2max estimado]]</f>
        <v>50.01</v>
      </c>
      <c r="CP173" s="85">
        <f>Tabela1[[#This Row],[Handgrip     Dominante]]</f>
        <v>56.5</v>
      </c>
      <c r="CQ173" s="85">
        <f>Tabela1[[#This Row],[Handgrip Contrário]]</f>
        <v>54.5</v>
      </c>
      <c r="CR173" s="281">
        <f>Tabela1[[#This Row],[% gordura]]</f>
        <v>9.56</v>
      </c>
    </row>
    <row r="174" spans="1:96" ht="15.75" customHeight="1">
      <c r="A174" s="279">
        <f>Tabela1[[#This Row],[Ano]]</f>
        <v>2018</v>
      </c>
      <c r="B174" s="181" t="str">
        <f>Tabela1[[#This Row],[Missão]]</f>
        <v>Arraial</v>
      </c>
      <c r="C174" s="181">
        <f>Tabela1[[#This Row],[Aluno]]</f>
        <v>3181</v>
      </c>
      <c r="D174" s="181">
        <f>Tabela1[[#This Row],[Idade]]</f>
        <v>28</v>
      </c>
      <c r="E174" s="182">
        <f>Tabela1[[#This Row],[Peso Kg]]</f>
        <v>82</v>
      </c>
      <c r="F174" s="191">
        <f>Tabela1[[#This Row],[Cor da pele]]</f>
        <v>0</v>
      </c>
      <c r="G174" s="192" t="str">
        <f>Tabela1[[#This Row],[ACTN3]]</f>
        <v>RX</v>
      </c>
      <c r="H174" s="85" t="str">
        <f>Tabela1[[#This Row],[AGT]]</f>
        <v>MT</v>
      </c>
      <c r="I174" s="85" t="str">
        <f>Tabela1[[#This Row],[ECA]]</f>
        <v>ID</v>
      </c>
      <c r="J174" s="85" t="str">
        <f>Tabela1[[#This Row],[BDKRB2]]</f>
        <v>(+9,-9)</v>
      </c>
      <c r="K174" s="85">
        <f>Tabela1[[#This Row],[Score Força%]]</f>
        <v>54.1666666666667</v>
      </c>
      <c r="L174" s="193">
        <f>Tabela1[[#This Row],[Score Resistência %]]</f>
        <v>45.8333333333333</v>
      </c>
      <c r="M174" s="192">
        <f>Tabela1[[#This Row],[Pré CK (U/L)]]</f>
        <v>135</v>
      </c>
      <c r="N174" s="85">
        <f>Tabela1[[#This Row],[Pós CK (U/L)]]</f>
        <v>188</v>
      </c>
      <c r="O174" s="85">
        <f>Tabela1[[#This Row],[Pré CK MB U/L]]</f>
        <v>3</v>
      </c>
      <c r="P174" s="85">
        <f>Tabela1[[#This Row],[Pós CK MB U/L]]</f>
        <v>3</v>
      </c>
      <c r="Q174" s="85" t="str">
        <f>Tabela1[[#This Row],[Pré Lactato (mmol/L)]]</f>
        <v>-</v>
      </c>
      <c r="R174" s="85" t="str">
        <f>Tabela1[[#This Row],[Pós Lactato (mmol/L)]]</f>
        <v>-</v>
      </c>
      <c r="S174" s="85">
        <f>Tabela1[[#This Row],[Pré LDH (U/L)]]</f>
        <v>456</v>
      </c>
      <c r="T174" s="85">
        <f>Tabela1[[#This Row],[Pós LDH (U/L)]]</f>
        <v>462</v>
      </c>
      <c r="U174" s="85">
        <f>Tabela1[[#This Row],[Pré AST (U/L)]]</f>
        <v>26</v>
      </c>
      <c r="V174" s="193">
        <f>Tabela1[[#This Row],[Pós AST (U/L)]]</f>
        <v>28</v>
      </c>
      <c r="W174" s="194">
        <f>Tabela1[[#This Row],[Pré Albumina (g/dL)]]</f>
        <v>4.3</v>
      </c>
      <c r="X174" s="125">
        <f>Tabela1[[#This Row],[Pós Albumina (g/dL)]]</f>
        <v>4.0999999999999996</v>
      </c>
      <c r="Y174" s="85">
        <f>Tabela1[[#This Row],[Pré TGP (g/dL)]]</f>
        <v>37</v>
      </c>
      <c r="Z174" s="85">
        <f>Tabela1[[#This Row],[Pós TGP (g/dL)]]</f>
        <v>35</v>
      </c>
      <c r="AA174" s="85">
        <f>Tabela1[[#This Row],[Pré GGT U/L]]</f>
        <v>19</v>
      </c>
      <c r="AB174" s="193">
        <f>Tabela1[[#This Row],[Pós GGT U/L]]</f>
        <v>20</v>
      </c>
      <c r="AC174" s="194">
        <f>Tabela1[[#This Row],[Pré Ac. Úrico (mg/dL)]]</f>
        <v>4.4000000000000004</v>
      </c>
      <c r="AD174" s="125">
        <f>Tabela1[[#This Row],[Pós Ac. Úrico (mg/dL)2]]</f>
        <v>4.3</v>
      </c>
      <c r="AE17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7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74" s="85">
        <f>Tabela1[[#This Row],[Pré Ureia mg/dL]]</f>
        <v>49</v>
      </c>
      <c r="AH174" s="85">
        <f>Tabela1[[#This Row],[Pós Ureia mg/dL]]</f>
        <v>53</v>
      </c>
      <c r="AI174" s="125">
        <f>Tabela1[[#This Row],[Pré creatinina mg/dL]]</f>
        <v>1</v>
      </c>
      <c r="AJ174" s="125">
        <f>Tabela1[[#This Row],[Pós creatinina mg/dL]]</f>
        <v>1.1000000000000001</v>
      </c>
      <c r="AK174" s="180">
        <f t="shared" si="8"/>
        <v>0.10000000000000009</v>
      </c>
      <c r="AL174" s="125">
        <f>Tabela1[[#This Row],[Pré Fósforo mg/dL]]</f>
        <v>5.4</v>
      </c>
      <c r="AM174" s="125">
        <f>Tabela1[[#This Row],[Pós Fósforo mg/dL]]</f>
        <v>4.4000000000000004</v>
      </c>
      <c r="AN174" s="125">
        <f>Tabela1[[#This Row],[Pré Proteína Total (g/dL)]]</f>
        <v>7.2</v>
      </c>
      <c r="AO174" s="125">
        <f>Tabela1[[#This Row],[Pós Proteína Total (g/dL)]]</f>
        <v>7.2</v>
      </c>
      <c r="AP174" s="85">
        <f>Tabela1[[#This Row],[Pré FE (ug/dL)]]</f>
        <v>74</v>
      </c>
      <c r="AQ174" s="193">
        <f>Tabela1[[#This Row],[Pós FE (ug/dL)]]</f>
        <v>126</v>
      </c>
      <c r="AR174" s="194">
        <f>Tabela1[[#This Row],[Pré calcio mg/dL]]</f>
        <v>10.1</v>
      </c>
      <c r="AS174" s="125">
        <f>Tabela1[[#This Row],[Pós calcio mg/dL]]</f>
        <v>10.1</v>
      </c>
      <c r="AT174" s="125">
        <f>Tabela1[[#This Row],[Pré Potássio mmol/L]]</f>
        <v>5.3</v>
      </c>
      <c r="AU174" s="125">
        <f>Tabela1[[#This Row],[Pós Potássio mmol/L]]</f>
        <v>4.7</v>
      </c>
      <c r="AV174" s="85">
        <f>Tabela1[[#This Row],[Glicose pré]]</f>
        <v>105</v>
      </c>
      <c r="AW174" s="85">
        <f>Tabela1[[#This Row],[Glicose pós]]</f>
        <v>94</v>
      </c>
      <c r="AX174" s="85">
        <f>Tabela1[[#This Row],[Pré Sódio mmol/L]]</f>
        <v>138</v>
      </c>
      <c r="AY174" s="85">
        <f>Tabela1[[#This Row],[Pós Sódio mmol/L]]</f>
        <v>139</v>
      </c>
      <c r="AZ174" s="125">
        <f>Tabela1[[#This Row],[Pré Magnésio mg/dL]]</f>
        <v>2</v>
      </c>
      <c r="BA174" s="125">
        <f>Tabela1[[#This Row],[Pós Magnésio mg/dL]]</f>
        <v>1.8</v>
      </c>
      <c r="BB174" s="85">
        <f>Tabela1[[#This Row],[Pré Cloro mmol/L]]</f>
        <v>102</v>
      </c>
      <c r="BC174" s="85">
        <f>Tabela1[[#This Row],[Pós Cloro mmol/L]]</f>
        <v>102</v>
      </c>
      <c r="BD17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295.41300000000001</v>
      </c>
      <c r="BE17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296.12088888888883</v>
      </c>
      <c r="BF174" s="194">
        <f>Tabela1[[#This Row],[Pré RBC 10^6/mm³]]</f>
        <v>4.9000000000000004</v>
      </c>
      <c r="BG174" s="125">
        <f>Tabela1[[#This Row],[Pós RBC 10^6/mm³]]</f>
        <v>5.0199999999999996</v>
      </c>
      <c r="BH174" s="125">
        <f>Tabela1[[#This Row],[Pré HGB g/dL]]</f>
        <v>14.7</v>
      </c>
      <c r="BI174" s="125">
        <f>Tabela1[[#This Row],[Pós HGB g/dL]]</f>
        <v>15</v>
      </c>
      <c r="BJ174" s="125">
        <f>Tabela1[[#This Row],[Pré HCT %]]</f>
        <v>44.9</v>
      </c>
      <c r="BK174" s="125">
        <f>Tabela1[[#This Row],[Pós HCT %]]</f>
        <v>47</v>
      </c>
      <c r="BL174" s="125">
        <f>Tabela1[[#This Row],[Pré MCV fL]]</f>
        <v>91.6</v>
      </c>
      <c r="BM174" s="125">
        <f>Tabela1[[#This Row],[Pós MCV fL]]</f>
        <v>93.6</v>
      </c>
      <c r="BN174" s="125">
        <f>Tabela1[[#This Row],[Pré MCH pg]]</f>
        <v>30</v>
      </c>
      <c r="BO174" s="125">
        <f>Tabela1[[#This Row],[Pós MCH pg]]</f>
        <v>29.9</v>
      </c>
      <c r="BP174" s="125">
        <f>Tabela1[[#This Row],[Pré MCHC g/dL]]</f>
        <v>32.700000000000003</v>
      </c>
      <c r="BQ174" s="125">
        <f>Tabela1[[#This Row],[Pós MCHC g/dL]]</f>
        <v>31.9</v>
      </c>
      <c r="BR174" s="85">
        <f>Tabela1[[#This Row],[Pré PLT 10³/mm³]]</f>
        <v>253</v>
      </c>
      <c r="BS174" s="85">
        <f>Tabela1[[#This Row],[Pós PLT 10³/mm³]]</f>
        <v>236</v>
      </c>
      <c r="BT174" s="125">
        <f>Tabela1[[#This Row],[Pré RDW %]]</f>
        <v>12.4</v>
      </c>
      <c r="BU174" s="125">
        <f>Tabela1[[#This Row],[Pós RDW %]]</f>
        <v>12.5</v>
      </c>
      <c r="BV174" s="179">
        <f>Tabela1[[#This Row],[Pré RET %]]</f>
        <v>1.34</v>
      </c>
      <c r="BW174" s="196">
        <f>Tabela1[[#This Row],[Pós RET %]]</f>
        <v>1.21</v>
      </c>
      <c r="BX174" s="197">
        <f>Tabela1[[#This Row],[Pré WBC 10³/mm³]]</f>
        <v>6.7</v>
      </c>
      <c r="BY174" s="179">
        <f>Tabela1[[#This Row],[Pós WBC 10³/mm³]]</f>
        <v>6.37</v>
      </c>
      <c r="BZ174" s="125">
        <f>Tabela1[[#This Row],[Pré NEUT %]]</f>
        <v>67.2</v>
      </c>
      <c r="CA174" s="125">
        <f>Tabela1[[#This Row],[Pós NEUT %]]</f>
        <v>50.8</v>
      </c>
      <c r="CB174" s="125">
        <f>Tabela1[[#This Row],[Pré LINF %]]</f>
        <v>22.2</v>
      </c>
      <c r="CC174" s="125">
        <f>Tabela1[[#This Row],[Pós LINF %]]</f>
        <v>33</v>
      </c>
      <c r="CD174" s="125">
        <f>Tabela1[[#This Row],[Pré MONO %]]</f>
        <v>7.8</v>
      </c>
      <c r="CE174" s="125">
        <f>Tabela1[[#This Row],[Pós MONO %]]</f>
        <v>11.9</v>
      </c>
      <c r="CF174" s="125">
        <f>Tabela1[[#This Row],[Pré EOS %]]</f>
        <v>2.5</v>
      </c>
      <c r="CG174" s="125">
        <f>Tabela1[[#This Row],[Pós EOS %]]</f>
        <v>3.8</v>
      </c>
      <c r="CH174" s="125">
        <f>Tabela1[[#This Row],[Pré BASO %]]</f>
        <v>0.3</v>
      </c>
      <c r="CI174" s="198">
        <f>Tabela1[[#This Row],[Pós BASO %]]</f>
        <v>0.5</v>
      </c>
      <c r="CJ174" s="199" t="str">
        <f t="shared" si="9"/>
        <v>NÃO</v>
      </c>
      <c r="CK174" s="200" t="str">
        <f t="shared" si="10"/>
        <v>NÃO</v>
      </c>
      <c r="CL174" s="194">
        <f t="shared" si="11"/>
        <v>77.353679999999997</v>
      </c>
      <c r="CM174" s="125">
        <f>Tabela1[[#This Row],[MCT KG]]</f>
        <v>84.3</v>
      </c>
      <c r="CN174" s="85">
        <f>Tabela1[[#This Row],[ESTATURA]]</f>
        <v>190</v>
      </c>
      <c r="CO174" s="85">
        <f>Tabela1[[#This Row],[vo2max estimado]]</f>
        <v>51.12</v>
      </c>
      <c r="CP174" s="85">
        <f>Tabela1[[#This Row],[Handgrip     Dominante]]</f>
        <v>54.5</v>
      </c>
      <c r="CQ174" s="85">
        <f>Tabela1[[#This Row],[Handgrip Contrário]]</f>
        <v>50.5</v>
      </c>
      <c r="CR174" s="281">
        <f>Tabela1[[#This Row],[% gordura]]</f>
        <v>8.24</v>
      </c>
    </row>
    <row r="175" spans="1:96" ht="15.75" customHeight="1">
      <c r="A175" s="279">
        <f>Tabela1[[#This Row],[Ano]]</f>
        <v>2018</v>
      </c>
      <c r="B175" s="181" t="str">
        <f>Tabela1[[#This Row],[Missão]]</f>
        <v>Arraial</v>
      </c>
      <c r="C175" s="181">
        <f>Tabela1[[#This Row],[Aluno]]</f>
        <v>3183</v>
      </c>
      <c r="D175" s="181">
        <f>Tabela1[[#This Row],[Idade]]</f>
        <v>26</v>
      </c>
      <c r="E175" s="182">
        <f>Tabela1[[#This Row],[Peso Kg]]</f>
        <v>90</v>
      </c>
      <c r="F175" s="191">
        <f>Tabela1[[#This Row],[Cor da pele]]</f>
        <v>1</v>
      </c>
      <c r="G175" s="192" t="str">
        <f>Tabela1[[#This Row],[ACTN3]]</f>
        <v>-</v>
      </c>
      <c r="H175" s="85" t="str">
        <f>Tabela1[[#This Row],[AGT]]</f>
        <v>-</v>
      </c>
      <c r="I175" s="85" t="str">
        <f>Tabela1[[#This Row],[ECA]]</f>
        <v>-</v>
      </c>
      <c r="J175" s="85" t="str">
        <f>Tabela1[[#This Row],[BDKRB2]]</f>
        <v>-</v>
      </c>
      <c r="K175" s="85" t="str">
        <f>Tabela1[[#This Row],[Score Força%]]</f>
        <v>-</v>
      </c>
      <c r="L175" s="193" t="str">
        <f>Tabela1[[#This Row],[Score Resistência %]]</f>
        <v>-</v>
      </c>
      <c r="M175" s="192">
        <f>Tabela1[[#This Row],[Pré CK (U/L)]]</f>
        <v>114</v>
      </c>
      <c r="N175" s="85">
        <f>Tabela1[[#This Row],[Pós CK (U/L)]]</f>
        <v>151</v>
      </c>
      <c r="O175" s="85">
        <f>Tabela1[[#This Row],[Pré CK MB U/L]]</f>
        <v>3</v>
      </c>
      <c r="P175" s="85">
        <f>Tabela1[[#This Row],[Pós CK MB U/L]]</f>
        <v>9</v>
      </c>
      <c r="Q175" s="85" t="str">
        <f>Tabela1[[#This Row],[Pré Lactato (mmol/L)]]</f>
        <v>-</v>
      </c>
      <c r="R175" s="85" t="str">
        <f>Tabela1[[#This Row],[Pós Lactato (mmol/L)]]</f>
        <v>-</v>
      </c>
      <c r="S175" s="85">
        <f>Tabela1[[#This Row],[Pré LDH (U/L)]]</f>
        <v>390</v>
      </c>
      <c r="T175" s="85">
        <f>Tabela1[[#This Row],[Pós LDH (U/L)]]</f>
        <v>466</v>
      </c>
      <c r="U175" s="85">
        <f>Tabela1[[#This Row],[Pré AST (U/L)]]</f>
        <v>21</v>
      </c>
      <c r="V175" s="193">
        <f>Tabela1[[#This Row],[Pós AST (U/L)]]</f>
        <v>23</v>
      </c>
      <c r="W175" s="194">
        <f>Tabela1[[#This Row],[Pré Albumina (g/dL)]]</f>
        <v>3.9</v>
      </c>
      <c r="X175" s="125">
        <f>Tabela1[[#This Row],[Pós Albumina (g/dL)]]</f>
        <v>4.2</v>
      </c>
      <c r="Y175" s="85">
        <f>Tabela1[[#This Row],[Pré TGP (g/dL)]]</f>
        <v>29</v>
      </c>
      <c r="Z175" s="85">
        <f>Tabela1[[#This Row],[Pós TGP (g/dL)]]</f>
        <v>34</v>
      </c>
      <c r="AA175" s="85">
        <f>Tabela1[[#This Row],[Pré GGT U/L]]</f>
        <v>17</v>
      </c>
      <c r="AB175" s="193">
        <f>Tabela1[[#This Row],[Pós GGT U/L]]</f>
        <v>21</v>
      </c>
      <c r="AC175" s="194">
        <f>Tabela1[[#This Row],[Pré Ac. Úrico (mg/dL)]]</f>
        <v>4.4000000000000004</v>
      </c>
      <c r="AD175" s="125">
        <f>Tabela1[[#This Row],[Pós Ac. Úrico (mg/dL)2]]</f>
        <v>4.5999999999999996</v>
      </c>
      <c r="AE17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17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175" s="85">
        <f>Tabela1[[#This Row],[Pré Ureia mg/dL]]</f>
        <v>34</v>
      </c>
      <c r="AH175" s="85">
        <f>Tabela1[[#This Row],[Pós Ureia mg/dL]]</f>
        <v>29</v>
      </c>
      <c r="AI175" s="125">
        <f>Tabela1[[#This Row],[Pré creatinina mg/dL]]</f>
        <v>0.8</v>
      </c>
      <c r="AJ175" s="125">
        <f>Tabela1[[#This Row],[Pós creatinina mg/dL]]</f>
        <v>0.8</v>
      </c>
      <c r="AK175" s="180">
        <f t="shared" si="8"/>
        <v>0</v>
      </c>
      <c r="AL175" s="125">
        <f>Tabela1[[#This Row],[Pré Fósforo mg/dL]]</f>
        <v>5.0999999999999996</v>
      </c>
      <c r="AM175" s="125">
        <f>Tabela1[[#This Row],[Pós Fósforo mg/dL]]</f>
        <v>5.8</v>
      </c>
      <c r="AN175" s="125">
        <f>Tabela1[[#This Row],[Pré Proteína Total (g/dL)]]</f>
        <v>7.1</v>
      </c>
      <c r="AO175" s="125">
        <f>Tabela1[[#This Row],[Pós Proteína Total (g/dL)]]</f>
        <v>7.5</v>
      </c>
      <c r="AP175" s="85">
        <f>Tabela1[[#This Row],[Pré FE (ug/dL)]]</f>
        <v>66</v>
      </c>
      <c r="AQ175" s="193">
        <f>Tabela1[[#This Row],[Pós FE (ug/dL)]]</f>
        <v>97</v>
      </c>
      <c r="AR175" s="194">
        <f>Tabela1[[#This Row],[Pré calcio mg/dL]]</f>
        <v>9.6</v>
      </c>
      <c r="AS175" s="125">
        <f>Tabela1[[#This Row],[Pós calcio mg/dL]]</f>
        <v>9.6999999999999993</v>
      </c>
      <c r="AT175" s="125">
        <f>Tabela1[[#This Row],[Pré Potássio mmol/L]]</f>
        <v>4.4000000000000004</v>
      </c>
      <c r="AU175" s="125">
        <f>Tabela1[[#This Row],[Pós Potássio mmol/L]]</f>
        <v>4.4000000000000004</v>
      </c>
      <c r="AV175" s="85">
        <f>Tabela1[[#This Row],[Glicose pré]]</f>
        <v>72</v>
      </c>
      <c r="AW175" s="85">
        <f>Tabela1[[#This Row],[Glicose pós]]</f>
        <v>84</v>
      </c>
      <c r="AX175" s="85">
        <f>Tabela1[[#This Row],[Pré Sódio mmol/L]]</f>
        <v>140</v>
      </c>
      <c r="AY175" s="85">
        <f>Tabela1[[#This Row],[Pós Sódio mmol/L]]</f>
        <v>140</v>
      </c>
      <c r="AZ175" s="125">
        <f>Tabela1[[#This Row],[Pré Magnésio mg/dL]]</f>
        <v>1.9</v>
      </c>
      <c r="BA175" s="125">
        <f>Tabela1[[#This Row],[Pós Magnésio mg/dL]]</f>
        <v>2.1</v>
      </c>
      <c r="BB175" s="85">
        <f>Tabela1[[#This Row],[Pré Cloro mmol/L]]</f>
        <v>103</v>
      </c>
      <c r="BC175" s="85">
        <f>Tabela1[[#This Row],[Pós Cloro mmol/L]]</f>
        <v>104</v>
      </c>
      <c r="BD17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292.85066666666671</v>
      </c>
      <c r="BE17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292.78399999999999</v>
      </c>
      <c r="BF175" s="194">
        <f>Tabela1[[#This Row],[Pré RBC 10^6/mm³]]</f>
        <v>4.68</v>
      </c>
      <c r="BG175" s="125">
        <f>Tabela1[[#This Row],[Pós RBC 10^6/mm³]]</f>
        <v>4.8499999999999996</v>
      </c>
      <c r="BH175" s="125">
        <f>Tabela1[[#This Row],[Pré HGB g/dL]]</f>
        <v>13.4</v>
      </c>
      <c r="BI175" s="125">
        <f>Tabela1[[#This Row],[Pós HGB g/dL]]</f>
        <v>14</v>
      </c>
      <c r="BJ175" s="125">
        <f>Tabela1[[#This Row],[Pré HCT %]]</f>
        <v>41.4</v>
      </c>
      <c r="BK175" s="125">
        <f>Tabela1[[#This Row],[Pós HCT %]]</f>
        <v>43.5</v>
      </c>
      <c r="BL175" s="125">
        <f>Tabela1[[#This Row],[Pré MCV fL]]</f>
        <v>88.5</v>
      </c>
      <c r="BM175" s="125">
        <f>Tabela1[[#This Row],[Pós MCV fL]]</f>
        <v>89.7</v>
      </c>
      <c r="BN175" s="125">
        <f>Tabela1[[#This Row],[Pré MCH pg]]</f>
        <v>28.6</v>
      </c>
      <c r="BO175" s="125">
        <f>Tabela1[[#This Row],[Pós MCH pg]]</f>
        <v>28.9</v>
      </c>
      <c r="BP175" s="125">
        <f>Tabela1[[#This Row],[Pré MCHC g/dL]]</f>
        <v>32.4</v>
      </c>
      <c r="BQ175" s="125">
        <f>Tabela1[[#This Row],[Pós MCHC g/dL]]</f>
        <v>32.200000000000003</v>
      </c>
      <c r="BR175" s="85">
        <f>Tabela1[[#This Row],[Pré PLT 10³/mm³]]</f>
        <v>279</v>
      </c>
      <c r="BS175" s="85">
        <f>Tabela1[[#This Row],[Pós PLT 10³/mm³]]</f>
        <v>255</v>
      </c>
      <c r="BT175" s="125">
        <f>Tabela1[[#This Row],[Pré RDW %]]</f>
        <v>12.9</v>
      </c>
      <c r="BU175" s="125">
        <f>Tabela1[[#This Row],[Pós RDW %]]</f>
        <v>12.9</v>
      </c>
      <c r="BV175" s="179">
        <f>Tabela1[[#This Row],[Pré RET %]]</f>
        <v>1.55</v>
      </c>
      <c r="BW175" s="196">
        <f>Tabela1[[#This Row],[Pós RET %]]</f>
        <v>1.58</v>
      </c>
      <c r="BX175" s="197">
        <f>Tabela1[[#This Row],[Pré WBC 10³/mm³]]</f>
        <v>6.96</v>
      </c>
      <c r="BY175" s="179">
        <f>Tabela1[[#This Row],[Pós WBC 10³/mm³]]</f>
        <v>7.41</v>
      </c>
      <c r="BZ175" s="125">
        <f>Tabela1[[#This Row],[Pré NEUT %]]</f>
        <v>52.1</v>
      </c>
      <c r="CA175" s="125">
        <f>Tabela1[[#This Row],[Pós NEUT %]]</f>
        <v>44.6</v>
      </c>
      <c r="CB175" s="125">
        <f>Tabela1[[#This Row],[Pré LINF %]]</f>
        <v>31.6</v>
      </c>
      <c r="CC175" s="125">
        <f>Tabela1[[#This Row],[Pós LINF %]]</f>
        <v>36.200000000000003</v>
      </c>
      <c r="CD175" s="125">
        <f>Tabela1[[#This Row],[Pré MONO %]]</f>
        <v>9.8000000000000007</v>
      </c>
      <c r="CE175" s="125">
        <f>Tabela1[[#This Row],[Pós MONO %]]</f>
        <v>10.8</v>
      </c>
      <c r="CF175" s="125">
        <f>Tabela1[[#This Row],[Pré EOS %]]</f>
        <v>6.2</v>
      </c>
      <c r="CG175" s="125">
        <f>Tabela1[[#This Row],[Pós EOS %]]</f>
        <v>8</v>
      </c>
      <c r="CH175" s="125">
        <f>Tabela1[[#This Row],[Pré BASO %]]</f>
        <v>0.3</v>
      </c>
      <c r="CI175" s="198">
        <f>Tabela1[[#This Row],[Pós BASO %]]</f>
        <v>0.4</v>
      </c>
      <c r="CJ175" s="199" t="str">
        <f t="shared" si="9"/>
        <v>NÃO</v>
      </c>
      <c r="CK175" s="200" t="str">
        <f t="shared" si="10"/>
        <v>NÃO</v>
      </c>
      <c r="CL175" s="194">
        <f t="shared" si="11"/>
        <v>82.441199999999995</v>
      </c>
      <c r="CM175" s="125">
        <f>Tabela1[[#This Row],[MCT KG]]</f>
        <v>92</v>
      </c>
      <c r="CN175" s="85">
        <f>Tabela1[[#This Row],[ESTATURA]]</f>
        <v>174.4</v>
      </c>
      <c r="CO175" s="85">
        <f>Tabela1[[#This Row],[vo2max estimado]]</f>
        <v>49.71</v>
      </c>
      <c r="CP175" s="85">
        <f>Tabela1[[#This Row],[Handgrip     Dominante]]</f>
        <v>55</v>
      </c>
      <c r="CQ175" s="85">
        <f>Tabela1[[#This Row],[Handgrip Contrário]]</f>
        <v>55.5</v>
      </c>
      <c r="CR175" s="281">
        <f>Tabela1[[#This Row],[% gordura]]</f>
        <v>10.39</v>
      </c>
    </row>
    <row r="176" spans="1:96" ht="15.75" customHeight="1">
      <c r="A176" s="279">
        <f>Tabela1[[#This Row],[Ano]]</f>
        <v>2018</v>
      </c>
      <c r="B176" s="181" t="str">
        <f>Tabela1[[#This Row],[Missão]]</f>
        <v>Arraial</v>
      </c>
      <c r="C176" s="181">
        <f>Tabela1[[#This Row],[Aluno]]</f>
        <v>3187</v>
      </c>
      <c r="D176" s="181">
        <f>Tabela1[[#This Row],[Idade]]</f>
        <v>25</v>
      </c>
      <c r="E176" s="182">
        <f>Tabela1[[#This Row],[Peso Kg]]</f>
        <v>85</v>
      </c>
      <c r="F176" s="191">
        <f>Tabela1[[#This Row],[Cor da pele]]</f>
        <v>1</v>
      </c>
      <c r="G176" s="192" t="str">
        <f>Tabela1[[#This Row],[ACTN3]]</f>
        <v>RX</v>
      </c>
      <c r="H176" s="85" t="str">
        <f>Tabela1[[#This Row],[AGT]]</f>
        <v>MM</v>
      </c>
      <c r="I176" s="85" t="str">
        <f>Tabela1[[#This Row],[ECA]]</f>
        <v>II</v>
      </c>
      <c r="J176" s="85" t="str">
        <f>Tabela1[[#This Row],[BDKRB2]]</f>
        <v>(+9,-9)</v>
      </c>
      <c r="K176" s="85">
        <f>Tabela1[[#This Row],[Score Força%]]</f>
        <v>25</v>
      </c>
      <c r="L176" s="193">
        <f>Tabela1[[#This Row],[Score Resistência %]]</f>
        <v>75</v>
      </c>
      <c r="M176" s="192">
        <f>Tabela1[[#This Row],[Pré CK (U/L)]]</f>
        <v>145</v>
      </c>
      <c r="N176" s="85">
        <f>Tabela1[[#This Row],[Pós CK (U/L)]]</f>
        <v>116</v>
      </c>
      <c r="O176" s="85">
        <f>Tabela1[[#This Row],[Pré CK MB U/L]]</f>
        <v>3</v>
      </c>
      <c r="P176" s="85">
        <f>Tabela1[[#This Row],[Pós CK MB U/L]]</f>
        <v>3</v>
      </c>
      <c r="Q176" s="85" t="str">
        <f>Tabela1[[#This Row],[Pré Lactato (mmol/L)]]</f>
        <v>-</v>
      </c>
      <c r="R176" s="85" t="str">
        <f>Tabela1[[#This Row],[Pós Lactato (mmol/L)]]</f>
        <v>-</v>
      </c>
      <c r="S176" s="85">
        <f>Tabela1[[#This Row],[Pré LDH (U/L)]]</f>
        <v>442</v>
      </c>
      <c r="T176" s="85">
        <f>Tabela1[[#This Row],[Pós LDH (U/L)]]</f>
        <v>360</v>
      </c>
      <c r="U176" s="85">
        <f>Tabela1[[#This Row],[Pré AST (U/L)]]</f>
        <v>40</v>
      </c>
      <c r="V176" s="193">
        <f>Tabela1[[#This Row],[Pós AST (U/L)]]</f>
        <v>29</v>
      </c>
      <c r="W176" s="194">
        <f>Tabela1[[#This Row],[Pré Albumina (g/dL)]]</f>
        <v>4.8</v>
      </c>
      <c r="X176" s="125">
        <f>Tabela1[[#This Row],[Pós Albumina (g/dL)]]</f>
        <v>4.0999999999999996</v>
      </c>
      <c r="Y176" s="85">
        <f>Tabela1[[#This Row],[Pré TGP (g/dL)]]</f>
        <v>55</v>
      </c>
      <c r="Z176" s="85">
        <f>Tabela1[[#This Row],[Pós TGP (g/dL)]]</f>
        <v>41</v>
      </c>
      <c r="AA176" s="85">
        <f>Tabela1[[#This Row],[Pré GGT U/L]]</f>
        <v>32</v>
      </c>
      <c r="AB176" s="193">
        <f>Tabela1[[#This Row],[Pós GGT U/L]]</f>
        <v>29</v>
      </c>
      <c r="AC176" s="194">
        <f>Tabela1[[#This Row],[Pré Ac. Úrico (mg/dL)]]</f>
        <v>5.0999999999999996</v>
      </c>
      <c r="AD176" s="125">
        <f>Tabela1[[#This Row],[Pós Ac. Úrico (mg/dL)2]]</f>
        <v>4.8</v>
      </c>
      <c r="AE17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7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76" s="85">
        <f>Tabela1[[#This Row],[Pré Ureia mg/dL]]</f>
        <v>36</v>
      </c>
      <c r="AH176" s="85">
        <f>Tabela1[[#This Row],[Pós Ureia mg/dL]]</f>
        <v>30</v>
      </c>
      <c r="AI176" s="125">
        <f>Tabela1[[#This Row],[Pré creatinina mg/dL]]</f>
        <v>1</v>
      </c>
      <c r="AJ176" s="125">
        <f>Tabela1[[#This Row],[Pós creatinina mg/dL]]</f>
        <v>1</v>
      </c>
      <c r="AK176" s="180">
        <f t="shared" si="8"/>
        <v>0</v>
      </c>
      <c r="AL176" s="125">
        <f>Tabela1[[#This Row],[Pré Fósforo mg/dL]]</f>
        <v>5.3</v>
      </c>
      <c r="AM176" s="125">
        <f>Tabela1[[#This Row],[Pós Fósforo mg/dL]]</f>
        <v>5</v>
      </c>
      <c r="AN176" s="125">
        <f>Tabela1[[#This Row],[Pré Proteína Total (g/dL)]]</f>
        <v>8.3000000000000007</v>
      </c>
      <c r="AO176" s="125">
        <f>Tabela1[[#This Row],[Pós Proteína Total (g/dL)]]</f>
        <v>7.4</v>
      </c>
      <c r="AP176" s="85">
        <f>Tabela1[[#This Row],[Pré FE (ug/dL)]]</f>
        <v>94</v>
      </c>
      <c r="AQ176" s="193">
        <f>Tabela1[[#This Row],[Pós FE (ug/dL)]]</f>
        <v>54</v>
      </c>
      <c r="AR176" s="194">
        <f>Tabela1[[#This Row],[Pré calcio mg/dL]]</f>
        <v>10.4</v>
      </c>
      <c r="AS176" s="125">
        <f>Tabela1[[#This Row],[Pós calcio mg/dL]]</f>
        <v>9.9</v>
      </c>
      <c r="AT176" s="125">
        <f>Tabela1[[#This Row],[Pré Potássio mmol/L]]</f>
        <v>4.4000000000000004</v>
      </c>
      <c r="AU176" s="125">
        <f>Tabela1[[#This Row],[Pós Potássio mmol/L]]</f>
        <v>4.5</v>
      </c>
      <c r="AV176" s="85">
        <f>Tabela1[[#This Row],[Glicose pré]]</f>
        <v>59</v>
      </c>
      <c r="AW176" s="85">
        <f>Tabela1[[#This Row],[Glicose pós]]</f>
        <v>90</v>
      </c>
      <c r="AX176" s="85">
        <f>Tabela1[[#This Row],[Pré Sódio mmol/L]]</f>
        <v>141</v>
      </c>
      <c r="AY176" s="85">
        <f>Tabela1[[#This Row],[Pós Sódio mmol/L]]</f>
        <v>140</v>
      </c>
      <c r="AZ176" s="125">
        <f>Tabela1[[#This Row],[Pré Magnésio mg/dL]]</f>
        <v>2.2000000000000002</v>
      </c>
      <c r="BA176" s="125">
        <f>Tabela1[[#This Row],[Pós Magnésio mg/dL]]</f>
        <v>2.2000000000000002</v>
      </c>
      <c r="BB176" s="85">
        <f>Tabela1[[#This Row],[Pré Cloro mmol/L]]</f>
        <v>103</v>
      </c>
      <c r="BC176" s="85">
        <f>Tabela1[[#This Row],[Pós Cloro mmol/L]]</f>
        <v>101</v>
      </c>
      <c r="BD17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294.21344444444446</v>
      </c>
      <c r="BE17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293.52000000000004</v>
      </c>
      <c r="BF176" s="194">
        <f>Tabela1[[#This Row],[Pré RBC 10^6/mm³]]</f>
        <v>4.93</v>
      </c>
      <c r="BG176" s="125">
        <f>Tabela1[[#This Row],[Pós RBC 10^6/mm³]]</f>
        <v>4.62</v>
      </c>
      <c r="BH176" s="125">
        <f>Tabela1[[#This Row],[Pré HGB g/dL]]</f>
        <v>14</v>
      </c>
      <c r="BI176" s="125">
        <f>Tabela1[[#This Row],[Pós HGB g/dL]]</f>
        <v>13.3</v>
      </c>
      <c r="BJ176" s="125">
        <f>Tabela1[[#This Row],[Pré HCT %]]</f>
        <v>42.5</v>
      </c>
      <c r="BK176" s="125">
        <f>Tabela1[[#This Row],[Pós HCT %]]</f>
        <v>40.5</v>
      </c>
      <c r="BL176" s="125">
        <f>Tabela1[[#This Row],[Pré MCV fL]]</f>
        <v>86.2</v>
      </c>
      <c r="BM176" s="125">
        <f>Tabela1[[#This Row],[Pós MCV fL]]</f>
        <v>87.7</v>
      </c>
      <c r="BN176" s="125">
        <f>Tabela1[[#This Row],[Pré MCH pg]]</f>
        <v>28.4</v>
      </c>
      <c r="BO176" s="125">
        <f>Tabela1[[#This Row],[Pós MCH pg]]</f>
        <v>28.8</v>
      </c>
      <c r="BP176" s="125">
        <f>Tabela1[[#This Row],[Pré MCHC g/dL]]</f>
        <v>32.9</v>
      </c>
      <c r="BQ176" s="125">
        <f>Tabela1[[#This Row],[Pós MCHC g/dL]]</f>
        <v>32.799999999999997</v>
      </c>
      <c r="BR176" s="85">
        <f>Tabela1[[#This Row],[Pré PLT 10³/mm³]]</f>
        <v>289</v>
      </c>
      <c r="BS176" s="85">
        <f>Tabela1[[#This Row],[Pós PLT 10³/mm³]]</f>
        <v>293</v>
      </c>
      <c r="BT176" s="125">
        <f>Tabela1[[#This Row],[Pré RDW %]]</f>
        <v>12.9</v>
      </c>
      <c r="BU176" s="125">
        <f>Tabela1[[#This Row],[Pós RDW %]]</f>
        <v>12.8</v>
      </c>
      <c r="BV176" s="179">
        <f>Tabela1[[#This Row],[Pré RET %]]</f>
        <v>1.35</v>
      </c>
      <c r="BW176" s="196">
        <f>Tabela1[[#This Row],[Pós RET %]]</f>
        <v>1.25</v>
      </c>
      <c r="BX176" s="197">
        <f>Tabela1[[#This Row],[Pré WBC 10³/mm³]]</f>
        <v>6.56</v>
      </c>
      <c r="BY176" s="179">
        <f>Tabela1[[#This Row],[Pós WBC 10³/mm³]]</f>
        <v>8.9</v>
      </c>
      <c r="BZ176" s="125">
        <f>Tabela1[[#This Row],[Pré NEUT %]]</f>
        <v>58.3</v>
      </c>
      <c r="CA176" s="125">
        <f>Tabela1[[#This Row],[Pós NEUT %]]</f>
        <v>59.8</v>
      </c>
      <c r="CB176" s="125">
        <f>Tabela1[[#This Row],[Pré LINF %]]</f>
        <v>26.2</v>
      </c>
      <c r="CC176" s="125">
        <f>Tabela1[[#This Row],[Pós LINF %]]</f>
        <v>29.7</v>
      </c>
      <c r="CD176" s="125">
        <f>Tabela1[[#This Row],[Pré MONO %]]</f>
        <v>8.6999999999999993</v>
      </c>
      <c r="CE176" s="125">
        <f>Tabela1[[#This Row],[Pós MONO %]]</f>
        <v>6.7</v>
      </c>
      <c r="CF176" s="125">
        <f>Tabela1[[#This Row],[Pré EOS %]]</f>
        <v>6.3</v>
      </c>
      <c r="CG176" s="125">
        <f>Tabela1[[#This Row],[Pós EOS %]]</f>
        <v>3.6</v>
      </c>
      <c r="CH176" s="125">
        <f>Tabela1[[#This Row],[Pré BASO %]]</f>
        <v>0.5</v>
      </c>
      <c r="CI176" s="198">
        <f>Tabela1[[#This Row],[Pós BASO %]]</f>
        <v>0.2</v>
      </c>
      <c r="CJ176" s="199" t="str">
        <f t="shared" si="9"/>
        <v>NÃO</v>
      </c>
      <c r="CK176" s="200" t="str">
        <f t="shared" si="10"/>
        <v>NÃO</v>
      </c>
      <c r="CL176" s="194">
        <f t="shared" si="11"/>
        <v>79.512460000000004</v>
      </c>
      <c r="CM176" s="125">
        <f>Tabela1[[#This Row],[MCT KG]]</f>
        <v>85.7</v>
      </c>
      <c r="CN176" s="85">
        <f>Tabela1[[#This Row],[ESTATURA]]</f>
        <v>185</v>
      </c>
      <c r="CO176" s="85">
        <f>Tabela1[[#This Row],[vo2max estimado]]</f>
        <v>52.04</v>
      </c>
      <c r="CP176" s="85">
        <f>Tabela1[[#This Row],[Handgrip     Dominante]]</f>
        <v>50</v>
      </c>
      <c r="CQ176" s="85">
        <f>Tabela1[[#This Row],[Handgrip Contrário]]</f>
        <v>50</v>
      </c>
      <c r="CR176" s="281">
        <f>Tabela1[[#This Row],[% gordura]]</f>
        <v>7.22</v>
      </c>
    </row>
    <row r="177" spans="1:96" ht="15.75" customHeight="1">
      <c r="A177" s="279">
        <f>Tabela1[[#This Row],[Ano]]</f>
        <v>2018</v>
      </c>
      <c r="B177" s="181" t="str">
        <f>Tabela1[[#This Row],[Missão]]</f>
        <v>Arraial</v>
      </c>
      <c r="C177" s="181">
        <f>Tabela1[[#This Row],[Aluno]]</f>
        <v>3189</v>
      </c>
      <c r="D177" s="181">
        <f>Tabela1[[#This Row],[Idade]]</f>
        <v>28</v>
      </c>
      <c r="E177" s="182">
        <f>Tabela1[[#This Row],[Peso Kg]]</f>
        <v>77</v>
      </c>
      <c r="F177" s="191">
        <f>Tabela1[[#This Row],[Cor da pele]]</f>
        <v>2</v>
      </c>
      <c r="G177" s="192" t="str">
        <f>Tabela1[[#This Row],[ACTN3]]</f>
        <v>RR</v>
      </c>
      <c r="H177" s="85" t="str">
        <f>Tabela1[[#This Row],[AGT]]</f>
        <v>MT</v>
      </c>
      <c r="I177" s="85" t="str">
        <f>Tabela1[[#This Row],[ECA]]</f>
        <v>ID</v>
      </c>
      <c r="J177" s="85" t="str">
        <f>Tabela1[[#This Row],[BDKRB2]]</f>
        <v>(+9,-9)</v>
      </c>
      <c r="K177" s="85">
        <f>Tabela1[[#This Row],[Score Força%]]</f>
        <v>212.5</v>
      </c>
      <c r="L177" s="193">
        <f>Tabela1[[#This Row],[Score Resistência %]]</f>
        <v>-112.5</v>
      </c>
      <c r="M177" s="192">
        <f>Tabela1[[#This Row],[Pré CK (U/L)]]</f>
        <v>51</v>
      </c>
      <c r="N177" s="85">
        <f>Tabela1[[#This Row],[Pós CK (U/L)]]</f>
        <v>113</v>
      </c>
      <c r="O177" s="85">
        <f>Tabela1[[#This Row],[Pré CK MB U/L]]</f>
        <v>3</v>
      </c>
      <c r="P177" s="85">
        <f>Tabela1[[#This Row],[Pós CK MB U/L]]</f>
        <v>3</v>
      </c>
      <c r="Q177" s="85" t="str">
        <f>Tabela1[[#This Row],[Pré Lactato (mmol/L)]]</f>
        <v>-</v>
      </c>
      <c r="R177" s="85" t="str">
        <f>Tabela1[[#This Row],[Pós Lactato (mmol/L)]]</f>
        <v>-</v>
      </c>
      <c r="S177" s="85">
        <f>Tabela1[[#This Row],[Pré LDH (U/L)]]</f>
        <v>382</v>
      </c>
      <c r="T177" s="85">
        <f>Tabela1[[#This Row],[Pós LDH (U/L)]]</f>
        <v>415</v>
      </c>
      <c r="U177" s="85">
        <f>Tabela1[[#This Row],[Pré AST (U/L)]]</f>
        <v>21</v>
      </c>
      <c r="V177" s="193">
        <f>Tabela1[[#This Row],[Pós AST (U/L)]]</f>
        <v>32</v>
      </c>
      <c r="W177" s="194">
        <f>Tabela1[[#This Row],[Pré Albumina (g/dL)]]</f>
        <v>4.0999999999999996</v>
      </c>
      <c r="X177" s="125">
        <f>Tabela1[[#This Row],[Pós Albumina (g/dL)]]</f>
        <v>4.2</v>
      </c>
      <c r="Y177" s="85">
        <f>Tabela1[[#This Row],[Pré TGP (g/dL)]]</f>
        <v>33</v>
      </c>
      <c r="Z177" s="85">
        <f>Tabela1[[#This Row],[Pós TGP (g/dL)]]</f>
        <v>49</v>
      </c>
      <c r="AA177" s="85">
        <f>Tabela1[[#This Row],[Pré GGT U/L]]</f>
        <v>38</v>
      </c>
      <c r="AB177" s="193">
        <f>Tabela1[[#This Row],[Pós GGT U/L]]</f>
        <v>52</v>
      </c>
      <c r="AC177" s="194">
        <f>Tabela1[[#This Row],[Pré Ac. Úrico (mg/dL)]]</f>
        <v>6.3</v>
      </c>
      <c r="AD177" s="125">
        <f>Tabela1[[#This Row],[Pós Ac. Úrico (mg/dL)2]]</f>
        <v>5</v>
      </c>
      <c r="AE17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7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177" s="85">
        <f>Tabela1[[#This Row],[Pré Ureia mg/dL]]</f>
        <v>35</v>
      </c>
      <c r="AH177" s="85">
        <f>Tabela1[[#This Row],[Pós Ureia mg/dL]]</f>
        <v>45</v>
      </c>
      <c r="AI177" s="125">
        <f>Tabela1[[#This Row],[Pré creatinina mg/dL]]</f>
        <v>0.9</v>
      </c>
      <c r="AJ177" s="125">
        <f>Tabela1[[#This Row],[Pós creatinina mg/dL]]</f>
        <v>0.8</v>
      </c>
      <c r="AK177" s="180">
        <f t="shared" si="8"/>
        <v>0</v>
      </c>
      <c r="AL177" s="125">
        <f>Tabela1[[#This Row],[Pré Fósforo mg/dL]]</f>
        <v>5.0999999999999996</v>
      </c>
      <c r="AM177" s="125">
        <f>Tabela1[[#This Row],[Pós Fósforo mg/dL]]</f>
        <v>4.4000000000000004</v>
      </c>
      <c r="AN177" s="125">
        <f>Tabela1[[#This Row],[Pré Proteína Total (g/dL)]]</f>
        <v>7.1</v>
      </c>
      <c r="AO177" s="125">
        <f>Tabela1[[#This Row],[Pós Proteína Total (g/dL)]]</f>
        <v>7.1</v>
      </c>
      <c r="AP177" s="85">
        <f>Tabela1[[#This Row],[Pré FE (ug/dL)]]</f>
        <v>85</v>
      </c>
      <c r="AQ177" s="193">
        <f>Tabela1[[#This Row],[Pós FE (ug/dL)]]</f>
        <v>150</v>
      </c>
      <c r="AR177" s="194">
        <f>Tabela1[[#This Row],[Pré calcio mg/dL]]</f>
        <v>9.9</v>
      </c>
      <c r="AS177" s="125">
        <f>Tabela1[[#This Row],[Pós calcio mg/dL]]</f>
        <v>10.199999999999999</v>
      </c>
      <c r="AT177" s="125">
        <f>Tabela1[[#This Row],[Pré Potássio mmol/L]]</f>
        <v>4.5</v>
      </c>
      <c r="AU177" s="125">
        <f>Tabela1[[#This Row],[Pós Potássio mmol/L]]</f>
        <v>4.4000000000000004</v>
      </c>
      <c r="AV177" s="85">
        <f>Tabela1[[#This Row],[Glicose pré]]</f>
        <v>91</v>
      </c>
      <c r="AW177" s="85">
        <f>Tabela1[[#This Row],[Glicose pós]]</f>
        <v>99</v>
      </c>
      <c r="AX177" s="85">
        <f>Tabela1[[#This Row],[Pré Sódio mmol/L]]</f>
        <v>140</v>
      </c>
      <c r="AY177" s="85">
        <f>Tabela1[[#This Row],[Pós Sódio mmol/L]]</f>
        <v>140</v>
      </c>
      <c r="AZ177" s="125">
        <f>Tabela1[[#This Row],[Pré Magnésio mg/dL]]</f>
        <v>2</v>
      </c>
      <c r="BA177" s="125">
        <f>Tabela1[[#This Row],[Pós Magnésio mg/dL]]</f>
        <v>1.9</v>
      </c>
      <c r="BB177" s="85">
        <f>Tabela1[[#This Row],[Pré Cloro mmol/L]]</f>
        <v>103</v>
      </c>
      <c r="BC177" s="85">
        <f>Tabela1[[#This Row],[Pós Cloro mmol/L]]</f>
        <v>104</v>
      </c>
      <c r="BD17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294.41722222222222</v>
      </c>
      <c r="BE17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296.40899999999999</v>
      </c>
      <c r="BF177" s="194">
        <f>Tabela1[[#This Row],[Pré RBC 10^6/mm³]]</f>
        <v>4.55</v>
      </c>
      <c r="BG177" s="125">
        <f>Tabela1[[#This Row],[Pós RBC 10^6/mm³]]</f>
        <v>4.5</v>
      </c>
      <c r="BH177" s="125">
        <f>Tabela1[[#This Row],[Pré HGB g/dL]]</f>
        <v>13.9</v>
      </c>
      <c r="BI177" s="125">
        <f>Tabela1[[#This Row],[Pós HGB g/dL]]</f>
        <v>13.6</v>
      </c>
      <c r="BJ177" s="125">
        <f>Tabela1[[#This Row],[Pré HCT %]]</f>
        <v>41.9</v>
      </c>
      <c r="BK177" s="125">
        <f>Tabela1[[#This Row],[Pós HCT %]]</f>
        <v>42</v>
      </c>
      <c r="BL177" s="125">
        <f>Tabela1[[#This Row],[Pré MCV fL]]</f>
        <v>92.1</v>
      </c>
      <c r="BM177" s="125">
        <f>Tabela1[[#This Row],[Pós MCV fL]]</f>
        <v>93.3</v>
      </c>
      <c r="BN177" s="125">
        <f>Tabela1[[#This Row],[Pré MCH pg]]</f>
        <v>30.5</v>
      </c>
      <c r="BO177" s="125">
        <f>Tabela1[[#This Row],[Pós MCH pg]]</f>
        <v>30.2</v>
      </c>
      <c r="BP177" s="125">
        <f>Tabela1[[#This Row],[Pré MCHC g/dL]]</f>
        <v>33.200000000000003</v>
      </c>
      <c r="BQ177" s="125">
        <f>Tabela1[[#This Row],[Pós MCHC g/dL]]</f>
        <v>32.4</v>
      </c>
      <c r="BR177" s="85">
        <f>Tabela1[[#This Row],[Pré PLT 10³/mm³]]</f>
        <v>196</v>
      </c>
      <c r="BS177" s="85">
        <f>Tabela1[[#This Row],[Pós PLT 10³/mm³]]</f>
        <v>197</v>
      </c>
      <c r="BT177" s="125">
        <f>Tabela1[[#This Row],[Pré RDW %]]</f>
        <v>13</v>
      </c>
      <c r="BU177" s="125">
        <f>Tabela1[[#This Row],[Pós RDW %]]</f>
        <v>12.9</v>
      </c>
      <c r="BV177" s="179">
        <f>Tabela1[[#This Row],[Pré RET %]]</f>
        <v>1.86</v>
      </c>
      <c r="BW177" s="196">
        <f>Tabela1[[#This Row],[Pós RET %]]</f>
        <v>1.58</v>
      </c>
      <c r="BX177" s="197">
        <f>Tabela1[[#This Row],[Pré WBC 10³/mm³]]</f>
        <v>8.1199999999999992</v>
      </c>
      <c r="BY177" s="179">
        <f>Tabela1[[#This Row],[Pós WBC 10³/mm³]]</f>
        <v>15.11</v>
      </c>
      <c r="BZ177" s="125">
        <f>Tabela1[[#This Row],[Pré NEUT %]]</f>
        <v>65.099999999999994</v>
      </c>
      <c r="CA177" s="125">
        <f>Tabela1[[#This Row],[Pós NEUT %]]</f>
        <v>77.3</v>
      </c>
      <c r="CB177" s="125">
        <f>Tabela1[[#This Row],[Pré LINF %]]</f>
        <v>26</v>
      </c>
      <c r="CC177" s="125">
        <f>Tabela1[[#This Row],[Pós LINF %]]</f>
        <v>15.1</v>
      </c>
      <c r="CD177" s="125">
        <f>Tabela1[[#This Row],[Pré MONO %]]</f>
        <v>7.8</v>
      </c>
      <c r="CE177" s="125">
        <f>Tabela1[[#This Row],[Pós MONO %]]</f>
        <v>7.4</v>
      </c>
      <c r="CF177" s="125">
        <f>Tabela1[[#This Row],[Pré EOS %]]</f>
        <v>1</v>
      </c>
      <c r="CG177" s="125">
        <f>Tabela1[[#This Row],[Pós EOS %]]</f>
        <v>0.1</v>
      </c>
      <c r="CH177" s="125">
        <f>Tabela1[[#This Row],[Pré BASO %]]</f>
        <v>0.1</v>
      </c>
      <c r="CI177" s="198">
        <f>Tabela1[[#This Row],[Pós BASO %]]</f>
        <v>0.1</v>
      </c>
      <c r="CJ177" s="199" t="str">
        <f t="shared" si="9"/>
        <v>NÃO</v>
      </c>
      <c r="CK177" s="200" t="str">
        <f t="shared" si="10"/>
        <v>NÃO</v>
      </c>
      <c r="CL177" s="194">
        <f t="shared" si="11"/>
        <v>70.76357999999999</v>
      </c>
      <c r="CM177" s="125">
        <f>Tabela1[[#This Row],[MCT KG]]</f>
        <v>78.599999999999994</v>
      </c>
      <c r="CN177" s="85">
        <f>Tabela1[[#This Row],[ESTATURA]]</f>
        <v>179</v>
      </c>
      <c r="CO177" s="85">
        <f>Tabela1[[#This Row],[vo2max estimado]]</f>
        <v>53.31</v>
      </c>
      <c r="CP177" s="85">
        <f>Tabela1[[#This Row],[Handgrip     Dominante]]</f>
        <v>50</v>
      </c>
      <c r="CQ177" s="85">
        <f>Tabela1[[#This Row],[Handgrip Contrário]]</f>
        <v>44</v>
      </c>
      <c r="CR177" s="281">
        <f>Tabela1[[#This Row],[% gordura]]</f>
        <v>9.9700000000000006</v>
      </c>
    </row>
    <row r="178" spans="1:96" ht="15.75" customHeight="1">
      <c r="A178" s="279">
        <f>Tabela1[[#This Row],[Ano]]</f>
        <v>2018</v>
      </c>
      <c r="B178" s="181" t="str">
        <f>Tabela1[[#This Row],[Missão]]</f>
        <v>Arraial</v>
      </c>
      <c r="C178" s="181">
        <f>Tabela1[[#This Row],[Aluno]]</f>
        <v>3190</v>
      </c>
      <c r="D178" s="181">
        <f>Tabela1[[#This Row],[Idade]]</f>
        <v>29</v>
      </c>
      <c r="E178" s="182">
        <f>Tabela1[[#This Row],[Peso Kg]]</f>
        <v>80</v>
      </c>
      <c r="F178" s="191">
        <f>Tabela1[[#This Row],[Cor da pele]]</f>
        <v>1</v>
      </c>
      <c r="G178" s="192" t="str">
        <f>Tabela1[[#This Row],[ACTN3]]</f>
        <v>-</v>
      </c>
      <c r="H178" s="85" t="str">
        <f>Tabela1[[#This Row],[AGT]]</f>
        <v>-</v>
      </c>
      <c r="I178" s="85" t="str">
        <f>Tabela1[[#This Row],[ECA]]</f>
        <v>-</v>
      </c>
      <c r="J178" s="85" t="str">
        <f>Tabela1[[#This Row],[BDKRB2]]</f>
        <v>-</v>
      </c>
      <c r="K178" s="85" t="str">
        <f>Tabela1[[#This Row],[Score Força%]]</f>
        <v>-</v>
      </c>
      <c r="L178" s="193" t="str">
        <f>Tabela1[[#This Row],[Score Resistência %]]</f>
        <v>-</v>
      </c>
      <c r="M178" s="192">
        <f>Tabela1[[#This Row],[Pré CK (U/L)]]</f>
        <v>186</v>
      </c>
      <c r="N178" s="85">
        <f>Tabela1[[#This Row],[Pós CK (U/L)]]</f>
        <v>195</v>
      </c>
      <c r="O178" s="85">
        <f>Tabela1[[#This Row],[Pré CK MB U/L]]</f>
        <v>3</v>
      </c>
      <c r="P178" s="85">
        <f>Tabela1[[#This Row],[Pós CK MB U/L]]</f>
        <v>3</v>
      </c>
      <c r="Q178" s="85" t="str">
        <f>Tabela1[[#This Row],[Pré Lactato (mmol/L)]]</f>
        <v>-</v>
      </c>
      <c r="R178" s="85" t="str">
        <f>Tabela1[[#This Row],[Pós Lactato (mmol/L)]]</f>
        <v>-</v>
      </c>
      <c r="S178" s="85">
        <f>Tabela1[[#This Row],[Pré LDH (U/L)]]</f>
        <v>634</v>
      </c>
      <c r="T178" s="85">
        <f>Tabela1[[#This Row],[Pós LDH (U/L)]]</f>
        <v>552</v>
      </c>
      <c r="U178" s="85">
        <f>Tabela1[[#This Row],[Pré AST (U/L)]]</f>
        <v>32</v>
      </c>
      <c r="V178" s="193">
        <f>Tabela1[[#This Row],[Pós AST (U/L)]]</f>
        <v>34</v>
      </c>
      <c r="W178" s="194">
        <f>Tabela1[[#This Row],[Pré Albumina (g/dL)]]</f>
        <v>4.2</v>
      </c>
      <c r="X178" s="125">
        <f>Tabela1[[#This Row],[Pós Albumina (g/dL)]]</f>
        <v>4.2</v>
      </c>
      <c r="Y178" s="85">
        <f>Tabela1[[#This Row],[Pré TGP (g/dL)]]</f>
        <v>26</v>
      </c>
      <c r="Z178" s="85">
        <f>Tabela1[[#This Row],[Pós TGP (g/dL)]]</f>
        <v>30</v>
      </c>
      <c r="AA178" s="85">
        <f>Tabela1[[#This Row],[Pré GGT U/L]]</f>
        <v>21</v>
      </c>
      <c r="AB178" s="193">
        <f>Tabela1[[#This Row],[Pós GGT U/L]]</f>
        <v>21</v>
      </c>
      <c r="AC178" s="194">
        <f>Tabela1[[#This Row],[Pré Ac. Úrico (mg/dL)]]</f>
        <v>3.8</v>
      </c>
      <c r="AD178" s="125">
        <f>Tabela1[[#This Row],[Pós Ac. Úrico (mg/dL)2]]</f>
        <v>4.5999999999999996</v>
      </c>
      <c r="AE17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17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78" s="85">
        <f>Tabela1[[#This Row],[Pré Ureia mg/dL]]</f>
        <v>33</v>
      </c>
      <c r="AH178" s="85">
        <f>Tabela1[[#This Row],[Pós Ureia mg/dL]]</f>
        <v>43</v>
      </c>
      <c r="AI178" s="125">
        <f>Tabela1[[#This Row],[Pré creatinina mg/dL]]</f>
        <v>0.8</v>
      </c>
      <c r="AJ178" s="125">
        <f>Tabela1[[#This Row],[Pós creatinina mg/dL]]</f>
        <v>0.9</v>
      </c>
      <c r="AK178" s="180">
        <f t="shared" si="8"/>
        <v>9.9999999999999978E-2</v>
      </c>
      <c r="AL178" s="125">
        <f>Tabela1[[#This Row],[Pré Fósforo mg/dL]]</f>
        <v>4.7</v>
      </c>
      <c r="AM178" s="125">
        <f>Tabela1[[#This Row],[Pós Fósforo mg/dL]]</f>
        <v>4.5</v>
      </c>
      <c r="AN178" s="125">
        <f>Tabela1[[#This Row],[Pré Proteína Total (g/dL)]]</f>
        <v>7.2</v>
      </c>
      <c r="AO178" s="125">
        <f>Tabela1[[#This Row],[Pós Proteína Total (g/dL)]]</f>
        <v>7.2</v>
      </c>
      <c r="AP178" s="85">
        <f>Tabela1[[#This Row],[Pré FE (ug/dL)]]</f>
        <v>54</v>
      </c>
      <c r="AQ178" s="193">
        <f>Tabela1[[#This Row],[Pós FE (ug/dL)]]</f>
        <v>98</v>
      </c>
      <c r="AR178" s="194">
        <f>Tabela1[[#This Row],[Pré calcio mg/dL]]</f>
        <v>9.6999999999999993</v>
      </c>
      <c r="AS178" s="125">
        <f>Tabela1[[#This Row],[Pós calcio mg/dL]]</f>
        <v>9.8000000000000007</v>
      </c>
      <c r="AT178" s="125">
        <f>Tabela1[[#This Row],[Pré Potássio mmol/L]]</f>
        <v>4.5999999999999996</v>
      </c>
      <c r="AU178" s="125">
        <f>Tabela1[[#This Row],[Pós Potássio mmol/L]]</f>
        <v>4.0999999999999996</v>
      </c>
      <c r="AV178" s="85">
        <f>Tabela1[[#This Row],[Glicose pré]]</f>
        <v>71</v>
      </c>
      <c r="AW178" s="85">
        <f>Tabela1[[#This Row],[Glicose pós]]</f>
        <v>91</v>
      </c>
      <c r="AX178" s="85">
        <f>Tabela1[[#This Row],[Pré Sódio mmol/L]]</f>
        <v>139</v>
      </c>
      <c r="AY178" s="85">
        <f>Tabela1[[#This Row],[Pós Sódio mmol/L]]</f>
        <v>139</v>
      </c>
      <c r="AZ178" s="125">
        <f>Tabela1[[#This Row],[Pré Magnésio mg/dL]]</f>
        <v>2.1</v>
      </c>
      <c r="BA178" s="125">
        <f>Tabela1[[#This Row],[Pós Magnésio mg/dL]]</f>
        <v>2</v>
      </c>
      <c r="BB178" s="85">
        <f>Tabela1[[#This Row],[Pré Cloro mmol/L]]</f>
        <v>100</v>
      </c>
      <c r="BC178" s="85">
        <f>Tabela1[[#This Row],[Pós Cloro mmol/L]]</f>
        <v>101</v>
      </c>
      <c r="BD17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291.1321111111111</v>
      </c>
      <c r="BE17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293.14655555555555</v>
      </c>
      <c r="BF178" s="194">
        <f>Tabela1[[#This Row],[Pré RBC 10^6/mm³]]</f>
        <v>4.6900000000000004</v>
      </c>
      <c r="BG178" s="125">
        <f>Tabela1[[#This Row],[Pós RBC 10^6/mm³]]</f>
        <v>4.63</v>
      </c>
      <c r="BH178" s="125">
        <f>Tabela1[[#This Row],[Pré HGB g/dL]]</f>
        <v>13.7</v>
      </c>
      <c r="BI178" s="125">
        <f>Tabela1[[#This Row],[Pós HGB g/dL]]</f>
        <v>13.5</v>
      </c>
      <c r="BJ178" s="125">
        <f>Tabela1[[#This Row],[Pré HCT %]]</f>
        <v>42.9</v>
      </c>
      <c r="BK178" s="125">
        <f>Tabela1[[#This Row],[Pós HCT %]]</f>
        <v>43.4</v>
      </c>
      <c r="BL178" s="125">
        <f>Tabela1[[#This Row],[Pré MCV fL]]</f>
        <v>91.5</v>
      </c>
      <c r="BM178" s="125">
        <f>Tabela1[[#This Row],[Pós MCV fL]]</f>
        <v>93.7</v>
      </c>
      <c r="BN178" s="125">
        <f>Tabela1[[#This Row],[Pré MCH pg]]</f>
        <v>29.2</v>
      </c>
      <c r="BO178" s="125">
        <f>Tabela1[[#This Row],[Pós MCH pg]]</f>
        <v>29.2</v>
      </c>
      <c r="BP178" s="125">
        <f>Tabela1[[#This Row],[Pré MCHC g/dL]]</f>
        <v>31.9</v>
      </c>
      <c r="BQ178" s="125">
        <f>Tabela1[[#This Row],[Pós MCHC g/dL]]</f>
        <v>31.1</v>
      </c>
      <c r="BR178" s="85">
        <f>Tabela1[[#This Row],[Pré PLT 10³/mm³]]</f>
        <v>258</v>
      </c>
      <c r="BS178" s="85">
        <f>Tabela1[[#This Row],[Pós PLT 10³/mm³]]</f>
        <v>250</v>
      </c>
      <c r="BT178" s="125">
        <f>Tabela1[[#This Row],[Pré RDW %]]</f>
        <v>13.6</v>
      </c>
      <c r="BU178" s="125">
        <f>Tabela1[[#This Row],[Pós RDW %]]</f>
        <v>13.6</v>
      </c>
      <c r="BV178" s="179">
        <f>Tabela1[[#This Row],[Pré RET %]]</f>
        <v>1</v>
      </c>
      <c r="BW178" s="196">
        <f>Tabela1[[#This Row],[Pós RET %]]</f>
        <v>0.91</v>
      </c>
      <c r="BX178" s="197">
        <f>Tabela1[[#This Row],[Pré WBC 10³/mm³]]</f>
        <v>7.23</v>
      </c>
      <c r="BY178" s="179">
        <f>Tabela1[[#This Row],[Pós WBC 10³/mm³]]</f>
        <v>6.62</v>
      </c>
      <c r="BZ178" s="125">
        <f>Tabela1[[#This Row],[Pré NEUT %]]</f>
        <v>66.400000000000006</v>
      </c>
      <c r="CA178" s="125">
        <f>Tabela1[[#This Row],[Pós NEUT %]]</f>
        <v>63.5</v>
      </c>
      <c r="CB178" s="125">
        <f>Tabela1[[#This Row],[Pré LINF %]]</f>
        <v>26</v>
      </c>
      <c r="CC178" s="125">
        <f>Tabela1[[#This Row],[Pós LINF %]]</f>
        <v>26.4</v>
      </c>
      <c r="CD178" s="125">
        <f>Tabela1[[#This Row],[Pré MONO %]]</f>
        <v>6.2</v>
      </c>
      <c r="CE178" s="125">
        <f>Tabela1[[#This Row],[Pós MONO %]]</f>
        <v>8</v>
      </c>
      <c r="CF178" s="125">
        <f>Tabela1[[#This Row],[Pré EOS %]]</f>
        <v>1</v>
      </c>
      <c r="CG178" s="125">
        <f>Tabela1[[#This Row],[Pós EOS %]]</f>
        <v>1.8</v>
      </c>
      <c r="CH178" s="125">
        <f>Tabela1[[#This Row],[Pré BASO %]]</f>
        <v>0.4</v>
      </c>
      <c r="CI178" s="198">
        <f>Tabela1[[#This Row],[Pós BASO %]]</f>
        <v>0.3</v>
      </c>
      <c r="CJ178" s="199" t="str">
        <f t="shared" si="9"/>
        <v>NÃO</v>
      </c>
      <c r="CK178" s="200" t="str">
        <f t="shared" si="10"/>
        <v>NÃO</v>
      </c>
      <c r="CL178" s="194">
        <f t="shared" si="11"/>
        <v>72.151949999999999</v>
      </c>
      <c r="CM178" s="125">
        <f>Tabela1[[#This Row],[MCT KG]]</f>
        <v>81.5</v>
      </c>
      <c r="CN178" s="85">
        <f>Tabela1[[#This Row],[ESTATURA]]</f>
        <v>175</v>
      </c>
      <c r="CO178" s="85">
        <f>Tabela1[[#This Row],[vo2max estimado]]</f>
        <v>51.49</v>
      </c>
      <c r="CP178" s="85">
        <f>Tabela1[[#This Row],[Handgrip     Dominante]]</f>
        <v>49.5</v>
      </c>
      <c r="CQ178" s="85">
        <f>Tabela1[[#This Row],[Handgrip Contrário]]</f>
        <v>41</v>
      </c>
      <c r="CR178" s="281">
        <f>Tabela1[[#This Row],[% gordura]]</f>
        <v>11.47</v>
      </c>
    </row>
    <row r="179" spans="1:96" ht="15.75" customHeight="1">
      <c r="A179" s="279">
        <f>Tabela1[[#This Row],[Ano]]</f>
        <v>2018</v>
      </c>
      <c r="B179" s="181" t="str">
        <f>Tabela1[[#This Row],[Missão]]</f>
        <v>Arraial</v>
      </c>
      <c r="C179" s="181">
        <f>Tabela1[[#This Row],[Aluno]]</f>
        <v>3193</v>
      </c>
      <c r="D179" s="181">
        <f>Tabela1[[#This Row],[Idade]]</f>
        <v>29</v>
      </c>
      <c r="E179" s="182">
        <f>Tabela1[[#This Row],[Peso Kg]]</f>
        <v>83</v>
      </c>
      <c r="F179" s="191">
        <f>Tabela1[[#This Row],[Cor da pele]]</f>
        <v>0</v>
      </c>
      <c r="G179" s="192" t="str">
        <f>Tabela1[[#This Row],[ACTN3]]</f>
        <v>-</v>
      </c>
      <c r="H179" s="85" t="str">
        <f>Tabela1[[#This Row],[AGT]]</f>
        <v>-</v>
      </c>
      <c r="I179" s="85" t="str">
        <f>Tabela1[[#This Row],[ECA]]</f>
        <v>-</v>
      </c>
      <c r="J179" s="85" t="str">
        <f>Tabela1[[#This Row],[BDKRB2]]</f>
        <v>-</v>
      </c>
      <c r="K179" s="85" t="str">
        <f>Tabela1[[#This Row],[Score Força%]]</f>
        <v>-</v>
      </c>
      <c r="L179" s="193" t="str">
        <f>Tabela1[[#This Row],[Score Resistência %]]</f>
        <v>-</v>
      </c>
      <c r="M179" s="192">
        <f>Tabela1[[#This Row],[Pré CK (U/L)]]</f>
        <v>53</v>
      </c>
      <c r="N179" s="85">
        <f>Tabela1[[#This Row],[Pós CK (U/L)]]</f>
        <v>82</v>
      </c>
      <c r="O179" s="85">
        <f>Tabela1[[#This Row],[Pré CK MB U/L]]</f>
        <v>3</v>
      </c>
      <c r="P179" s="85">
        <f>Tabela1[[#This Row],[Pós CK MB U/L]]</f>
        <v>3</v>
      </c>
      <c r="Q179" s="85" t="str">
        <f>Tabela1[[#This Row],[Pré Lactato (mmol/L)]]</f>
        <v>-</v>
      </c>
      <c r="R179" s="85" t="str">
        <f>Tabela1[[#This Row],[Pós Lactato (mmol/L)]]</f>
        <v>-</v>
      </c>
      <c r="S179" s="85">
        <f>Tabela1[[#This Row],[Pré LDH (U/L)]]</f>
        <v>276</v>
      </c>
      <c r="T179" s="85">
        <f>Tabela1[[#This Row],[Pós LDH (U/L)]]</f>
        <v>318</v>
      </c>
      <c r="U179" s="85">
        <f>Tabela1[[#This Row],[Pré AST (U/L)]]</f>
        <v>17</v>
      </c>
      <c r="V179" s="193">
        <f>Tabela1[[#This Row],[Pós AST (U/L)]]</f>
        <v>18</v>
      </c>
      <c r="W179" s="194">
        <f>Tabela1[[#This Row],[Pré Albumina (g/dL)]]</f>
        <v>4.3</v>
      </c>
      <c r="X179" s="125">
        <f>Tabela1[[#This Row],[Pós Albumina (g/dL)]]</f>
        <v>4.3</v>
      </c>
      <c r="Y179" s="85">
        <f>Tabela1[[#This Row],[Pré TGP (g/dL)]]</f>
        <v>27</v>
      </c>
      <c r="Z179" s="85">
        <f>Tabela1[[#This Row],[Pós TGP (g/dL)]]</f>
        <v>28</v>
      </c>
      <c r="AA179" s="85">
        <f>Tabela1[[#This Row],[Pré GGT U/L]]</f>
        <v>19</v>
      </c>
      <c r="AB179" s="193">
        <f>Tabela1[[#This Row],[Pós GGT U/L]]</f>
        <v>24</v>
      </c>
      <c r="AC179" s="194">
        <f>Tabela1[[#This Row],[Pré Ac. Úrico (mg/dL)]]</f>
        <v>5.2</v>
      </c>
      <c r="AD179" s="125">
        <f>Tabela1[[#This Row],[Pós Ac. Úrico (mg/dL)2]]</f>
        <v>5.0999999999999996</v>
      </c>
      <c r="AE17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7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79" s="85">
        <f>Tabela1[[#This Row],[Pré Ureia mg/dL]]</f>
        <v>32</v>
      </c>
      <c r="AH179" s="85">
        <f>Tabela1[[#This Row],[Pós Ureia mg/dL]]</f>
        <v>38</v>
      </c>
      <c r="AI179" s="125">
        <f>Tabela1[[#This Row],[Pré creatinina mg/dL]]</f>
        <v>0.9</v>
      </c>
      <c r="AJ179" s="125">
        <f>Tabela1[[#This Row],[Pós creatinina mg/dL]]</f>
        <v>0.9</v>
      </c>
      <c r="AK179" s="180">
        <f t="shared" si="8"/>
        <v>0</v>
      </c>
      <c r="AL179" s="125">
        <f>Tabela1[[#This Row],[Pré Fósforo mg/dL]]</f>
        <v>5.8</v>
      </c>
      <c r="AM179" s="125">
        <f>Tabela1[[#This Row],[Pós Fósforo mg/dL]]</f>
        <v>5.3</v>
      </c>
      <c r="AN179" s="125">
        <f>Tabela1[[#This Row],[Pré Proteína Total (g/dL)]]</f>
        <v>7.3</v>
      </c>
      <c r="AO179" s="125">
        <f>Tabela1[[#This Row],[Pós Proteína Total (g/dL)]]</f>
        <v>7.6</v>
      </c>
      <c r="AP179" s="85">
        <f>Tabela1[[#This Row],[Pré FE (ug/dL)]]</f>
        <v>78</v>
      </c>
      <c r="AQ179" s="193">
        <f>Tabela1[[#This Row],[Pós FE (ug/dL)]]</f>
        <v>119</v>
      </c>
      <c r="AR179" s="194">
        <f>Tabela1[[#This Row],[Pré calcio mg/dL]]</f>
        <v>9.6</v>
      </c>
      <c r="AS179" s="125">
        <f>Tabela1[[#This Row],[Pós calcio mg/dL]]</f>
        <v>10.3</v>
      </c>
      <c r="AT179" s="125">
        <f>Tabela1[[#This Row],[Pré Potássio mmol/L]]</f>
        <v>4.4000000000000004</v>
      </c>
      <c r="AU179" s="125">
        <f>Tabela1[[#This Row],[Pós Potássio mmol/L]]</f>
        <v>4.9000000000000004</v>
      </c>
      <c r="AV179" s="85">
        <f>Tabela1[[#This Row],[Glicose pré]]</f>
        <v>95</v>
      </c>
      <c r="AW179" s="85">
        <f>Tabela1[[#This Row],[Glicose pós]]</f>
        <v>90</v>
      </c>
      <c r="AX179" s="85">
        <f>Tabela1[[#This Row],[Pré Sódio mmol/L]]</f>
        <v>140</v>
      </c>
      <c r="AY179" s="85">
        <f>Tabela1[[#This Row],[Pós Sódio mmol/L]]</f>
        <v>141</v>
      </c>
      <c r="AZ179" s="125">
        <f>Tabela1[[#This Row],[Pré Magnésio mg/dL]]</f>
        <v>2.1</v>
      </c>
      <c r="BA179" s="125">
        <f>Tabela1[[#This Row],[Pós Magnésio mg/dL]]</f>
        <v>2.2000000000000002</v>
      </c>
      <c r="BB179" s="85">
        <f>Tabela1[[#This Row],[Pré Cloro mmol/L]]</f>
        <v>103</v>
      </c>
      <c r="BC179" s="85">
        <f>Tabela1[[#This Row],[Pós Cloro mmol/L]]</f>
        <v>101</v>
      </c>
      <c r="BD17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293.98677777777777</v>
      </c>
      <c r="BE17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297.45733333333334</v>
      </c>
      <c r="BF179" s="194">
        <f>Tabela1[[#This Row],[Pré RBC 10^6/mm³]]</f>
        <v>4.51</v>
      </c>
      <c r="BG179" s="125">
        <f>Tabela1[[#This Row],[Pós RBC 10^6/mm³]]</f>
        <v>4.76</v>
      </c>
      <c r="BH179" s="125">
        <f>Tabela1[[#This Row],[Pré HGB g/dL]]</f>
        <v>13.1</v>
      </c>
      <c r="BI179" s="125">
        <f>Tabela1[[#This Row],[Pós HGB g/dL]]</f>
        <v>13.9</v>
      </c>
      <c r="BJ179" s="125">
        <f>Tabela1[[#This Row],[Pré HCT %]]</f>
        <v>40.700000000000003</v>
      </c>
      <c r="BK179" s="125">
        <f>Tabela1[[#This Row],[Pós HCT %]]</f>
        <v>43.1</v>
      </c>
      <c r="BL179" s="125">
        <f>Tabela1[[#This Row],[Pré MCV fL]]</f>
        <v>90.2</v>
      </c>
      <c r="BM179" s="125">
        <f>Tabela1[[#This Row],[Pós MCV fL]]</f>
        <v>90.5</v>
      </c>
      <c r="BN179" s="125">
        <f>Tabela1[[#This Row],[Pré MCH pg]]</f>
        <v>29</v>
      </c>
      <c r="BO179" s="125">
        <f>Tabela1[[#This Row],[Pós MCH pg]]</f>
        <v>29.2</v>
      </c>
      <c r="BP179" s="125">
        <f>Tabela1[[#This Row],[Pré MCHC g/dL]]</f>
        <v>32.200000000000003</v>
      </c>
      <c r="BQ179" s="125">
        <f>Tabela1[[#This Row],[Pós MCHC g/dL]]</f>
        <v>32.299999999999997</v>
      </c>
      <c r="BR179" s="85">
        <f>Tabela1[[#This Row],[Pré PLT 10³/mm³]]</f>
        <v>278</v>
      </c>
      <c r="BS179" s="85">
        <f>Tabela1[[#This Row],[Pós PLT 10³/mm³]]</f>
        <v>303</v>
      </c>
      <c r="BT179" s="125">
        <f>Tabela1[[#This Row],[Pré RDW %]]</f>
        <v>12.9</v>
      </c>
      <c r="BU179" s="125">
        <f>Tabela1[[#This Row],[Pós RDW %]]</f>
        <v>12.6</v>
      </c>
      <c r="BV179" s="179">
        <f>Tabela1[[#This Row],[Pré RET %]]</f>
        <v>1.19</v>
      </c>
      <c r="BW179" s="196">
        <f>Tabela1[[#This Row],[Pós RET %]]</f>
        <v>1.1599999999999999</v>
      </c>
      <c r="BX179" s="197">
        <f>Tabela1[[#This Row],[Pré WBC 10³/mm³]]</f>
        <v>7.82</v>
      </c>
      <c r="BY179" s="179">
        <f>Tabela1[[#This Row],[Pós WBC 10³/mm³]]</f>
        <v>8.4</v>
      </c>
      <c r="BZ179" s="125">
        <f>Tabela1[[#This Row],[Pré NEUT %]]</f>
        <v>60.1</v>
      </c>
      <c r="CA179" s="125">
        <f>Tabela1[[#This Row],[Pós NEUT %]]</f>
        <v>54.5</v>
      </c>
      <c r="CB179" s="125">
        <f>Tabela1[[#This Row],[Pré LINF %]]</f>
        <v>26.9</v>
      </c>
      <c r="CC179" s="125">
        <f>Tabela1[[#This Row],[Pós LINF %]]</f>
        <v>35.1</v>
      </c>
      <c r="CD179" s="125">
        <f>Tabela1[[#This Row],[Pré MONO %]]</f>
        <v>10.4</v>
      </c>
      <c r="CE179" s="125">
        <f>Tabela1[[#This Row],[Pós MONO %]]</f>
        <v>8.3000000000000007</v>
      </c>
      <c r="CF179" s="125">
        <f>Tabela1[[#This Row],[Pré EOS %]]</f>
        <v>2.2000000000000002</v>
      </c>
      <c r="CG179" s="125">
        <f>Tabela1[[#This Row],[Pós EOS %]]</f>
        <v>1.7</v>
      </c>
      <c r="CH179" s="125">
        <f>Tabela1[[#This Row],[Pré BASO %]]</f>
        <v>0.4</v>
      </c>
      <c r="CI179" s="198">
        <f>Tabela1[[#This Row],[Pós BASO %]]</f>
        <v>0.4</v>
      </c>
      <c r="CJ179" s="199" t="str">
        <f t="shared" si="9"/>
        <v>NÃO</v>
      </c>
      <c r="CK179" s="200" t="str">
        <f t="shared" si="10"/>
        <v>NÃO</v>
      </c>
      <c r="CL179" s="194">
        <f t="shared" si="11"/>
        <v>72.809100000000001</v>
      </c>
      <c r="CM179" s="125">
        <f>Tabela1[[#This Row],[MCT KG]]</f>
        <v>81.900000000000006</v>
      </c>
      <c r="CN179" s="85">
        <f>Tabela1[[#This Row],[ESTATURA]]</f>
        <v>180.5</v>
      </c>
      <c r="CO179" s="85">
        <f>Tabela1[[#This Row],[vo2max estimado]]</f>
        <v>51.93</v>
      </c>
      <c r="CP179" s="85">
        <f>Tabela1[[#This Row],[Handgrip     Dominante]]</f>
        <v>44.5</v>
      </c>
      <c r="CQ179" s="85">
        <f>Tabela1[[#This Row],[Handgrip Contrário]]</f>
        <v>46.5</v>
      </c>
      <c r="CR179" s="281">
        <f>Tabela1[[#This Row],[% gordura]]</f>
        <v>11.1</v>
      </c>
    </row>
    <row r="180" spans="1:96" ht="15.75" customHeight="1">
      <c r="A180" s="279">
        <f>Tabela1[[#This Row],[Ano]]</f>
        <v>2018</v>
      </c>
      <c r="B180" s="181" t="str">
        <f>Tabela1[[#This Row],[Missão]]</f>
        <v>Arraial</v>
      </c>
      <c r="C180" s="181">
        <f>Tabela1[[#This Row],[Aluno]]</f>
        <v>3194</v>
      </c>
      <c r="D180" s="181">
        <f>Tabela1[[#This Row],[Idade]]</f>
        <v>28</v>
      </c>
      <c r="E180" s="182">
        <f>Tabela1[[#This Row],[Peso Kg]]</f>
        <v>81</v>
      </c>
      <c r="F180" s="191">
        <f>Tabela1[[#This Row],[Cor da pele]]</f>
        <v>1</v>
      </c>
      <c r="G180" s="192" t="str">
        <f>Tabela1[[#This Row],[ACTN3]]</f>
        <v>-</v>
      </c>
      <c r="H180" s="85" t="str">
        <f>Tabela1[[#This Row],[AGT]]</f>
        <v>-</v>
      </c>
      <c r="I180" s="85" t="str">
        <f>Tabela1[[#This Row],[ECA]]</f>
        <v>-</v>
      </c>
      <c r="J180" s="85" t="str">
        <f>Tabela1[[#This Row],[BDKRB2]]</f>
        <v>-</v>
      </c>
      <c r="K180" s="85" t="str">
        <f>Tabela1[[#This Row],[Score Força%]]</f>
        <v>-</v>
      </c>
      <c r="L180" s="193" t="str">
        <f>Tabela1[[#This Row],[Score Resistência %]]</f>
        <v>-</v>
      </c>
      <c r="M180" s="192">
        <f>Tabela1[[#This Row],[Pré CK (U/L)]]</f>
        <v>53</v>
      </c>
      <c r="N180" s="85">
        <f>Tabela1[[#This Row],[Pós CK (U/L)]]</f>
        <v>110</v>
      </c>
      <c r="O180" s="85">
        <f>Tabela1[[#This Row],[Pré CK MB U/L]]</f>
        <v>3</v>
      </c>
      <c r="P180" s="85">
        <f>Tabela1[[#This Row],[Pós CK MB U/L]]</f>
        <v>3</v>
      </c>
      <c r="Q180" s="85" t="str">
        <f>Tabela1[[#This Row],[Pré Lactato (mmol/L)]]</f>
        <v>-</v>
      </c>
      <c r="R180" s="85" t="str">
        <f>Tabela1[[#This Row],[Pós Lactato (mmol/L)]]</f>
        <v>-</v>
      </c>
      <c r="S180" s="85">
        <f>Tabela1[[#This Row],[Pré LDH (U/L)]]</f>
        <v>367</v>
      </c>
      <c r="T180" s="85">
        <f>Tabela1[[#This Row],[Pós LDH (U/L)]]</f>
        <v>437</v>
      </c>
      <c r="U180" s="85">
        <f>Tabela1[[#This Row],[Pré AST (U/L)]]</f>
        <v>20</v>
      </c>
      <c r="V180" s="193">
        <f>Tabela1[[#This Row],[Pós AST (U/L)]]</f>
        <v>27</v>
      </c>
      <c r="W180" s="194">
        <f>Tabela1[[#This Row],[Pré Albumina (g/dL)]]</f>
        <v>4.2</v>
      </c>
      <c r="X180" s="125">
        <f>Tabela1[[#This Row],[Pós Albumina (g/dL)]]</f>
        <v>4.2</v>
      </c>
      <c r="Y180" s="85">
        <f>Tabela1[[#This Row],[Pré TGP (g/dL)]]</f>
        <v>16</v>
      </c>
      <c r="Z180" s="85">
        <f>Tabela1[[#This Row],[Pós TGP (g/dL)]]</f>
        <v>22</v>
      </c>
      <c r="AA180" s="85">
        <f>Tabela1[[#This Row],[Pré GGT U/L]]</f>
        <v>11</v>
      </c>
      <c r="AB180" s="193">
        <f>Tabela1[[#This Row],[Pós GGT U/L]]</f>
        <v>16</v>
      </c>
      <c r="AC180" s="194">
        <f>Tabela1[[#This Row],[Pré Ac. Úrico (mg/dL)]]</f>
        <v>6.3</v>
      </c>
      <c r="AD180" s="125">
        <f>Tabela1[[#This Row],[Pós Ac. Úrico (mg/dL)2]]</f>
        <v>6.6</v>
      </c>
      <c r="AE18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8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80" s="85">
        <f>Tabela1[[#This Row],[Pré Ureia mg/dL]]</f>
        <v>25</v>
      </c>
      <c r="AH180" s="85">
        <f>Tabela1[[#This Row],[Pós Ureia mg/dL]]</f>
        <v>42</v>
      </c>
      <c r="AI180" s="125">
        <f>Tabela1[[#This Row],[Pré creatinina mg/dL]]</f>
        <v>1</v>
      </c>
      <c r="AJ180" s="125">
        <f>Tabela1[[#This Row],[Pós creatinina mg/dL]]</f>
        <v>1</v>
      </c>
      <c r="AK180" s="180">
        <f t="shared" si="8"/>
        <v>0</v>
      </c>
      <c r="AL180" s="125">
        <f>Tabela1[[#This Row],[Pré Fósforo mg/dL]]</f>
        <v>4.3</v>
      </c>
      <c r="AM180" s="125">
        <f>Tabela1[[#This Row],[Pós Fósforo mg/dL]]</f>
        <v>4.5</v>
      </c>
      <c r="AN180" s="125">
        <f>Tabela1[[#This Row],[Pré Proteína Total (g/dL)]]</f>
        <v>7.6</v>
      </c>
      <c r="AO180" s="125">
        <f>Tabela1[[#This Row],[Pós Proteína Total (g/dL)]]</f>
        <v>7.9</v>
      </c>
      <c r="AP180" s="85">
        <f>Tabela1[[#This Row],[Pré FE (ug/dL)]]</f>
        <v>90</v>
      </c>
      <c r="AQ180" s="193">
        <f>Tabela1[[#This Row],[Pós FE (ug/dL)]]</f>
        <v>107</v>
      </c>
      <c r="AR180" s="194">
        <f>Tabela1[[#This Row],[Pré calcio mg/dL]]</f>
        <v>9.6999999999999993</v>
      </c>
      <c r="AS180" s="125">
        <f>Tabela1[[#This Row],[Pós calcio mg/dL]]</f>
        <v>10</v>
      </c>
      <c r="AT180" s="125">
        <f>Tabela1[[#This Row],[Pré Potássio mmol/L]]</f>
        <v>4.9000000000000004</v>
      </c>
      <c r="AU180" s="125">
        <f>Tabela1[[#This Row],[Pós Potássio mmol/L]]</f>
        <v>4.5999999999999996</v>
      </c>
      <c r="AV180" s="85">
        <f>Tabela1[[#This Row],[Glicose pré]]</f>
        <v>76</v>
      </c>
      <c r="AW180" s="85">
        <f>Tabela1[[#This Row],[Glicose pós]]</f>
        <v>95</v>
      </c>
      <c r="AX180" s="85">
        <f>Tabela1[[#This Row],[Pré Sódio mmol/L]]</f>
        <v>140</v>
      </c>
      <c r="AY180" s="85">
        <f>Tabela1[[#This Row],[Pós Sódio mmol/L]]</f>
        <v>140</v>
      </c>
      <c r="AZ180" s="125">
        <f>Tabela1[[#This Row],[Pré Magnésio mg/dL]]</f>
        <v>2.1</v>
      </c>
      <c r="BA180" s="125">
        <f>Tabela1[[#This Row],[Pós Magnésio mg/dL]]</f>
        <v>2.2000000000000002</v>
      </c>
      <c r="BB180" s="85">
        <f>Tabela1[[#This Row],[Pré Cloro mmol/L]]</f>
        <v>102</v>
      </c>
      <c r="BC180" s="85">
        <f>Tabela1[[#This Row],[Pós Cloro mmol/L]]</f>
        <v>102</v>
      </c>
      <c r="BD18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292.53622222222225</v>
      </c>
      <c r="BE18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296.02544444444447</v>
      </c>
      <c r="BF180" s="194">
        <f>Tabela1[[#This Row],[Pré RBC 10^6/mm³]]</f>
        <v>4.6399999999999997</v>
      </c>
      <c r="BG180" s="125">
        <f>Tabela1[[#This Row],[Pós RBC 10^6/mm³]]</f>
        <v>4.76</v>
      </c>
      <c r="BH180" s="125">
        <f>Tabela1[[#This Row],[Pré HGB g/dL]]</f>
        <v>13</v>
      </c>
      <c r="BI180" s="125">
        <f>Tabela1[[#This Row],[Pós HGB g/dL]]</f>
        <v>13.4</v>
      </c>
      <c r="BJ180" s="125">
        <f>Tabela1[[#This Row],[Pré HCT %]]</f>
        <v>41</v>
      </c>
      <c r="BK180" s="125">
        <f>Tabela1[[#This Row],[Pós HCT %]]</f>
        <v>42.7</v>
      </c>
      <c r="BL180" s="125">
        <f>Tabela1[[#This Row],[Pré MCV fL]]</f>
        <v>88.4</v>
      </c>
      <c r="BM180" s="125">
        <f>Tabela1[[#This Row],[Pós MCV fL]]</f>
        <v>89.7</v>
      </c>
      <c r="BN180" s="125">
        <f>Tabela1[[#This Row],[Pré MCH pg]]</f>
        <v>28</v>
      </c>
      <c r="BO180" s="125">
        <f>Tabela1[[#This Row],[Pós MCH pg]]</f>
        <v>28.2</v>
      </c>
      <c r="BP180" s="125">
        <f>Tabela1[[#This Row],[Pré MCHC g/dL]]</f>
        <v>31.7</v>
      </c>
      <c r="BQ180" s="125">
        <f>Tabela1[[#This Row],[Pós MCHC g/dL]]</f>
        <v>31.4</v>
      </c>
      <c r="BR180" s="85">
        <f>Tabela1[[#This Row],[Pré PLT 10³/mm³]]</f>
        <v>246</v>
      </c>
      <c r="BS180" s="85">
        <f>Tabela1[[#This Row],[Pós PLT 10³/mm³]]</f>
        <v>283</v>
      </c>
      <c r="BT180" s="125">
        <f>Tabela1[[#This Row],[Pré RDW %]]</f>
        <v>13.9</v>
      </c>
      <c r="BU180" s="125">
        <f>Tabela1[[#This Row],[Pós RDW %]]</f>
        <v>13.8</v>
      </c>
      <c r="BV180" s="179">
        <f>Tabela1[[#This Row],[Pré RET %]]</f>
        <v>1.68</v>
      </c>
      <c r="BW180" s="196">
        <f>Tabela1[[#This Row],[Pós RET %]]</f>
        <v>1.37</v>
      </c>
      <c r="BX180" s="197">
        <f>Tabela1[[#This Row],[Pré WBC 10³/mm³]]</f>
        <v>5.09</v>
      </c>
      <c r="BY180" s="179">
        <f>Tabela1[[#This Row],[Pós WBC 10³/mm³]]</f>
        <v>7.39</v>
      </c>
      <c r="BZ180" s="125">
        <f>Tabela1[[#This Row],[Pré NEUT %]]</f>
        <v>56.4</v>
      </c>
      <c r="CA180" s="125">
        <f>Tabela1[[#This Row],[Pós NEUT %]]</f>
        <v>59.2</v>
      </c>
      <c r="CB180" s="125">
        <f>Tabela1[[#This Row],[Pré LINF %]]</f>
        <v>32</v>
      </c>
      <c r="CC180" s="125">
        <f>Tabela1[[#This Row],[Pós LINF %]]</f>
        <v>30.9</v>
      </c>
      <c r="CD180" s="125">
        <f>Tabela1[[#This Row],[Pré MONO %]]</f>
        <v>9.6</v>
      </c>
      <c r="CE180" s="125">
        <f>Tabela1[[#This Row],[Pós MONO %]]</f>
        <v>8.4</v>
      </c>
      <c r="CF180" s="125">
        <f>Tabela1[[#This Row],[Pré EOS %]]</f>
        <v>1.6</v>
      </c>
      <c r="CG180" s="125">
        <f>Tabela1[[#This Row],[Pós EOS %]]</f>
        <v>1.2</v>
      </c>
      <c r="CH180" s="125">
        <f>Tabela1[[#This Row],[Pré BASO %]]</f>
        <v>0.4</v>
      </c>
      <c r="CI180" s="198">
        <f>Tabela1[[#This Row],[Pós BASO %]]</f>
        <v>0.3</v>
      </c>
      <c r="CJ180" s="199" t="str">
        <f t="shared" si="9"/>
        <v>NÃO</v>
      </c>
      <c r="CK180" s="200" t="str">
        <f t="shared" si="10"/>
        <v>NÃO</v>
      </c>
      <c r="CL180" s="194">
        <f t="shared" si="11"/>
        <v>71.943809999999999</v>
      </c>
      <c r="CM180" s="125">
        <f>Tabela1[[#This Row],[MCT KG]]</f>
        <v>81.099999999999994</v>
      </c>
      <c r="CN180" s="85">
        <f>Tabela1[[#This Row],[ESTATURA]]</f>
        <v>178</v>
      </c>
      <c r="CO180" s="85">
        <f>Tabela1[[#This Row],[vo2max estimado]]</f>
        <v>51.6</v>
      </c>
      <c r="CP180" s="85">
        <f>Tabela1[[#This Row],[Handgrip     Dominante]]</f>
        <v>45.5</v>
      </c>
      <c r="CQ180" s="85">
        <f>Tabela1[[#This Row],[Handgrip Contrário]]</f>
        <v>43</v>
      </c>
      <c r="CR180" s="281">
        <f>Tabela1[[#This Row],[% gordura]]</f>
        <v>11.29</v>
      </c>
    </row>
    <row r="181" spans="1:96" ht="15.75" customHeight="1">
      <c r="A181" s="279">
        <f>Tabela1[[#This Row],[Ano]]</f>
        <v>2018</v>
      </c>
      <c r="B181" s="181" t="str">
        <f>Tabela1[[#This Row],[Missão]]</f>
        <v>Arraial</v>
      </c>
      <c r="C181" s="181">
        <f>Tabela1[[#This Row],[Aluno]]</f>
        <v>3195</v>
      </c>
      <c r="D181" s="181">
        <f>Tabela1[[#This Row],[Idade]]</f>
        <v>26</v>
      </c>
      <c r="E181" s="182">
        <f>Tabela1[[#This Row],[Peso Kg]]</f>
        <v>68</v>
      </c>
      <c r="F181" s="191">
        <f>Tabela1[[#This Row],[Cor da pele]]</f>
        <v>1</v>
      </c>
      <c r="G181" s="192" t="str">
        <f>Tabela1[[#This Row],[ACTN3]]</f>
        <v>-</v>
      </c>
      <c r="H181" s="85" t="str">
        <f>Tabela1[[#This Row],[AGT]]</f>
        <v>-</v>
      </c>
      <c r="I181" s="85" t="str">
        <f>Tabela1[[#This Row],[ECA]]</f>
        <v>-</v>
      </c>
      <c r="J181" s="85" t="str">
        <f>Tabela1[[#This Row],[BDKRB2]]</f>
        <v>-</v>
      </c>
      <c r="K181" s="85" t="str">
        <f>Tabela1[[#This Row],[Score Força%]]</f>
        <v>-</v>
      </c>
      <c r="L181" s="193" t="str">
        <f>Tabela1[[#This Row],[Score Resistência %]]</f>
        <v>-</v>
      </c>
      <c r="M181" s="192">
        <f>Tabela1[[#This Row],[Pré CK (U/L)]]</f>
        <v>53</v>
      </c>
      <c r="N181" s="85">
        <f>Tabela1[[#This Row],[Pós CK (U/L)]]</f>
        <v>312</v>
      </c>
      <c r="O181" s="85">
        <f>Tabela1[[#This Row],[Pré CK MB U/L]]</f>
        <v>3</v>
      </c>
      <c r="P181" s="85">
        <f>Tabela1[[#This Row],[Pós CK MB U/L]]</f>
        <v>3</v>
      </c>
      <c r="Q181" s="85" t="str">
        <f>Tabela1[[#This Row],[Pré Lactato (mmol/L)]]</f>
        <v>-</v>
      </c>
      <c r="R181" s="85" t="str">
        <f>Tabela1[[#This Row],[Pós Lactato (mmol/L)]]</f>
        <v>-</v>
      </c>
      <c r="S181" s="85">
        <f>Tabela1[[#This Row],[Pré LDH (U/L)]]</f>
        <v>406</v>
      </c>
      <c r="T181" s="85">
        <f>Tabela1[[#This Row],[Pós LDH (U/L)]]</f>
        <v>421</v>
      </c>
      <c r="U181" s="85">
        <f>Tabela1[[#This Row],[Pré AST (U/L)]]</f>
        <v>28</v>
      </c>
      <c r="V181" s="193">
        <f>Tabela1[[#This Row],[Pós AST (U/L)]]</f>
        <v>39</v>
      </c>
      <c r="W181" s="194">
        <f>Tabela1[[#This Row],[Pré Albumina (g/dL)]]</f>
        <v>4.9000000000000004</v>
      </c>
      <c r="X181" s="125">
        <f>Tabela1[[#This Row],[Pós Albumina (g/dL)]]</f>
        <v>4.5999999999999996</v>
      </c>
      <c r="Y181" s="85">
        <f>Tabela1[[#This Row],[Pré TGP (g/dL)]]</f>
        <v>45</v>
      </c>
      <c r="Z181" s="85">
        <f>Tabela1[[#This Row],[Pós TGP (g/dL)]]</f>
        <v>49</v>
      </c>
      <c r="AA181" s="85">
        <f>Tabela1[[#This Row],[Pré GGT U/L]]</f>
        <v>17</v>
      </c>
      <c r="AB181" s="193">
        <f>Tabela1[[#This Row],[Pós GGT U/L]]</f>
        <v>19</v>
      </c>
      <c r="AC181" s="194">
        <f>Tabela1[[#This Row],[Pré Ac. Úrico (mg/dL)]]</f>
        <v>4.8</v>
      </c>
      <c r="AD181" s="125">
        <f>Tabela1[[#This Row],[Pós Ac. Úrico (mg/dL)2]]</f>
        <v>5</v>
      </c>
      <c r="AE18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18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81" s="85">
        <f>Tabela1[[#This Row],[Pré Ureia mg/dL]]</f>
        <v>33</v>
      </c>
      <c r="AH181" s="85">
        <f>Tabela1[[#This Row],[Pós Ureia mg/dL]]</f>
        <v>40</v>
      </c>
      <c r="AI181" s="125">
        <f>Tabela1[[#This Row],[Pré creatinina mg/dL]]</f>
        <v>0.8</v>
      </c>
      <c r="AJ181" s="125">
        <f>Tabela1[[#This Row],[Pós creatinina mg/dL]]</f>
        <v>0.9</v>
      </c>
      <c r="AK181" s="180">
        <f t="shared" si="8"/>
        <v>9.9999999999999978E-2</v>
      </c>
      <c r="AL181" s="125">
        <f>Tabela1[[#This Row],[Pré Fósforo mg/dL]]</f>
        <v>5.5</v>
      </c>
      <c r="AM181" s="125">
        <f>Tabela1[[#This Row],[Pós Fósforo mg/dL]]</f>
        <v>5.6</v>
      </c>
      <c r="AN181" s="125">
        <f>Tabela1[[#This Row],[Pré Proteína Total (g/dL)]]</f>
        <v>8</v>
      </c>
      <c r="AO181" s="125">
        <f>Tabela1[[#This Row],[Pós Proteína Total (g/dL)]]</f>
        <v>8.1</v>
      </c>
      <c r="AP181" s="85">
        <f>Tabela1[[#This Row],[Pré FE (ug/dL)]]</f>
        <v>109</v>
      </c>
      <c r="AQ181" s="193">
        <f>Tabela1[[#This Row],[Pós FE (ug/dL)]]</f>
        <v>105</v>
      </c>
      <c r="AR181" s="194">
        <f>Tabela1[[#This Row],[Pré calcio mg/dL]]</f>
        <v>10</v>
      </c>
      <c r="AS181" s="125">
        <f>Tabela1[[#This Row],[Pós calcio mg/dL]]</f>
        <v>10.3</v>
      </c>
      <c r="AT181" s="125">
        <f>Tabela1[[#This Row],[Pré Potássio mmol/L]]</f>
        <v>4.5999999999999996</v>
      </c>
      <c r="AU181" s="125">
        <f>Tabela1[[#This Row],[Pós Potássio mmol/L]]</f>
        <v>4.5999999999999996</v>
      </c>
      <c r="AV181" s="85">
        <f>Tabela1[[#This Row],[Glicose pré]]</f>
        <v>59</v>
      </c>
      <c r="AW181" s="85">
        <f>Tabela1[[#This Row],[Glicose pós]]</f>
        <v>98</v>
      </c>
      <c r="AX181" s="85">
        <f>Tabela1[[#This Row],[Pré Sódio mmol/L]]</f>
        <v>139</v>
      </c>
      <c r="AY181" s="85">
        <f>Tabela1[[#This Row],[Pós Sódio mmol/L]]</f>
        <v>141</v>
      </c>
      <c r="AZ181" s="125">
        <f>Tabela1[[#This Row],[Pré Magnésio mg/dL]]</f>
        <v>1.9</v>
      </c>
      <c r="BA181" s="125">
        <f>Tabela1[[#This Row],[Pós Magnésio mg/dL]]</f>
        <v>2.1</v>
      </c>
      <c r="BB181" s="85">
        <f>Tabela1[[#This Row],[Pré Cloro mmol/L]]</f>
        <v>99</v>
      </c>
      <c r="BC181" s="85">
        <f>Tabela1[[#This Row],[Pós Cloro mmol/L]]</f>
        <v>100</v>
      </c>
      <c r="BD18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290.36544444444445</v>
      </c>
      <c r="BE18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297.74377777777784</v>
      </c>
      <c r="BF181" s="194">
        <f>Tabela1[[#This Row],[Pré RBC 10^6/mm³]]</f>
        <v>4.75</v>
      </c>
      <c r="BG181" s="125">
        <f>Tabela1[[#This Row],[Pós RBC 10^6/mm³]]</f>
        <v>4.75</v>
      </c>
      <c r="BH181" s="125">
        <f>Tabela1[[#This Row],[Pré HGB g/dL]]</f>
        <v>14.6</v>
      </c>
      <c r="BI181" s="125">
        <f>Tabela1[[#This Row],[Pós HGB g/dL]]</f>
        <v>14.5</v>
      </c>
      <c r="BJ181" s="125">
        <f>Tabela1[[#This Row],[Pré HCT %]]</f>
        <v>44.2</v>
      </c>
      <c r="BK181" s="125">
        <f>Tabela1[[#This Row],[Pós HCT %]]</f>
        <v>45.1</v>
      </c>
      <c r="BL181" s="125">
        <f>Tabela1[[#This Row],[Pré MCV fL]]</f>
        <v>93.1</v>
      </c>
      <c r="BM181" s="125">
        <f>Tabela1[[#This Row],[Pós MCV fL]]</f>
        <v>94.9</v>
      </c>
      <c r="BN181" s="125">
        <f>Tabela1[[#This Row],[Pré MCH pg]]</f>
        <v>30.7</v>
      </c>
      <c r="BO181" s="125">
        <f>Tabela1[[#This Row],[Pós MCH pg]]</f>
        <v>30.5</v>
      </c>
      <c r="BP181" s="125">
        <f>Tabela1[[#This Row],[Pré MCHC g/dL]]</f>
        <v>33</v>
      </c>
      <c r="BQ181" s="125">
        <f>Tabela1[[#This Row],[Pós MCHC g/dL]]</f>
        <v>32.200000000000003</v>
      </c>
      <c r="BR181" s="85">
        <f>Tabela1[[#This Row],[Pré PLT 10³/mm³]]</f>
        <v>270</v>
      </c>
      <c r="BS181" s="85">
        <f>Tabela1[[#This Row],[Pós PLT 10³/mm³]]</f>
        <v>259</v>
      </c>
      <c r="BT181" s="125">
        <f>Tabela1[[#This Row],[Pré RDW %]]</f>
        <v>12.8</v>
      </c>
      <c r="BU181" s="125">
        <f>Tabela1[[#This Row],[Pós RDW %]]</f>
        <v>12.9</v>
      </c>
      <c r="BV181" s="179">
        <f>Tabela1[[#This Row],[Pré RET %]]</f>
        <v>1.52</v>
      </c>
      <c r="BW181" s="196">
        <f>Tabela1[[#This Row],[Pós RET %]]</f>
        <v>1.1000000000000001</v>
      </c>
      <c r="BX181" s="197">
        <f>Tabela1[[#This Row],[Pré WBC 10³/mm³]]</f>
        <v>8.9499999999999993</v>
      </c>
      <c r="BY181" s="179">
        <f>Tabela1[[#This Row],[Pós WBC 10³/mm³]]</f>
        <v>7.67</v>
      </c>
      <c r="BZ181" s="125">
        <f>Tabela1[[#This Row],[Pré NEUT %]]</f>
        <v>66.599999999999994</v>
      </c>
      <c r="CA181" s="125">
        <f>Tabela1[[#This Row],[Pós NEUT %]]</f>
        <v>48.6</v>
      </c>
      <c r="CB181" s="125">
        <f>Tabela1[[#This Row],[Pré LINF %]]</f>
        <v>21.5</v>
      </c>
      <c r="CC181" s="125">
        <f>Tabela1[[#This Row],[Pós LINF %]]</f>
        <v>33.4</v>
      </c>
      <c r="CD181" s="125">
        <f>Tabela1[[#This Row],[Pré MONO %]]</f>
        <v>9.9</v>
      </c>
      <c r="CE181" s="125">
        <f>Tabela1[[#This Row],[Pós MONO %]]</f>
        <v>14</v>
      </c>
      <c r="CF181" s="125">
        <f>Tabela1[[#This Row],[Pré EOS %]]</f>
        <v>1.8</v>
      </c>
      <c r="CG181" s="125">
        <f>Tabela1[[#This Row],[Pós EOS %]]</f>
        <v>3.3</v>
      </c>
      <c r="CH181" s="125">
        <f>Tabela1[[#This Row],[Pré BASO %]]</f>
        <v>0.2</v>
      </c>
      <c r="CI181" s="198">
        <f>Tabela1[[#This Row],[Pós BASO %]]</f>
        <v>0.7</v>
      </c>
      <c r="CJ181" s="199" t="str">
        <f t="shared" si="9"/>
        <v>NÃO</v>
      </c>
      <c r="CK181" s="200" t="str">
        <f t="shared" si="10"/>
        <v>NÃO</v>
      </c>
      <c r="CL181" s="194">
        <f t="shared" si="11"/>
        <v>62.5396</v>
      </c>
      <c r="CM181" s="125">
        <f>Tabela1[[#This Row],[MCT KG]]</f>
        <v>68</v>
      </c>
      <c r="CN181" s="85">
        <f>Tabela1[[#This Row],[ESTATURA]]</f>
        <v>173</v>
      </c>
      <c r="CO181" s="85">
        <f>Tabela1[[#This Row],[vo2max estimado]]</f>
        <v>55.9</v>
      </c>
      <c r="CP181" s="85">
        <f>Tabela1[[#This Row],[Handgrip     Dominante]]</f>
        <v>39</v>
      </c>
      <c r="CQ181" s="85">
        <f>Tabela1[[#This Row],[Handgrip Contrário]]</f>
        <v>39</v>
      </c>
      <c r="CR181" s="281">
        <f>Tabela1[[#This Row],[% gordura]]</f>
        <v>8.0299999999999994</v>
      </c>
    </row>
    <row r="182" spans="1:96" ht="15.75" customHeight="1">
      <c r="A182" s="279">
        <f>Tabela1[[#This Row],[Ano]]</f>
        <v>2018</v>
      </c>
      <c r="B182" s="181" t="str">
        <f>Tabela1[[#This Row],[Missão]]</f>
        <v>Arraial</v>
      </c>
      <c r="C182" s="181">
        <f>Tabela1[[#This Row],[Aluno]]</f>
        <v>3196</v>
      </c>
      <c r="D182" s="181">
        <f>Tabela1[[#This Row],[Idade]]</f>
        <v>27</v>
      </c>
      <c r="E182" s="182">
        <f>Tabela1[[#This Row],[Peso Kg]]</f>
        <v>83</v>
      </c>
      <c r="F182" s="191">
        <f>Tabela1[[#This Row],[Cor da pele]]</f>
        <v>1</v>
      </c>
      <c r="G182" s="192" t="str">
        <f>Tabela1[[#This Row],[ACTN3]]</f>
        <v>-</v>
      </c>
      <c r="H182" s="85" t="str">
        <f>Tabela1[[#This Row],[AGT]]</f>
        <v>-</v>
      </c>
      <c r="I182" s="85" t="str">
        <f>Tabela1[[#This Row],[ECA]]</f>
        <v>-</v>
      </c>
      <c r="J182" s="85" t="str">
        <f>Tabela1[[#This Row],[BDKRB2]]</f>
        <v>-</v>
      </c>
      <c r="K182" s="85" t="str">
        <f>Tabela1[[#This Row],[Score Força%]]</f>
        <v>-</v>
      </c>
      <c r="L182" s="193" t="str">
        <f>Tabela1[[#This Row],[Score Resistência %]]</f>
        <v>-</v>
      </c>
      <c r="M182" s="192">
        <f>Tabela1[[#This Row],[Pré CK (U/L)]]</f>
        <v>236</v>
      </c>
      <c r="N182" s="85">
        <f>Tabela1[[#This Row],[Pós CK (U/L)]]</f>
        <v>164</v>
      </c>
      <c r="O182" s="85">
        <f>Tabela1[[#This Row],[Pré CK MB U/L]]</f>
        <v>4</v>
      </c>
      <c r="P182" s="85">
        <f>Tabela1[[#This Row],[Pós CK MB U/L]]</f>
        <v>3</v>
      </c>
      <c r="Q182" s="85" t="str">
        <f>Tabela1[[#This Row],[Pré Lactato (mmol/L)]]</f>
        <v>-</v>
      </c>
      <c r="R182" s="85" t="str">
        <f>Tabela1[[#This Row],[Pós Lactato (mmol/L)]]</f>
        <v>-</v>
      </c>
      <c r="S182" s="85">
        <f>Tabela1[[#This Row],[Pré LDH (U/L)]]</f>
        <v>527</v>
      </c>
      <c r="T182" s="85">
        <f>Tabela1[[#This Row],[Pós LDH (U/L)]]</f>
        <v>532</v>
      </c>
      <c r="U182" s="85">
        <f>Tabela1[[#This Row],[Pré AST (U/L)]]</f>
        <v>30</v>
      </c>
      <c r="V182" s="193">
        <f>Tabela1[[#This Row],[Pós AST (U/L)]]</f>
        <v>25</v>
      </c>
      <c r="W182" s="194">
        <f>Tabela1[[#This Row],[Pré Albumina (g/dL)]]</f>
        <v>4.5</v>
      </c>
      <c r="X182" s="125">
        <f>Tabela1[[#This Row],[Pós Albumina (g/dL)]]</f>
        <v>4.4000000000000004</v>
      </c>
      <c r="Y182" s="85">
        <f>Tabela1[[#This Row],[Pré TGP (g/dL)]]</f>
        <v>39</v>
      </c>
      <c r="Z182" s="85">
        <f>Tabela1[[#This Row],[Pós TGP (g/dL)]]</f>
        <v>43</v>
      </c>
      <c r="AA182" s="85">
        <f>Tabela1[[#This Row],[Pré GGT U/L]]</f>
        <v>26</v>
      </c>
      <c r="AB182" s="193">
        <f>Tabela1[[#This Row],[Pós GGT U/L]]</f>
        <v>33</v>
      </c>
      <c r="AC182" s="194">
        <f>Tabela1[[#This Row],[Pré Ac. Úrico (mg/dL)]]</f>
        <v>6.5</v>
      </c>
      <c r="AD182" s="125">
        <f>Tabela1[[#This Row],[Pós Ac. Úrico (mg/dL)2]]</f>
        <v>6.7</v>
      </c>
      <c r="AE18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8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82" s="85">
        <f>Tabela1[[#This Row],[Pré Ureia mg/dL]]</f>
        <v>39</v>
      </c>
      <c r="AH182" s="85">
        <f>Tabela1[[#This Row],[Pós Ureia mg/dL]]</f>
        <v>38</v>
      </c>
      <c r="AI182" s="125">
        <f>Tabela1[[#This Row],[Pré creatinina mg/dL]]</f>
        <v>1.1000000000000001</v>
      </c>
      <c r="AJ182" s="125">
        <f>Tabela1[[#This Row],[Pós creatinina mg/dL]]</f>
        <v>1.1000000000000001</v>
      </c>
      <c r="AK182" s="180">
        <f t="shared" si="8"/>
        <v>0</v>
      </c>
      <c r="AL182" s="125">
        <f>Tabela1[[#This Row],[Pré Fósforo mg/dL]]</f>
        <v>5.0999999999999996</v>
      </c>
      <c r="AM182" s="125">
        <f>Tabela1[[#This Row],[Pós Fósforo mg/dL]]</f>
        <v>5.0999999999999996</v>
      </c>
      <c r="AN182" s="125">
        <f>Tabela1[[#This Row],[Pré Proteína Total (g/dL)]]</f>
        <v>7.8</v>
      </c>
      <c r="AO182" s="125">
        <f>Tabela1[[#This Row],[Pós Proteína Total (g/dL)]]</f>
        <v>8</v>
      </c>
      <c r="AP182" s="85">
        <f>Tabela1[[#This Row],[Pré FE (ug/dL)]]</f>
        <v>71</v>
      </c>
      <c r="AQ182" s="193">
        <f>Tabela1[[#This Row],[Pós FE (ug/dL)]]</f>
        <v>95</v>
      </c>
      <c r="AR182" s="194">
        <f>Tabela1[[#This Row],[Pré calcio mg/dL]]</f>
        <v>9.8000000000000007</v>
      </c>
      <c r="AS182" s="125">
        <f>Tabela1[[#This Row],[Pós calcio mg/dL]]</f>
        <v>10.199999999999999</v>
      </c>
      <c r="AT182" s="125">
        <f>Tabela1[[#This Row],[Pré Potássio mmol/L]]</f>
        <v>4.7</v>
      </c>
      <c r="AU182" s="125">
        <f>Tabela1[[#This Row],[Pós Potássio mmol/L]]</f>
        <v>4.5</v>
      </c>
      <c r="AV182" s="85">
        <f>Tabela1[[#This Row],[Glicose pré]]</f>
        <v>66</v>
      </c>
      <c r="AW182" s="85">
        <f>Tabela1[[#This Row],[Glicose pós]]</f>
        <v>95</v>
      </c>
      <c r="AX182" s="85">
        <f>Tabela1[[#This Row],[Pré Sódio mmol/L]]</f>
        <v>140</v>
      </c>
      <c r="AY182" s="85">
        <f>Tabela1[[#This Row],[Pós Sódio mmol/L]]</f>
        <v>141</v>
      </c>
      <c r="AZ182" s="125">
        <f>Tabela1[[#This Row],[Pré Magnésio mg/dL]]</f>
        <v>2.1</v>
      </c>
      <c r="BA182" s="125">
        <f>Tabela1[[#This Row],[Pós Magnésio mg/dL]]</f>
        <v>2.1</v>
      </c>
      <c r="BB182" s="85">
        <f>Tabela1[[#This Row],[Pré Cloro mmol/L]]</f>
        <v>101</v>
      </c>
      <c r="BC182" s="85">
        <f>Tabela1[[#This Row],[Pós Cloro mmol/L]]</f>
        <v>101</v>
      </c>
      <c r="BD18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293.85866666666664</v>
      </c>
      <c r="BE18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297.03277777777777</v>
      </c>
      <c r="BF182" s="194">
        <f>Tabela1[[#This Row],[Pré RBC 10^6/mm³]]</f>
        <v>5.59</v>
      </c>
      <c r="BG182" s="125">
        <f>Tabela1[[#This Row],[Pós RBC 10^6/mm³]]</f>
        <v>5.57</v>
      </c>
      <c r="BH182" s="125">
        <f>Tabela1[[#This Row],[Pré HGB g/dL]]</f>
        <v>14.8</v>
      </c>
      <c r="BI182" s="125">
        <f>Tabela1[[#This Row],[Pós HGB g/dL]]</f>
        <v>14.8</v>
      </c>
      <c r="BJ182" s="125">
        <f>Tabela1[[#This Row],[Pré HCT %]]</f>
        <v>46.3</v>
      </c>
      <c r="BK182" s="125">
        <f>Tabela1[[#This Row],[Pós HCT %]]</f>
        <v>47.1</v>
      </c>
      <c r="BL182" s="125">
        <f>Tabela1[[#This Row],[Pré MCV fL]]</f>
        <v>82.8</v>
      </c>
      <c r="BM182" s="125">
        <f>Tabela1[[#This Row],[Pós MCV fL]]</f>
        <v>84.6</v>
      </c>
      <c r="BN182" s="125">
        <f>Tabela1[[#This Row],[Pré MCH pg]]</f>
        <v>26.5</v>
      </c>
      <c r="BO182" s="125">
        <f>Tabela1[[#This Row],[Pós MCH pg]]</f>
        <v>26.6</v>
      </c>
      <c r="BP182" s="125">
        <f>Tabela1[[#This Row],[Pré MCHC g/dL]]</f>
        <v>32</v>
      </c>
      <c r="BQ182" s="125">
        <f>Tabela1[[#This Row],[Pós MCHC g/dL]]</f>
        <v>31.4</v>
      </c>
      <c r="BR182" s="85">
        <f>Tabela1[[#This Row],[Pré PLT 10³/mm³]]</f>
        <v>166</v>
      </c>
      <c r="BS182" s="85">
        <f>Tabela1[[#This Row],[Pós PLT 10³/mm³]]</f>
        <v>288</v>
      </c>
      <c r="BT182" s="125">
        <f>Tabela1[[#This Row],[Pré RDW %]]</f>
        <v>13</v>
      </c>
      <c r="BU182" s="125">
        <f>Tabela1[[#This Row],[Pós RDW %]]</f>
        <v>12.8</v>
      </c>
      <c r="BV182" s="179">
        <f>Tabela1[[#This Row],[Pré RET %]]</f>
        <v>1.65</v>
      </c>
      <c r="BW182" s="196">
        <f>Tabela1[[#This Row],[Pós RET %]]</f>
        <v>1.1299999999999999</v>
      </c>
      <c r="BX182" s="197">
        <f>Tabela1[[#This Row],[Pré WBC 10³/mm³]]</f>
        <v>7.06</v>
      </c>
      <c r="BY182" s="179">
        <f>Tabela1[[#This Row],[Pós WBC 10³/mm³]]</f>
        <v>9.8000000000000007</v>
      </c>
      <c r="BZ182" s="125">
        <f>Tabela1[[#This Row],[Pré NEUT %]]</f>
        <v>58.9</v>
      </c>
      <c r="CA182" s="125">
        <f>Tabela1[[#This Row],[Pós NEUT %]]</f>
        <v>49.7</v>
      </c>
      <c r="CB182" s="125">
        <f>Tabela1[[#This Row],[Pré LINF %]]</f>
        <v>28.5</v>
      </c>
      <c r="CC182" s="125">
        <f>Tabela1[[#This Row],[Pós LINF %]]</f>
        <v>41.1</v>
      </c>
      <c r="CD182" s="125">
        <f>Tabela1[[#This Row],[Pré MONO %]]</f>
        <v>8.8000000000000007</v>
      </c>
      <c r="CE182" s="125">
        <f>Tabela1[[#This Row],[Pós MONO %]]</f>
        <v>7.1</v>
      </c>
      <c r="CF182" s="125">
        <f>Tabela1[[#This Row],[Pré EOS %]]</f>
        <v>3.4</v>
      </c>
      <c r="CG182" s="125">
        <f>Tabela1[[#This Row],[Pós EOS %]]</f>
        <v>1.7</v>
      </c>
      <c r="CH182" s="125">
        <f>Tabela1[[#This Row],[Pré BASO %]]</f>
        <v>0.4</v>
      </c>
      <c r="CI182" s="198">
        <f>Tabela1[[#This Row],[Pós BASO %]]</f>
        <v>0.4</v>
      </c>
      <c r="CJ182" s="199" t="str">
        <f t="shared" si="9"/>
        <v>NÃO</v>
      </c>
      <c r="CK182" s="200" t="str">
        <f t="shared" si="10"/>
        <v>NÃO</v>
      </c>
      <c r="CL182" s="194">
        <f t="shared" si="11"/>
        <v>70.30368</v>
      </c>
      <c r="CM182" s="125">
        <f>Tabela1[[#This Row],[MCT KG]]</f>
        <v>82.4</v>
      </c>
      <c r="CN182" s="85">
        <f>Tabela1[[#This Row],[ESTATURA]]</f>
        <v>168</v>
      </c>
      <c r="CO182" s="85">
        <f>Tabela1[[#This Row],[vo2max estimado]]</f>
        <v>50.7</v>
      </c>
      <c r="CP182" s="85">
        <f>Tabela1[[#This Row],[Handgrip     Dominante]]</f>
        <v>60</v>
      </c>
      <c r="CQ182" s="85">
        <f>Tabela1[[#This Row],[Handgrip Contrário]]</f>
        <v>58</v>
      </c>
      <c r="CR182" s="281">
        <f>Tabela1[[#This Row],[% gordura]]</f>
        <v>14.68</v>
      </c>
    </row>
    <row r="183" spans="1:96" ht="15.75" customHeight="1">
      <c r="A183" s="279">
        <f>Tabela1[[#This Row],[Ano]]</f>
        <v>2018</v>
      </c>
      <c r="B183" s="181" t="str">
        <f>Tabela1[[#This Row],[Missão]]</f>
        <v>Natal</v>
      </c>
      <c r="C183" s="181">
        <f>Tabela1[[#This Row],[Aluno]]</f>
        <v>3155</v>
      </c>
      <c r="D183" s="181">
        <f>Tabela1[[#This Row],[Idade]]</f>
        <v>26</v>
      </c>
      <c r="E183" s="182">
        <f>Tabela1[[#This Row],[Peso Kg]]</f>
        <v>70</v>
      </c>
      <c r="F183" s="191">
        <f>Tabela1[[#This Row],[Cor da pele]]</f>
        <v>1</v>
      </c>
      <c r="G183" s="192" t="str">
        <f>Tabela1[[#This Row],[ACTN3]]</f>
        <v>RR</v>
      </c>
      <c r="H183" s="85" t="str">
        <f>Tabela1[[#This Row],[AGT]]</f>
        <v>MT</v>
      </c>
      <c r="I183" s="85" t="str">
        <f>Tabela1[[#This Row],[ECA]]</f>
        <v>II</v>
      </c>
      <c r="J183" s="85" t="str">
        <f>Tabela1[[#This Row],[BDKRB2]]</f>
        <v>(+9,-9)</v>
      </c>
      <c r="K183" s="85">
        <f>Tabela1[[#This Row],[Score Força%]]</f>
        <v>50</v>
      </c>
      <c r="L183" s="193">
        <f>Tabela1[[#This Row],[Score Resistência %]]</f>
        <v>50</v>
      </c>
      <c r="M183" s="192">
        <f>Tabela1[[#This Row],[Pré CK (U/L)]]</f>
        <v>168</v>
      </c>
      <c r="N183" s="85">
        <f>Tabela1[[#This Row],[Pós CK (U/L)]]</f>
        <v>1767</v>
      </c>
      <c r="O183" s="85">
        <f>Tabela1[[#This Row],[Pré CK MB U/L]]</f>
        <v>23</v>
      </c>
      <c r="P183" s="85">
        <f>Tabela1[[#This Row],[Pós CK MB U/L]]</f>
        <v>35</v>
      </c>
      <c r="Q183" s="85" t="str">
        <f>Tabela1[[#This Row],[Pré Lactato (mmol/L)]]</f>
        <v>-</v>
      </c>
      <c r="R183" s="85" t="str">
        <f>Tabela1[[#This Row],[Pós Lactato (mmol/L)]]</f>
        <v>-</v>
      </c>
      <c r="S183" s="85" t="str">
        <f>Tabela1[[#This Row],[Pré LDH (U/L)]]</f>
        <v>-</v>
      </c>
      <c r="T183" s="85" t="str">
        <f>Tabela1[[#This Row],[Pós LDH (U/L)]]</f>
        <v>-</v>
      </c>
      <c r="U183" s="85">
        <f>Tabela1[[#This Row],[Pré AST (U/L)]]</f>
        <v>28</v>
      </c>
      <c r="V183" s="193">
        <f>Tabela1[[#This Row],[Pós AST (U/L)]]</f>
        <v>90</v>
      </c>
      <c r="W183" s="194">
        <f>Tabela1[[#This Row],[Pré Albumina (g/dL)]]</f>
        <v>4.5999999999999996</v>
      </c>
      <c r="X183" s="125">
        <f>Tabela1[[#This Row],[Pós Albumina (g/dL)]]</f>
        <v>4.3</v>
      </c>
      <c r="Y183" s="85">
        <f>Tabela1[[#This Row],[Pré TGP (g/dL)]]</f>
        <v>39</v>
      </c>
      <c r="Z183" s="85">
        <f>Tabela1[[#This Row],[Pós TGP (g/dL)]]</f>
        <v>51</v>
      </c>
      <c r="AA183" s="85" t="str">
        <f>Tabela1[[#This Row],[Pré GGT U/L]]</f>
        <v>-</v>
      </c>
      <c r="AB183" s="193" t="str">
        <f>Tabela1[[#This Row],[Pós GGT U/L]]</f>
        <v>-</v>
      </c>
      <c r="AC183" s="194">
        <f>Tabela1[[#This Row],[Pré Ac. Úrico (mg/dL)]]</f>
        <v>5.8</v>
      </c>
      <c r="AD183" s="125">
        <f>Tabela1[[#This Row],[Pós Ac. Úrico (mg/dL)2]]</f>
        <v>6.6</v>
      </c>
      <c r="AE18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8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83" s="85">
        <f>Tabela1[[#This Row],[Pré Ureia mg/dL]]</f>
        <v>46</v>
      </c>
      <c r="AH183" s="85">
        <f>Tabela1[[#This Row],[Pós Ureia mg/dL]]</f>
        <v>63</v>
      </c>
      <c r="AI183" s="125">
        <f>Tabela1[[#This Row],[Pré creatinina mg/dL]]</f>
        <v>1</v>
      </c>
      <c r="AJ183" s="125">
        <f>Tabela1[[#This Row],[Pós creatinina mg/dL]]</f>
        <v>1</v>
      </c>
      <c r="AK183" s="180">
        <f t="shared" si="8"/>
        <v>0</v>
      </c>
      <c r="AL183" s="125" t="str">
        <f>Tabela1[[#This Row],[Pré Fósforo mg/dL]]</f>
        <v>-</v>
      </c>
      <c r="AM183" s="125" t="str">
        <f>Tabela1[[#This Row],[Pós Fósforo mg/dL]]</f>
        <v>-</v>
      </c>
      <c r="AN183" s="125">
        <f>Tabela1[[#This Row],[Pré Proteína Total (g/dL)]]</f>
        <v>7.6</v>
      </c>
      <c r="AO183" s="125">
        <f>Tabela1[[#This Row],[Pós Proteína Total (g/dL)]]</f>
        <v>7.2</v>
      </c>
      <c r="AP183" s="85" t="str">
        <f>Tabela1[[#This Row],[Pré FE (ug/dL)]]</f>
        <v>-</v>
      </c>
      <c r="AQ183" s="193" t="str">
        <f>Tabela1[[#This Row],[Pós FE (ug/dL)]]</f>
        <v>-</v>
      </c>
      <c r="AR183" s="194">
        <f>Tabela1[[#This Row],[Pré calcio mg/dL]]</f>
        <v>10.7</v>
      </c>
      <c r="AS183" s="125">
        <f>Tabela1[[#This Row],[Pós calcio mg/dL]]</f>
        <v>9.4</v>
      </c>
      <c r="AT183" s="125">
        <f>Tabela1[[#This Row],[Pré Potássio mmol/L]]</f>
        <v>4.7</v>
      </c>
      <c r="AU183" s="125">
        <f>Tabela1[[#This Row],[Pós Potássio mmol/L]]</f>
        <v>4.0999999999999996</v>
      </c>
      <c r="AV183" s="85">
        <f>Tabela1[[#This Row],[Glicose pré]]</f>
        <v>100</v>
      </c>
      <c r="AW183" s="85">
        <f>Tabela1[[#This Row],[Glicose pós]]</f>
        <v>86</v>
      </c>
      <c r="AX183" s="85">
        <f>Tabela1[[#This Row],[Pré Sódio mmol/L]]</f>
        <v>143</v>
      </c>
      <c r="AY183" s="85">
        <f>Tabela1[[#This Row],[Pós Sódio mmol/L]]</f>
        <v>139</v>
      </c>
      <c r="AZ183" s="125" t="str">
        <f>Tabela1[[#This Row],[Pré Magnésio mg/dL]]</f>
        <v>-</v>
      </c>
      <c r="BA183" s="125" t="str">
        <f>Tabela1[[#This Row],[Pós Magnésio mg/dL]]</f>
        <v>-</v>
      </c>
      <c r="BB183" s="85" t="str">
        <f>Tabela1[[#This Row],[Pré Cloro mmol/L]]</f>
        <v>-</v>
      </c>
      <c r="BC183" s="85" t="str">
        <f>Tabela1[[#This Row],[Pós Cloro mmol/L]]</f>
        <v>-</v>
      </c>
      <c r="BD18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302.77755555555558</v>
      </c>
      <c r="BE18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296.16044444444447</v>
      </c>
      <c r="BF183" s="194">
        <f>Tabela1[[#This Row],[Pré RBC 10^6/mm³]]</f>
        <v>5.15</v>
      </c>
      <c r="BG183" s="125">
        <f>Tabela1[[#This Row],[Pós RBC 10^6/mm³]]</f>
        <v>4.43</v>
      </c>
      <c r="BH183" s="125">
        <f>Tabela1[[#This Row],[Pré HGB g/dL]]</f>
        <v>14.4</v>
      </c>
      <c r="BI183" s="125">
        <f>Tabela1[[#This Row],[Pós HGB g/dL]]</f>
        <v>12.6</v>
      </c>
      <c r="BJ183" s="125">
        <f>Tabela1[[#This Row],[Pré HCT %]]</f>
        <v>45.1</v>
      </c>
      <c r="BK183" s="125">
        <f>Tabela1[[#This Row],[Pós HCT %]]</f>
        <v>38.6</v>
      </c>
      <c r="BL183" s="125">
        <f>Tabela1[[#This Row],[Pré MCV fL]]</f>
        <v>87.6</v>
      </c>
      <c r="BM183" s="125">
        <f>Tabela1[[#This Row],[Pós MCV fL]]</f>
        <v>87.1</v>
      </c>
      <c r="BN183" s="125">
        <f>Tabela1[[#This Row],[Pré MCH pg]]</f>
        <v>28</v>
      </c>
      <c r="BO183" s="125">
        <f>Tabela1[[#This Row],[Pós MCH pg]]</f>
        <v>28.4</v>
      </c>
      <c r="BP183" s="125">
        <f>Tabela1[[#This Row],[Pré MCHC g/dL]]</f>
        <v>31.9</v>
      </c>
      <c r="BQ183" s="125">
        <f>Tabela1[[#This Row],[Pós MCHC g/dL]]</f>
        <v>32.6</v>
      </c>
      <c r="BR183" s="85">
        <f>Tabela1[[#This Row],[Pré PLT 10³/mm³]]</f>
        <v>257</v>
      </c>
      <c r="BS183" s="85">
        <f>Tabela1[[#This Row],[Pós PLT 10³/mm³]]</f>
        <v>270</v>
      </c>
      <c r="BT183" s="125">
        <f>Tabela1[[#This Row],[Pré RDW %]]</f>
        <v>13.5</v>
      </c>
      <c r="BU183" s="125">
        <f>Tabela1[[#This Row],[Pós RDW %]]</f>
        <v>14</v>
      </c>
      <c r="BV183" s="179">
        <f>Tabela1[[#This Row],[Pré RET %]]</f>
        <v>1.52</v>
      </c>
      <c r="BW183" s="196">
        <f>Tabela1[[#This Row],[Pós RET %]]</f>
        <v>1.17</v>
      </c>
      <c r="BX183" s="197">
        <f>Tabela1[[#This Row],[Pré WBC 10³/mm³]]</f>
        <v>7.13</v>
      </c>
      <c r="BY183" s="179">
        <f>Tabela1[[#This Row],[Pós WBC 10³/mm³]]</f>
        <v>8.5299999999999994</v>
      </c>
      <c r="BZ183" s="125">
        <f>Tabela1[[#This Row],[Pré NEUT %]]</f>
        <v>68.8</v>
      </c>
      <c r="CA183" s="125">
        <f>Tabela1[[#This Row],[Pós NEUT %]]</f>
        <v>57.2</v>
      </c>
      <c r="CB183" s="125">
        <f>Tabela1[[#This Row],[Pré LINF %]]</f>
        <v>21.9</v>
      </c>
      <c r="CC183" s="125">
        <f>Tabela1[[#This Row],[Pós LINF %]]</f>
        <v>27.5</v>
      </c>
      <c r="CD183" s="125">
        <f>Tabela1[[#This Row],[Pré MONO %]]</f>
        <v>8</v>
      </c>
      <c r="CE183" s="125">
        <f>Tabela1[[#This Row],[Pós MONO %]]</f>
        <v>14.2</v>
      </c>
      <c r="CF183" s="125">
        <f>Tabela1[[#This Row],[Pré EOS %]]</f>
        <v>1.3</v>
      </c>
      <c r="CG183" s="125">
        <f>Tabela1[[#This Row],[Pós EOS %]]</f>
        <v>1.1000000000000001</v>
      </c>
      <c r="CH183" s="125">
        <f>Tabela1[[#This Row],[Pré BASO %]]</f>
        <v>0</v>
      </c>
      <c r="CI183" s="198">
        <f>Tabela1[[#This Row],[Pós BASO %]]</f>
        <v>0</v>
      </c>
      <c r="CJ183" s="199" t="str">
        <f t="shared" si="9"/>
        <v>NÃO</v>
      </c>
      <c r="CK183" s="200" t="str">
        <f t="shared" si="10"/>
        <v>SIM</v>
      </c>
      <c r="CL183" s="194">
        <f t="shared" si="11"/>
        <v>71.28528</v>
      </c>
      <c r="CM183" s="125">
        <f>Tabela1[[#This Row],[MCT KG]]</f>
        <v>75.900000000000006</v>
      </c>
      <c r="CN183" s="85">
        <f>Tabela1[[#This Row],[ESTATURA]]</f>
        <v>171</v>
      </c>
      <c r="CO183" s="85">
        <f>Tabela1[[#This Row],[vo2max estimado]]</f>
        <v>54.68</v>
      </c>
      <c r="CP183" s="85">
        <f>Tabela1[[#This Row],[Handgrip     Dominante]]</f>
        <v>42</v>
      </c>
      <c r="CQ183" s="85">
        <f>Tabela1[[#This Row],[Handgrip Contrário]]</f>
        <v>43</v>
      </c>
      <c r="CR183" s="281">
        <f>Tabela1[[#This Row],[% gordura]]</f>
        <v>6.08</v>
      </c>
    </row>
    <row r="184" spans="1:96" ht="15.75" customHeight="1">
      <c r="A184" s="279">
        <f>Tabela1[[#This Row],[Ano]]</f>
        <v>2018</v>
      </c>
      <c r="B184" s="181" t="str">
        <f>Tabela1[[#This Row],[Missão]]</f>
        <v>Natal</v>
      </c>
      <c r="C184" s="181">
        <f>Tabela1[[#This Row],[Aluno]]</f>
        <v>3156</v>
      </c>
      <c r="D184" s="181">
        <f>Tabela1[[#This Row],[Idade]]</f>
        <v>26</v>
      </c>
      <c r="E184" s="182">
        <f>Tabela1[[#This Row],[Peso Kg]]</f>
        <v>74</v>
      </c>
      <c r="F184" s="191">
        <f>Tabela1[[#This Row],[Cor da pele]]</f>
        <v>1</v>
      </c>
      <c r="G184" s="192" t="str">
        <f>Tabela1[[#This Row],[ACTN3]]</f>
        <v>RX</v>
      </c>
      <c r="H184" s="85" t="str">
        <f>Tabela1[[#This Row],[AGT]]</f>
        <v>MM</v>
      </c>
      <c r="I184" s="85" t="str">
        <f>Tabela1[[#This Row],[ECA]]</f>
        <v>ID</v>
      </c>
      <c r="J184" s="85" t="str">
        <f>Tabela1[[#This Row],[BDKRB2]]</f>
        <v>(+9,+9)</v>
      </c>
      <c r="K184" s="85">
        <f>Tabela1[[#This Row],[Score Força%]]</f>
        <v>50</v>
      </c>
      <c r="L184" s="193">
        <f>Tabela1[[#This Row],[Score Resistência %]]</f>
        <v>50</v>
      </c>
      <c r="M184" s="192">
        <f>Tabela1[[#This Row],[Pré CK (U/L)]]</f>
        <v>183</v>
      </c>
      <c r="N184" s="85">
        <f>Tabela1[[#This Row],[Pós CK (U/L)]]</f>
        <v>1197</v>
      </c>
      <c r="O184" s="85">
        <f>Tabela1[[#This Row],[Pré CK MB U/L]]</f>
        <v>24</v>
      </c>
      <c r="P184" s="85">
        <f>Tabela1[[#This Row],[Pós CK MB U/L]]</f>
        <v>31</v>
      </c>
      <c r="Q184" s="85" t="str">
        <f>Tabela1[[#This Row],[Pré Lactato (mmol/L)]]</f>
        <v>-</v>
      </c>
      <c r="R184" s="85" t="str">
        <f>Tabela1[[#This Row],[Pós Lactato (mmol/L)]]</f>
        <v>-</v>
      </c>
      <c r="S184" s="85" t="str">
        <f>Tabela1[[#This Row],[Pré LDH (U/L)]]</f>
        <v>-</v>
      </c>
      <c r="T184" s="85" t="str">
        <f>Tabela1[[#This Row],[Pós LDH (U/L)]]</f>
        <v>-</v>
      </c>
      <c r="U184" s="85">
        <f>Tabela1[[#This Row],[Pré AST (U/L)]]</f>
        <v>35</v>
      </c>
      <c r="V184" s="193">
        <f>Tabela1[[#This Row],[Pós AST (U/L)]]</f>
        <v>69</v>
      </c>
      <c r="W184" s="194">
        <f>Tabela1[[#This Row],[Pré Albumina (g/dL)]]</f>
        <v>4.2</v>
      </c>
      <c r="X184" s="125">
        <f>Tabela1[[#This Row],[Pós Albumina (g/dL)]]</f>
        <v>4.0999999999999996</v>
      </c>
      <c r="Y184" s="85">
        <f>Tabela1[[#This Row],[Pré TGP (g/dL)]]</f>
        <v>29</v>
      </c>
      <c r="Z184" s="85">
        <f>Tabela1[[#This Row],[Pós TGP (g/dL)]]</f>
        <v>45</v>
      </c>
      <c r="AA184" s="85" t="str">
        <f>Tabela1[[#This Row],[Pré GGT U/L]]</f>
        <v>-</v>
      </c>
      <c r="AB184" s="193" t="str">
        <f>Tabela1[[#This Row],[Pós GGT U/L]]</f>
        <v>-</v>
      </c>
      <c r="AC184" s="194">
        <f>Tabela1[[#This Row],[Pré Ac. Úrico (mg/dL)]]</f>
        <v>4.8</v>
      </c>
      <c r="AD184" s="125">
        <f>Tabela1[[#This Row],[Pós Ac. Úrico (mg/dL)2]]</f>
        <v>5.2</v>
      </c>
      <c r="AE18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18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84" s="85">
        <f>Tabela1[[#This Row],[Pré Ureia mg/dL]]</f>
        <v>45</v>
      </c>
      <c r="AH184" s="85">
        <f>Tabela1[[#This Row],[Pós Ureia mg/dL]]</f>
        <v>36</v>
      </c>
      <c r="AI184" s="125">
        <f>Tabela1[[#This Row],[Pré creatinina mg/dL]]</f>
        <v>1.2</v>
      </c>
      <c r="AJ184" s="125">
        <f>Tabela1[[#This Row],[Pós creatinina mg/dL]]</f>
        <v>1.1000000000000001</v>
      </c>
      <c r="AK184" s="180">
        <f t="shared" si="8"/>
        <v>0</v>
      </c>
      <c r="AL184" s="125" t="str">
        <f>Tabela1[[#This Row],[Pré Fósforo mg/dL]]</f>
        <v>-</v>
      </c>
      <c r="AM184" s="125" t="str">
        <f>Tabela1[[#This Row],[Pós Fósforo mg/dL]]</f>
        <v>-</v>
      </c>
      <c r="AN184" s="125">
        <f>Tabela1[[#This Row],[Pré Proteína Total (g/dL)]]</f>
        <v>7</v>
      </c>
      <c r="AO184" s="125">
        <f>Tabela1[[#This Row],[Pós Proteína Total (g/dL)]]</f>
        <v>6.8</v>
      </c>
      <c r="AP184" s="85" t="str">
        <f>Tabela1[[#This Row],[Pré FE (ug/dL)]]</f>
        <v>-</v>
      </c>
      <c r="AQ184" s="193" t="str">
        <f>Tabela1[[#This Row],[Pós FE (ug/dL)]]</f>
        <v>-</v>
      </c>
      <c r="AR184" s="194">
        <f>Tabela1[[#This Row],[Pré calcio mg/dL]]</f>
        <v>9.5</v>
      </c>
      <c r="AS184" s="125">
        <f>Tabela1[[#This Row],[Pós calcio mg/dL]]</f>
        <v>9.4</v>
      </c>
      <c r="AT184" s="125">
        <f>Tabela1[[#This Row],[Pré Potássio mmol/L]]</f>
        <v>4.4000000000000004</v>
      </c>
      <c r="AU184" s="125">
        <f>Tabela1[[#This Row],[Pós Potássio mmol/L]]</f>
        <v>3.6</v>
      </c>
      <c r="AV184" s="85">
        <f>Tabela1[[#This Row],[Glicose pré]]</f>
        <v>117</v>
      </c>
      <c r="AW184" s="85">
        <f>Tabela1[[#This Row],[Glicose pós]]</f>
        <v>87</v>
      </c>
      <c r="AX184" s="85">
        <f>Tabela1[[#This Row],[Pré Sódio mmol/L]]</f>
        <v>141</v>
      </c>
      <c r="AY184" s="85">
        <f>Tabela1[[#This Row],[Pós Sódio mmol/L]]</f>
        <v>141</v>
      </c>
      <c r="AZ184" s="125" t="str">
        <f>Tabela1[[#This Row],[Pré Magnésio mg/dL]]</f>
        <v>-</v>
      </c>
      <c r="BA184" s="125" t="str">
        <f>Tabela1[[#This Row],[Pós Magnésio mg/dL]]</f>
        <v>-</v>
      </c>
      <c r="BB184" s="85" t="str">
        <f>Tabela1[[#This Row],[Pré Cloro mmol/L]]</f>
        <v>-</v>
      </c>
      <c r="BC184" s="85" t="str">
        <f>Tabela1[[#This Row],[Pós Cloro mmol/L]]</f>
        <v>-</v>
      </c>
      <c r="BD18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299.41900000000004</v>
      </c>
      <c r="BE18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294.51433333333335</v>
      </c>
      <c r="BF184" s="194">
        <f>Tabela1[[#This Row],[Pré RBC 10^6/mm³]]</f>
        <v>5.08</v>
      </c>
      <c r="BG184" s="125">
        <f>Tabela1[[#This Row],[Pós RBC 10^6/mm³]]</f>
        <v>4.47</v>
      </c>
      <c r="BH184" s="125">
        <f>Tabela1[[#This Row],[Pré HGB g/dL]]</f>
        <v>14.8</v>
      </c>
      <c r="BI184" s="125">
        <f>Tabela1[[#This Row],[Pós HGB g/dL]]</f>
        <v>13.3</v>
      </c>
      <c r="BJ184" s="125">
        <f>Tabela1[[#This Row],[Pré HCT %]]</f>
        <v>45.8</v>
      </c>
      <c r="BK184" s="125">
        <f>Tabela1[[#This Row],[Pós HCT %]]</f>
        <v>39.799999999999997</v>
      </c>
      <c r="BL184" s="125">
        <f>Tabela1[[#This Row],[Pré MCV fL]]</f>
        <v>90.2</v>
      </c>
      <c r="BM184" s="125">
        <f>Tabela1[[#This Row],[Pós MCV fL]]</f>
        <v>89</v>
      </c>
      <c r="BN184" s="125">
        <f>Tabela1[[#This Row],[Pré MCH pg]]</f>
        <v>29.1</v>
      </c>
      <c r="BO184" s="125">
        <f>Tabela1[[#This Row],[Pós MCH pg]]</f>
        <v>29.8</v>
      </c>
      <c r="BP184" s="125">
        <f>Tabela1[[#This Row],[Pré MCHC g/dL]]</f>
        <v>32.299999999999997</v>
      </c>
      <c r="BQ184" s="125">
        <f>Tabela1[[#This Row],[Pós MCHC g/dL]]</f>
        <v>33.4</v>
      </c>
      <c r="BR184" s="85">
        <f>Tabela1[[#This Row],[Pré PLT 10³/mm³]]</f>
        <v>210</v>
      </c>
      <c r="BS184" s="85">
        <f>Tabela1[[#This Row],[Pós PLT 10³/mm³]]</f>
        <v>80</v>
      </c>
      <c r="BT184" s="125">
        <f>Tabela1[[#This Row],[Pré RDW %]]</f>
        <v>11.8</v>
      </c>
      <c r="BU184" s="125">
        <f>Tabela1[[#This Row],[Pós RDW %]]</f>
        <v>12.1</v>
      </c>
      <c r="BV184" s="179">
        <f>Tabela1[[#This Row],[Pré RET %]]</f>
        <v>1.43</v>
      </c>
      <c r="BW184" s="196">
        <f>Tabela1[[#This Row],[Pós RET %]]</f>
        <v>1.19</v>
      </c>
      <c r="BX184" s="197">
        <f>Tabela1[[#This Row],[Pré WBC 10³/mm³]]</f>
        <v>4.68</v>
      </c>
      <c r="BY184" s="179">
        <f>Tabela1[[#This Row],[Pós WBC 10³/mm³]]</f>
        <v>6.42</v>
      </c>
      <c r="BZ184" s="125">
        <f>Tabela1[[#This Row],[Pré NEUT %]]</f>
        <v>74.099999999999994</v>
      </c>
      <c r="CA184" s="125">
        <f>Tabela1[[#This Row],[Pós NEUT %]]</f>
        <v>53.4</v>
      </c>
      <c r="CB184" s="125">
        <f>Tabela1[[#This Row],[Pré LINF %]]</f>
        <v>19.7</v>
      </c>
      <c r="CC184" s="125">
        <f>Tabela1[[#This Row],[Pós LINF %]]</f>
        <v>33.6</v>
      </c>
      <c r="CD184" s="125">
        <f>Tabela1[[#This Row],[Pré MONO %]]</f>
        <v>5.6</v>
      </c>
      <c r="CE184" s="125">
        <f>Tabela1[[#This Row],[Pós MONO %]]</f>
        <v>8.4</v>
      </c>
      <c r="CF184" s="125">
        <f>Tabela1[[#This Row],[Pré EOS %]]</f>
        <v>0.6</v>
      </c>
      <c r="CG184" s="125">
        <f>Tabela1[[#This Row],[Pós EOS %]]</f>
        <v>4.4000000000000004</v>
      </c>
      <c r="CH184" s="125">
        <f>Tabela1[[#This Row],[Pré BASO %]]</f>
        <v>0</v>
      </c>
      <c r="CI184" s="198">
        <f>Tabela1[[#This Row],[Pós BASO %]]</f>
        <v>0.2</v>
      </c>
      <c r="CJ184" s="199" t="str">
        <f t="shared" si="9"/>
        <v>NÃO</v>
      </c>
      <c r="CK184" s="200" t="str">
        <f t="shared" si="10"/>
        <v>SIM</v>
      </c>
      <c r="CL184" s="194">
        <f t="shared" si="11"/>
        <v>72.293760000000006</v>
      </c>
      <c r="CM184" s="125">
        <f>Tabela1[[#This Row],[MCT KG]]</f>
        <v>79.2</v>
      </c>
      <c r="CN184" s="85">
        <f>Tabela1[[#This Row],[ESTATURA]]</f>
        <v>174</v>
      </c>
      <c r="CO184" s="85">
        <f>Tabela1[[#This Row],[vo2max estimado]]</f>
        <v>53.64</v>
      </c>
      <c r="CP184" s="85">
        <f>Tabela1[[#This Row],[Handgrip     Dominante]]</f>
        <v>49.5</v>
      </c>
      <c r="CQ184" s="85">
        <f>Tabela1[[#This Row],[Handgrip Contrário]]</f>
        <v>49.5</v>
      </c>
      <c r="CR184" s="281">
        <f>Tabela1[[#This Row],[% gordura]]</f>
        <v>8.7200000000000006</v>
      </c>
    </row>
    <row r="185" spans="1:96" ht="15.75" customHeight="1">
      <c r="A185" s="279">
        <f>Tabela1[[#This Row],[Ano]]</f>
        <v>2018</v>
      </c>
      <c r="B185" s="181" t="str">
        <f>Tabela1[[#This Row],[Missão]]</f>
        <v>Natal</v>
      </c>
      <c r="C185" s="181">
        <f>Tabela1[[#This Row],[Aluno]]</f>
        <v>3159</v>
      </c>
      <c r="D185" s="181">
        <f>Tabela1[[#This Row],[Idade]]</f>
        <v>25</v>
      </c>
      <c r="E185" s="182">
        <f>Tabela1[[#This Row],[Peso Kg]]</f>
        <v>84</v>
      </c>
      <c r="F185" s="191">
        <f>Tabela1[[#This Row],[Cor da pele]]</f>
        <v>1</v>
      </c>
      <c r="G185" s="192" t="str">
        <f>Tabela1[[#This Row],[ACTN3]]</f>
        <v>RR</v>
      </c>
      <c r="H185" s="85" t="str">
        <f>Tabela1[[#This Row],[AGT]]</f>
        <v>TT</v>
      </c>
      <c r="I185" s="85" t="str">
        <f>Tabela1[[#This Row],[ECA]]</f>
        <v>DD</v>
      </c>
      <c r="J185" s="85" t="str">
        <f>Tabela1[[#This Row],[BDKRB2]]</f>
        <v>(+9,-9)</v>
      </c>
      <c r="K185" s="85" t="str">
        <f>Tabela1[[#This Row],[Score Força%]]</f>
        <v>-</v>
      </c>
      <c r="L185" s="193" t="str">
        <f>Tabela1[[#This Row],[Score Resistência %]]</f>
        <v>-</v>
      </c>
      <c r="M185" s="192">
        <f>Tabela1[[#This Row],[Pré CK (U/L)]]</f>
        <v>205</v>
      </c>
      <c r="N185" s="85">
        <f>Tabela1[[#This Row],[Pós CK (U/L)]]</f>
        <v>1070</v>
      </c>
      <c r="O185" s="85">
        <f>Tabela1[[#This Row],[Pré CK MB U/L]]</f>
        <v>22</v>
      </c>
      <c r="P185" s="85">
        <f>Tabela1[[#This Row],[Pós CK MB U/L]]</f>
        <v>26</v>
      </c>
      <c r="Q185" s="85" t="str">
        <f>Tabela1[[#This Row],[Pré Lactato (mmol/L)]]</f>
        <v>-</v>
      </c>
      <c r="R185" s="85" t="str">
        <f>Tabela1[[#This Row],[Pós Lactato (mmol/L)]]</f>
        <v>-</v>
      </c>
      <c r="S185" s="85" t="str">
        <f>Tabela1[[#This Row],[Pré LDH (U/L)]]</f>
        <v>-</v>
      </c>
      <c r="T185" s="85" t="str">
        <f>Tabela1[[#This Row],[Pós LDH (U/L)]]</f>
        <v>-</v>
      </c>
      <c r="U185" s="85">
        <f>Tabela1[[#This Row],[Pré AST (U/L)]]</f>
        <v>30</v>
      </c>
      <c r="V185" s="193">
        <f>Tabela1[[#This Row],[Pós AST (U/L)]]</f>
        <v>61</v>
      </c>
      <c r="W185" s="194">
        <f>Tabela1[[#This Row],[Pré Albumina (g/dL)]]</f>
        <v>4.3</v>
      </c>
      <c r="X185" s="125">
        <f>Tabela1[[#This Row],[Pós Albumina (g/dL)]]</f>
        <v>4.0999999999999996</v>
      </c>
      <c r="Y185" s="85">
        <f>Tabela1[[#This Row],[Pré TGP (g/dL)]]</f>
        <v>39</v>
      </c>
      <c r="Z185" s="85">
        <f>Tabela1[[#This Row],[Pós TGP (g/dL)]]</f>
        <v>47</v>
      </c>
      <c r="AA185" s="85" t="str">
        <f>Tabela1[[#This Row],[Pré GGT U/L]]</f>
        <v>-</v>
      </c>
      <c r="AB185" s="193" t="str">
        <f>Tabela1[[#This Row],[Pós GGT U/L]]</f>
        <v>-</v>
      </c>
      <c r="AC185" s="194">
        <f>Tabela1[[#This Row],[Pré Ac. Úrico (mg/dL)]]</f>
        <v>5.6</v>
      </c>
      <c r="AD185" s="125">
        <f>Tabela1[[#This Row],[Pós Ac. Úrico (mg/dL)2]]</f>
        <v>6.9</v>
      </c>
      <c r="AE18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18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185" s="85">
        <f>Tabela1[[#This Row],[Pré Ureia mg/dL]]</f>
        <v>40</v>
      </c>
      <c r="AH185" s="85">
        <f>Tabela1[[#This Row],[Pós Ureia mg/dL]]</f>
        <v>49</v>
      </c>
      <c r="AI185" s="125">
        <f>Tabela1[[#This Row],[Pré creatinina mg/dL]]</f>
        <v>1.2</v>
      </c>
      <c r="AJ185" s="125">
        <f>Tabela1[[#This Row],[Pós creatinina mg/dL]]</f>
        <v>1.2</v>
      </c>
      <c r="AK185" s="180">
        <f t="shared" si="8"/>
        <v>0</v>
      </c>
      <c r="AL185" s="125" t="str">
        <f>Tabela1[[#This Row],[Pré Fósforo mg/dL]]</f>
        <v>-</v>
      </c>
      <c r="AM185" s="125" t="str">
        <f>Tabela1[[#This Row],[Pós Fósforo mg/dL]]</f>
        <v>-</v>
      </c>
      <c r="AN185" s="125">
        <f>Tabela1[[#This Row],[Pré Proteína Total (g/dL)]]</f>
        <v>7.1</v>
      </c>
      <c r="AO185" s="125">
        <f>Tabela1[[#This Row],[Pós Proteína Total (g/dL)]]</f>
        <v>7</v>
      </c>
      <c r="AP185" s="85" t="str">
        <f>Tabela1[[#This Row],[Pré FE (ug/dL)]]</f>
        <v>-</v>
      </c>
      <c r="AQ185" s="193" t="str">
        <f>Tabela1[[#This Row],[Pós FE (ug/dL)]]</f>
        <v>-</v>
      </c>
      <c r="AR185" s="194">
        <f>Tabela1[[#This Row],[Pré calcio mg/dL]]</f>
        <v>9.8000000000000007</v>
      </c>
      <c r="AS185" s="125">
        <f>Tabela1[[#This Row],[Pós calcio mg/dL]]</f>
        <v>9.1999999999999993</v>
      </c>
      <c r="AT185" s="125">
        <f>Tabela1[[#This Row],[Pré Potássio mmol/L]]</f>
        <v>4</v>
      </c>
      <c r="AU185" s="125">
        <f>Tabela1[[#This Row],[Pós Potássio mmol/L]]</f>
        <v>4</v>
      </c>
      <c r="AV185" s="85">
        <f>Tabela1[[#This Row],[Glicose pré]]</f>
        <v>107</v>
      </c>
      <c r="AW185" s="85">
        <f>Tabela1[[#This Row],[Glicose pós]]</f>
        <v>87</v>
      </c>
      <c r="AX185" s="85">
        <f>Tabela1[[#This Row],[Pré Sódio mmol/L]]</f>
        <v>140</v>
      </c>
      <c r="AY185" s="85">
        <f>Tabela1[[#This Row],[Pós Sódio mmol/L]]</f>
        <v>140</v>
      </c>
      <c r="AZ185" s="125" t="str">
        <f>Tabela1[[#This Row],[Pré Magnésio mg/dL]]</f>
        <v>-</v>
      </c>
      <c r="BA185" s="125" t="str">
        <f>Tabela1[[#This Row],[Pós Magnésio mg/dL]]</f>
        <v>-</v>
      </c>
      <c r="BB185" s="85" t="str">
        <f>Tabela1[[#This Row],[Pré Cloro mmol/L]]</f>
        <v>-</v>
      </c>
      <c r="BC185" s="85" t="str">
        <f>Tabela1[[#This Row],[Pós Cloro mmol/L]]</f>
        <v>-</v>
      </c>
      <c r="BD18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295.34277777777783</v>
      </c>
      <c r="BE18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295.56500000000005</v>
      </c>
      <c r="BF185" s="194">
        <f>Tabela1[[#This Row],[Pré RBC 10^6/mm³]]</f>
        <v>5.27</v>
      </c>
      <c r="BG185" s="125">
        <f>Tabela1[[#This Row],[Pós RBC 10^6/mm³]]</f>
        <v>4.83</v>
      </c>
      <c r="BH185" s="125">
        <f>Tabela1[[#This Row],[Pré HGB g/dL]]</f>
        <v>14.4</v>
      </c>
      <c r="BI185" s="125">
        <f>Tabela1[[#This Row],[Pós HGB g/dL]]</f>
        <v>13.4</v>
      </c>
      <c r="BJ185" s="125">
        <f>Tabela1[[#This Row],[Pré HCT %]]</f>
        <v>45.6</v>
      </c>
      <c r="BK185" s="125">
        <f>Tabela1[[#This Row],[Pós HCT %]]</f>
        <v>41.9</v>
      </c>
      <c r="BL185" s="125">
        <f>Tabela1[[#This Row],[Pré MCV fL]]</f>
        <v>86.5</v>
      </c>
      <c r="BM185" s="125">
        <f>Tabela1[[#This Row],[Pós MCV fL]]</f>
        <v>86.7</v>
      </c>
      <c r="BN185" s="125">
        <f>Tabela1[[#This Row],[Pré MCH pg]]</f>
        <v>27.3</v>
      </c>
      <c r="BO185" s="125">
        <f>Tabela1[[#This Row],[Pós MCH pg]]</f>
        <v>27.7</v>
      </c>
      <c r="BP185" s="125">
        <f>Tabela1[[#This Row],[Pré MCHC g/dL]]</f>
        <v>31.6</v>
      </c>
      <c r="BQ185" s="125">
        <f>Tabela1[[#This Row],[Pós MCHC g/dL]]</f>
        <v>32</v>
      </c>
      <c r="BR185" s="85">
        <f>Tabela1[[#This Row],[Pré PLT 10³/mm³]]</f>
        <v>250</v>
      </c>
      <c r="BS185" s="85">
        <f>Tabela1[[#This Row],[Pós PLT 10³/mm³]]</f>
        <v>243</v>
      </c>
      <c r="BT185" s="125">
        <f>Tabela1[[#This Row],[Pré RDW %]]</f>
        <v>12.2</v>
      </c>
      <c r="BU185" s="125">
        <f>Tabela1[[#This Row],[Pós RDW %]]</f>
        <v>12.4</v>
      </c>
      <c r="BV185" s="179">
        <f>Tabela1[[#This Row],[Pré RET %]]</f>
        <v>1.2</v>
      </c>
      <c r="BW185" s="196">
        <f>Tabela1[[#This Row],[Pós RET %]]</f>
        <v>0.96</v>
      </c>
      <c r="BX185" s="197">
        <f>Tabela1[[#This Row],[Pré WBC 10³/mm³]]</f>
        <v>4.6399999999999997</v>
      </c>
      <c r="BY185" s="179">
        <f>Tabela1[[#This Row],[Pós WBC 10³/mm³]]</f>
        <v>6.85</v>
      </c>
      <c r="BZ185" s="125">
        <f>Tabela1[[#This Row],[Pré NEUT %]]</f>
        <v>50.7</v>
      </c>
      <c r="CA185" s="125">
        <f>Tabela1[[#This Row],[Pós NEUT %]]</f>
        <v>46.8</v>
      </c>
      <c r="CB185" s="125">
        <f>Tabela1[[#This Row],[Pré LINF %]]</f>
        <v>40.700000000000003</v>
      </c>
      <c r="CC185" s="125">
        <f>Tabela1[[#This Row],[Pós LINF %]]</f>
        <v>41.6</v>
      </c>
      <c r="CD185" s="125">
        <f>Tabela1[[#This Row],[Pré MONO %]]</f>
        <v>6.9</v>
      </c>
      <c r="CE185" s="125">
        <f>Tabela1[[#This Row],[Pós MONO %]]</f>
        <v>9.8000000000000007</v>
      </c>
      <c r="CF185" s="125">
        <f>Tabela1[[#This Row],[Pré EOS %]]</f>
        <v>1.7</v>
      </c>
      <c r="CG185" s="125">
        <f>Tabela1[[#This Row],[Pós EOS %]]</f>
        <v>1.8</v>
      </c>
      <c r="CH185" s="125">
        <f>Tabela1[[#This Row],[Pré BASO %]]</f>
        <v>0</v>
      </c>
      <c r="CI185" s="198">
        <f>Tabela1[[#This Row],[Pós BASO %]]</f>
        <v>0</v>
      </c>
      <c r="CJ185" s="199" t="str">
        <f t="shared" si="9"/>
        <v>NÃO</v>
      </c>
      <c r="CK185" s="200" t="str">
        <f t="shared" si="10"/>
        <v>SIM</v>
      </c>
      <c r="CL185" s="194">
        <f t="shared" si="11"/>
        <v>75.355769999999993</v>
      </c>
      <c r="CM185" s="125">
        <f>Tabela1[[#This Row],[MCT KG]]</f>
        <v>84.3</v>
      </c>
      <c r="CN185" s="85">
        <f>Tabela1[[#This Row],[ESTATURA]]</f>
        <v>178</v>
      </c>
      <c r="CO185" s="85">
        <f>Tabela1[[#This Row],[vo2max estimado]]</f>
        <v>52.69</v>
      </c>
      <c r="CP185" s="85">
        <f>Tabela1[[#This Row],[Handgrip     Dominante]]</f>
        <v>60</v>
      </c>
      <c r="CQ185" s="85">
        <f>Tabela1[[#This Row],[Handgrip Contrário]]</f>
        <v>57</v>
      </c>
      <c r="CR185" s="281">
        <f>Tabela1[[#This Row],[% gordura]]</f>
        <v>10.61</v>
      </c>
    </row>
    <row r="186" spans="1:96" ht="15.75" customHeight="1">
      <c r="A186" s="279">
        <f>Tabela1[[#This Row],[Ano]]</f>
        <v>2018</v>
      </c>
      <c r="B186" s="181" t="str">
        <f>Tabela1[[#This Row],[Missão]]</f>
        <v>Natal</v>
      </c>
      <c r="C186" s="181">
        <f>Tabela1[[#This Row],[Aluno]]</f>
        <v>3169</v>
      </c>
      <c r="D186" s="181">
        <f>Tabela1[[#This Row],[Idade]]</f>
        <v>31</v>
      </c>
      <c r="E186" s="182">
        <f>Tabela1[[#This Row],[Peso Kg]]</f>
        <v>89</v>
      </c>
      <c r="F186" s="191">
        <f>Tabela1[[#This Row],[Cor da pele]]</f>
        <v>1</v>
      </c>
      <c r="G186" s="192" t="str">
        <f>Tabela1[[#This Row],[ACTN3]]</f>
        <v>XX</v>
      </c>
      <c r="H186" s="85" t="str">
        <f>Tabela1[[#This Row],[AGT]]</f>
        <v>MT</v>
      </c>
      <c r="I186" s="85" t="str">
        <f>Tabela1[[#This Row],[ECA]]</f>
        <v>ID</v>
      </c>
      <c r="J186" s="85" t="str">
        <f>Tabela1[[#This Row],[BDKRB2]]</f>
        <v>(-9,-9)</v>
      </c>
      <c r="K186" s="85">
        <f>Tabela1[[#This Row],[Score Força%]]</f>
        <v>100</v>
      </c>
      <c r="L186" s="193">
        <f>Tabela1[[#This Row],[Score Resistência %]]</f>
        <v>0</v>
      </c>
      <c r="M186" s="192">
        <f>Tabela1[[#This Row],[Pré CK (U/L)]]</f>
        <v>181</v>
      </c>
      <c r="N186" s="85">
        <f>Tabela1[[#This Row],[Pós CK (U/L)]]</f>
        <v>1484</v>
      </c>
      <c r="O186" s="85">
        <f>Tabela1[[#This Row],[Pré CK MB U/L]]</f>
        <v>17</v>
      </c>
      <c r="P186" s="85">
        <f>Tabela1[[#This Row],[Pós CK MB U/L]]</f>
        <v>39</v>
      </c>
      <c r="Q186" s="85" t="str">
        <f>Tabela1[[#This Row],[Pré Lactato (mmol/L)]]</f>
        <v>-</v>
      </c>
      <c r="R186" s="85" t="str">
        <f>Tabela1[[#This Row],[Pós Lactato (mmol/L)]]</f>
        <v>-</v>
      </c>
      <c r="S186" s="85" t="str">
        <f>Tabela1[[#This Row],[Pré LDH (U/L)]]</f>
        <v>-</v>
      </c>
      <c r="T186" s="85" t="str">
        <f>Tabela1[[#This Row],[Pós LDH (U/L)]]</f>
        <v>-</v>
      </c>
      <c r="U186" s="85">
        <f>Tabela1[[#This Row],[Pré AST (U/L)]]</f>
        <v>30</v>
      </c>
      <c r="V186" s="193">
        <f>Tabela1[[#This Row],[Pós AST (U/L)]]</f>
        <v>98</v>
      </c>
      <c r="W186" s="194">
        <f>Tabela1[[#This Row],[Pré Albumina (g/dL)]]</f>
        <v>4.5999999999999996</v>
      </c>
      <c r="X186" s="125">
        <f>Tabela1[[#This Row],[Pós Albumina (g/dL)]]</f>
        <v>4</v>
      </c>
      <c r="Y186" s="85">
        <f>Tabela1[[#This Row],[Pré TGP (g/dL)]]</f>
        <v>41</v>
      </c>
      <c r="Z186" s="85">
        <f>Tabela1[[#This Row],[Pós TGP (g/dL)]]</f>
        <v>54</v>
      </c>
      <c r="AA186" s="85" t="str">
        <f>Tabela1[[#This Row],[Pré GGT U/L]]</f>
        <v>-</v>
      </c>
      <c r="AB186" s="193" t="str">
        <f>Tabela1[[#This Row],[Pós GGT U/L]]</f>
        <v>-</v>
      </c>
      <c r="AC186" s="194">
        <f>Tabela1[[#This Row],[Pré Ac. Úrico (mg/dL)]]</f>
        <v>8.4</v>
      </c>
      <c r="AD186" s="125">
        <f>Tabela1[[#This Row],[Pós Ac. Úrico (mg/dL)2]]</f>
        <v>10</v>
      </c>
      <c r="AE18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8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186" s="85">
        <f>Tabela1[[#This Row],[Pré Ureia mg/dL]]</f>
        <v>46</v>
      </c>
      <c r="AH186" s="85">
        <f>Tabela1[[#This Row],[Pós Ureia mg/dL]]</f>
        <v>56</v>
      </c>
      <c r="AI186" s="125">
        <f>Tabela1[[#This Row],[Pré creatinina mg/dL]]</f>
        <v>1.1000000000000001</v>
      </c>
      <c r="AJ186" s="125">
        <f>Tabela1[[#This Row],[Pós creatinina mg/dL]]</f>
        <v>1.2</v>
      </c>
      <c r="AK186" s="180">
        <f t="shared" si="8"/>
        <v>9.9999999999999867E-2</v>
      </c>
      <c r="AL186" s="125" t="str">
        <f>Tabela1[[#This Row],[Pré Fósforo mg/dL]]</f>
        <v>-</v>
      </c>
      <c r="AM186" s="125" t="str">
        <f>Tabela1[[#This Row],[Pós Fósforo mg/dL]]</f>
        <v>-</v>
      </c>
      <c r="AN186" s="125">
        <f>Tabela1[[#This Row],[Pré Proteína Total (g/dL)]]</f>
        <v>7.9</v>
      </c>
      <c r="AO186" s="125">
        <f>Tabela1[[#This Row],[Pós Proteína Total (g/dL)]]</f>
        <v>7.3</v>
      </c>
      <c r="AP186" s="85" t="str">
        <f>Tabela1[[#This Row],[Pré FE (ug/dL)]]</f>
        <v>-</v>
      </c>
      <c r="AQ186" s="193" t="str">
        <f>Tabela1[[#This Row],[Pós FE (ug/dL)]]</f>
        <v>-</v>
      </c>
      <c r="AR186" s="194">
        <f>Tabela1[[#This Row],[Pré calcio mg/dL]]</f>
        <v>9.6999999999999993</v>
      </c>
      <c r="AS186" s="125">
        <f>Tabela1[[#This Row],[Pós calcio mg/dL]]</f>
        <v>8.6999999999999993</v>
      </c>
      <c r="AT186" s="125">
        <f>Tabela1[[#This Row],[Pré Potássio mmol/L]]</f>
        <v>4.0999999999999996</v>
      </c>
      <c r="AU186" s="125">
        <f>Tabela1[[#This Row],[Pós Potássio mmol/L]]</f>
        <v>4.0999999999999996</v>
      </c>
      <c r="AV186" s="85">
        <f>Tabela1[[#This Row],[Glicose pré]]</f>
        <v>116</v>
      </c>
      <c r="AW186" s="85">
        <f>Tabela1[[#This Row],[Glicose pós]]</f>
        <v>0</v>
      </c>
      <c r="AX186" s="85">
        <f>Tabela1[[#This Row],[Pré Sódio mmol/L]]</f>
        <v>142</v>
      </c>
      <c r="AY186" s="85">
        <f>Tabela1[[#This Row],[Pós Sódio mmol/L]]</f>
        <v>142</v>
      </c>
      <c r="AZ186" s="125" t="str">
        <f>Tabela1[[#This Row],[Pré Magnésio mg/dL]]</f>
        <v>-</v>
      </c>
      <c r="BA186" s="125" t="str">
        <f>Tabela1[[#This Row],[Pós Magnésio mg/dL]]</f>
        <v>-</v>
      </c>
      <c r="BB186" s="85" t="str">
        <f>Tabela1[[#This Row],[Pré Cloro mmol/L]]</f>
        <v>-</v>
      </c>
      <c r="BC186" s="85" t="str">
        <f>Tabela1[[#This Row],[Pós Cloro mmol/L]]</f>
        <v>-</v>
      </c>
      <c r="BD18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300.82377777777776</v>
      </c>
      <c r="BE18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295.0793333333333</v>
      </c>
      <c r="BF186" s="194">
        <f>Tabela1[[#This Row],[Pré RBC 10^6/mm³]]</f>
        <v>4.87</v>
      </c>
      <c r="BG186" s="125">
        <f>Tabela1[[#This Row],[Pós RBC 10^6/mm³]]</f>
        <v>4.37</v>
      </c>
      <c r="BH186" s="125">
        <f>Tabela1[[#This Row],[Pré HGB g/dL]]</f>
        <v>13.4</v>
      </c>
      <c r="BI186" s="125">
        <f>Tabela1[[#This Row],[Pós HGB g/dL]]</f>
        <v>12.3</v>
      </c>
      <c r="BJ186" s="125">
        <f>Tabela1[[#This Row],[Pré HCT %]]</f>
        <v>43.3</v>
      </c>
      <c r="BK186" s="125">
        <f>Tabela1[[#This Row],[Pós HCT %]]</f>
        <v>39.1</v>
      </c>
      <c r="BL186" s="125">
        <f>Tabela1[[#This Row],[Pré MCV fL]]</f>
        <v>88.9</v>
      </c>
      <c r="BM186" s="125">
        <f>Tabela1[[#This Row],[Pós MCV fL]]</f>
        <v>89.5</v>
      </c>
      <c r="BN186" s="125">
        <f>Tabela1[[#This Row],[Pré MCH pg]]</f>
        <v>27.5</v>
      </c>
      <c r="BO186" s="125">
        <f>Tabela1[[#This Row],[Pós MCH pg]]</f>
        <v>28.1</v>
      </c>
      <c r="BP186" s="125">
        <f>Tabela1[[#This Row],[Pré MCHC g/dL]]</f>
        <v>30.9</v>
      </c>
      <c r="BQ186" s="125">
        <f>Tabela1[[#This Row],[Pós MCHC g/dL]]</f>
        <v>31.5</v>
      </c>
      <c r="BR186" s="85">
        <f>Tabela1[[#This Row],[Pré PLT 10³/mm³]]</f>
        <v>285</v>
      </c>
      <c r="BS186" s="85">
        <f>Tabela1[[#This Row],[Pós PLT 10³/mm³]]</f>
        <v>263</v>
      </c>
      <c r="BT186" s="125">
        <f>Tabela1[[#This Row],[Pré RDW %]]</f>
        <v>13.3</v>
      </c>
      <c r="BU186" s="125">
        <f>Tabela1[[#This Row],[Pós RDW %]]</f>
        <v>13.7</v>
      </c>
      <c r="BV186" s="179">
        <f>Tabela1[[#This Row],[Pré RET %]]</f>
        <v>1.1200000000000001</v>
      </c>
      <c r="BW186" s="196">
        <f>Tabela1[[#This Row],[Pós RET %]]</f>
        <v>1.18</v>
      </c>
      <c r="BX186" s="197">
        <f>Tabela1[[#This Row],[Pré WBC 10³/mm³]]</f>
        <v>11.19</v>
      </c>
      <c r="BY186" s="179">
        <f>Tabela1[[#This Row],[Pós WBC 10³/mm³]]</f>
        <v>10.24</v>
      </c>
      <c r="BZ186" s="125">
        <f>Tabela1[[#This Row],[Pré NEUT %]]</f>
        <v>77.599999999999994</v>
      </c>
      <c r="CA186" s="125">
        <f>Tabela1[[#This Row],[Pós NEUT %]]</f>
        <v>59.7</v>
      </c>
      <c r="CB186" s="125">
        <f>Tabela1[[#This Row],[Pré LINF %]]</f>
        <v>16.2</v>
      </c>
      <c r="CC186" s="125">
        <f>Tabela1[[#This Row],[Pós LINF %]]</f>
        <v>28.3</v>
      </c>
      <c r="CD186" s="125">
        <f>Tabela1[[#This Row],[Pré MONO %]]</f>
        <v>5.6</v>
      </c>
      <c r="CE186" s="125">
        <f>Tabela1[[#This Row],[Pós MONO %]]</f>
        <v>10.4</v>
      </c>
      <c r="CF186" s="125">
        <f>Tabela1[[#This Row],[Pré EOS %]]</f>
        <v>0.6</v>
      </c>
      <c r="CG186" s="125">
        <f>Tabela1[[#This Row],[Pós EOS %]]</f>
        <v>1.6</v>
      </c>
      <c r="CH186" s="125">
        <f>Tabela1[[#This Row],[Pré BASO %]]</f>
        <v>0</v>
      </c>
      <c r="CI186" s="198">
        <f>Tabela1[[#This Row],[Pós BASO %]]</f>
        <v>0</v>
      </c>
      <c r="CJ186" s="199" t="str">
        <f t="shared" si="9"/>
        <v>NÃO</v>
      </c>
      <c r="CK186" s="200" t="str">
        <f t="shared" si="10"/>
        <v>SIM</v>
      </c>
      <c r="CL186" s="194">
        <f t="shared" si="11"/>
        <v>74.95620000000001</v>
      </c>
      <c r="CM186" s="125">
        <f>Tabela1[[#This Row],[MCT KG]]</f>
        <v>90.2</v>
      </c>
      <c r="CN186" s="85">
        <f>Tabela1[[#This Row],[ESTATURA]]</f>
        <v>184.5</v>
      </c>
      <c r="CO186" s="85">
        <f>Tabela1[[#This Row],[vo2max estimado]]</f>
        <v>48.67</v>
      </c>
      <c r="CP186" s="85">
        <f>Tabela1[[#This Row],[Handgrip     Dominante]]</f>
        <v>54</v>
      </c>
      <c r="CQ186" s="85">
        <f>Tabela1[[#This Row],[Handgrip Contrário]]</f>
        <v>47</v>
      </c>
      <c r="CR186" s="281">
        <f>Tabela1[[#This Row],[% gordura]]</f>
        <v>16.899999999999999</v>
      </c>
    </row>
    <row r="187" spans="1:96" ht="15.75" customHeight="1">
      <c r="A187" s="279">
        <f>Tabela1[[#This Row],[Ano]]</f>
        <v>2018</v>
      </c>
      <c r="B187" s="181" t="str">
        <f>Tabela1[[#This Row],[Missão]]</f>
        <v>Natal</v>
      </c>
      <c r="C187" s="181">
        <f>Tabela1[[#This Row],[Aluno]]</f>
        <v>3175</v>
      </c>
      <c r="D187" s="181">
        <f>Tabela1[[#This Row],[Idade]]</f>
        <v>32</v>
      </c>
      <c r="E187" s="182">
        <f>Tabela1[[#This Row],[Peso Kg]]</f>
        <v>96</v>
      </c>
      <c r="F187" s="191">
        <f>Tabela1[[#This Row],[Cor da pele]]</f>
        <v>2</v>
      </c>
      <c r="G187" s="192" t="str">
        <f>Tabela1[[#This Row],[ACTN3]]</f>
        <v>RX</v>
      </c>
      <c r="H187" s="85" t="str">
        <f>Tabela1[[#This Row],[AGT]]</f>
        <v>MM</v>
      </c>
      <c r="I187" s="85" t="str">
        <f>Tabela1[[#This Row],[ECA]]</f>
        <v>ID</v>
      </c>
      <c r="J187" s="85" t="str">
        <f>Tabela1[[#This Row],[BDKRB2]]</f>
        <v>(+9,+9)</v>
      </c>
      <c r="K187" s="85">
        <f>Tabela1[[#This Row],[Score Força%]]</f>
        <v>45.8333333333333</v>
      </c>
      <c r="L187" s="193">
        <f>Tabela1[[#This Row],[Score Resistência %]]</f>
        <v>54.1666666666667</v>
      </c>
      <c r="M187" s="192">
        <f>Tabela1[[#This Row],[Pré CK (U/L)]]</f>
        <v>264</v>
      </c>
      <c r="N187" s="85">
        <f>Tabela1[[#This Row],[Pós CK (U/L)]]</f>
        <v>5508</v>
      </c>
      <c r="O187" s="85">
        <f>Tabela1[[#This Row],[Pré CK MB U/L]]</f>
        <v>23</v>
      </c>
      <c r="P187" s="85">
        <f>Tabela1[[#This Row],[Pós CK MB U/L]]</f>
        <v>72</v>
      </c>
      <c r="Q187" s="85" t="str">
        <f>Tabela1[[#This Row],[Pré Lactato (mmol/L)]]</f>
        <v>-</v>
      </c>
      <c r="R187" s="85" t="str">
        <f>Tabela1[[#This Row],[Pós Lactato (mmol/L)]]</f>
        <v>-</v>
      </c>
      <c r="S187" s="85" t="str">
        <f>Tabela1[[#This Row],[Pré LDH (U/L)]]</f>
        <v>-</v>
      </c>
      <c r="T187" s="85" t="str">
        <f>Tabela1[[#This Row],[Pós LDH (U/L)]]</f>
        <v>-</v>
      </c>
      <c r="U187" s="85">
        <f>Tabela1[[#This Row],[Pré AST (U/L)]]</f>
        <v>32</v>
      </c>
      <c r="V187" s="193">
        <f>Tabela1[[#This Row],[Pós AST (U/L)]]</f>
        <v>132</v>
      </c>
      <c r="W187" s="194">
        <f>Tabela1[[#This Row],[Pré Albumina (g/dL)]]</f>
        <v>4.5</v>
      </c>
      <c r="X187" s="125">
        <f>Tabela1[[#This Row],[Pós Albumina (g/dL)]]</f>
        <v>4.0999999999999996</v>
      </c>
      <c r="Y187" s="85">
        <f>Tabela1[[#This Row],[Pré TGP (g/dL)]]</f>
        <v>42</v>
      </c>
      <c r="Z187" s="85">
        <f>Tabela1[[#This Row],[Pós TGP (g/dL)]]</f>
        <v>83</v>
      </c>
      <c r="AA187" s="85" t="str">
        <f>Tabela1[[#This Row],[Pré GGT U/L]]</f>
        <v>-</v>
      </c>
      <c r="AB187" s="193" t="str">
        <f>Tabela1[[#This Row],[Pós GGT U/L]]</f>
        <v>-</v>
      </c>
      <c r="AC187" s="194">
        <f>Tabela1[[#This Row],[Pré Ac. Úrico (mg/dL)]]</f>
        <v>4.7</v>
      </c>
      <c r="AD187" s="125">
        <f>Tabela1[[#This Row],[Pós Ac. Úrico (mg/dL)2]]</f>
        <v>6.2</v>
      </c>
      <c r="AE18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8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87" s="85">
        <f>Tabela1[[#This Row],[Pré Ureia mg/dL]]</f>
        <v>45</v>
      </c>
      <c r="AH187" s="85">
        <f>Tabela1[[#This Row],[Pós Ureia mg/dL]]</f>
        <v>58</v>
      </c>
      <c r="AI187" s="125">
        <f>Tabela1[[#This Row],[Pré creatinina mg/dL]]</f>
        <v>1.1000000000000001</v>
      </c>
      <c r="AJ187" s="125">
        <f>Tabela1[[#This Row],[Pós creatinina mg/dL]]</f>
        <v>1.1000000000000001</v>
      </c>
      <c r="AK187" s="180">
        <f t="shared" si="8"/>
        <v>0</v>
      </c>
      <c r="AL187" s="125" t="str">
        <f>Tabela1[[#This Row],[Pré Fósforo mg/dL]]</f>
        <v>-</v>
      </c>
      <c r="AM187" s="125" t="str">
        <f>Tabela1[[#This Row],[Pós Fósforo mg/dL]]</f>
        <v>-</v>
      </c>
      <c r="AN187" s="125">
        <f>Tabela1[[#This Row],[Pré Proteína Total (g/dL)]]</f>
        <v>7.6</v>
      </c>
      <c r="AO187" s="125">
        <f>Tabela1[[#This Row],[Pós Proteína Total (g/dL)]]</f>
        <v>7.3</v>
      </c>
      <c r="AP187" s="85" t="str">
        <f>Tabela1[[#This Row],[Pré FE (ug/dL)]]</f>
        <v>-</v>
      </c>
      <c r="AQ187" s="193" t="str">
        <f>Tabela1[[#This Row],[Pós FE (ug/dL)]]</f>
        <v>-</v>
      </c>
      <c r="AR187" s="194">
        <f>Tabela1[[#This Row],[Pré calcio mg/dL]]</f>
        <v>10.1</v>
      </c>
      <c r="AS187" s="125">
        <f>Tabela1[[#This Row],[Pós calcio mg/dL]]</f>
        <v>9.3000000000000007</v>
      </c>
      <c r="AT187" s="125">
        <f>Tabela1[[#This Row],[Pré Potássio mmol/L]]</f>
        <v>4</v>
      </c>
      <c r="AU187" s="125">
        <f>Tabela1[[#This Row],[Pós Potássio mmol/L]]</f>
        <v>3.6</v>
      </c>
      <c r="AV187" s="85">
        <f>Tabela1[[#This Row],[Glicose pré]]</f>
        <v>114</v>
      </c>
      <c r="AW187" s="85">
        <f>Tabela1[[#This Row],[Glicose pós]]</f>
        <v>0</v>
      </c>
      <c r="AX187" s="85">
        <f>Tabela1[[#This Row],[Pré Sódio mmol/L]]</f>
        <v>142</v>
      </c>
      <c r="AY187" s="85">
        <f>Tabela1[[#This Row],[Pós Sódio mmol/L]]</f>
        <v>140</v>
      </c>
      <c r="AZ187" s="125" t="str">
        <f>Tabela1[[#This Row],[Pré Magnésio mg/dL]]</f>
        <v>-</v>
      </c>
      <c r="BA187" s="125" t="str">
        <f>Tabela1[[#This Row],[Pós Magnésio mg/dL]]</f>
        <v>-</v>
      </c>
      <c r="BB187" s="85" t="str">
        <f>Tabela1[[#This Row],[Pré Cloro mmol/L]]</f>
        <v>-</v>
      </c>
      <c r="BC187" s="85" t="str">
        <f>Tabela1[[#This Row],[Pós Cloro mmol/L]]</f>
        <v>-</v>
      </c>
      <c r="BD18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300.34333333333336</v>
      </c>
      <c r="BE18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290.76266666666669</v>
      </c>
      <c r="BF187" s="194">
        <f>Tabela1[[#This Row],[Pré RBC 10^6/mm³]]</f>
        <v>4.8600000000000003</v>
      </c>
      <c r="BG187" s="125">
        <f>Tabela1[[#This Row],[Pós RBC 10^6/mm³]]</f>
        <v>4.3899999999999997</v>
      </c>
      <c r="BH187" s="125">
        <f>Tabela1[[#This Row],[Pré HGB g/dL]]</f>
        <v>13.8</v>
      </c>
      <c r="BI187" s="125">
        <f>Tabela1[[#This Row],[Pós HGB g/dL]]</f>
        <v>12.5</v>
      </c>
      <c r="BJ187" s="125">
        <f>Tabela1[[#This Row],[Pré HCT %]]</f>
        <v>43.6</v>
      </c>
      <c r="BK187" s="125">
        <f>Tabela1[[#This Row],[Pós HCT %]]</f>
        <v>39.5</v>
      </c>
      <c r="BL187" s="125">
        <f>Tabela1[[#This Row],[Pré MCV fL]]</f>
        <v>89.7</v>
      </c>
      <c r="BM187" s="125">
        <f>Tabela1[[#This Row],[Pós MCV fL]]</f>
        <v>90</v>
      </c>
      <c r="BN187" s="125">
        <f>Tabela1[[#This Row],[Pré MCH pg]]</f>
        <v>28.4</v>
      </c>
      <c r="BO187" s="125">
        <f>Tabela1[[#This Row],[Pós MCH pg]]</f>
        <v>28.5</v>
      </c>
      <c r="BP187" s="125">
        <f>Tabela1[[#This Row],[Pré MCHC g/dL]]</f>
        <v>31.7</v>
      </c>
      <c r="BQ187" s="125">
        <f>Tabela1[[#This Row],[Pós MCHC g/dL]]</f>
        <v>31.6</v>
      </c>
      <c r="BR187" s="85">
        <f>Tabela1[[#This Row],[Pré PLT 10³/mm³]]</f>
        <v>169</v>
      </c>
      <c r="BS187" s="85">
        <f>Tabela1[[#This Row],[Pós PLT 10³/mm³]]</f>
        <v>171</v>
      </c>
      <c r="BT187" s="125">
        <f>Tabela1[[#This Row],[Pré RDW %]]</f>
        <v>12.2</v>
      </c>
      <c r="BU187" s="125">
        <f>Tabela1[[#This Row],[Pós RDW %]]</f>
        <v>12.6</v>
      </c>
      <c r="BV187" s="179">
        <f>Tabela1[[#This Row],[Pré RET %]]</f>
        <v>1.17</v>
      </c>
      <c r="BW187" s="196">
        <f>Tabela1[[#This Row],[Pós RET %]]</f>
        <v>1.07</v>
      </c>
      <c r="BX187" s="197">
        <f>Tabela1[[#This Row],[Pré WBC 10³/mm³]]</f>
        <v>5.52</v>
      </c>
      <c r="BY187" s="179">
        <f>Tabela1[[#This Row],[Pós WBC 10³/mm³]]</f>
        <v>8.99</v>
      </c>
      <c r="BZ187" s="125">
        <f>Tabela1[[#This Row],[Pré NEUT %]]</f>
        <v>52.9</v>
      </c>
      <c r="CA187" s="125">
        <f>Tabela1[[#This Row],[Pós NEUT %]]</f>
        <v>48.4</v>
      </c>
      <c r="CB187" s="125">
        <f>Tabela1[[#This Row],[Pré LINF %]]</f>
        <v>36.6</v>
      </c>
      <c r="CC187" s="125">
        <f>Tabela1[[#This Row],[Pós LINF %]]</f>
        <v>40.299999999999997</v>
      </c>
      <c r="CD187" s="125">
        <f>Tabela1[[#This Row],[Pré MONO %]]</f>
        <v>7.6</v>
      </c>
      <c r="CE187" s="125">
        <f>Tabela1[[#This Row],[Pós MONO %]]</f>
        <v>9.1</v>
      </c>
      <c r="CF187" s="125">
        <f>Tabela1[[#This Row],[Pré EOS %]]</f>
        <v>2.9</v>
      </c>
      <c r="CG187" s="125">
        <f>Tabela1[[#This Row],[Pós EOS %]]</f>
        <v>2.2000000000000002</v>
      </c>
      <c r="CH187" s="125">
        <f>Tabela1[[#This Row],[Pré BASO %]]</f>
        <v>0</v>
      </c>
      <c r="CI187" s="198">
        <f>Tabela1[[#This Row],[Pós BASO %]]</f>
        <v>0</v>
      </c>
      <c r="CJ187" s="199" t="str">
        <f t="shared" si="9"/>
        <v>NÃO</v>
      </c>
      <c r="CK187" s="200" t="str">
        <f t="shared" si="10"/>
        <v>SIM</v>
      </c>
      <c r="CL187" s="194">
        <f t="shared" si="11"/>
        <v>82.029080000000008</v>
      </c>
      <c r="CM187" s="125">
        <f>Tabela1[[#This Row],[MCT KG]]</f>
        <v>90.7</v>
      </c>
      <c r="CN187" s="85">
        <f>Tabela1[[#This Row],[ESTATURA]]</f>
        <v>191</v>
      </c>
      <c r="CO187" s="85">
        <f>Tabela1[[#This Row],[vo2max estimado]]</f>
        <v>50.01</v>
      </c>
      <c r="CP187" s="85">
        <f>Tabela1[[#This Row],[Handgrip     Dominante]]</f>
        <v>56.5</v>
      </c>
      <c r="CQ187" s="85">
        <f>Tabela1[[#This Row],[Handgrip Contrário]]</f>
        <v>54.5</v>
      </c>
      <c r="CR187" s="281">
        <f>Tabela1[[#This Row],[% gordura]]</f>
        <v>9.56</v>
      </c>
    </row>
    <row r="188" spans="1:96" ht="15.75" customHeight="1">
      <c r="A188" s="279">
        <f>Tabela1[[#This Row],[Ano]]</f>
        <v>2018</v>
      </c>
      <c r="B188" s="181" t="str">
        <f>Tabela1[[#This Row],[Missão]]</f>
        <v>Natal</v>
      </c>
      <c r="C188" s="181">
        <f>Tabela1[[#This Row],[Aluno]]</f>
        <v>3181</v>
      </c>
      <c r="D188" s="181">
        <f>Tabela1[[#This Row],[Idade]]</f>
        <v>28</v>
      </c>
      <c r="E188" s="182">
        <f>Tabela1[[#This Row],[Peso Kg]]</f>
        <v>82</v>
      </c>
      <c r="F188" s="191">
        <f>Tabela1[[#This Row],[Cor da pele]]</f>
        <v>0</v>
      </c>
      <c r="G188" s="192" t="str">
        <f>Tabela1[[#This Row],[ACTN3]]</f>
        <v>RX</v>
      </c>
      <c r="H188" s="85" t="str">
        <f>Tabela1[[#This Row],[AGT]]</f>
        <v>MT</v>
      </c>
      <c r="I188" s="85" t="str">
        <f>Tabela1[[#This Row],[ECA]]</f>
        <v>ID</v>
      </c>
      <c r="J188" s="85" t="str">
        <f>Tabela1[[#This Row],[BDKRB2]]</f>
        <v>(+9,-9)</v>
      </c>
      <c r="K188" s="85">
        <f>Tabela1[[#This Row],[Score Força%]]</f>
        <v>54.1666666666667</v>
      </c>
      <c r="L188" s="193">
        <f>Tabela1[[#This Row],[Score Resistência %]]</f>
        <v>45.8333333333333</v>
      </c>
      <c r="M188" s="192">
        <f>Tabela1[[#This Row],[Pré CK (U/L)]]</f>
        <v>197</v>
      </c>
      <c r="N188" s="85">
        <f>Tabela1[[#This Row],[Pós CK (U/L)]]</f>
        <v>1412</v>
      </c>
      <c r="O188" s="85">
        <f>Tabela1[[#This Row],[Pré CK MB U/L]]</f>
        <v>23</v>
      </c>
      <c r="P188" s="85">
        <f>Tabela1[[#This Row],[Pós CK MB U/L]]</f>
        <v>41</v>
      </c>
      <c r="Q188" s="85" t="str">
        <f>Tabela1[[#This Row],[Pré Lactato (mmol/L)]]</f>
        <v>-</v>
      </c>
      <c r="R188" s="85" t="str">
        <f>Tabela1[[#This Row],[Pós Lactato (mmol/L)]]</f>
        <v>-</v>
      </c>
      <c r="S188" s="85" t="str">
        <f>Tabela1[[#This Row],[Pré LDH (U/L)]]</f>
        <v>-</v>
      </c>
      <c r="T188" s="85" t="str">
        <f>Tabela1[[#This Row],[Pós LDH (U/L)]]</f>
        <v>-</v>
      </c>
      <c r="U188" s="85">
        <f>Tabela1[[#This Row],[Pré AST (U/L)]]</f>
        <v>34</v>
      </c>
      <c r="V188" s="193">
        <f>Tabela1[[#This Row],[Pós AST (U/L)]]</f>
        <v>75</v>
      </c>
      <c r="W188" s="194">
        <f>Tabela1[[#This Row],[Pré Albumina (g/dL)]]</f>
        <v>4.0999999999999996</v>
      </c>
      <c r="X188" s="125">
        <f>Tabela1[[#This Row],[Pós Albumina (g/dL)]]</f>
        <v>4</v>
      </c>
      <c r="Y188" s="85">
        <f>Tabela1[[#This Row],[Pré TGP (g/dL)]]</f>
        <v>27</v>
      </c>
      <c r="Z188" s="85">
        <f>Tabela1[[#This Row],[Pós TGP (g/dL)]]</f>
        <v>48</v>
      </c>
      <c r="AA188" s="85" t="str">
        <f>Tabela1[[#This Row],[Pré GGT U/L]]</f>
        <v>-</v>
      </c>
      <c r="AB188" s="193" t="str">
        <f>Tabela1[[#This Row],[Pós GGT U/L]]</f>
        <v>-</v>
      </c>
      <c r="AC188" s="194">
        <f>Tabela1[[#This Row],[Pré Ac. Úrico (mg/dL)]]</f>
        <v>4.5999999999999996</v>
      </c>
      <c r="AD188" s="125">
        <f>Tabela1[[#This Row],[Pós Ac. Úrico (mg/dL)2]]</f>
        <v>5.2</v>
      </c>
      <c r="AE18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8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88" s="85">
        <f>Tabela1[[#This Row],[Pré Ureia mg/dL]]</f>
        <v>46</v>
      </c>
      <c r="AH188" s="85">
        <f>Tabela1[[#This Row],[Pós Ureia mg/dL]]</f>
        <v>48</v>
      </c>
      <c r="AI188" s="125">
        <f>Tabela1[[#This Row],[Pré creatinina mg/dL]]</f>
        <v>1.1000000000000001</v>
      </c>
      <c r="AJ188" s="125">
        <f>Tabela1[[#This Row],[Pós creatinina mg/dL]]</f>
        <v>1.1000000000000001</v>
      </c>
      <c r="AK188" s="180">
        <f t="shared" si="8"/>
        <v>0</v>
      </c>
      <c r="AL188" s="125" t="str">
        <f>Tabela1[[#This Row],[Pré Fósforo mg/dL]]</f>
        <v>-</v>
      </c>
      <c r="AM188" s="125" t="str">
        <f>Tabela1[[#This Row],[Pós Fósforo mg/dL]]</f>
        <v>-</v>
      </c>
      <c r="AN188" s="125">
        <f>Tabela1[[#This Row],[Pré Proteína Total (g/dL)]]</f>
        <v>6.9</v>
      </c>
      <c r="AO188" s="125">
        <f>Tabela1[[#This Row],[Pós Proteína Total (g/dL)]]</f>
        <v>7</v>
      </c>
      <c r="AP188" s="85" t="str">
        <f>Tabela1[[#This Row],[Pré FE (ug/dL)]]</f>
        <v>-</v>
      </c>
      <c r="AQ188" s="193" t="str">
        <f>Tabela1[[#This Row],[Pós FE (ug/dL)]]</f>
        <v>-</v>
      </c>
      <c r="AR188" s="194">
        <f>Tabela1[[#This Row],[Pré calcio mg/dL]]</f>
        <v>9.4</v>
      </c>
      <c r="AS188" s="125">
        <f>Tabela1[[#This Row],[Pós calcio mg/dL]]</f>
        <v>9.1999999999999993</v>
      </c>
      <c r="AT188" s="125">
        <f>Tabela1[[#This Row],[Pré Potássio mmol/L]]</f>
        <v>4</v>
      </c>
      <c r="AU188" s="125">
        <f>Tabela1[[#This Row],[Pós Potássio mmol/L]]</f>
        <v>4.3</v>
      </c>
      <c r="AV188" s="85">
        <f>Tabela1[[#This Row],[Glicose pré]]</f>
        <v>117</v>
      </c>
      <c r="AW188" s="85">
        <f>Tabela1[[#This Row],[Glicose pós]]</f>
        <v>0</v>
      </c>
      <c r="AX188" s="85">
        <f>Tabela1[[#This Row],[Pré Sódio mmol/L]]</f>
        <v>141</v>
      </c>
      <c r="AY188" s="85">
        <f>Tabela1[[#This Row],[Pós Sódio mmol/L]]</f>
        <v>138</v>
      </c>
      <c r="AZ188" s="125" t="str">
        <f>Tabela1[[#This Row],[Pré Magnésio mg/dL]]</f>
        <v>-</v>
      </c>
      <c r="BA188" s="125" t="str">
        <f>Tabela1[[#This Row],[Pós Magnésio mg/dL]]</f>
        <v>-</v>
      </c>
      <c r="BB188" s="85" t="str">
        <f>Tabela1[[#This Row],[Pré Cloro mmol/L]]</f>
        <v>-</v>
      </c>
      <c r="BC188" s="85" t="str">
        <f>Tabela1[[#This Row],[Pós Cloro mmol/L]]</f>
        <v>-</v>
      </c>
      <c r="BD18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298.8416666666667</v>
      </c>
      <c r="BE18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286.67800000000005</v>
      </c>
      <c r="BF188" s="194">
        <f>Tabela1[[#This Row],[Pré RBC 10^6/mm³]]</f>
        <v>4.87</v>
      </c>
      <c r="BG188" s="125">
        <f>Tabela1[[#This Row],[Pós RBC 10^6/mm³]]</f>
        <v>4.6900000000000004</v>
      </c>
      <c r="BH188" s="125">
        <f>Tabela1[[#This Row],[Pré HGB g/dL]]</f>
        <v>14.4</v>
      </c>
      <c r="BI188" s="125">
        <f>Tabela1[[#This Row],[Pós HGB g/dL]]</f>
        <v>14</v>
      </c>
      <c r="BJ188" s="125">
        <f>Tabela1[[#This Row],[Pré HCT %]]</f>
        <v>44.4</v>
      </c>
      <c r="BK188" s="125">
        <f>Tabela1[[#This Row],[Pós HCT %]]</f>
        <v>42.9</v>
      </c>
      <c r="BL188" s="125">
        <f>Tabela1[[#This Row],[Pré MCV fL]]</f>
        <v>91.2</v>
      </c>
      <c r="BM188" s="125">
        <f>Tabela1[[#This Row],[Pós MCV fL]]</f>
        <v>91.5</v>
      </c>
      <c r="BN188" s="125">
        <f>Tabela1[[#This Row],[Pré MCH pg]]</f>
        <v>29.6</v>
      </c>
      <c r="BO188" s="125">
        <f>Tabela1[[#This Row],[Pós MCH pg]]</f>
        <v>29.9</v>
      </c>
      <c r="BP188" s="125">
        <f>Tabela1[[#This Row],[Pré MCHC g/dL]]</f>
        <v>32.4</v>
      </c>
      <c r="BQ188" s="125">
        <f>Tabela1[[#This Row],[Pós MCHC g/dL]]</f>
        <v>32.6</v>
      </c>
      <c r="BR188" s="85">
        <f>Tabela1[[#This Row],[Pré PLT 10³/mm³]]</f>
        <v>220</v>
      </c>
      <c r="BS188" s="85">
        <f>Tabela1[[#This Row],[Pós PLT 10³/mm³]]</f>
        <v>228</v>
      </c>
      <c r="BT188" s="125">
        <f>Tabela1[[#This Row],[Pré RDW %]]</f>
        <v>11.9</v>
      </c>
      <c r="BU188" s="125">
        <f>Tabela1[[#This Row],[Pós RDW %]]</f>
        <v>12.5</v>
      </c>
      <c r="BV188" s="179">
        <f>Tabela1[[#This Row],[Pré RET %]]</f>
        <v>1.19</v>
      </c>
      <c r="BW188" s="196">
        <f>Tabela1[[#This Row],[Pós RET %]]</f>
        <v>1.35</v>
      </c>
      <c r="BX188" s="197">
        <f>Tabela1[[#This Row],[Pré WBC 10³/mm³]]</f>
        <v>5.96</v>
      </c>
      <c r="BY188" s="179">
        <f>Tabela1[[#This Row],[Pós WBC 10³/mm³]]</f>
        <v>9.19</v>
      </c>
      <c r="BZ188" s="125">
        <f>Tabela1[[#This Row],[Pré NEUT %]]</f>
        <v>70.099999999999994</v>
      </c>
      <c r="CA188" s="125">
        <f>Tabela1[[#This Row],[Pós NEUT %]]</f>
        <v>86.8</v>
      </c>
      <c r="CB188" s="125">
        <f>Tabela1[[#This Row],[Pré LINF %]]</f>
        <v>19.600000000000001</v>
      </c>
      <c r="CC188" s="125">
        <f>Tabela1[[#This Row],[Pós LINF %]]</f>
        <v>9</v>
      </c>
      <c r="CD188" s="125">
        <f>Tabela1[[#This Row],[Pré MONO %]]</f>
        <v>8.1</v>
      </c>
      <c r="CE188" s="125">
        <f>Tabela1[[#This Row],[Pós MONO %]]</f>
        <v>4.2</v>
      </c>
      <c r="CF188" s="125">
        <f>Tabela1[[#This Row],[Pré EOS %]]</f>
        <v>2.2000000000000002</v>
      </c>
      <c r="CG188" s="125">
        <f>Tabela1[[#This Row],[Pós EOS %]]</f>
        <v>0</v>
      </c>
      <c r="CH188" s="125">
        <f>Tabela1[[#This Row],[Pré BASO %]]</f>
        <v>0</v>
      </c>
      <c r="CI188" s="198">
        <f>Tabela1[[#This Row],[Pós BASO %]]</f>
        <v>0</v>
      </c>
      <c r="CJ188" s="199" t="str">
        <f t="shared" si="9"/>
        <v>NÃO</v>
      </c>
      <c r="CK188" s="200" t="str">
        <f t="shared" si="10"/>
        <v>SIM</v>
      </c>
      <c r="CL188" s="194">
        <f t="shared" si="11"/>
        <v>77.353679999999997</v>
      </c>
      <c r="CM188" s="125">
        <f>Tabela1[[#This Row],[MCT KG]]</f>
        <v>84.3</v>
      </c>
      <c r="CN188" s="85">
        <f>Tabela1[[#This Row],[ESTATURA]]</f>
        <v>190</v>
      </c>
      <c r="CO188" s="85">
        <f>Tabela1[[#This Row],[vo2max estimado]]</f>
        <v>51.12</v>
      </c>
      <c r="CP188" s="85">
        <f>Tabela1[[#This Row],[Handgrip     Dominante]]</f>
        <v>54.5</v>
      </c>
      <c r="CQ188" s="85">
        <f>Tabela1[[#This Row],[Handgrip Contrário]]</f>
        <v>50.5</v>
      </c>
      <c r="CR188" s="281">
        <f>Tabela1[[#This Row],[% gordura]]</f>
        <v>8.24</v>
      </c>
    </row>
    <row r="189" spans="1:96" ht="15.75" customHeight="1">
      <c r="A189" s="279">
        <f>Tabela1[[#This Row],[Ano]]</f>
        <v>2018</v>
      </c>
      <c r="B189" s="181" t="str">
        <f>Tabela1[[#This Row],[Missão]]</f>
        <v>Natal</v>
      </c>
      <c r="C189" s="181">
        <f>Tabela1[[#This Row],[Aluno]]</f>
        <v>3183</v>
      </c>
      <c r="D189" s="181">
        <f>Tabela1[[#This Row],[Idade]]</f>
        <v>26</v>
      </c>
      <c r="E189" s="182">
        <f>Tabela1[[#This Row],[Peso Kg]]</f>
        <v>90</v>
      </c>
      <c r="F189" s="191">
        <f>Tabela1[[#This Row],[Cor da pele]]</f>
        <v>1</v>
      </c>
      <c r="G189" s="192" t="str">
        <f>Tabela1[[#This Row],[ACTN3]]</f>
        <v>-</v>
      </c>
      <c r="H189" s="85" t="str">
        <f>Tabela1[[#This Row],[AGT]]</f>
        <v>-</v>
      </c>
      <c r="I189" s="85" t="str">
        <f>Tabela1[[#This Row],[ECA]]</f>
        <v>-</v>
      </c>
      <c r="J189" s="85" t="str">
        <f>Tabela1[[#This Row],[BDKRB2]]</f>
        <v>-</v>
      </c>
      <c r="K189" s="85" t="str">
        <f>Tabela1[[#This Row],[Score Força%]]</f>
        <v>-</v>
      </c>
      <c r="L189" s="193" t="str">
        <f>Tabela1[[#This Row],[Score Resistência %]]</f>
        <v>-</v>
      </c>
      <c r="M189" s="192">
        <f>Tabela1[[#This Row],[Pré CK (U/L)]]</f>
        <v>177</v>
      </c>
      <c r="N189" s="85">
        <f>Tabela1[[#This Row],[Pós CK (U/L)]]</f>
        <v>540</v>
      </c>
      <c r="O189" s="85">
        <f>Tabela1[[#This Row],[Pré CK MB U/L]]</f>
        <v>24</v>
      </c>
      <c r="P189" s="85">
        <f>Tabela1[[#This Row],[Pós CK MB U/L]]</f>
        <v>26</v>
      </c>
      <c r="Q189" s="85" t="str">
        <f>Tabela1[[#This Row],[Pré Lactato (mmol/L)]]</f>
        <v>-</v>
      </c>
      <c r="R189" s="85" t="str">
        <f>Tabela1[[#This Row],[Pós Lactato (mmol/L)]]</f>
        <v>-</v>
      </c>
      <c r="S189" s="85" t="str">
        <f>Tabela1[[#This Row],[Pré LDH (U/L)]]</f>
        <v>-</v>
      </c>
      <c r="T189" s="85" t="str">
        <f>Tabela1[[#This Row],[Pós LDH (U/L)]]</f>
        <v>-</v>
      </c>
      <c r="U189" s="85">
        <f>Tabela1[[#This Row],[Pré AST (U/L)]]</f>
        <v>25</v>
      </c>
      <c r="V189" s="193">
        <f>Tabela1[[#This Row],[Pós AST (U/L)]]</f>
        <v>34</v>
      </c>
      <c r="W189" s="194">
        <f>Tabela1[[#This Row],[Pré Albumina (g/dL)]]</f>
        <v>4.0999999999999996</v>
      </c>
      <c r="X189" s="125">
        <f>Tabela1[[#This Row],[Pós Albumina (g/dL)]]</f>
        <v>4</v>
      </c>
      <c r="Y189" s="85">
        <f>Tabela1[[#This Row],[Pré TGP (g/dL)]]</f>
        <v>31</v>
      </c>
      <c r="Z189" s="85">
        <f>Tabela1[[#This Row],[Pós TGP (g/dL)]]</f>
        <v>37</v>
      </c>
      <c r="AA189" s="85" t="str">
        <f>Tabela1[[#This Row],[Pré GGT U/L]]</f>
        <v>-</v>
      </c>
      <c r="AB189" s="193" t="str">
        <f>Tabela1[[#This Row],[Pós GGT U/L]]</f>
        <v>-</v>
      </c>
      <c r="AC189" s="194">
        <f>Tabela1[[#This Row],[Pré Ac. Úrico (mg/dL)]]</f>
        <v>4.8</v>
      </c>
      <c r="AD189" s="125">
        <f>Tabela1[[#This Row],[Pós Ac. Úrico (mg/dL)2]]</f>
        <v>6.1</v>
      </c>
      <c r="AE18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8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89" s="85">
        <f>Tabela1[[#This Row],[Pré Ureia mg/dL]]</f>
        <v>30</v>
      </c>
      <c r="AH189" s="85">
        <f>Tabela1[[#This Row],[Pós Ureia mg/dL]]</f>
        <v>35</v>
      </c>
      <c r="AI189" s="125">
        <f>Tabela1[[#This Row],[Pré creatinina mg/dL]]</f>
        <v>0.9</v>
      </c>
      <c r="AJ189" s="125">
        <f>Tabela1[[#This Row],[Pós creatinina mg/dL]]</f>
        <v>1</v>
      </c>
      <c r="AK189" s="180">
        <f t="shared" si="8"/>
        <v>9.9999999999999978E-2</v>
      </c>
      <c r="AL189" s="125" t="str">
        <f>Tabela1[[#This Row],[Pré Fósforo mg/dL]]</f>
        <v>-</v>
      </c>
      <c r="AM189" s="125" t="str">
        <f>Tabela1[[#This Row],[Pós Fósforo mg/dL]]</f>
        <v>-</v>
      </c>
      <c r="AN189" s="125">
        <f>Tabela1[[#This Row],[Pré Proteína Total (g/dL)]]</f>
        <v>7.1</v>
      </c>
      <c r="AO189" s="125">
        <f>Tabela1[[#This Row],[Pós Proteína Total (g/dL)]]</f>
        <v>7.1</v>
      </c>
      <c r="AP189" s="85" t="str">
        <f>Tabela1[[#This Row],[Pré FE (ug/dL)]]</f>
        <v>-</v>
      </c>
      <c r="AQ189" s="193" t="str">
        <f>Tabela1[[#This Row],[Pós FE (ug/dL)]]</f>
        <v>-</v>
      </c>
      <c r="AR189" s="194">
        <f>Tabela1[[#This Row],[Pré calcio mg/dL]]</f>
        <v>9.4</v>
      </c>
      <c r="AS189" s="125">
        <f>Tabela1[[#This Row],[Pós calcio mg/dL]]</f>
        <v>9</v>
      </c>
      <c r="AT189" s="125">
        <f>Tabela1[[#This Row],[Pré Potássio mmol/L]]</f>
        <v>4</v>
      </c>
      <c r="AU189" s="125">
        <f>Tabela1[[#This Row],[Pós Potássio mmol/L]]</f>
        <v>4</v>
      </c>
      <c r="AV189" s="85">
        <f>Tabela1[[#This Row],[Glicose pré]]</f>
        <v>94</v>
      </c>
      <c r="AW189" s="85">
        <f>Tabela1[[#This Row],[Glicose pós]]</f>
        <v>0</v>
      </c>
      <c r="AX189" s="85">
        <f>Tabela1[[#This Row],[Pré Sódio mmol/L]]</f>
        <v>143</v>
      </c>
      <c r="AY189" s="85">
        <f>Tabela1[[#This Row],[Pós Sódio mmol/L]]</f>
        <v>441</v>
      </c>
      <c r="AZ189" s="125" t="str">
        <f>Tabela1[[#This Row],[Pré Magnésio mg/dL]]</f>
        <v>-</v>
      </c>
      <c r="BA189" s="125" t="str">
        <f>Tabela1[[#This Row],[Pós Magnésio mg/dL]]</f>
        <v>-</v>
      </c>
      <c r="BB189" s="85" t="str">
        <f>Tabela1[[#This Row],[Pré Cloro mmol/L]]</f>
        <v>-</v>
      </c>
      <c r="BC189" s="85" t="str">
        <f>Tabela1[[#This Row],[Pós Cloro mmol/L]]</f>
        <v>-</v>
      </c>
      <c r="BD18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298.42555555555555</v>
      </c>
      <c r="BE18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847.53333333333342</v>
      </c>
      <c r="BF189" s="194">
        <f>Tabela1[[#This Row],[Pré RBC 10^6/mm³]]</f>
        <v>4.96</v>
      </c>
      <c r="BG189" s="125">
        <f>Tabela1[[#This Row],[Pós RBC 10^6/mm³]]</f>
        <v>4.5</v>
      </c>
      <c r="BH189" s="125">
        <f>Tabela1[[#This Row],[Pré HGB g/dL]]</f>
        <v>14</v>
      </c>
      <c r="BI189" s="125">
        <f>Tabela1[[#This Row],[Pós HGB g/dL]]</f>
        <v>12.8</v>
      </c>
      <c r="BJ189" s="125">
        <f>Tabela1[[#This Row],[Pré HCT %]]</f>
        <v>43.4</v>
      </c>
      <c r="BK189" s="125">
        <f>Tabela1[[#This Row],[Pós HCT %]]</f>
        <v>39.6</v>
      </c>
      <c r="BL189" s="125">
        <f>Tabela1[[#This Row],[Pré MCV fL]]</f>
        <v>87.5</v>
      </c>
      <c r="BM189" s="125">
        <f>Tabela1[[#This Row],[Pós MCV fL]]</f>
        <v>88</v>
      </c>
      <c r="BN189" s="125">
        <f>Tabela1[[#This Row],[Pré MCH pg]]</f>
        <v>28.2</v>
      </c>
      <c r="BO189" s="125">
        <f>Tabela1[[#This Row],[Pós MCH pg]]</f>
        <v>28.4</v>
      </c>
      <c r="BP189" s="125">
        <f>Tabela1[[#This Row],[Pré MCHC g/dL]]</f>
        <v>32.299999999999997</v>
      </c>
      <c r="BQ189" s="125">
        <f>Tabela1[[#This Row],[Pós MCHC g/dL]]</f>
        <v>32.299999999999997</v>
      </c>
      <c r="BR189" s="85">
        <f>Tabela1[[#This Row],[Pré PLT 10³/mm³]]</f>
        <v>252</v>
      </c>
      <c r="BS189" s="85">
        <f>Tabela1[[#This Row],[Pós PLT 10³/mm³]]</f>
        <v>286</v>
      </c>
      <c r="BT189" s="125">
        <f>Tabela1[[#This Row],[Pré RDW %]]</f>
        <v>12.6</v>
      </c>
      <c r="BU189" s="125">
        <f>Tabela1[[#This Row],[Pós RDW %]]</f>
        <v>12.9</v>
      </c>
      <c r="BV189" s="179">
        <f>Tabela1[[#This Row],[Pré RET %]]</f>
        <v>1.22</v>
      </c>
      <c r="BW189" s="196">
        <f>Tabela1[[#This Row],[Pós RET %]]</f>
        <v>1.39</v>
      </c>
      <c r="BX189" s="197">
        <f>Tabela1[[#This Row],[Pré WBC 10³/mm³]]</f>
        <v>7.53</v>
      </c>
      <c r="BY189" s="179">
        <f>Tabela1[[#This Row],[Pós WBC 10³/mm³]]</f>
        <v>8.59</v>
      </c>
      <c r="BZ189" s="125">
        <f>Tabela1[[#This Row],[Pré NEUT %]]</f>
        <v>61</v>
      </c>
      <c r="CA189" s="125">
        <f>Tabela1[[#This Row],[Pós NEUT %]]</f>
        <v>56.7</v>
      </c>
      <c r="CB189" s="125">
        <f>Tabela1[[#This Row],[Pré LINF %]]</f>
        <v>25</v>
      </c>
      <c r="CC189" s="125">
        <f>Tabela1[[#This Row],[Pós LINF %]]</f>
        <v>27.6</v>
      </c>
      <c r="CD189" s="125">
        <f>Tabela1[[#This Row],[Pré MONO %]]</f>
        <v>8.1</v>
      </c>
      <c r="CE189" s="125">
        <f>Tabela1[[#This Row],[Pós MONO %]]</f>
        <v>11.9</v>
      </c>
      <c r="CF189" s="125">
        <f>Tabela1[[#This Row],[Pré EOS %]]</f>
        <v>4.9000000000000004</v>
      </c>
      <c r="CG189" s="125">
        <f>Tabela1[[#This Row],[Pós EOS %]]</f>
        <v>3.8</v>
      </c>
      <c r="CH189" s="125">
        <f>Tabela1[[#This Row],[Pré BASO %]]</f>
        <v>0</v>
      </c>
      <c r="CI189" s="198">
        <f>Tabela1[[#This Row],[Pós BASO %]]</f>
        <v>0</v>
      </c>
      <c r="CJ189" s="199" t="str">
        <f t="shared" si="9"/>
        <v>NÃO</v>
      </c>
      <c r="CK189" s="200" t="str">
        <f t="shared" si="10"/>
        <v>NÃO</v>
      </c>
      <c r="CL189" s="194">
        <f t="shared" si="11"/>
        <v>82.441199999999995</v>
      </c>
      <c r="CM189" s="125">
        <f>Tabela1[[#This Row],[MCT KG]]</f>
        <v>92</v>
      </c>
      <c r="CN189" s="85">
        <f>Tabela1[[#This Row],[ESTATURA]]</f>
        <v>174.4</v>
      </c>
      <c r="CO189" s="85">
        <f>Tabela1[[#This Row],[vo2max estimado]]</f>
        <v>49.71</v>
      </c>
      <c r="CP189" s="85">
        <f>Tabela1[[#This Row],[Handgrip     Dominante]]</f>
        <v>55</v>
      </c>
      <c r="CQ189" s="85">
        <f>Tabela1[[#This Row],[Handgrip Contrário]]</f>
        <v>55.5</v>
      </c>
      <c r="CR189" s="281">
        <f>Tabela1[[#This Row],[% gordura]]</f>
        <v>10.39</v>
      </c>
    </row>
    <row r="190" spans="1:96" ht="15.75" customHeight="1">
      <c r="A190" s="279">
        <f>Tabela1[[#This Row],[Ano]]</f>
        <v>2018</v>
      </c>
      <c r="B190" s="181" t="str">
        <f>Tabela1[[#This Row],[Missão]]</f>
        <v>Natal</v>
      </c>
      <c r="C190" s="181">
        <f>Tabela1[[#This Row],[Aluno]]</f>
        <v>3187</v>
      </c>
      <c r="D190" s="181">
        <f>Tabela1[[#This Row],[Idade]]</f>
        <v>25</v>
      </c>
      <c r="E190" s="182">
        <f>Tabela1[[#This Row],[Peso Kg]]</f>
        <v>85</v>
      </c>
      <c r="F190" s="191">
        <f>Tabela1[[#This Row],[Cor da pele]]</f>
        <v>1</v>
      </c>
      <c r="G190" s="192" t="str">
        <f>Tabela1[[#This Row],[ACTN3]]</f>
        <v>RX</v>
      </c>
      <c r="H190" s="85" t="str">
        <f>Tabela1[[#This Row],[AGT]]</f>
        <v>MM</v>
      </c>
      <c r="I190" s="85" t="str">
        <f>Tabela1[[#This Row],[ECA]]</f>
        <v>II</v>
      </c>
      <c r="J190" s="85" t="str">
        <f>Tabela1[[#This Row],[BDKRB2]]</f>
        <v>(+9,-9)</v>
      </c>
      <c r="K190" s="85">
        <f>Tabela1[[#This Row],[Score Força%]]</f>
        <v>25</v>
      </c>
      <c r="L190" s="193">
        <f>Tabela1[[#This Row],[Score Resistência %]]</f>
        <v>75</v>
      </c>
      <c r="M190" s="192">
        <f>Tabela1[[#This Row],[Pré CK (U/L)]]</f>
        <v>143</v>
      </c>
      <c r="N190" s="85">
        <f>Tabela1[[#This Row],[Pós CK (U/L)]]</f>
        <v>1166</v>
      </c>
      <c r="O190" s="85">
        <f>Tabela1[[#This Row],[Pré CK MB U/L]]</f>
        <v>19</v>
      </c>
      <c r="P190" s="85">
        <f>Tabela1[[#This Row],[Pós CK MB U/L]]</f>
        <v>32</v>
      </c>
      <c r="Q190" s="85" t="str">
        <f>Tabela1[[#This Row],[Pré Lactato (mmol/L)]]</f>
        <v>-</v>
      </c>
      <c r="R190" s="85" t="str">
        <f>Tabela1[[#This Row],[Pós Lactato (mmol/L)]]</f>
        <v>-</v>
      </c>
      <c r="S190" s="85" t="str">
        <f>Tabela1[[#This Row],[Pré LDH (U/L)]]</f>
        <v>-</v>
      </c>
      <c r="T190" s="85" t="str">
        <f>Tabela1[[#This Row],[Pós LDH (U/L)]]</f>
        <v>-</v>
      </c>
      <c r="U190" s="85">
        <f>Tabela1[[#This Row],[Pré AST (U/L)]]</f>
        <v>29</v>
      </c>
      <c r="V190" s="193">
        <f>Tabela1[[#This Row],[Pós AST (U/L)]]</f>
        <v>61</v>
      </c>
      <c r="W190" s="194">
        <f>Tabela1[[#This Row],[Pré Albumina (g/dL)]]</f>
        <v>3.9</v>
      </c>
      <c r="X190" s="125">
        <f>Tabela1[[#This Row],[Pós Albumina (g/dL)]]</f>
        <v>4.4000000000000004</v>
      </c>
      <c r="Y190" s="85">
        <f>Tabela1[[#This Row],[Pré TGP (g/dL)]]</f>
        <v>51</v>
      </c>
      <c r="Z190" s="85">
        <f>Tabela1[[#This Row],[Pós TGP (g/dL)]]</f>
        <v>57</v>
      </c>
      <c r="AA190" s="85" t="str">
        <f>Tabela1[[#This Row],[Pré GGT U/L]]</f>
        <v>-</v>
      </c>
      <c r="AB190" s="193" t="str">
        <f>Tabela1[[#This Row],[Pós GGT U/L]]</f>
        <v>-</v>
      </c>
      <c r="AC190" s="194">
        <f>Tabela1[[#This Row],[Pré Ac. Úrico (mg/dL)]]</f>
        <v>5.3</v>
      </c>
      <c r="AD190" s="125">
        <f>Tabela1[[#This Row],[Pós Ac. Úrico (mg/dL)2]]</f>
        <v>7.8</v>
      </c>
      <c r="AE19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9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190" s="85">
        <f>Tabela1[[#This Row],[Pré Ureia mg/dL]]</f>
        <v>41</v>
      </c>
      <c r="AH190" s="85">
        <f>Tabela1[[#This Row],[Pós Ureia mg/dL]]</f>
        <v>52</v>
      </c>
      <c r="AI190" s="125">
        <f>Tabela1[[#This Row],[Pré creatinina mg/dL]]</f>
        <v>1</v>
      </c>
      <c r="AJ190" s="125">
        <f>Tabela1[[#This Row],[Pós creatinina mg/dL]]</f>
        <v>1.2</v>
      </c>
      <c r="AK190" s="180">
        <f t="shared" si="8"/>
        <v>0.19999999999999996</v>
      </c>
      <c r="AL190" s="125" t="str">
        <f>Tabela1[[#This Row],[Pré Fósforo mg/dL]]</f>
        <v>-</v>
      </c>
      <c r="AM190" s="125" t="str">
        <f>Tabela1[[#This Row],[Pós Fósforo mg/dL]]</f>
        <v>-</v>
      </c>
      <c r="AN190" s="125">
        <f>Tabela1[[#This Row],[Pré Proteína Total (g/dL)]]</f>
        <v>7</v>
      </c>
      <c r="AO190" s="125">
        <f>Tabela1[[#This Row],[Pós Proteína Total (g/dL)]]</f>
        <v>7.6</v>
      </c>
      <c r="AP190" s="85" t="str">
        <f>Tabela1[[#This Row],[Pré FE (ug/dL)]]</f>
        <v>-</v>
      </c>
      <c r="AQ190" s="193" t="str">
        <f>Tabela1[[#This Row],[Pós FE (ug/dL)]]</f>
        <v>-</v>
      </c>
      <c r="AR190" s="194">
        <f>Tabela1[[#This Row],[Pré calcio mg/dL]]</f>
        <v>9.3000000000000007</v>
      </c>
      <c r="AS190" s="125">
        <f>Tabela1[[#This Row],[Pós calcio mg/dL]]</f>
        <v>9.5</v>
      </c>
      <c r="AT190" s="125">
        <f>Tabela1[[#This Row],[Pré Potássio mmol/L]]</f>
        <v>4.5999999999999996</v>
      </c>
      <c r="AU190" s="125">
        <f>Tabela1[[#This Row],[Pós Potássio mmol/L]]</f>
        <v>3.7</v>
      </c>
      <c r="AV190" s="85">
        <f>Tabela1[[#This Row],[Glicose pré]]</f>
        <v>110</v>
      </c>
      <c r="AW190" s="85">
        <f>Tabela1[[#This Row],[Glicose pós]]</f>
        <v>0</v>
      </c>
      <c r="AX190" s="85">
        <f>Tabela1[[#This Row],[Pré Sódio mmol/L]]</f>
        <v>143</v>
      </c>
      <c r="AY190" s="85">
        <f>Tabela1[[#This Row],[Pós Sódio mmol/L]]</f>
        <v>141</v>
      </c>
      <c r="AZ190" s="125" t="str">
        <f>Tabela1[[#This Row],[Pré Magnésio mg/dL]]</f>
        <v>-</v>
      </c>
      <c r="BA190" s="125" t="str">
        <f>Tabela1[[#This Row],[Pós Magnésio mg/dL]]</f>
        <v>-</v>
      </c>
      <c r="BB190" s="85" t="str">
        <f>Tabela1[[#This Row],[Pré Cloro mmol/L]]</f>
        <v>-</v>
      </c>
      <c r="BC190" s="85" t="str">
        <f>Tabela1[[#This Row],[Pós Cloro mmol/L]]</f>
        <v>-</v>
      </c>
      <c r="BD19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302.39711111111109</v>
      </c>
      <c r="BE19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291.80866666666668</v>
      </c>
      <c r="BF190" s="194">
        <f>Tabela1[[#This Row],[Pré RBC 10^6/mm³]]</f>
        <v>4.59</v>
      </c>
      <c r="BG190" s="125">
        <f>Tabela1[[#This Row],[Pós RBC 10^6/mm³]]</f>
        <v>4.6399999999999997</v>
      </c>
      <c r="BH190" s="125">
        <f>Tabela1[[#This Row],[Pré HGB g/dL]]</f>
        <v>13</v>
      </c>
      <c r="BI190" s="125">
        <f>Tabela1[[#This Row],[Pós HGB g/dL]]</f>
        <v>13.2</v>
      </c>
      <c r="BJ190" s="125">
        <f>Tabela1[[#This Row],[Pré HCT %]]</f>
        <v>40.299999999999997</v>
      </c>
      <c r="BK190" s="125">
        <f>Tabela1[[#This Row],[Pós HCT %]]</f>
        <v>39.9</v>
      </c>
      <c r="BL190" s="125">
        <f>Tabela1[[#This Row],[Pré MCV fL]]</f>
        <v>87.8</v>
      </c>
      <c r="BM190" s="125">
        <f>Tabela1[[#This Row],[Pós MCV fL]]</f>
        <v>86</v>
      </c>
      <c r="BN190" s="125">
        <f>Tabela1[[#This Row],[Pré MCH pg]]</f>
        <v>28.3</v>
      </c>
      <c r="BO190" s="125">
        <f>Tabela1[[#This Row],[Pós MCH pg]]</f>
        <v>28.4</v>
      </c>
      <c r="BP190" s="125">
        <f>Tabela1[[#This Row],[Pré MCHC g/dL]]</f>
        <v>32.299999999999997</v>
      </c>
      <c r="BQ190" s="125">
        <f>Tabela1[[#This Row],[Pós MCHC g/dL]]</f>
        <v>33.1</v>
      </c>
      <c r="BR190" s="85">
        <f>Tabela1[[#This Row],[Pré PLT 10³/mm³]]</f>
        <v>286</v>
      </c>
      <c r="BS190" s="85">
        <f>Tabela1[[#This Row],[Pós PLT 10³/mm³]]</f>
        <v>272</v>
      </c>
      <c r="BT190" s="125">
        <f>Tabela1[[#This Row],[Pré RDW %]]</f>
        <v>12.5</v>
      </c>
      <c r="BU190" s="125">
        <f>Tabela1[[#This Row],[Pós RDW %]]</f>
        <v>12.6</v>
      </c>
      <c r="BV190" s="179">
        <f>Tabela1[[#This Row],[Pré RET %]]</f>
        <v>1.04</v>
      </c>
      <c r="BW190" s="196">
        <f>Tabela1[[#This Row],[Pós RET %]]</f>
        <v>0.85</v>
      </c>
      <c r="BX190" s="197">
        <f>Tabela1[[#This Row],[Pré WBC 10³/mm³]]</f>
        <v>10.71</v>
      </c>
      <c r="BY190" s="179">
        <f>Tabela1[[#This Row],[Pós WBC 10³/mm³]]</f>
        <v>9.02</v>
      </c>
      <c r="BZ190" s="125">
        <f>Tabela1[[#This Row],[Pré NEUT %]]</f>
        <v>74</v>
      </c>
      <c r="CA190" s="125">
        <f>Tabela1[[#This Row],[Pós NEUT %]]</f>
        <v>59.4</v>
      </c>
      <c r="CB190" s="125">
        <f>Tabela1[[#This Row],[Pré LINF %]]</f>
        <v>17.2</v>
      </c>
      <c r="CC190" s="125">
        <f>Tabela1[[#This Row],[Pós LINF %]]</f>
        <v>27.4</v>
      </c>
      <c r="CD190" s="125">
        <f>Tabela1[[#This Row],[Pré MONO %]]</f>
        <v>5.8</v>
      </c>
      <c r="CE190" s="125">
        <f>Tabela1[[#This Row],[Pós MONO %]]</f>
        <v>10.4</v>
      </c>
      <c r="CF190" s="125">
        <f>Tabela1[[#This Row],[Pré EOS %]]</f>
        <v>2.9</v>
      </c>
      <c r="CG190" s="125">
        <f>Tabela1[[#This Row],[Pós EOS %]]</f>
        <v>2.8</v>
      </c>
      <c r="CH190" s="125">
        <f>Tabela1[[#This Row],[Pré BASO %]]</f>
        <v>0.1</v>
      </c>
      <c r="CI190" s="198">
        <f>Tabela1[[#This Row],[Pós BASO %]]</f>
        <v>0</v>
      </c>
      <c r="CJ190" s="199" t="str">
        <f t="shared" si="9"/>
        <v>NÃO</v>
      </c>
      <c r="CK190" s="200" t="str">
        <f t="shared" si="10"/>
        <v>SIM</v>
      </c>
      <c r="CL190" s="194">
        <f t="shared" si="11"/>
        <v>79.512460000000004</v>
      </c>
      <c r="CM190" s="125">
        <f>Tabela1[[#This Row],[MCT KG]]</f>
        <v>85.7</v>
      </c>
      <c r="CN190" s="85">
        <f>Tabela1[[#This Row],[ESTATURA]]</f>
        <v>185</v>
      </c>
      <c r="CO190" s="85">
        <f>Tabela1[[#This Row],[vo2max estimado]]</f>
        <v>52.04</v>
      </c>
      <c r="CP190" s="85">
        <f>Tabela1[[#This Row],[Handgrip     Dominante]]</f>
        <v>50</v>
      </c>
      <c r="CQ190" s="85">
        <f>Tabela1[[#This Row],[Handgrip Contrário]]</f>
        <v>50</v>
      </c>
      <c r="CR190" s="281">
        <f>Tabela1[[#This Row],[% gordura]]</f>
        <v>7.22</v>
      </c>
    </row>
    <row r="191" spans="1:96" ht="15.75" customHeight="1">
      <c r="A191" s="279">
        <f>Tabela1[[#This Row],[Ano]]</f>
        <v>2018</v>
      </c>
      <c r="B191" s="181" t="str">
        <f>Tabela1[[#This Row],[Missão]]</f>
        <v>Natal</v>
      </c>
      <c r="C191" s="181">
        <f>Tabela1[[#This Row],[Aluno]]</f>
        <v>3189</v>
      </c>
      <c r="D191" s="181">
        <f>Tabela1[[#This Row],[Idade]]</f>
        <v>28</v>
      </c>
      <c r="E191" s="182">
        <f>Tabela1[[#This Row],[Peso Kg]]</f>
        <v>77</v>
      </c>
      <c r="F191" s="191">
        <f>Tabela1[[#This Row],[Cor da pele]]</f>
        <v>2</v>
      </c>
      <c r="G191" s="192" t="str">
        <f>Tabela1[[#This Row],[ACTN3]]</f>
        <v>RR</v>
      </c>
      <c r="H191" s="85" t="str">
        <f>Tabela1[[#This Row],[AGT]]</f>
        <v>MT</v>
      </c>
      <c r="I191" s="85" t="str">
        <f>Tabela1[[#This Row],[ECA]]</f>
        <v>ID</v>
      </c>
      <c r="J191" s="85" t="str">
        <f>Tabela1[[#This Row],[BDKRB2]]</f>
        <v>(+9,-9)</v>
      </c>
      <c r="K191" s="85">
        <f>Tabela1[[#This Row],[Score Força%]]</f>
        <v>212.5</v>
      </c>
      <c r="L191" s="193">
        <f>Tabela1[[#This Row],[Score Resistência %]]</f>
        <v>-112.5</v>
      </c>
      <c r="M191" s="192">
        <f>Tabela1[[#This Row],[Pré CK (U/L)]]</f>
        <v>87</v>
      </c>
      <c r="N191" s="85">
        <f>Tabela1[[#This Row],[Pós CK (U/L)]]</f>
        <v>434</v>
      </c>
      <c r="O191" s="85">
        <f>Tabela1[[#This Row],[Pré CK MB U/L]]</f>
        <v>17</v>
      </c>
      <c r="P191" s="85">
        <f>Tabela1[[#This Row],[Pós CK MB U/L]]</f>
        <v>25</v>
      </c>
      <c r="Q191" s="85" t="str">
        <f>Tabela1[[#This Row],[Pré Lactato (mmol/L)]]</f>
        <v>-</v>
      </c>
      <c r="R191" s="85" t="str">
        <f>Tabela1[[#This Row],[Pós Lactato (mmol/L)]]</f>
        <v>-</v>
      </c>
      <c r="S191" s="85" t="str">
        <f>Tabela1[[#This Row],[Pré LDH (U/L)]]</f>
        <v>-</v>
      </c>
      <c r="T191" s="85" t="str">
        <f>Tabela1[[#This Row],[Pós LDH (U/L)]]</f>
        <v>-</v>
      </c>
      <c r="U191" s="85">
        <f>Tabela1[[#This Row],[Pré AST (U/L)]]</f>
        <v>23</v>
      </c>
      <c r="V191" s="193">
        <f>Tabela1[[#This Row],[Pós AST (U/L)]]</f>
        <v>45</v>
      </c>
      <c r="W191" s="194">
        <f>Tabela1[[#This Row],[Pré Albumina (g/dL)]]</f>
        <v>4.4000000000000004</v>
      </c>
      <c r="X191" s="125">
        <f>Tabela1[[#This Row],[Pós Albumina (g/dL)]]</f>
        <v>4.3</v>
      </c>
      <c r="Y191" s="85">
        <f>Tabela1[[#This Row],[Pré TGP (g/dL)]]</f>
        <v>39</v>
      </c>
      <c r="Z191" s="85">
        <f>Tabela1[[#This Row],[Pós TGP (g/dL)]]</f>
        <v>47</v>
      </c>
      <c r="AA191" s="85" t="str">
        <f>Tabela1[[#This Row],[Pré GGT U/L]]</f>
        <v>-</v>
      </c>
      <c r="AB191" s="193" t="str">
        <f>Tabela1[[#This Row],[Pós GGT U/L]]</f>
        <v>-</v>
      </c>
      <c r="AC191" s="194">
        <f>Tabela1[[#This Row],[Pré Ac. Úrico (mg/dL)]]</f>
        <v>6.5</v>
      </c>
      <c r="AD191" s="125">
        <f>Tabela1[[#This Row],[Pós Ac. Úrico (mg/dL)2]]</f>
        <v>8.8000000000000007</v>
      </c>
      <c r="AE19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9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91" s="85">
        <f>Tabela1[[#This Row],[Pré Ureia mg/dL]]</f>
        <v>40</v>
      </c>
      <c r="AH191" s="85">
        <f>Tabela1[[#This Row],[Pós Ureia mg/dL]]</f>
        <v>55</v>
      </c>
      <c r="AI191" s="125">
        <f>Tabela1[[#This Row],[Pré creatinina mg/dL]]</f>
        <v>0.9</v>
      </c>
      <c r="AJ191" s="125">
        <f>Tabela1[[#This Row],[Pós creatinina mg/dL]]</f>
        <v>1</v>
      </c>
      <c r="AK191" s="180">
        <f t="shared" si="8"/>
        <v>9.9999999999999978E-2</v>
      </c>
      <c r="AL191" s="125" t="str">
        <f>Tabela1[[#This Row],[Pré Fósforo mg/dL]]</f>
        <v>-</v>
      </c>
      <c r="AM191" s="125" t="str">
        <f>Tabela1[[#This Row],[Pós Fósforo mg/dL]]</f>
        <v>-</v>
      </c>
      <c r="AN191" s="125">
        <f>Tabela1[[#This Row],[Pré Proteína Total (g/dL)]]</f>
        <v>7.2</v>
      </c>
      <c r="AO191" s="125">
        <f>Tabela1[[#This Row],[Pós Proteína Total (g/dL)]]</f>
        <v>7</v>
      </c>
      <c r="AP191" s="85" t="str">
        <f>Tabela1[[#This Row],[Pré FE (ug/dL)]]</f>
        <v>-</v>
      </c>
      <c r="AQ191" s="193" t="str">
        <f>Tabela1[[#This Row],[Pós FE (ug/dL)]]</f>
        <v>-</v>
      </c>
      <c r="AR191" s="194">
        <f>Tabela1[[#This Row],[Pré calcio mg/dL]]</f>
        <v>9.8000000000000007</v>
      </c>
      <c r="AS191" s="125">
        <f>Tabela1[[#This Row],[Pós calcio mg/dL]]</f>
        <v>9.1</v>
      </c>
      <c r="AT191" s="125">
        <f>Tabela1[[#This Row],[Pré Potássio mmol/L]]</f>
        <v>4.7</v>
      </c>
      <c r="AU191" s="125">
        <f>Tabela1[[#This Row],[Pós Potássio mmol/L]]</f>
        <v>3.7</v>
      </c>
      <c r="AV191" s="85">
        <f>Tabela1[[#This Row],[Glicose pré]]</f>
        <v>111</v>
      </c>
      <c r="AW191" s="85">
        <f>Tabela1[[#This Row],[Glicose pós]]</f>
        <v>0</v>
      </c>
      <c r="AX191" s="85">
        <f>Tabela1[[#This Row],[Pré Sódio mmol/L]]</f>
        <v>142</v>
      </c>
      <c r="AY191" s="85">
        <f>Tabela1[[#This Row],[Pós Sódio mmol/L]]</f>
        <v>139</v>
      </c>
      <c r="AZ191" s="125" t="str">
        <f>Tabela1[[#This Row],[Pré Magnésio mg/dL]]</f>
        <v>-</v>
      </c>
      <c r="BA191" s="125" t="str">
        <f>Tabela1[[#This Row],[Pós Magnésio mg/dL]]</f>
        <v>-</v>
      </c>
      <c r="BB191" s="85" t="str">
        <f>Tabela1[[#This Row],[Pré Cloro mmol/L]]</f>
        <v>-</v>
      </c>
      <c r="BC191" s="85" t="str">
        <f>Tabela1[[#This Row],[Pós Cloro mmol/L]]</f>
        <v>-</v>
      </c>
      <c r="BD19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300.62033333333329</v>
      </c>
      <c r="BE19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288.58866666666665</v>
      </c>
      <c r="BF191" s="194">
        <f>Tabela1[[#This Row],[Pré RBC 10^6/mm³]]</f>
        <v>4.93</v>
      </c>
      <c r="BG191" s="125">
        <f>Tabela1[[#This Row],[Pós RBC 10^6/mm³]]</f>
        <v>4.3600000000000003</v>
      </c>
      <c r="BH191" s="125">
        <f>Tabela1[[#This Row],[Pré HGB g/dL]]</f>
        <v>14.8</v>
      </c>
      <c r="BI191" s="125">
        <f>Tabela1[[#This Row],[Pós HGB g/dL]]</f>
        <v>13.1</v>
      </c>
      <c r="BJ191" s="125">
        <f>Tabela1[[#This Row],[Pré HCT %]]</f>
        <v>45.7</v>
      </c>
      <c r="BK191" s="125">
        <f>Tabela1[[#This Row],[Pós HCT %]]</f>
        <v>39.9</v>
      </c>
      <c r="BL191" s="125">
        <f>Tabela1[[#This Row],[Pré MCV fL]]</f>
        <v>92.7</v>
      </c>
      <c r="BM191" s="125">
        <f>Tabela1[[#This Row],[Pós MCV fL]]</f>
        <v>91.5</v>
      </c>
      <c r="BN191" s="125">
        <f>Tabela1[[#This Row],[Pré MCH pg]]</f>
        <v>30</v>
      </c>
      <c r="BO191" s="125">
        <f>Tabela1[[#This Row],[Pós MCH pg]]</f>
        <v>30</v>
      </c>
      <c r="BP191" s="125">
        <f>Tabela1[[#This Row],[Pré MCHC g/dL]]</f>
        <v>32.4</v>
      </c>
      <c r="BQ191" s="125">
        <f>Tabela1[[#This Row],[Pós MCHC g/dL]]</f>
        <v>32.799999999999997</v>
      </c>
      <c r="BR191" s="85">
        <f>Tabela1[[#This Row],[Pré PLT 10³/mm³]]</f>
        <v>208</v>
      </c>
      <c r="BS191" s="85">
        <f>Tabela1[[#This Row],[Pós PLT 10³/mm³]]</f>
        <v>160</v>
      </c>
      <c r="BT191" s="125">
        <f>Tabela1[[#This Row],[Pré RDW %]]</f>
        <v>12.5</v>
      </c>
      <c r="BU191" s="125">
        <f>Tabela1[[#This Row],[Pós RDW %]]</f>
        <v>12.8</v>
      </c>
      <c r="BV191" s="179">
        <f>Tabela1[[#This Row],[Pré RET %]]</f>
        <v>1.7</v>
      </c>
      <c r="BW191" s="196">
        <f>Tabela1[[#This Row],[Pós RET %]]</f>
        <v>1.5</v>
      </c>
      <c r="BX191" s="197">
        <f>Tabela1[[#This Row],[Pré WBC 10³/mm³]]</f>
        <v>8.76</v>
      </c>
      <c r="BY191" s="179">
        <f>Tabela1[[#This Row],[Pós WBC 10³/mm³]]</f>
        <v>9.9</v>
      </c>
      <c r="BZ191" s="125">
        <f>Tabela1[[#This Row],[Pré NEUT %]]</f>
        <v>71</v>
      </c>
      <c r="CA191" s="125">
        <f>Tabela1[[#This Row],[Pós NEUT %]]</f>
        <v>50</v>
      </c>
      <c r="CB191" s="125">
        <f>Tabela1[[#This Row],[Pré LINF %]]</f>
        <v>21</v>
      </c>
      <c r="CC191" s="125">
        <f>Tabela1[[#This Row],[Pós LINF %]]</f>
        <v>40.200000000000003</v>
      </c>
      <c r="CD191" s="125">
        <f>Tabela1[[#This Row],[Pré MONO %]]</f>
        <v>6</v>
      </c>
      <c r="CE191" s="125">
        <f>Tabela1[[#This Row],[Pós MONO %]]</f>
        <v>9</v>
      </c>
      <c r="CF191" s="125">
        <f>Tabela1[[#This Row],[Pré EOS %]]</f>
        <v>1</v>
      </c>
      <c r="CG191" s="125">
        <f>Tabela1[[#This Row],[Pós EOS %]]</f>
        <v>0.8</v>
      </c>
      <c r="CH191" s="125">
        <f>Tabela1[[#This Row],[Pré BASO %]]</f>
        <v>0</v>
      </c>
      <c r="CI191" s="198">
        <f>Tabela1[[#This Row],[Pós BASO %]]</f>
        <v>0</v>
      </c>
      <c r="CJ191" s="199" t="str">
        <f t="shared" si="9"/>
        <v>NÃO</v>
      </c>
      <c r="CK191" s="200" t="str">
        <f t="shared" si="10"/>
        <v>NÃO</v>
      </c>
      <c r="CL191" s="194">
        <f t="shared" si="11"/>
        <v>70.76357999999999</v>
      </c>
      <c r="CM191" s="125">
        <f>Tabela1[[#This Row],[MCT KG]]</f>
        <v>78.599999999999994</v>
      </c>
      <c r="CN191" s="85">
        <f>Tabela1[[#This Row],[ESTATURA]]</f>
        <v>179</v>
      </c>
      <c r="CO191" s="85">
        <f>Tabela1[[#This Row],[vo2max estimado]]</f>
        <v>53.31</v>
      </c>
      <c r="CP191" s="85">
        <f>Tabela1[[#This Row],[Handgrip     Dominante]]</f>
        <v>50</v>
      </c>
      <c r="CQ191" s="85">
        <f>Tabela1[[#This Row],[Handgrip Contrário]]</f>
        <v>44</v>
      </c>
      <c r="CR191" s="281">
        <f>Tabela1[[#This Row],[% gordura]]</f>
        <v>9.9700000000000006</v>
      </c>
    </row>
    <row r="192" spans="1:96" ht="15.75" customHeight="1">
      <c r="A192" s="279">
        <f>Tabela1[[#This Row],[Ano]]</f>
        <v>2018</v>
      </c>
      <c r="B192" s="181" t="str">
        <f>Tabela1[[#This Row],[Missão]]</f>
        <v>Natal</v>
      </c>
      <c r="C192" s="181">
        <f>Tabela1[[#This Row],[Aluno]]</f>
        <v>3190</v>
      </c>
      <c r="D192" s="181">
        <f>Tabela1[[#This Row],[Idade]]</f>
        <v>29</v>
      </c>
      <c r="E192" s="182">
        <f>Tabela1[[#This Row],[Peso Kg]]</f>
        <v>80</v>
      </c>
      <c r="F192" s="191">
        <f>Tabela1[[#This Row],[Cor da pele]]</f>
        <v>1</v>
      </c>
      <c r="G192" s="192" t="str">
        <f>Tabela1[[#This Row],[ACTN3]]</f>
        <v>-</v>
      </c>
      <c r="H192" s="85" t="str">
        <f>Tabela1[[#This Row],[AGT]]</f>
        <v>-</v>
      </c>
      <c r="I192" s="85" t="str">
        <f>Tabela1[[#This Row],[ECA]]</f>
        <v>-</v>
      </c>
      <c r="J192" s="85" t="str">
        <f>Tabela1[[#This Row],[BDKRB2]]</f>
        <v>-</v>
      </c>
      <c r="K192" s="85" t="str">
        <f>Tabela1[[#This Row],[Score Força%]]</f>
        <v>-</v>
      </c>
      <c r="L192" s="193" t="str">
        <f>Tabela1[[#This Row],[Score Resistência %]]</f>
        <v>-</v>
      </c>
      <c r="M192" s="192">
        <f>Tabela1[[#This Row],[Pré CK (U/L)]]</f>
        <v>235</v>
      </c>
      <c r="N192" s="85">
        <f>Tabela1[[#This Row],[Pós CK (U/L)]]</f>
        <v>2769</v>
      </c>
      <c r="O192" s="85">
        <f>Tabela1[[#This Row],[Pré CK MB U/L]]</f>
        <v>22</v>
      </c>
      <c r="P192" s="85">
        <f>Tabela1[[#This Row],[Pós CK MB U/L]]</f>
        <v>39</v>
      </c>
      <c r="Q192" s="85" t="str">
        <f>Tabela1[[#This Row],[Pré Lactato (mmol/L)]]</f>
        <v>-</v>
      </c>
      <c r="R192" s="85" t="str">
        <f>Tabela1[[#This Row],[Pós Lactato (mmol/L)]]</f>
        <v>-</v>
      </c>
      <c r="S192" s="85" t="str">
        <f>Tabela1[[#This Row],[Pré LDH (U/L)]]</f>
        <v>-</v>
      </c>
      <c r="T192" s="85" t="str">
        <f>Tabela1[[#This Row],[Pós LDH (U/L)]]</f>
        <v>-</v>
      </c>
      <c r="U192" s="85">
        <f>Tabela1[[#This Row],[Pré AST (U/L)]]</f>
        <v>37</v>
      </c>
      <c r="V192" s="193">
        <f>Tabela1[[#This Row],[Pós AST (U/L)]]</f>
        <v>94</v>
      </c>
      <c r="W192" s="194">
        <f>Tabela1[[#This Row],[Pré Albumina (g/dL)]]</f>
        <v>4.4000000000000004</v>
      </c>
      <c r="X192" s="125">
        <f>Tabela1[[#This Row],[Pós Albumina (g/dL)]]</f>
        <v>4.3</v>
      </c>
      <c r="Y192" s="85">
        <f>Tabela1[[#This Row],[Pré TGP (g/dL)]]</f>
        <v>38</v>
      </c>
      <c r="Z192" s="85">
        <f>Tabela1[[#This Row],[Pós TGP (g/dL)]]</f>
        <v>55</v>
      </c>
      <c r="AA192" s="85" t="str">
        <f>Tabela1[[#This Row],[Pré GGT U/L]]</f>
        <v>-</v>
      </c>
      <c r="AB192" s="193" t="str">
        <f>Tabela1[[#This Row],[Pós GGT U/L]]</f>
        <v>-</v>
      </c>
      <c r="AC192" s="194">
        <f>Tabela1[[#This Row],[Pré Ac. Úrico (mg/dL)]]</f>
        <v>4.5</v>
      </c>
      <c r="AD192" s="125">
        <f>Tabela1[[#This Row],[Pós Ac. Úrico (mg/dL)2]]</f>
        <v>6.4</v>
      </c>
      <c r="AE19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9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92" s="85">
        <f>Tabela1[[#This Row],[Pré Ureia mg/dL]]</f>
        <v>41</v>
      </c>
      <c r="AH192" s="85">
        <f>Tabela1[[#This Row],[Pós Ureia mg/dL]]</f>
        <v>52</v>
      </c>
      <c r="AI192" s="125">
        <f>Tabela1[[#This Row],[Pré creatinina mg/dL]]</f>
        <v>0.9</v>
      </c>
      <c r="AJ192" s="125">
        <f>Tabela1[[#This Row],[Pós creatinina mg/dL]]</f>
        <v>0.9</v>
      </c>
      <c r="AK192" s="180">
        <f t="shared" si="8"/>
        <v>0</v>
      </c>
      <c r="AL192" s="125" t="str">
        <f>Tabela1[[#This Row],[Pré Fósforo mg/dL]]</f>
        <v>-</v>
      </c>
      <c r="AM192" s="125" t="str">
        <f>Tabela1[[#This Row],[Pós Fósforo mg/dL]]</f>
        <v>-</v>
      </c>
      <c r="AN192" s="125">
        <f>Tabela1[[#This Row],[Pré Proteína Total (g/dL)]]</f>
        <v>7.1</v>
      </c>
      <c r="AO192" s="125">
        <f>Tabela1[[#This Row],[Pós Proteína Total (g/dL)]]</f>
        <v>7.3</v>
      </c>
      <c r="AP192" s="85" t="str">
        <f>Tabela1[[#This Row],[Pré FE (ug/dL)]]</f>
        <v>-</v>
      </c>
      <c r="AQ192" s="193" t="str">
        <f>Tabela1[[#This Row],[Pós FE (ug/dL)]]</f>
        <v>-</v>
      </c>
      <c r="AR192" s="194">
        <f>Tabela1[[#This Row],[Pré calcio mg/dL]]</f>
        <v>9.6999999999999993</v>
      </c>
      <c r="AS192" s="125">
        <f>Tabela1[[#This Row],[Pós calcio mg/dL]]</f>
        <v>9.1999999999999993</v>
      </c>
      <c r="AT192" s="125">
        <f>Tabela1[[#This Row],[Pré Potássio mmol/L]]</f>
        <v>4</v>
      </c>
      <c r="AU192" s="125">
        <f>Tabela1[[#This Row],[Pós Potássio mmol/L]]</f>
        <v>4</v>
      </c>
      <c r="AV192" s="85">
        <f>Tabela1[[#This Row],[Glicose pré]]</f>
        <v>87</v>
      </c>
      <c r="AW192" s="85">
        <f>Tabela1[[#This Row],[Glicose pós]]</f>
        <v>87</v>
      </c>
      <c r="AX192" s="85">
        <f>Tabela1[[#This Row],[Pré Sódio mmol/L]]</f>
        <v>142</v>
      </c>
      <c r="AY192" s="85">
        <f>Tabela1[[#This Row],[Pós Sódio mmol/L]]</f>
        <v>145</v>
      </c>
      <c r="AZ192" s="125" t="str">
        <f>Tabela1[[#This Row],[Pré Magnésio mg/dL]]</f>
        <v>-</v>
      </c>
      <c r="BA192" s="125" t="str">
        <f>Tabela1[[#This Row],[Pós Magnésio mg/dL]]</f>
        <v>-</v>
      </c>
      <c r="BB192" s="85" t="str">
        <f>Tabela1[[#This Row],[Pré Cloro mmol/L]]</f>
        <v>-</v>
      </c>
      <c r="BC192" s="85" t="str">
        <f>Tabela1[[#This Row],[Pós Cloro mmol/L]]</f>
        <v>-</v>
      </c>
      <c r="BD19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297.95166666666665</v>
      </c>
      <c r="BE19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305.36500000000001</v>
      </c>
      <c r="BF192" s="194">
        <f>Tabela1[[#This Row],[Pré RBC 10^6/mm³]]</f>
        <v>4.8899999999999997</v>
      </c>
      <c r="BG192" s="125">
        <f>Tabela1[[#This Row],[Pós RBC 10^6/mm³]]</f>
        <v>4.49</v>
      </c>
      <c r="BH192" s="125">
        <f>Tabela1[[#This Row],[Pré HGB g/dL]]</f>
        <v>14.1</v>
      </c>
      <c r="BI192" s="125">
        <f>Tabela1[[#This Row],[Pós HGB g/dL]]</f>
        <v>13</v>
      </c>
      <c r="BJ192" s="125">
        <f>Tabela1[[#This Row],[Pré HCT %]]</f>
        <v>44.6</v>
      </c>
      <c r="BK192" s="125">
        <f>Tabela1[[#This Row],[Pós HCT %]]</f>
        <v>41.2</v>
      </c>
      <c r="BL192" s="125">
        <f>Tabela1[[#This Row],[Pré MCV fL]]</f>
        <v>91.2</v>
      </c>
      <c r="BM192" s="125">
        <f>Tabela1[[#This Row],[Pós MCV fL]]</f>
        <v>91.8</v>
      </c>
      <c r="BN192" s="125">
        <f>Tabela1[[#This Row],[Pré MCH pg]]</f>
        <v>28.8</v>
      </c>
      <c r="BO192" s="125">
        <f>Tabela1[[#This Row],[Pós MCH pg]]</f>
        <v>29</v>
      </c>
      <c r="BP192" s="125">
        <f>Tabela1[[#This Row],[Pré MCHC g/dL]]</f>
        <v>31.6</v>
      </c>
      <c r="BQ192" s="125">
        <f>Tabela1[[#This Row],[Pós MCHC g/dL]]</f>
        <v>31.6</v>
      </c>
      <c r="BR192" s="85">
        <f>Tabela1[[#This Row],[Pré PLT 10³/mm³]]</f>
        <v>242</v>
      </c>
      <c r="BS192" s="85">
        <f>Tabela1[[#This Row],[Pós PLT 10³/mm³]]</f>
        <v>220</v>
      </c>
      <c r="BT192" s="125">
        <f>Tabela1[[#This Row],[Pré RDW %]]</f>
        <v>13.4</v>
      </c>
      <c r="BU192" s="125">
        <f>Tabela1[[#This Row],[Pós RDW %]]</f>
        <v>14</v>
      </c>
      <c r="BV192" s="179">
        <f>Tabela1[[#This Row],[Pré RET %]]</f>
        <v>1.1399999999999999</v>
      </c>
      <c r="BW192" s="196">
        <f>Tabela1[[#This Row],[Pós RET %]]</f>
        <v>0.8</v>
      </c>
      <c r="BX192" s="197">
        <f>Tabela1[[#This Row],[Pré WBC 10³/mm³]]</f>
        <v>6.81</v>
      </c>
      <c r="BY192" s="179">
        <f>Tabela1[[#This Row],[Pós WBC 10³/mm³]]</f>
        <v>7.46</v>
      </c>
      <c r="BZ192" s="125">
        <f>Tabela1[[#This Row],[Pré NEUT %]]</f>
        <v>72</v>
      </c>
      <c r="CA192" s="125">
        <f>Tabela1[[#This Row],[Pós NEUT %]]</f>
        <v>62.5</v>
      </c>
      <c r="CB192" s="125">
        <f>Tabela1[[#This Row],[Pré LINF %]]</f>
        <v>22</v>
      </c>
      <c r="CC192" s="125">
        <f>Tabela1[[#This Row],[Pós LINF %]]</f>
        <v>27.2</v>
      </c>
      <c r="CD192" s="125">
        <f>Tabela1[[#This Row],[Pré MONO %]]</f>
        <v>5</v>
      </c>
      <c r="CE192" s="125">
        <f>Tabela1[[#This Row],[Pós MONO %]]</f>
        <v>9.1</v>
      </c>
      <c r="CF192" s="125">
        <f>Tabela1[[#This Row],[Pré EOS %]]</f>
        <v>1</v>
      </c>
      <c r="CG192" s="125">
        <f>Tabela1[[#This Row],[Pós EOS %]]</f>
        <v>1.2</v>
      </c>
      <c r="CH192" s="125">
        <f>Tabela1[[#This Row],[Pré BASO %]]</f>
        <v>0</v>
      </c>
      <c r="CI192" s="198">
        <f>Tabela1[[#This Row],[Pós BASO %]]</f>
        <v>0</v>
      </c>
      <c r="CJ192" s="199" t="str">
        <f t="shared" si="9"/>
        <v>NÃO</v>
      </c>
      <c r="CK192" s="200" t="str">
        <f t="shared" si="10"/>
        <v>SIM</v>
      </c>
      <c r="CL192" s="194">
        <f t="shared" si="11"/>
        <v>72.151949999999999</v>
      </c>
      <c r="CM192" s="125">
        <f>Tabela1[[#This Row],[MCT KG]]</f>
        <v>81.5</v>
      </c>
      <c r="CN192" s="85">
        <f>Tabela1[[#This Row],[ESTATURA]]</f>
        <v>175</v>
      </c>
      <c r="CO192" s="85">
        <f>Tabela1[[#This Row],[vo2max estimado]]</f>
        <v>51.49</v>
      </c>
      <c r="CP192" s="85">
        <f>Tabela1[[#This Row],[Handgrip     Dominante]]</f>
        <v>49.5</v>
      </c>
      <c r="CQ192" s="85">
        <f>Tabela1[[#This Row],[Handgrip Contrário]]</f>
        <v>41</v>
      </c>
      <c r="CR192" s="281">
        <f>Tabela1[[#This Row],[% gordura]]</f>
        <v>11.47</v>
      </c>
    </row>
    <row r="193" spans="1:96" ht="15.75" customHeight="1">
      <c r="A193" s="279">
        <f>Tabela1[[#This Row],[Ano]]</f>
        <v>2018</v>
      </c>
      <c r="B193" s="181" t="str">
        <f>Tabela1[[#This Row],[Missão]]</f>
        <v>Natal</v>
      </c>
      <c r="C193" s="181">
        <f>Tabela1[[#This Row],[Aluno]]</f>
        <v>3193</v>
      </c>
      <c r="D193" s="181">
        <f>Tabela1[[#This Row],[Idade]]</f>
        <v>29</v>
      </c>
      <c r="E193" s="182">
        <f>Tabela1[[#This Row],[Peso Kg]]</f>
        <v>83</v>
      </c>
      <c r="F193" s="191">
        <f>Tabela1[[#This Row],[Cor da pele]]</f>
        <v>0</v>
      </c>
      <c r="G193" s="192" t="str">
        <f>Tabela1[[#This Row],[ACTN3]]</f>
        <v>-</v>
      </c>
      <c r="H193" s="85" t="str">
        <f>Tabela1[[#This Row],[AGT]]</f>
        <v>-</v>
      </c>
      <c r="I193" s="85" t="str">
        <f>Tabela1[[#This Row],[ECA]]</f>
        <v>-</v>
      </c>
      <c r="J193" s="85" t="str">
        <f>Tabela1[[#This Row],[BDKRB2]]</f>
        <v>-</v>
      </c>
      <c r="K193" s="85" t="str">
        <f>Tabela1[[#This Row],[Score Força%]]</f>
        <v>-</v>
      </c>
      <c r="L193" s="193" t="str">
        <f>Tabela1[[#This Row],[Score Resistência %]]</f>
        <v>-</v>
      </c>
      <c r="M193" s="192">
        <f>Tabela1[[#This Row],[Pré CK (U/L)]]</f>
        <v>87</v>
      </c>
      <c r="N193" s="85">
        <f>Tabela1[[#This Row],[Pós CK (U/L)]]</f>
        <v>780</v>
      </c>
      <c r="O193" s="85">
        <f>Tabela1[[#This Row],[Pré CK MB U/L]]</f>
        <v>19</v>
      </c>
      <c r="P193" s="85">
        <f>Tabela1[[#This Row],[Pós CK MB U/L]]</f>
        <v>226</v>
      </c>
      <c r="Q193" s="85" t="str">
        <f>Tabela1[[#This Row],[Pré Lactato (mmol/L)]]</f>
        <v>-</v>
      </c>
      <c r="R193" s="85" t="str">
        <f>Tabela1[[#This Row],[Pós Lactato (mmol/L)]]</f>
        <v>-</v>
      </c>
      <c r="S193" s="85" t="str">
        <f>Tabela1[[#This Row],[Pré LDH (U/L)]]</f>
        <v>-</v>
      </c>
      <c r="T193" s="85" t="str">
        <f>Tabela1[[#This Row],[Pós LDH (U/L)]]</f>
        <v>-</v>
      </c>
      <c r="U193" s="85">
        <f>Tabela1[[#This Row],[Pré AST (U/L)]]</f>
        <v>21</v>
      </c>
      <c r="V193" s="193">
        <f>Tabela1[[#This Row],[Pós AST (U/L)]]</f>
        <v>36</v>
      </c>
      <c r="W193" s="194">
        <f>Tabela1[[#This Row],[Pré Albumina (g/dL)]]</f>
        <v>4.4000000000000004</v>
      </c>
      <c r="X193" s="125">
        <f>Tabela1[[#This Row],[Pós Albumina (g/dL)]]</f>
        <v>3.9</v>
      </c>
      <c r="Y193" s="85">
        <f>Tabela1[[#This Row],[Pré TGP (g/dL)]]</f>
        <v>25</v>
      </c>
      <c r="Z193" s="85">
        <f>Tabela1[[#This Row],[Pós TGP (g/dL)]]</f>
        <v>38</v>
      </c>
      <c r="AA193" s="85" t="str">
        <f>Tabela1[[#This Row],[Pré GGT U/L]]</f>
        <v>-</v>
      </c>
      <c r="AB193" s="193" t="str">
        <f>Tabela1[[#This Row],[Pós GGT U/L]]</f>
        <v>-</v>
      </c>
      <c r="AC193" s="194">
        <f>Tabela1[[#This Row],[Pré Ac. Úrico (mg/dL)]]</f>
        <v>5.7</v>
      </c>
      <c r="AD193" s="125">
        <f>Tabela1[[#This Row],[Pós Ac. Úrico (mg/dL)2]]</f>
        <v>6.7</v>
      </c>
      <c r="AE19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19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93" s="85">
        <f>Tabela1[[#This Row],[Pré Ureia mg/dL]]</f>
        <v>38</v>
      </c>
      <c r="AH193" s="85">
        <f>Tabela1[[#This Row],[Pós Ureia mg/dL]]</f>
        <v>36</v>
      </c>
      <c r="AI193" s="125">
        <f>Tabela1[[#This Row],[Pré creatinina mg/dL]]</f>
        <v>1</v>
      </c>
      <c r="AJ193" s="125">
        <f>Tabela1[[#This Row],[Pós creatinina mg/dL]]</f>
        <v>0.9</v>
      </c>
      <c r="AK193" s="180">
        <f t="shared" si="8"/>
        <v>0</v>
      </c>
      <c r="AL193" s="125" t="str">
        <f>Tabela1[[#This Row],[Pré Fósforo mg/dL]]</f>
        <v>-</v>
      </c>
      <c r="AM193" s="125" t="str">
        <f>Tabela1[[#This Row],[Pós Fósforo mg/dL]]</f>
        <v>-</v>
      </c>
      <c r="AN193" s="125">
        <f>Tabela1[[#This Row],[Pré Proteína Total (g/dL)]]</f>
        <v>7.2</v>
      </c>
      <c r="AO193" s="125">
        <f>Tabela1[[#This Row],[Pós Proteína Total (g/dL)]]</f>
        <v>6.8</v>
      </c>
      <c r="AP193" s="85" t="str">
        <f>Tabela1[[#This Row],[Pré FE (ug/dL)]]</f>
        <v>-</v>
      </c>
      <c r="AQ193" s="193" t="str">
        <f>Tabela1[[#This Row],[Pós FE (ug/dL)]]</f>
        <v>-</v>
      </c>
      <c r="AR193" s="194">
        <f>Tabela1[[#This Row],[Pré calcio mg/dL]]</f>
        <v>9.6999999999999993</v>
      </c>
      <c r="AS193" s="125">
        <f>Tabela1[[#This Row],[Pós calcio mg/dL]]</f>
        <v>9</v>
      </c>
      <c r="AT193" s="125">
        <f>Tabela1[[#This Row],[Pré Potássio mmol/L]]</f>
        <v>4.8</v>
      </c>
      <c r="AU193" s="125">
        <f>Tabela1[[#This Row],[Pós Potássio mmol/L]]</f>
        <v>4.0999999999999996</v>
      </c>
      <c r="AV193" s="85">
        <f>Tabela1[[#This Row],[Glicose pré]]</f>
        <v>121</v>
      </c>
      <c r="AW193" s="85">
        <f>Tabela1[[#This Row],[Glicose pós]]</f>
        <v>88</v>
      </c>
      <c r="AX193" s="85">
        <f>Tabela1[[#This Row],[Pré Sódio mmol/L]]</f>
        <v>144</v>
      </c>
      <c r="AY193" s="85">
        <f>Tabela1[[#This Row],[Pós Sódio mmol/L]]</f>
        <v>138</v>
      </c>
      <c r="AZ193" s="125" t="str">
        <f>Tabela1[[#This Row],[Pré Magnésio mg/dL]]</f>
        <v>-</v>
      </c>
      <c r="BA193" s="125" t="str">
        <f>Tabela1[[#This Row],[Pós Magnésio mg/dL]]</f>
        <v>-</v>
      </c>
      <c r="BB193" s="85" t="str">
        <f>Tabela1[[#This Row],[Pré Cloro mmol/L]]</f>
        <v>-</v>
      </c>
      <c r="BC193" s="85" t="str">
        <f>Tabela1[[#This Row],[Pós Cloro mmol/L]]</f>
        <v>-</v>
      </c>
      <c r="BD19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304.8318888888889</v>
      </c>
      <c r="BE19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289.92822222222219</v>
      </c>
      <c r="BF193" s="194">
        <f>Tabela1[[#This Row],[Pré RBC 10^6/mm³]]</f>
        <v>4.74</v>
      </c>
      <c r="BG193" s="125">
        <f>Tabela1[[#This Row],[Pós RBC 10^6/mm³]]</f>
        <v>3.85</v>
      </c>
      <c r="BH193" s="125">
        <f>Tabela1[[#This Row],[Pré HGB g/dL]]</f>
        <v>13.8</v>
      </c>
      <c r="BI193" s="125">
        <f>Tabela1[[#This Row],[Pós HGB g/dL]]</f>
        <v>11.3</v>
      </c>
      <c r="BJ193" s="125">
        <f>Tabela1[[#This Row],[Pré HCT %]]</f>
        <v>42.4</v>
      </c>
      <c r="BK193" s="125">
        <f>Tabela1[[#This Row],[Pós HCT %]]</f>
        <v>34.4</v>
      </c>
      <c r="BL193" s="125">
        <f>Tabela1[[#This Row],[Pré MCV fL]]</f>
        <v>89.5</v>
      </c>
      <c r="BM193" s="125">
        <f>Tabela1[[#This Row],[Pós MCV fL]]</f>
        <v>89.4</v>
      </c>
      <c r="BN193" s="125">
        <f>Tabela1[[#This Row],[Pré MCH pg]]</f>
        <v>29.1</v>
      </c>
      <c r="BO193" s="125">
        <f>Tabela1[[#This Row],[Pós MCH pg]]</f>
        <v>29.4</v>
      </c>
      <c r="BP193" s="125">
        <f>Tabela1[[#This Row],[Pré MCHC g/dL]]</f>
        <v>32.5</v>
      </c>
      <c r="BQ193" s="125">
        <f>Tabela1[[#This Row],[Pós MCHC g/dL]]</f>
        <v>32.799999999999997</v>
      </c>
      <c r="BR193" s="85">
        <f>Tabela1[[#This Row],[Pré PLT 10³/mm³]]</f>
        <v>286</v>
      </c>
      <c r="BS193" s="85">
        <f>Tabela1[[#This Row],[Pós PLT 10³/mm³]]</f>
        <v>255</v>
      </c>
      <c r="BT193" s="125">
        <f>Tabela1[[#This Row],[Pré RDW %]]</f>
        <v>12.2</v>
      </c>
      <c r="BU193" s="125">
        <f>Tabela1[[#This Row],[Pós RDW %]]</f>
        <v>12.7</v>
      </c>
      <c r="BV193" s="179">
        <f>Tabela1[[#This Row],[Pré RET %]]</f>
        <v>1.1399999999999999</v>
      </c>
      <c r="BW193" s="196">
        <f>Tabela1[[#This Row],[Pós RET %]]</f>
        <v>0.89</v>
      </c>
      <c r="BX193" s="197">
        <f>Tabela1[[#This Row],[Pré WBC 10³/mm³]]</f>
        <v>8.08</v>
      </c>
      <c r="BY193" s="179">
        <f>Tabela1[[#This Row],[Pós WBC 10³/mm³]]</f>
        <v>7.82</v>
      </c>
      <c r="BZ193" s="125">
        <f>Tabela1[[#This Row],[Pré NEUT %]]</f>
        <v>67.3</v>
      </c>
      <c r="CA193" s="125">
        <f>Tabela1[[#This Row],[Pós NEUT %]]</f>
        <v>58.9</v>
      </c>
      <c r="CB193" s="125">
        <f>Tabela1[[#This Row],[Pré LINF %]]</f>
        <v>25.1</v>
      </c>
      <c r="CC193" s="125">
        <f>Tabela1[[#This Row],[Pós LINF %]]</f>
        <v>30.1</v>
      </c>
      <c r="CD193" s="125">
        <f>Tabela1[[#This Row],[Pré MONO %]]</f>
        <v>6.6</v>
      </c>
      <c r="CE193" s="125">
        <f>Tabela1[[#This Row],[Pós MONO %]]</f>
        <v>10</v>
      </c>
      <c r="CF193" s="125">
        <f>Tabela1[[#This Row],[Pré EOS %]]</f>
        <v>1</v>
      </c>
      <c r="CG193" s="125">
        <f>Tabela1[[#This Row],[Pós EOS %]]</f>
        <v>1</v>
      </c>
      <c r="CH193" s="125">
        <f>Tabela1[[#This Row],[Pré BASO %]]</f>
        <v>0</v>
      </c>
      <c r="CI193" s="198">
        <f>Tabela1[[#This Row],[Pós BASO %]]</f>
        <v>0</v>
      </c>
      <c r="CJ193" s="199" t="str">
        <f t="shared" si="9"/>
        <v>NÃO</v>
      </c>
      <c r="CK193" s="200" t="str">
        <f t="shared" si="10"/>
        <v>NÃO</v>
      </c>
      <c r="CL193" s="194">
        <f t="shared" si="11"/>
        <v>72.809100000000001</v>
      </c>
      <c r="CM193" s="125">
        <f>Tabela1[[#This Row],[MCT KG]]</f>
        <v>81.900000000000006</v>
      </c>
      <c r="CN193" s="85">
        <f>Tabela1[[#This Row],[ESTATURA]]</f>
        <v>180.5</v>
      </c>
      <c r="CO193" s="85">
        <f>Tabela1[[#This Row],[vo2max estimado]]</f>
        <v>51.93</v>
      </c>
      <c r="CP193" s="85">
        <f>Tabela1[[#This Row],[Handgrip     Dominante]]</f>
        <v>44.5</v>
      </c>
      <c r="CQ193" s="85">
        <f>Tabela1[[#This Row],[Handgrip Contrário]]</f>
        <v>46.5</v>
      </c>
      <c r="CR193" s="281">
        <f>Tabela1[[#This Row],[% gordura]]</f>
        <v>11.1</v>
      </c>
    </row>
    <row r="194" spans="1:96" ht="15.75" customHeight="1">
      <c r="A194" s="279">
        <f>Tabela1[[#This Row],[Ano]]</f>
        <v>2018</v>
      </c>
      <c r="B194" s="181" t="str">
        <f>Tabela1[[#This Row],[Missão]]</f>
        <v>Natal</v>
      </c>
      <c r="C194" s="181">
        <f>Tabela1[[#This Row],[Aluno]]</f>
        <v>3194</v>
      </c>
      <c r="D194" s="181">
        <f>Tabela1[[#This Row],[Idade]]</f>
        <v>28</v>
      </c>
      <c r="E194" s="182">
        <f>Tabela1[[#This Row],[Peso Kg]]</f>
        <v>81</v>
      </c>
      <c r="F194" s="191">
        <f>Tabela1[[#This Row],[Cor da pele]]</f>
        <v>1</v>
      </c>
      <c r="G194" s="192" t="str">
        <f>Tabela1[[#This Row],[ACTN3]]</f>
        <v>-</v>
      </c>
      <c r="H194" s="85" t="str">
        <f>Tabela1[[#This Row],[AGT]]</f>
        <v>-</v>
      </c>
      <c r="I194" s="85" t="str">
        <f>Tabela1[[#This Row],[ECA]]</f>
        <v>-</v>
      </c>
      <c r="J194" s="85" t="str">
        <f>Tabela1[[#This Row],[BDKRB2]]</f>
        <v>-</v>
      </c>
      <c r="K194" s="85" t="str">
        <f>Tabela1[[#This Row],[Score Força%]]</f>
        <v>-</v>
      </c>
      <c r="L194" s="193" t="str">
        <f>Tabela1[[#This Row],[Score Resistência %]]</f>
        <v>-</v>
      </c>
      <c r="M194" s="192">
        <f>Tabela1[[#This Row],[Pré CK (U/L)]]</f>
        <v>136</v>
      </c>
      <c r="N194" s="85">
        <f>Tabela1[[#This Row],[Pós CK (U/L)]]</f>
        <v>2000</v>
      </c>
      <c r="O194" s="85">
        <f>Tabela1[[#This Row],[Pré CK MB U/L]]</f>
        <v>19</v>
      </c>
      <c r="P194" s="85">
        <f>Tabela1[[#This Row],[Pós CK MB U/L]]</f>
        <v>48</v>
      </c>
      <c r="Q194" s="85" t="str">
        <f>Tabela1[[#This Row],[Pré Lactato (mmol/L)]]</f>
        <v>-</v>
      </c>
      <c r="R194" s="85" t="str">
        <f>Tabela1[[#This Row],[Pós Lactato (mmol/L)]]</f>
        <v>-</v>
      </c>
      <c r="S194" s="85" t="str">
        <f>Tabela1[[#This Row],[Pré LDH (U/L)]]</f>
        <v>-</v>
      </c>
      <c r="T194" s="85" t="str">
        <f>Tabela1[[#This Row],[Pós LDH (U/L)]]</f>
        <v>-</v>
      </c>
      <c r="U194" s="85">
        <f>Tabela1[[#This Row],[Pré AST (U/L)]]</f>
        <v>26</v>
      </c>
      <c r="V194" s="193">
        <f>Tabela1[[#This Row],[Pós AST (U/L)]]</f>
        <v>111</v>
      </c>
      <c r="W194" s="194">
        <f>Tabela1[[#This Row],[Pré Albumina (g/dL)]]</f>
        <v>4.3</v>
      </c>
      <c r="X194" s="125">
        <f>Tabela1[[#This Row],[Pós Albumina (g/dL)]]</f>
        <v>4.0999999999999996</v>
      </c>
      <c r="Y194" s="85">
        <f>Tabela1[[#This Row],[Pré TGP (g/dL)]]</f>
        <v>19</v>
      </c>
      <c r="Z194" s="85">
        <f>Tabela1[[#This Row],[Pós TGP (g/dL)]]</f>
        <v>40</v>
      </c>
      <c r="AA194" s="85" t="str">
        <f>Tabela1[[#This Row],[Pré GGT U/L]]</f>
        <v>-</v>
      </c>
      <c r="AB194" s="193" t="str">
        <f>Tabela1[[#This Row],[Pós GGT U/L]]</f>
        <v>-</v>
      </c>
      <c r="AC194" s="194">
        <f>Tabela1[[#This Row],[Pré Ac. Úrico (mg/dL)]]</f>
        <v>7.3</v>
      </c>
      <c r="AD194" s="125">
        <f>Tabela1[[#This Row],[Pós Ac. Úrico (mg/dL)2]]</f>
        <v>7</v>
      </c>
      <c r="AE19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9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94" s="85">
        <f>Tabela1[[#This Row],[Pré Ureia mg/dL]]</f>
        <v>28</v>
      </c>
      <c r="AH194" s="85">
        <f>Tabela1[[#This Row],[Pós Ureia mg/dL]]</f>
        <v>33</v>
      </c>
      <c r="AI194" s="125">
        <f>Tabela1[[#This Row],[Pré creatinina mg/dL]]</f>
        <v>1.1000000000000001</v>
      </c>
      <c r="AJ194" s="125">
        <f>Tabela1[[#This Row],[Pós creatinina mg/dL]]</f>
        <v>0.9</v>
      </c>
      <c r="AK194" s="180">
        <f t="shared" ref="AK194:AK257" si="12">IFERROR(IF((AJ194-AI194)&lt;0,0,(AJ194-AI194)),"Dados Insuficientes")</f>
        <v>0</v>
      </c>
      <c r="AL194" s="125" t="str">
        <f>Tabela1[[#This Row],[Pré Fósforo mg/dL]]</f>
        <v>-</v>
      </c>
      <c r="AM194" s="125" t="str">
        <f>Tabela1[[#This Row],[Pós Fósforo mg/dL]]</f>
        <v>-</v>
      </c>
      <c r="AN194" s="125">
        <f>Tabela1[[#This Row],[Pré Proteína Total (g/dL)]]</f>
        <v>7.5</v>
      </c>
      <c r="AO194" s="125">
        <f>Tabela1[[#This Row],[Pós Proteína Total (g/dL)]]</f>
        <v>7.1</v>
      </c>
      <c r="AP194" s="85" t="str">
        <f>Tabela1[[#This Row],[Pré FE (ug/dL)]]</f>
        <v>-</v>
      </c>
      <c r="AQ194" s="193" t="str">
        <f>Tabela1[[#This Row],[Pós FE (ug/dL)]]</f>
        <v>-</v>
      </c>
      <c r="AR194" s="194">
        <f>Tabela1[[#This Row],[Pré calcio mg/dL]]</f>
        <v>9.9</v>
      </c>
      <c r="AS194" s="125">
        <f>Tabela1[[#This Row],[Pós calcio mg/dL]]</f>
        <v>9.1</v>
      </c>
      <c r="AT194" s="125">
        <f>Tabela1[[#This Row],[Pré Potássio mmol/L]]</f>
        <v>4.9000000000000004</v>
      </c>
      <c r="AU194" s="125">
        <f>Tabela1[[#This Row],[Pós Potássio mmol/L]]</f>
        <v>4.2</v>
      </c>
      <c r="AV194" s="85">
        <f>Tabela1[[#This Row],[Glicose pré]]</f>
        <v>142</v>
      </c>
      <c r="AW194" s="85">
        <f>Tabela1[[#This Row],[Glicose pós]]</f>
        <v>54</v>
      </c>
      <c r="AX194" s="85">
        <f>Tabela1[[#This Row],[Pré Sódio mmol/L]]</f>
        <v>142</v>
      </c>
      <c r="AY194" s="85">
        <f>Tabela1[[#This Row],[Pós Sódio mmol/L]]</f>
        <v>139</v>
      </c>
      <c r="AZ194" s="125" t="str">
        <f>Tabela1[[#This Row],[Pré Magnésio mg/dL]]</f>
        <v>-</v>
      </c>
      <c r="BA194" s="125" t="str">
        <f>Tabela1[[#This Row],[Pós Magnésio mg/dL]]</f>
        <v>-</v>
      </c>
      <c r="BB194" s="85" t="str">
        <f>Tabela1[[#This Row],[Pré Cloro mmol/L]]</f>
        <v>-</v>
      </c>
      <c r="BC194" s="85" t="str">
        <f>Tabela1[[#This Row],[Pós Cloro mmol/L]]</f>
        <v>-</v>
      </c>
      <c r="BD19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300.97288888888892</v>
      </c>
      <c r="BE19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289.30199999999996</v>
      </c>
      <c r="BF194" s="194">
        <f>Tabela1[[#This Row],[Pré RBC 10^6/mm³]]</f>
        <v>4.9400000000000004</v>
      </c>
      <c r="BG194" s="125">
        <f>Tabela1[[#This Row],[Pós RBC 10^6/mm³]]</f>
        <v>4.08</v>
      </c>
      <c r="BH194" s="125">
        <f>Tabela1[[#This Row],[Pré HGB g/dL]]</f>
        <v>13.7</v>
      </c>
      <c r="BI194" s="125">
        <f>Tabela1[[#This Row],[Pós HGB g/dL]]</f>
        <v>11.6</v>
      </c>
      <c r="BJ194" s="125">
        <f>Tabela1[[#This Row],[Pré HCT %]]</f>
        <v>43.3</v>
      </c>
      <c r="BK194" s="125">
        <f>Tabela1[[#This Row],[Pós HCT %]]</f>
        <v>35.9</v>
      </c>
      <c r="BL194" s="125">
        <f>Tabela1[[#This Row],[Pré MCV fL]]</f>
        <v>87.7</v>
      </c>
      <c r="BM194" s="125">
        <f>Tabela1[[#This Row],[Pós MCV fL]]</f>
        <v>88</v>
      </c>
      <c r="BN194" s="125">
        <f>Tabela1[[#This Row],[Pré MCH pg]]</f>
        <v>27.7</v>
      </c>
      <c r="BO194" s="125">
        <f>Tabela1[[#This Row],[Pós MCH pg]]</f>
        <v>28.4</v>
      </c>
      <c r="BP194" s="125">
        <f>Tabela1[[#This Row],[Pré MCHC g/dL]]</f>
        <v>31.6</v>
      </c>
      <c r="BQ194" s="125">
        <f>Tabela1[[#This Row],[Pós MCHC g/dL]]</f>
        <v>32.299999999999997</v>
      </c>
      <c r="BR194" s="85">
        <f>Tabela1[[#This Row],[Pré PLT 10³/mm³]]</f>
        <v>289</v>
      </c>
      <c r="BS194" s="85">
        <f>Tabela1[[#This Row],[Pós PLT 10³/mm³]]</f>
        <v>249</v>
      </c>
      <c r="BT194" s="125">
        <f>Tabela1[[#This Row],[Pré RDW %]]</f>
        <v>13.2</v>
      </c>
      <c r="BU194" s="125">
        <f>Tabela1[[#This Row],[Pós RDW %]]</f>
        <v>13.5</v>
      </c>
      <c r="BV194" s="179">
        <f>Tabela1[[#This Row],[Pré RET %]]</f>
        <v>1.19</v>
      </c>
      <c r="BW194" s="196">
        <f>Tabela1[[#This Row],[Pós RET %]]</f>
        <v>1.18</v>
      </c>
      <c r="BX194" s="197">
        <f>Tabela1[[#This Row],[Pré WBC 10³/mm³]]</f>
        <v>6</v>
      </c>
      <c r="BY194" s="179">
        <f>Tabela1[[#This Row],[Pós WBC 10³/mm³]]</f>
        <v>5.82</v>
      </c>
      <c r="BZ194" s="125">
        <f>Tabela1[[#This Row],[Pré NEUT %]]</f>
        <v>71.7</v>
      </c>
      <c r="CA194" s="125">
        <f>Tabela1[[#This Row],[Pós NEUT %]]</f>
        <v>57.3</v>
      </c>
      <c r="CB194" s="125">
        <f>Tabela1[[#This Row],[Pré LINF %]]</f>
        <v>19.8</v>
      </c>
      <c r="CC194" s="125">
        <f>Tabela1[[#This Row],[Pós LINF %]]</f>
        <v>29.6</v>
      </c>
      <c r="CD194" s="125">
        <f>Tabela1[[#This Row],[Pré MONO %]]</f>
        <v>8</v>
      </c>
      <c r="CE194" s="125">
        <f>Tabela1[[#This Row],[Pós MONO %]]</f>
        <v>12.9</v>
      </c>
      <c r="CF194" s="125">
        <f>Tabela1[[#This Row],[Pré EOS %]]</f>
        <v>0.5</v>
      </c>
      <c r="CG194" s="125">
        <f>Tabela1[[#This Row],[Pós EOS %]]</f>
        <v>0.2</v>
      </c>
      <c r="CH194" s="125">
        <f>Tabela1[[#This Row],[Pré BASO %]]</f>
        <v>0</v>
      </c>
      <c r="CI194" s="198">
        <f>Tabela1[[#This Row],[Pós BASO %]]</f>
        <v>0</v>
      </c>
      <c r="CJ194" s="199" t="str">
        <f t="shared" ref="CJ194:CJ257" si="13">IFERROR(IF((AJ194-AI194)&gt;=0.3,"SIM","NÃO"),"Dados insuficientes")</f>
        <v>NÃO</v>
      </c>
      <c r="CK194" s="200" t="str">
        <f t="shared" ref="CK194:CK257" si="14">IFERROR(IF(OR(N194&gt;=1000,M194&gt;=1000),"SIM","NÃO"),"Dados Insuficientes")</f>
        <v>SIM</v>
      </c>
      <c r="CL194" s="194">
        <f t="shared" ref="CL194:CL257" si="15">$CM194-($CM194*(0.01*$CR194))</f>
        <v>71.943809999999999</v>
      </c>
      <c r="CM194" s="125">
        <f>Tabela1[[#This Row],[MCT KG]]</f>
        <v>81.099999999999994</v>
      </c>
      <c r="CN194" s="85">
        <f>Tabela1[[#This Row],[ESTATURA]]</f>
        <v>178</v>
      </c>
      <c r="CO194" s="85">
        <f>Tabela1[[#This Row],[vo2max estimado]]</f>
        <v>51.6</v>
      </c>
      <c r="CP194" s="85">
        <f>Tabela1[[#This Row],[Handgrip     Dominante]]</f>
        <v>45.5</v>
      </c>
      <c r="CQ194" s="85">
        <f>Tabela1[[#This Row],[Handgrip Contrário]]</f>
        <v>43</v>
      </c>
      <c r="CR194" s="281">
        <f>Tabela1[[#This Row],[% gordura]]</f>
        <v>11.29</v>
      </c>
    </row>
    <row r="195" spans="1:96" ht="15.75" customHeight="1">
      <c r="A195" s="279">
        <f>Tabela1[[#This Row],[Ano]]</f>
        <v>2018</v>
      </c>
      <c r="B195" s="181" t="str">
        <f>Tabela1[[#This Row],[Missão]]</f>
        <v>Natal</v>
      </c>
      <c r="C195" s="181">
        <f>Tabela1[[#This Row],[Aluno]]</f>
        <v>3195</v>
      </c>
      <c r="D195" s="181">
        <f>Tabela1[[#This Row],[Idade]]</f>
        <v>26</v>
      </c>
      <c r="E195" s="182">
        <f>Tabela1[[#This Row],[Peso Kg]]</f>
        <v>68</v>
      </c>
      <c r="F195" s="191">
        <f>Tabela1[[#This Row],[Cor da pele]]</f>
        <v>1</v>
      </c>
      <c r="G195" s="192" t="str">
        <f>Tabela1[[#This Row],[ACTN3]]</f>
        <v>-</v>
      </c>
      <c r="H195" s="85" t="str">
        <f>Tabela1[[#This Row],[AGT]]</f>
        <v>-</v>
      </c>
      <c r="I195" s="85" t="str">
        <f>Tabela1[[#This Row],[ECA]]</f>
        <v>-</v>
      </c>
      <c r="J195" s="85" t="str">
        <f>Tabela1[[#This Row],[BDKRB2]]</f>
        <v>-</v>
      </c>
      <c r="K195" s="85" t="str">
        <f>Tabela1[[#This Row],[Score Força%]]</f>
        <v>-</v>
      </c>
      <c r="L195" s="193" t="str">
        <f>Tabela1[[#This Row],[Score Resistência %]]</f>
        <v>-</v>
      </c>
      <c r="M195" s="192">
        <f>Tabela1[[#This Row],[Pré CK (U/L)]]</f>
        <v>96</v>
      </c>
      <c r="N195" s="85">
        <f>Tabela1[[#This Row],[Pós CK (U/L)]]</f>
        <v>1249</v>
      </c>
      <c r="O195" s="85">
        <f>Tabela1[[#This Row],[Pré CK MB U/L]]</f>
        <v>16</v>
      </c>
      <c r="P195" s="85">
        <f>Tabela1[[#This Row],[Pós CK MB U/L]]</f>
        <v>30</v>
      </c>
      <c r="Q195" s="85" t="str">
        <f>Tabela1[[#This Row],[Pré Lactato (mmol/L)]]</f>
        <v>-</v>
      </c>
      <c r="R195" s="85" t="str">
        <f>Tabela1[[#This Row],[Pós Lactato (mmol/L)]]</f>
        <v>-</v>
      </c>
      <c r="S195" s="85" t="str">
        <f>Tabela1[[#This Row],[Pré LDH (U/L)]]</f>
        <v>-</v>
      </c>
      <c r="T195" s="85" t="str">
        <f>Tabela1[[#This Row],[Pós LDH (U/L)]]</f>
        <v>-</v>
      </c>
      <c r="U195" s="85">
        <f>Tabela1[[#This Row],[Pré AST (U/L)]]</f>
        <v>29</v>
      </c>
      <c r="V195" s="193">
        <f>Tabela1[[#This Row],[Pós AST (U/L)]]</f>
        <v>70</v>
      </c>
      <c r="W195" s="194">
        <f>Tabela1[[#This Row],[Pré Albumina (g/dL)]]</f>
        <v>4.5999999999999996</v>
      </c>
      <c r="X195" s="125">
        <f>Tabela1[[#This Row],[Pós Albumina (g/dL)]]</f>
        <v>4.3</v>
      </c>
      <c r="Y195" s="85">
        <f>Tabela1[[#This Row],[Pré TGP (g/dL)]]</f>
        <v>47</v>
      </c>
      <c r="Z195" s="85">
        <f>Tabela1[[#This Row],[Pós TGP (g/dL)]]</f>
        <v>44</v>
      </c>
      <c r="AA195" s="85" t="str">
        <f>Tabela1[[#This Row],[Pré GGT U/L]]</f>
        <v>-</v>
      </c>
      <c r="AB195" s="193" t="str">
        <f>Tabela1[[#This Row],[Pós GGT U/L]]</f>
        <v>-</v>
      </c>
      <c r="AC195" s="194">
        <f>Tabela1[[#This Row],[Pré Ac. Úrico (mg/dL)]]</f>
        <v>6.6</v>
      </c>
      <c r="AD195" s="125">
        <f>Tabela1[[#This Row],[Pós Ac. Úrico (mg/dL)2]]</f>
        <v>5.8</v>
      </c>
      <c r="AE19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19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195" s="85">
        <f>Tabela1[[#This Row],[Pré Ureia mg/dL]]</f>
        <v>41</v>
      </c>
      <c r="AH195" s="85">
        <f>Tabela1[[#This Row],[Pós Ureia mg/dL]]</f>
        <v>46</v>
      </c>
      <c r="AI195" s="125">
        <f>Tabela1[[#This Row],[Pré creatinina mg/dL]]</f>
        <v>0.8</v>
      </c>
      <c r="AJ195" s="125">
        <f>Tabela1[[#This Row],[Pós creatinina mg/dL]]</f>
        <v>0.8</v>
      </c>
      <c r="AK195" s="180">
        <f t="shared" si="12"/>
        <v>0</v>
      </c>
      <c r="AL195" s="125" t="str">
        <f>Tabela1[[#This Row],[Pré Fósforo mg/dL]]</f>
        <v>-</v>
      </c>
      <c r="AM195" s="125" t="str">
        <f>Tabela1[[#This Row],[Pós Fósforo mg/dL]]</f>
        <v>-</v>
      </c>
      <c r="AN195" s="125">
        <f>Tabela1[[#This Row],[Pré Proteína Total (g/dL)]]</f>
        <v>7.5</v>
      </c>
      <c r="AO195" s="125">
        <f>Tabela1[[#This Row],[Pós Proteína Total (g/dL)]]</f>
        <v>7.2</v>
      </c>
      <c r="AP195" s="85" t="str">
        <f>Tabela1[[#This Row],[Pré FE (ug/dL)]]</f>
        <v>-</v>
      </c>
      <c r="AQ195" s="193" t="str">
        <f>Tabela1[[#This Row],[Pós FE (ug/dL)]]</f>
        <v>-</v>
      </c>
      <c r="AR195" s="194">
        <f>Tabela1[[#This Row],[Pré calcio mg/dL]]</f>
        <v>10</v>
      </c>
      <c r="AS195" s="125">
        <f>Tabela1[[#This Row],[Pós calcio mg/dL]]</f>
        <v>9.1</v>
      </c>
      <c r="AT195" s="125">
        <f>Tabela1[[#This Row],[Pré Potássio mmol/L]]</f>
        <v>4.3</v>
      </c>
      <c r="AU195" s="125">
        <f>Tabela1[[#This Row],[Pós Potássio mmol/L]]</f>
        <v>3.5</v>
      </c>
      <c r="AV195" s="85">
        <f>Tabela1[[#This Row],[Glicose pré]]</f>
        <v>121</v>
      </c>
      <c r="AW195" s="85">
        <f>Tabela1[[#This Row],[Glicose pós]]</f>
        <v>84</v>
      </c>
      <c r="AX195" s="85">
        <f>Tabela1[[#This Row],[Pré Sódio mmol/L]]</f>
        <v>144</v>
      </c>
      <c r="AY195" s="85">
        <f>Tabela1[[#This Row],[Pós Sódio mmol/L]]</f>
        <v>140</v>
      </c>
      <c r="AZ195" s="125" t="str">
        <f>Tabela1[[#This Row],[Pré Magnésio mg/dL]]</f>
        <v>-</v>
      </c>
      <c r="BA195" s="125" t="str">
        <f>Tabela1[[#This Row],[Pós Magnésio mg/dL]]</f>
        <v>-</v>
      </c>
      <c r="BB195" s="85" t="str">
        <f>Tabela1[[#This Row],[Pré Cloro mmol/L]]</f>
        <v>-</v>
      </c>
      <c r="BC195" s="85" t="str">
        <f>Tabela1[[#This Row],[Pós Cloro mmol/L]]</f>
        <v>-</v>
      </c>
      <c r="BD19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304.40188888888889</v>
      </c>
      <c r="BE19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293.94333333333338</v>
      </c>
      <c r="BF195" s="194">
        <f>Tabela1[[#This Row],[Pré RBC 10^6/mm³]]</f>
        <v>4.79</v>
      </c>
      <c r="BG195" s="125">
        <f>Tabela1[[#This Row],[Pós RBC 10^6/mm³]]</f>
        <v>4.5</v>
      </c>
      <c r="BH195" s="125">
        <f>Tabela1[[#This Row],[Pré HGB g/dL]]</f>
        <v>14.3</v>
      </c>
      <c r="BI195" s="125">
        <f>Tabela1[[#This Row],[Pós HGB g/dL]]</f>
        <v>13.7</v>
      </c>
      <c r="BJ195" s="125">
        <f>Tabela1[[#This Row],[Pré HCT %]]</f>
        <v>44.3</v>
      </c>
      <c r="BK195" s="125">
        <f>Tabela1[[#This Row],[Pós HCT %]]</f>
        <v>41.1</v>
      </c>
      <c r="BL195" s="125">
        <f>Tabela1[[#This Row],[Pré MCV fL]]</f>
        <v>92.5</v>
      </c>
      <c r="BM195" s="125">
        <f>Tabela1[[#This Row],[Pós MCV fL]]</f>
        <v>91.3</v>
      </c>
      <c r="BN195" s="125">
        <f>Tabela1[[#This Row],[Pré MCH pg]]</f>
        <v>29.9</v>
      </c>
      <c r="BO195" s="125">
        <f>Tabela1[[#This Row],[Pós MCH pg]]</f>
        <v>30.4</v>
      </c>
      <c r="BP195" s="125">
        <f>Tabela1[[#This Row],[Pré MCHC g/dL]]</f>
        <v>32.299999999999997</v>
      </c>
      <c r="BQ195" s="125">
        <f>Tabela1[[#This Row],[Pós MCHC g/dL]]</f>
        <v>33.299999999999997</v>
      </c>
      <c r="BR195" s="85">
        <f>Tabela1[[#This Row],[Pré PLT 10³/mm³]]</f>
        <v>257</v>
      </c>
      <c r="BS195" s="85">
        <f>Tabela1[[#This Row],[Pós PLT 10³/mm³]]</f>
        <v>249</v>
      </c>
      <c r="BT195" s="125">
        <f>Tabela1[[#This Row],[Pré RDW %]]</f>
        <v>12.3</v>
      </c>
      <c r="BU195" s="125">
        <f>Tabela1[[#This Row],[Pós RDW %]]</f>
        <v>12.6</v>
      </c>
      <c r="BV195" s="179">
        <f>Tabela1[[#This Row],[Pré RET %]]</f>
        <v>0.92</v>
      </c>
      <c r="BW195" s="196">
        <f>Tabela1[[#This Row],[Pós RET %]]</f>
        <v>1.1100000000000001</v>
      </c>
      <c r="BX195" s="197">
        <f>Tabela1[[#This Row],[Pré WBC 10³/mm³]]</f>
        <v>7.55</v>
      </c>
      <c r="BY195" s="179">
        <f>Tabela1[[#This Row],[Pós WBC 10³/mm³]]</f>
        <v>8.6999999999999993</v>
      </c>
      <c r="BZ195" s="125">
        <f>Tabela1[[#This Row],[Pré NEUT %]]</f>
        <v>68.3</v>
      </c>
      <c r="CA195" s="125">
        <f>Tabela1[[#This Row],[Pós NEUT %]]</f>
        <v>52.1</v>
      </c>
      <c r="CB195" s="125">
        <f>Tabela1[[#This Row],[Pré LINF %]]</f>
        <v>24.4</v>
      </c>
      <c r="CC195" s="125">
        <f>Tabela1[[#This Row],[Pós LINF %]]</f>
        <v>35.5</v>
      </c>
      <c r="CD195" s="125">
        <f>Tabela1[[#This Row],[Pré MONO %]]</f>
        <v>6.5</v>
      </c>
      <c r="CE195" s="125">
        <f>Tabela1[[#This Row],[Pós MONO %]]</f>
        <v>10.8</v>
      </c>
      <c r="CF195" s="125">
        <f>Tabela1[[#This Row],[Pré EOS %]]</f>
        <v>0.8</v>
      </c>
      <c r="CG195" s="125">
        <f>Tabela1[[#This Row],[Pós EOS %]]</f>
        <v>1.6</v>
      </c>
      <c r="CH195" s="125">
        <f>Tabela1[[#This Row],[Pré BASO %]]</f>
        <v>0</v>
      </c>
      <c r="CI195" s="198">
        <f>Tabela1[[#This Row],[Pós BASO %]]</f>
        <v>0</v>
      </c>
      <c r="CJ195" s="199" t="str">
        <f t="shared" si="13"/>
        <v>NÃO</v>
      </c>
      <c r="CK195" s="200" t="str">
        <f t="shared" si="14"/>
        <v>SIM</v>
      </c>
      <c r="CL195" s="194">
        <f t="shared" si="15"/>
        <v>62.5396</v>
      </c>
      <c r="CM195" s="125">
        <f>Tabela1[[#This Row],[MCT KG]]</f>
        <v>68</v>
      </c>
      <c r="CN195" s="85">
        <f>Tabela1[[#This Row],[ESTATURA]]</f>
        <v>173</v>
      </c>
      <c r="CO195" s="85">
        <f>Tabela1[[#This Row],[vo2max estimado]]</f>
        <v>55.9</v>
      </c>
      <c r="CP195" s="85">
        <f>Tabela1[[#This Row],[Handgrip     Dominante]]</f>
        <v>39</v>
      </c>
      <c r="CQ195" s="85">
        <f>Tabela1[[#This Row],[Handgrip Contrário]]</f>
        <v>39</v>
      </c>
      <c r="CR195" s="281">
        <f>Tabela1[[#This Row],[% gordura]]</f>
        <v>8.0299999999999994</v>
      </c>
    </row>
    <row r="196" spans="1:96" ht="15.75" customHeight="1">
      <c r="A196" s="279">
        <f>Tabela1[[#This Row],[Ano]]</f>
        <v>2018</v>
      </c>
      <c r="B196" s="181" t="str">
        <f>Tabela1[[#This Row],[Missão]]</f>
        <v>Natal</v>
      </c>
      <c r="C196" s="181">
        <f>Tabela1[[#This Row],[Aluno]]</f>
        <v>3196</v>
      </c>
      <c r="D196" s="181">
        <f>Tabela1[[#This Row],[Idade]]</f>
        <v>27</v>
      </c>
      <c r="E196" s="182">
        <f>Tabela1[[#This Row],[Peso Kg]]</f>
        <v>80</v>
      </c>
      <c r="F196" s="191">
        <f>Tabela1[[#This Row],[Cor da pele]]</f>
        <v>1</v>
      </c>
      <c r="G196" s="192" t="str">
        <f>Tabela1[[#This Row],[ACTN3]]</f>
        <v>-</v>
      </c>
      <c r="H196" s="85" t="str">
        <f>Tabela1[[#This Row],[AGT]]</f>
        <v>-</v>
      </c>
      <c r="I196" s="85" t="str">
        <f>Tabela1[[#This Row],[ECA]]</f>
        <v>-</v>
      </c>
      <c r="J196" s="85" t="str">
        <f>Tabela1[[#This Row],[BDKRB2]]</f>
        <v>-</v>
      </c>
      <c r="K196" s="85" t="str">
        <f>Tabela1[[#This Row],[Score Força%]]</f>
        <v>-</v>
      </c>
      <c r="L196" s="193" t="str">
        <f>Tabela1[[#This Row],[Score Resistência %]]</f>
        <v>-</v>
      </c>
      <c r="M196" s="192">
        <f>Tabela1[[#This Row],[Pré CK (U/L)]]</f>
        <v>165</v>
      </c>
      <c r="N196" s="85">
        <f>Tabela1[[#This Row],[Pós CK (U/L)]]</f>
        <v>1013</v>
      </c>
      <c r="O196" s="85">
        <f>Tabela1[[#This Row],[Pré CK MB U/L]]</f>
        <v>20</v>
      </c>
      <c r="P196" s="85">
        <f>Tabela1[[#This Row],[Pós CK MB U/L]]</f>
        <v>30</v>
      </c>
      <c r="Q196" s="85" t="str">
        <f>Tabela1[[#This Row],[Pré Lactato (mmol/L)]]</f>
        <v>-</v>
      </c>
      <c r="R196" s="85" t="str">
        <f>Tabela1[[#This Row],[Pós Lactato (mmol/L)]]</f>
        <v>-</v>
      </c>
      <c r="S196" s="85" t="str">
        <f>Tabela1[[#This Row],[Pré LDH (U/L)]]</f>
        <v>-</v>
      </c>
      <c r="T196" s="85" t="str">
        <f>Tabela1[[#This Row],[Pós LDH (U/L)]]</f>
        <v>-</v>
      </c>
      <c r="U196" s="85">
        <f>Tabela1[[#This Row],[Pré AST (U/L)]]</f>
        <v>29</v>
      </c>
      <c r="V196" s="193">
        <f>Tabela1[[#This Row],[Pós AST (U/L)]]</f>
        <v>53</v>
      </c>
      <c r="W196" s="194">
        <f>Tabela1[[#This Row],[Pré Albumina (g/dL)]]</f>
        <v>4.5</v>
      </c>
      <c r="X196" s="125">
        <f>Tabela1[[#This Row],[Pós Albumina (g/dL)]]</f>
        <v>4.3</v>
      </c>
      <c r="Y196" s="85">
        <f>Tabela1[[#This Row],[Pré TGP (g/dL)]]</f>
        <v>45</v>
      </c>
      <c r="Z196" s="85">
        <f>Tabela1[[#This Row],[Pós TGP (g/dL)]]</f>
        <v>60</v>
      </c>
      <c r="AA196" s="85" t="str">
        <f>Tabela1[[#This Row],[Pré GGT U/L]]</f>
        <v>-</v>
      </c>
      <c r="AB196" s="193" t="str">
        <f>Tabela1[[#This Row],[Pós GGT U/L]]</f>
        <v>-</v>
      </c>
      <c r="AC196" s="194">
        <f>Tabela1[[#This Row],[Pré Ac. Úrico (mg/dL)]]</f>
        <v>7.2</v>
      </c>
      <c r="AD196" s="125">
        <f>Tabela1[[#This Row],[Pós Ac. Úrico (mg/dL)2]]</f>
        <v>7.6</v>
      </c>
      <c r="AE19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19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96" s="85">
        <f>Tabela1[[#This Row],[Pré Ureia mg/dL]]</f>
        <v>42</v>
      </c>
      <c r="AH196" s="85">
        <f>Tabela1[[#This Row],[Pós Ureia mg/dL]]</f>
        <v>48</v>
      </c>
      <c r="AI196" s="125">
        <f>Tabela1[[#This Row],[Pré creatinina mg/dL]]</f>
        <v>1.2</v>
      </c>
      <c r="AJ196" s="125">
        <f>Tabela1[[#This Row],[Pós creatinina mg/dL]]</f>
        <v>1</v>
      </c>
      <c r="AK196" s="180">
        <f t="shared" si="12"/>
        <v>0</v>
      </c>
      <c r="AL196" s="125" t="str">
        <f>Tabela1[[#This Row],[Pré Fósforo mg/dL]]</f>
        <v>-</v>
      </c>
      <c r="AM196" s="125" t="str">
        <f>Tabela1[[#This Row],[Pós Fósforo mg/dL]]</f>
        <v>-</v>
      </c>
      <c r="AN196" s="125">
        <f>Tabela1[[#This Row],[Pré Proteína Total (g/dL)]]</f>
        <v>7.4</v>
      </c>
      <c r="AO196" s="125">
        <f>Tabela1[[#This Row],[Pós Proteína Total (g/dL)]]</f>
        <v>7.4</v>
      </c>
      <c r="AP196" s="85" t="str">
        <f>Tabela1[[#This Row],[Pré FE (ug/dL)]]</f>
        <v>-</v>
      </c>
      <c r="AQ196" s="193" t="str">
        <f>Tabela1[[#This Row],[Pós FE (ug/dL)]]</f>
        <v>-</v>
      </c>
      <c r="AR196" s="194">
        <f>Tabela1[[#This Row],[Pré calcio mg/dL]]</f>
        <v>9.9</v>
      </c>
      <c r="AS196" s="125">
        <f>Tabela1[[#This Row],[Pós calcio mg/dL]]</f>
        <v>9.1999999999999993</v>
      </c>
      <c r="AT196" s="125">
        <f>Tabela1[[#This Row],[Pré Potássio mmol/L]]</f>
        <v>4.8</v>
      </c>
      <c r="AU196" s="125">
        <f>Tabela1[[#This Row],[Pós Potássio mmol/L]]</f>
        <v>4</v>
      </c>
      <c r="AV196" s="85">
        <f>Tabela1[[#This Row],[Glicose pré]]</f>
        <v>100</v>
      </c>
      <c r="AW196" s="85">
        <f>Tabela1[[#This Row],[Glicose pós]]</f>
        <v>94</v>
      </c>
      <c r="AX196" s="85">
        <f>Tabela1[[#This Row],[Pré Sódio mmol/L]]</f>
        <v>142</v>
      </c>
      <c r="AY196" s="85">
        <f>Tabela1[[#This Row],[Pós Sódio mmol/L]]</f>
        <v>140</v>
      </c>
      <c r="AZ196" s="125" t="str">
        <f>Tabela1[[#This Row],[Pré Magnésio mg/dL]]</f>
        <v>-</v>
      </c>
      <c r="BA196" s="125" t="str">
        <f>Tabela1[[#This Row],[Pós Magnésio mg/dL]]</f>
        <v>-</v>
      </c>
      <c r="BB196" s="85" t="str">
        <f>Tabela1[[#This Row],[Pré Cloro mmol/L]]</f>
        <v>-</v>
      </c>
      <c r="BC196" s="85" t="str">
        <f>Tabela1[[#This Row],[Pós Cloro mmol/L]]</f>
        <v>-</v>
      </c>
      <c r="BD19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300.43688888888897</v>
      </c>
      <c r="BE19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295.84555555555556</v>
      </c>
      <c r="BF196" s="194">
        <f>Tabela1[[#This Row],[Pré RBC 10^6/mm³]]</f>
        <v>5.68</v>
      </c>
      <c r="BG196" s="125">
        <f>Tabela1[[#This Row],[Pós RBC 10^6/mm³]]</f>
        <v>5.29</v>
      </c>
      <c r="BH196" s="125">
        <f>Tabela1[[#This Row],[Pré HGB g/dL]]</f>
        <v>15</v>
      </c>
      <c r="BI196" s="125">
        <f>Tabela1[[#This Row],[Pós HGB g/dL]]</f>
        <v>14</v>
      </c>
      <c r="BJ196" s="125">
        <f>Tabela1[[#This Row],[Pré HCT %]]</f>
        <v>46.9</v>
      </c>
      <c r="BK196" s="125">
        <f>Tabela1[[#This Row],[Pós HCT %]]</f>
        <v>43</v>
      </c>
      <c r="BL196" s="125">
        <f>Tabela1[[#This Row],[Pré MCV fL]]</f>
        <v>82.6</v>
      </c>
      <c r="BM196" s="125">
        <f>Tabela1[[#This Row],[Pós MCV fL]]</f>
        <v>81.3</v>
      </c>
      <c r="BN196" s="125">
        <f>Tabela1[[#This Row],[Pré MCH pg]]</f>
        <v>26.4</v>
      </c>
      <c r="BO196" s="125">
        <f>Tabela1[[#This Row],[Pós MCH pg]]</f>
        <v>26.5</v>
      </c>
      <c r="BP196" s="125">
        <f>Tabela1[[#This Row],[Pré MCHC g/dL]]</f>
        <v>32</v>
      </c>
      <c r="BQ196" s="125">
        <f>Tabela1[[#This Row],[Pós MCHC g/dL]]</f>
        <v>32.6</v>
      </c>
      <c r="BR196" s="85">
        <f>Tabela1[[#This Row],[Pré PLT 10³/mm³]]</f>
        <v>297</v>
      </c>
      <c r="BS196" s="85">
        <f>Tabela1[[#This Row],[Pós PLT 10³/mm³]]</f>
        <v>94</v>
      </c>
      <c r="BT196" s="125">
        <f>Tabela1[[#This Row],[Pré RDW %]]</f>
        <v>12.5</v>
      </c>
      <c r="BU196" s="125">
        <f>Tabela1[[#This Row],[Pós RDW %]]</f>
        <v>12.4</v>
      </c>
      <c r="BV196" s="179">
        <f>Tabela1[[#This Row],[Pré RET %]]</f>
        <v>0.87</v>
      </c>
      <c r="BW196" s="196">
        <f>Tabela1[[#This Row],[Pós RET %]]</f>
        <v>0.87</v>
      </c>
      <c r="BX196" s="197">
        <f>Tabela1[[#This Row],[Pré WBC 10³/mm³]]</f>
        <v>7.45</v>
      </c>
      <c r="BY196" s="179">
        <f>Tabela1[[#This Row],[Pós WBC 10³/mm³]]</f>
        <v>7.64</v>
      </c>
      <c r="BZ196" s="125">
        <f>Tabela1[[#This Row],[Pré NEUT %]]</f>
        <v>71.7</v>
      </c>
      <c r="CA196" s="125">
        <f>Tabela1[[#This Row],[Pós NEUT %]]</f>
        <v>43.1</v>
      </c>
      <c r="CB196" s="125">
        <f>Tabela1[[#This Row],[Pré LINF %]]</f>
        <v>20.399999999999999</v>
      </c>
      <c r="CC196" s="125">
        <f>Tabela1[[#This Row],[Pós LINF %]]</f>
        <v>44.6</v>
      </c>
      <c r="CD196" s="125">
        <f>Tabela1[[#This Row],[Pré MONO %]]</f>
        <v>6.6</v>
      </c>
      <c r="CE196" s="125">
        <f>Tabela1[[#This Row],[Pós MONO %]]</f>
        <v>9.6</v>
      </c>
      <c r="CF196" s="125">
        <f>Tabela1[[#This Row],[Pré EOS %]]</f>
        <v>1.3</v>
      </c>
      <c r="CG196" s="125">
        <f>Tabela1[[#This Row],[Pós EOS %]]</f>
        <v>2.7</v>
      </c>
      <c r="CH196" s="125">
        <f>Tabela1[[#This Row],[Pré BASO %]]</f>
        <v>0</v>
      </c>
      <c r="CI196" s="198">
        <f>Tabela1[[#This Row],[Pós BASO %]]</f>
        <v>0</v>
      </c>
      <c r="CJ196" s="199" t="str">
        <f t="shared" si="13"/>
        <v>NÃO</v>
      </c>
      <c r="CK196" s="200" t="str">
        <f t="shared" si="14"/>
        <v>SIM</v>
      </c>
      <c r="CL196" s="194">
        <f t="shared" si="15"/>
        <v>70.30368</v>
      </c>
      <c r="CM196" s="125">
        <f>Tabela1[[#This Row],[MCT KG]]</f>
        <v>82.4</v>
      </c>
      <c r="CN196" s="85">
        <f>Tabela1[[#This Row],[ESTATURA]]</f>
        <v>168</v>
      </c>
      <c r="CO196" s="85">
        <f>Tabela1[[#This Row],[vo2max estimado]]</f>
        <v>50.7</v>
      </c>
      <c r="CP196" s="85">
        <f>Tabela1[[#This Row],[Handgrip     Dominante]]</f>
        <v>60</v>
      </c>
      <c r="CQ196" s="85">
        <f>Tabela1[[#This Row],[Handgrip Contrário]]</f>
        <v>58</v>
      </c>
      <c r="CR196" s="281">
        <f>Tabela1[[#This Row],[% gordura]]</f>
        <v>14.68</v>
      </c>
    </row>
    <row r="197" spans="1:96" ht="15.75" customHeight="1">
      <c r="A197" s="279">
        <f>Tabela1[[#This Row],[Ano]]</f>
        <v>2018</v>
      </c>
      <c r="B197" s="181" t="str">
        <f>Tabela1[[#This Row],[Missão]]</f>
        <v>Avelar</v>
      </c>
      <c r="C197" s="181">
        <f>Tabela1[[#This Row],[Aluno]]</f>
        <v>3155</v>
      </c>
      <c r="D197" s="181">
        <f>Tabela1[[#This Row],[Idade]]</f>
        <v>26</v>
      </c>
      <c r="E197" s="182">
        <f>Tabela1[[#This Row],[Peso Kg]]</f>
        <v>70</v>
      </c>
      <c r="F197" s="191">
        <f>Tabela1[[#This Row],[Cor da pele]]</f>
        <v>1</v>
      </c>
      <c r="G197" s="192" t="str">
        <f>Tabela1[[#This Row],[ACTN3]]</f>
        <v>RR</v>
      </c>
      <c r="H197" s="85" t="str">
        <f>Tabela1[[#This Row],[AGT]]</f>
        <v>MT</v>
      </c>
      <c r="I197" s="85" t="str">
        <f>Tabela1[[#This Row],[ECA]]</f>
        <v>II</v>
      </c>
      <c r="J197" s="85" t="str">
        <f>Tabela1[[#This Row],[BDKRB2]]</f>
        <v>(+9,-9)</v>
      </c>
      <c r="K197" s="85">
        <f>Tabela1[[#This Row],[Score Força%]]</f>
        <v>50</v>
      </c>
      <c r="L197" s="193">
        <f>Tabela1[[#This Row],[Score Resistência %]]</f>
        <v>50</v>
      </c>
      <c r="M197" s="192">
        <f>Tabela1[[#This Row],[Pré CK (U/L)]]</f>
        <v>5986</v>
      </c>
      <c r="N197" s="85">
        <f>Tabela1[[#This Row],[Pós CK (U/L)]]</f>
        <v>7068</v>
      </c>
      <c r="O197" s="85">
        <f>Tabela1[[#This Row],[Pré CK MB U/L]]</f>
        <v>32</v>
      </c>
      <c r="P197" s="85">
        <f>Tabela1[[#This Row],[Pós CK MB U/L]]</f>
        <v>103</v>
      </c>
      <c r="Q197" s="85">
        <f>Tabela1[[#This Row],[Pré Lactato (mmol/L)]]</f>
        <v>1.6</v>
      </c>
      <c r="R197" s="85">
        <f>Tabela1[[#This Row],[Pós Lactato (mmol/L)]]</f>
        <v>5.7</v>
      </c>
      <c r="S197" s="85">
        <f>Tabela1[[#This Row],[Pré LDH (U/L)]]</f>
        <v>714</v>
      </c>
      <c r="T197" s="85">
        <f>Tabela1[[#This Row],[Pós LDH (U/L)]]</f>
        <v>1410</v>
      </c>
      <c r="U197" s="85">
        <f>Tabela1[[#This Row],[Pré AST (U/L)]]</f>
        <v>85</v>
      </c>
      <c r="V197" s="193">
        <f>Tabela1[[#This Row],[Pós AST (U/L)]]</f>
        <v>168</v>
      </c>
      <c r="W197" s="194">
        <f>Tabela1[[#This Row],[Pré Albumina (g/dL)]]</f>
        <v>4.4000000000000004</v>
      </c>
      <c r="X197" s="125">
        <f>Tabela1[[#This Row],[Pós Albumina (g/dL)]]</f>
        <v>5</v>
      </c>
      <c r="Y197" s="85">
        <f>Tabela1[[#This Row],[Pré TGP (g/dL)]]</f>
        <v>61</v>
      </c>
      <c r="Z197" s="85">
        <f>Tabela1[[#This Row],[Pós TGP (g/dL)]]</f>
        <v>65</v>
      </c>
      <c r="AA197" s="85">
        <f>Tabela1[[#This Row],[Pré GGT U/L]]</f>
        <v>27</v>
      </c>
      <c r="AB197" s="193">
        <f>Tabela1[[#This Row],[Pós GGT U/L]]</f>
        <v>29</v>
      </c>
      <c r="AC197" s="194">
        <f>Tabela1[[#This Row],[Pré Ac. Úrico (mg/dL)]]</f>
        <v>5.3</v>
      </c>
      <c r="AD197" s="125">
        <f>Tabela1[[#This Row],[Pós Ac. Úrico (mg/dL)2]]</f>
        <v>6.8</v>
      </c>
      <c r="AE19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9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197" s="85">
        <f>Tabela1[[#This Row],[Pré Ureia mg/dL]]</f>
        <v>36</v>
      </c>
      <c r="AH197" s="85">
        <f>Tabela1[[#This Row],[Pós Ureia mg/dL]]</f>
        <v>66</v>
      </c>
      <c r="AI197" s="125">
        <f>Tabela1[[#This Row],[Pré creatinina mg/dL]]</f>
        <v>1.1000000000000001</v>
      </c>
      <c r="AJ197" s="125">
        <f>Tabela1[[#This Row],[Pós creatinina mg/dL]]</f>
        <v>1</v>
      </c>
      <c r="AK197" s="180">
        <f t="shared" si="12"/>
        <v>0</v>
      </c>
      <c r="AL197" s="125">
        <f>Tabela1[[#This Row],[Pré Fósforo mg/dL]]</f>
        <v>3.7</v>
      </c>
      <c r="AM197" s="125">
        <f>Tabela1[[#This Row],[Pós Fósforo mg/dL]]</f>
        <v>6.1</v>
      </c>
      <c r="AN197" s="125">
        <f>Tabela1[[#This Row],[Pré Proteína Total (g/dL)]]</f>
        <v>7.2</v>
      </c>
      <c r="AO197" s="125">
        <f>Tabela1[[#This Row],[Pós Proteína Total (g/dL)]]</f>
        <v>7.7</v>
      </c>
      <c r="AP197" s="85" t="str">
        <f>Tabela1[[#This Row],[Pré FE (ug/dL)]]</f>
        <v>-</v>
      </c>
      <c r="AQ197" s="193">
        <f>Tabela1[[#This Row],[Pós FE (ug/dL)]]</f>
        <v>76</v>
      </c>
      <c r="AR197" s="194">
        <f>Tabela1[[#This Row],[Pré calcio mg/dL]]</f>
        <v>8.6</v>
      </c>
      <c r="AS197" s="125">
        <f>Tabela1[[#This Row],[Pós calcio mg/dL]]</f>
        <v>10.1</v>
      </c>
      <c r="AT197" s="125">
        <f>Tabela1[[#This Row],[Pré Potássio mmol/L]]</f>
        <v>4.5</v>
      </c>
      <c r="AU197" s="125">
        <f>Tabela1[[#This Row],[Pós Potássio mmol/L]]</f>
        <v>4.5</v>
      </c>
      <c r="AV197" s="85">
        <f>Tabela1[[#This Row],[Glicose pré]]</f>
        <v>90</v>
      </c>
      <c r="AW197" s="85">
        <f>Tabela1[[#This Row],[Glicose pós]]</f>
        <v>65</v>
      </c>
      <c r="AX197" s="85">
        <f>Tabela1[[#This Row],[Pré Sódio mmol/L]]</f>
        <v>142</v>
      </c>
      <c r="AY197" s="85">
        <f>Tabela1[[#This Row],[Pós Sódio mmol/L]]</f>
        <v>140</v>
      </c>
      <c r="AZ197" s="125">
        <f>Tabela1[[#This Row],[Pré Magnésio mg/dL]]</f>
        <v>2.2000000000000002</v>
      </c>
      <c r="BA197" s="125">
        <f>Tabela1[[#This Row],[Pós Magnésio mg/dL]]</f>
        <v>2.2000000000000002</v>
      </c>
      <c r="BB197" s="85">
        <f>Tabela1[[#This Row],[Pré Cloro mmol/L]]</f>
        <v>106</v>
      </c>
      <c r="BC197" s="85">
        <f>Tabela1[[#This Row],[Pós Cloro mmol/L]]</f>
        <v>102</v>
      </c>
      <c r="BD19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298.24</v>
      </c>
      <c r="BE19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297.92277777777781</v>
      </c>
      <c r="BF197" s="194">
        <f>Tabela1[[#This Row],[Pré RBC 10^6/mm³]]</f>
        <v>4.8499999999999996</v>
      </c>
      <c r="BG197" s="125">
        <f>Tabela1[[#This Row],[Pós RBC 10^6/mm³]]</f>
        <v>4.54</v>
      </c>
      <c r="BH197" s="125">
        <f>Tabela1[[#This Row],[Pré HGB g/dL]]</f>
        <v>14.3</v>
      </c>
      <c r="BI197" s="125">
        <f>Tabela1[[#This Row],[Pós HGB g/dL]]</f>
        <v>13.7</v>
      </c>
      <c r="BJ197" s="125">
        <f>Tabela1[[#This Row],[Pré HCT %]]</f>
        <v>41.7</v>
      </c>
      <c r="BK197" s="125">
        <f>Tabela1[[#This Row],[Pós HCT %]]</f>
        <v>39.1</v>
      </c>
      <c r="BL197" s="125">
        <f>Tabela1[[#This Row],[Pré MCV fL]]</f>
        <v>86</v>
      </c>
      <c r="BM197" s="125">
        <f>Tabela1[[#This Row],[Pós MCV fL]]</f>
        <v>86</v>
      </c>
      <c r="BN197" s="125">
        <f>Tabela1[[#This Row],[Pré MCH pg]]</f>
        <v>29.5</v>
      </c>
      <c r="BO197" s="125">
        <f>Tabela1[[#This Row],[Pós MCH pg]]</f>
        <v>30.2</v>
      </c>
      <c r="BP197" s="125">
        <f>Tabela1[[#This Row],[Pré MCHC g/dL]]</f>
        <v>34.299999999999997</v>
      </c>
      <c r="BQ197" s="125">
        <f>Tabela1[[#This Row],[Pós MCHC g/dL]]</f>
        <v>35</v>
      </c>
      <c r="BR197" s="85">
        <f>Tabela1[[#This Row],[Pré PLT 10³/mm³]]</f>
        <v>281</v>
      </c>
      <c r="BS197" s="85">
        <f>Tabela1[[#This Row],[Pós PLT 10³/mm³]]</f>
        <v>263</v>
      </c>
      <c r="BT197" s="125">
        <f>Tabela1[[#This Row],[Pré RDW %]]</f>
        <v>14.6</v>
      </c>
      <c r="BU197" s="125">
        <f>Tabela1[[#This Row],[Pós RDW %]]</f>
        <v>14.4</v>
      </c>
      <c r="BV197" s="179">
        <f>Tabela1[[#This Row],[Pré RET %]]</f>
        <v>1.39</v>
      </c>
      <c r="BW197" s="196">
        <f>Tabela1[[#This Row],[Pós RET %]]</f>
        <v>1.01</v>
      </c>
      <c r="BX197" s="197">
        <f>Tabela1[[#This Row],[Pré WBC 10³/mm³]]</f>
        <v>7.35</v>
      </c>
      <c r="BY197" s="179">
        <f>Tabela1[[#This Row],[Pós WBC 10³/mm³]]</f>
        <v>15.25</v>
      </c>
      <c r="BZ197" s="125">
        <f>Tabela1[[#This Row],[Pré NEUT %]]</f>
        <v>62</v>
      </c>
      <c r="CA197" s="125">
        <f>Tabela1[[#This Row],[Pós NEUT %]]</f>
        <v>85.3</v>
      </c>
      <c r="CB197" s="125">
        <f>Tabela1[[#This Row],[Pré LINF %]]</f>
        <v>27.5</v>
      </c>
      <c r="CC197" s="125">
        <f>Tabela1[[#This Row],[Pós LINF %]]</f>
        <v>5.7</v>
      </c>
      <c r="CD197" s="125">
        <f>Tabela1[[#This Row],[Pré MONO %]]</f>
        <v>9.3000000000000007</v>
      </c>
      <c r="CE197" s="125">
        <f>Tabela1[[#This Row],[Pós MONO %]]</f>
        <v>8.8000000000000007</v>
      </c>
      <c r="CF197" s="125">
        <f>Tabela1[[#This Row],[Pré EOS %]]</f>
        <v>0.8</v>
      </c>
      <c r="CG197" s="125">
        <f>Tabela1[[#This Row],[Pós EOS %]]</f>
        <v>0</v>
      </c>
      <c r="CH197" s="125">
        <f>Tabela1[[#This Row],[Pré BASO %]]</f>
        <v>0.4</v>
      </c>
      <c r="CI197" s="198">
        <f>Tabela1[[#This Row],[Pós BASO %]]</f>
        <v>0.2</v>
      </c>
      <c r="CJ197" s="199" t="str">
        <f t="shared" si="13"/>
        <v>NÃO</v>
      </c>
      <c r="CK197" s="200" t="str">
        <f t="shared" si="14"/>
        <v>SIM</v>
      </c>
      <c r="CL197" s="194">
        <f t="shared" si="15"/>
        <v>71.28528</v>
      </c>
      <c r="CM197" s="125">
        <f>Tabela1[[#This Row],[MCT KG]]</f>
        <v>75.900000000000006</v>
      </c>
      <c r="CN197" s="85">
        <f>Tabela1[[#This Row],[ESTATURA]]</f>
        <v>171</v>
      </c>
      <c r="CO197" s="85">
        <f>Tabela1[[#This Row],[vo2max estimado]]</f>
        <v>54.68</v>
      </c>
      <c r="CP197" s="85">
        <f>Tabela1[[#This Row],[Handgrip     Dominante]]</f>
        <v>42</v>
      </c>
      <c r="CQ197" s="85">
        <f>Tabela1[[#This Row],[Handgrip Contrário]]</f>
        <v>43</v>
      </c>
      <c r="CR197" s="281">
        <f>Tabela1[[#This Row],[% gordura]]</f>
        <v>6.08</v>
      </c>
    </row>
    <row r="198" spans="1:96" ht="15.75" customHeight="1">
      <c r="A198" s="279">
        <f>Tabela1[[#This Row],[Ano]]</f>
        <v>2018</v>
      </c>
      <c r="B198" s="181" t="str">
        <f>Tabela1[[#This Row],[Missão]]</f>
        <v>Avelar</v>
      </c>
      <c r="C198" s="181">
        <f>Tabela1[[#This Row],[Aluno]]</f>
        <v>3156</v>
      </c>
      <c r="D198" s="181">
        <f>Tabela1[[#This Row],[Idade]]</f>
        <v>26</v>
      </c>
      <c r="E198" s="182">
        <f>Tabela1[[#This Row],[Peso Kg]]</f>
        <v>74</v>
      </c>
      <c r="F198" s="191">
        <f>Tabela1[[#This Row],[Cor da pele]]</f>
        <v>1</v>
      </c>
      <c r="G198" s="192" t="str">
        <f>Tabela1[[#This Row],[ACTN3]]</f>
        <v>RX</v>
      </c>
      <c r="H198" s="85" t="str">
        <f>Tabela1[[#This Row],[AGT]]</f>
        <v>MM</v>
      </c>
      <c r="I198" s="85" t="str">
        <f>Tabela1[[#This Row],[ECA]]</f>
        <v>ID</v>
      </c>
      <c r="J198" s="85" t="str">
        <f>Tabela1[[#This Row],[BDKRB2]]</f>
        <v>(+9,+9)</v>
      </c>
      <c r="K198" s="85">
        <f>Tabela1[[#This Row],[Score Força%]]</f>
        <v>50</v>
      </c>
      <c r="L198" s="193">
        <f>Tabela1[[#This Row],[Score Resistência %]]</f>
        <v>50</v>
      </c>
      <c r="M198" s="192">
        <f>Tabela1[[#This Row],[Pré CK (U/L)]]</f>
        <v>742</v>
      </c>
      <c r="N198" s="85">
        <f>Tabela1[[#This Row],[Pós CK (U/L)]]</f>
        <v>5962</v>
      </c>
      <c r="O198" s="85">
        <f>Tabela1[[#This Row],[Pré CK MB U/L]]</f>
        <v>25</v>
      </c>
      <c r="P198" s="85">
        <f>Tabela1[[#This Row],[Pós CK MB U/L]]</f>
        <v>95</v>
      </c>
      <c r="Q198" s="85">
        <f>Tabela1[[#This Row],[Pré Lactato (mmol/L)]]</f>
        <v>1.6</v>
      </c>
      <c r="R198" s="85">
        <f>Tabela1[[#This Row],[Pós Lactato (mmol/L)]]</f>
        <v>7.6</v>
      </c>
      <c r="S198" s="85">
        <f>Tabela1[[#This Row],[Pré LDH (U/L)]]</f>
        <v>602</v>
      </c>
      <c r="T198" s="85">
        <f>Tabela1[[#This Row],[Pós LDH (U/L)]]</f>
        <v>1317</v>
      </c>
      <c r="U198" s="85">
        <f>Tabela1[[#This Row],[Pré AST (U/L)]]</f>
        <v>43</v>
      </c>
      <c r="V198" s="193">
        <f>Tabela1[[#This Row],[Pós AST (U/L)]]</f>
        <v>148</v>
      </c>
      <c r="W198" s="194">
        <f>Tabela1[[#This Row],[Pré Albumina (g/dL)]]</f>
        <v>4.7</v>
      </c>
      <c r="X198" s="125">
        <f>Tabela1[[#This Row],[Pós Albumina (g/dL)]]</f>
        <v>5.2</v>
      </c>
      <c r="Y198" s="85">
        <f>Tabela1[[#This Row],[Pré TGP (g/dL)]]</f>
        <v>39</v>
      </c>
      <c r="Z198" s="85">
        <f>Tabela1[[#This Row],[Pós TGP (g/dL)]]</f>
        <v>58</v>
      </c>
      <c r="AA198" s="85">
        <f>Tabela1[[#This Row],[Pré GGT U/L]]</f>
        <v>28</v>
      </c>
      <c r="AB198" s="193">
        <f>Tabela1[[#This Row],[Pós GGT U/L]]</f>
        <v>24</v>
      </c>
      <c r="AC198" s="194">
        <f>Tabela1[[#This Row],[Pré Ac. Úrico (mg/dL)]]</f>
        <v>6.3</v>
      </c>
      <c r="AD198" s="125">
        <f>Tabela1[[#This Row],[Pós Ac. Úrico (mg/dL)2]]</f>
        <v>4.0999999999999996</v>
      </c>
      <c r="AE19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19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198" s="85">
        <f>Tabela1[[#This Row],[Pré Ureia mg/dL]]</f>
        <v>41</v>
      </c>
      <c r="AH198" s="85">
        <f>Tabela1[[#This Row],[Pós Ureia mg/dL]]</f>
        <v>40</v>
      </c>
      <c r="AI198" s="125">
        <f>Tabela1[[#This Row],[Pré creatinina mg/dL]]</f>
        <v>1.1000000000000001</v>
      </c>
      <c r="AJ198" s="125">
        <f>Tabela1[[#This Row],[Pós creatinina mg/dL]]</f>
        <v>0.9</v>
      </c>
      <c r="AK198" s="180">
        <f t="shared" si="12"/>
        <v>0</v>
      </c>
      <c r="AL198" s="125">
        <f>Tabela1[[#This Row],[Pré Fósforo mg/dL]]</f>
        <v>5.0999999999999996</v>
      </c>
      <c r="AM198" s="125">
        <f>Tabela1[[#This Row],[Pós Fósforo mg/dL]]</f>
        <v>5</v>
      </c>
      <c r="AN198" s="125">
        <f>Tabela1[[#This Row],[Pré Proteína Total (g/dL)]]</f>
        <v>7.7</v>
      </c>
      <c r="AO198" s="125">
        <f>Tabela1[[#This Row],[Pós Proteína Total (g/dL)]]</f>
        <v>8.1</v>
      </c>
      <c r="AP198" s="85" t="str">
        <f>Tabela1[[#This Row],[Pré FE (ug/dL)]]</f>
        <v>-</v>
      </c>
      <c r="AQ198" s="193">
        <f>Tabela1[[#This Row],[Pós FE (ug/dL)]]</f>
        <v>95</v>
      </c>
      <c r="AR198" s="194">
        <f>Tabela1[[#This Row],[Pré calcio mg/dL]]</f>
        <v>8.8000000000000007</v>
      </c>
      <c r="AS198" s="125">
        <f>Tabela1[[#This Row],[Pós calcio mg/dL]]</f>
        <v>10.5</v>
      </c>
      <c r="AT198" s="125">
        <f>Tabela1[[#This Row],[Pré Potássio mmol/L]]</f>
        <v>4.8</v>
      </c>
      <c r="AU198" s="125">
        <f>Tabela1[[#This Row],[Pós Potássio mmol/L]]</f>
        <v>4.2</v>
      </c>
      <c r="AV198" s="85">
        <f>Tabela1[[#This Row],[Glicose pré]]</f>
        <v>83</v>
      </c>
      <c r="AW198" s="85">
        <f>Tabela1[[#This Row],[Glicose pós]]</f>
        <v>109</v>
      </c>
      <c r="AX198" s="85">
        <f>Tabela1[[#This Row],[Pré Sódio mmol/L]]</f>
        <v>142</v>
      </c>
      <c r="AY198" s="85">
        <f>Tabela1[[#This Row],[Pós Sódio mmol/L]]</f>
        <v>140</v>
      </c>
      <c r="AZ198" s="125">
        <f>Tabela1[[#This Row],[Pré Magnésio mg/dL]]</f>
        <v>2.2000000000000002</v>
      </c>
      <c r="BA198" s="125">
        <f>Tabela1[[#This Row],[Pós Magnésio mg/dL]]</f>
        <v>2.1</v>
      </c>
      <c r="BB198" s="85">
        <f>Tabela1[[#This Row],[Pré Cloro mmol/L]]</f>
        <v>103</v>
      </c>
      <c r="BC198" s="85">
        <f>Tabela1[[#This Row],[Pós Cloro mmol/L]]</f>
        <v>96</v>
      </c>
      <c r="BD19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299.18411111111112</v>
      </c>
      <c r="BE19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295.84255555555558</v>
      </c>
      <c r="BF198" s="194">
        <f>Tabela1[[#This Row],[Pré RBC 10^6/mm³]]</f>
        <v>4.83</v>
      </c>
      <c r="BG198" s="125">
        <f>Tabela1[[#This Row],[Pós RBC 10^6/mm³]]</f>
        <v>5.21</v>
      </c>
      <c r="BH198" s="125">
        <f>Tabela1[[#This Row],[Pré HGB g/dL]]</f>
        <v>14.7</v>
      </c>
      <c r="BI198" s="125">
        <f>Tabela1[[#This Row],[Pós HGB g/dL]]</f>
        <v>16.100000000000001</v>
      </c>
      <c r="BJ198" s="125">
        <f>Tabela1[[#This Row],[Pré HCT %]]</f>
        <v>42.6</v>
      </c>
      <c r="BK198" s="125">
        <f>Tabela1[[#This Row],[Pós HCT %]]</f>
        <v>45.7</v>
      </c>
      <c r="BL198" s="125">
        <f>Tabela1[[#This Row],[Pré MCV fL]]</f>
        <v>88.2</v>
      </c>
      <c r="BM198" s="125">
        <f>Tabela1[[#This Row],[Pós MCV fL]]</f>
        <v>87.7</v>
      </c>
      <c r="BN198" s="125">
        <f>Tabela1[[#This Row],[Pré MCH pg]]</f>
        <v>30.4</v>
      </c>
      <c r="BO198" s="125">
        <f>Tabela1[[#This Row],[Pós MCH pg]]</f>
        <v>30.9</v>
      </c>
      <c r="BP198" s="125">
        <f>Tabela1[[#This Row],[Pré MCHC g/dL]]</f>
        <v>34.5</v>
      </c>
      <c r="BQ198" s="125">
        <f>Tabela1[[#This Row],[Pós MCHC g/dL]]</f>
        <v>35.200000000000003</v>
      </c>
      <c r="BR198" s="85">
        <f>Tabela1[[#This Row],[Pré PLT 10³/mm³]]</f>
        <v>230</v>
      </c>
      <c r="BS198" s="85">
        <f>Tabela1[[#This Row],[Pós PLT 10³/mm³]]</f>
        <v>279</v>
      </c>
      <c r="BT198" s="125">
        <f>Tabela1[[#This Row],[Pré RDW %]]</f>
        <v>12.3</v>
      </c>
      <c r="BU198" s="125">
        <f>Tabela1[[#This Row],[Pós RDW %]]</f>
        <v>12.3</v>
      </c>
      <c r="BV198" s="179">
        <f>Tabela1[[#This Row],[Pré RET %]]</f>
        <v>1.1599999999999999</v>
      </c>
      <c r="BW198" s="196">
        <f>Tabela1[[#This Row],[Pós RET %]]</f>
        <v>0.94</v>
      </c>
      <c r="BX198" s="197">
        <f>Tabela1[[#This Row],[Pré WBC 10³/mm³]]</f>
        <v>4.93</v>
      </c>
      <c r="BY198" s="179">
        <f>Tabela1[[#This Row],[Pós WBC 10³/mm³]]</f>
        <v>8.7200000000000006</v>
      </c>
      <c r="BZ198" s="125">
        <f>Tabela1[[#This Row],[Pré NEUT %]]</f>
        <v>53.8</v>
      </c>
      <c r="CA198" s="125">
        <f>Tabela1[[#This Row],[Pós NEUT %]]</f>
        <v>93.6</v>
      </c>
      <c r="CB198" s="125">
        <f>Tabela1[[#This Row],[Pré LINF %]]</f>
        <v>37.1</v>
      </c>
      <c r="CC198" s="125">
        <f>Tabela1[[#This Row],[Pós LINF %]]</f>
        <v>4.8</v>
      </c>
      <c r="CD198" s="125">
        <f>Tabela1[[#This Row],[Pré MONO %]]</f>
        <v>7.1</v>
      </c>
      <c r="CE198" s="125">
        <f>Tabela1[[#This Row],[Pós MONO %]]</f>
        <v>0.9</v>
      </c>
      <c r="CF198" s="125">
        <f>Tabela1[[#This Row],[Pré EOS %]]</f>
        <v>1.4</v>
      </c>
      <c r="CG198" s="125">
        <f>Tabela1[[#This Row],[Pós EOS %]]</f>
        <v>0.6</v>
      </c>
      <c r="CH198" s="125">
        <f>Tabela1[[#This Row],[Pré BASO %]]</f>
        <v>0.6</v>
      </c>
      <c r="CI198" s="198">
        <f>Tabela1[[#This Row],[Pós BASO %]]</f>
        <v>0.1</v>
      </c>
      <c r="CJ198" s="199" t="str">
        <f t="shared" si="13"/>
        <v>NÃO</v>
      </c>
      <c r="CK198" s="200" t="str">
        <f t="shared" si="14"/>
        <v>SIM</v>
      </c>
      <c r="CL198" s="194">
        <f t="shared" si="15"/>
        <v>72.293760000000006</v>
      </c>
      <c r="CM198" s="125">
        <f>Tabela1[[#This Row],[MCT KG]]</f>
        <v>79.2</v>
      </c>
      <c r="CN198" s="85">
        <f>Tabela1[[#This Row],[ESTATURA]]</f>
        <v>174</v>
      </c>
      <c r="CO198" s="85">
        <f>Tabela1[[#This Row],[vo2max estimado]]</f>
        <v>53.64</v>
      </c>
      <c r="CP198" s="85">
        <f>Tabela1[[#This Row],[Handgrip     Dominante]]</f>
        <v>49.5</v>
      </c>
      <c r="CQ198" s="85">
        <f>Tabela1[[#This Row],[Handgrip Contrário]]</f>
        <v>49.5</v>
      </c>
      <c r="CR198" s="281">
        <f>Tabela1[[#This Row],[% gordura]]</f>
        <v>8.7200000000000006</v>
      </c>
    </row>
    <row r="199" spans="1:96" ht="15.75" customHeight="1">
      <c r="A199" s="279">
        <f>Tabela1[[#This Row],[Ano]]</f>
        <v>2018</v>
      </c>
      <c r="B199" s="181" t="str">
        <f>Tabela1[[#This Row],[Missão]]</f>
        <v>Avelar</v>
      </c>
      <c r="C199" s="181">
        <f>Tabela1[[#This Row],[Aluno]]</f>
        <v>3159</v>
      </c>
      <c r="D199" s="181">
        <f>Tabela1[[#This Row],[Idade]]</f>
        <v>25</v>
      </c>
      <c r="E199" s="182">
        <f>Tabela1[[#This Row],[Peso Kg]]</f>
        <v>84</v>
      </c>
      <c r="F199" s="191">
        <f>Tabela1[[#This Row],[Cor da pele]]</f>
        <v>1</v>
      </c>
      <c r="G199" s="192" t="str">
        <f>Tabela1[[#This Row],[ACTN3]]</f>
        <v>RR</v>
      </c>
      <c r="H199" s="85" t="str">
        <f>Tabela1[[#This Row],[AGT]]</f>
        <v>TT</v>
      </c>
      <c r="I199" s="85" t="str">
        <f>Tabela1[[#This Row],[ECA]]</f>
        <v>DD</v>
      </c>
      <c r="J199" s="85" t="str">
        <f>Tabela1[[#This Row],[BDKRB2]]</f>
        <v>(+9,-9)</v>
      </c>
      <c r="K199" s="85" t="str">
        <f>Tabela1[[#This Row],[Score Força%]]</f>
        <v>-</v>
      </c>
      <c r="L199" s="193" t="str">
        <f>Tabela1[[#This Row],[Score Resistência %]]</f>
        <v>-</v>
      </c>
      <c r="M199" s="192">
        <f>Tabela1[[#This Row],[Pré CK (U/L)]]</f>
        <v>122</v>
      </c>
      <c r="N199" s="85">
        <f>Tabela1[[#This Row],[Pós CK (U/L)]]</f>
        <v>2280</v>
      </c>
      <c r="O199" s="85">
        <f>Tabela1[[#This Row],[Pré CK MB U/L]]</f>
        <v>4</v>
      </c>
      <c r="P199" s="85">
        <f>Tabela1[[#This Row],[Pós CK MB U/L]]</f>
        <v>60</v>
      </c>
      <c r="Q199" s="85">
        <f>Tabela1[[#This Row],[Pré Lactato (mmol/L)]]</f>
        <v>1.7</v>
      </c>
      <c r="R199" s="85">
        <f>Tabela1[[#This Row],[Pós Lactato (mmol/L)]]</f>
        <v>6.6</v>
      </c>
      <c r="S199" s="85">
        <f>Tabela1[[#This Row],[Pré LDH (U/L)]]</f>
        <v>394</v>
      </c>
      <c r="T199" s="85">
        <f>Tabela1[[#This Row],[Pós LDH (U/L)]]</f>
        <v>840</v>
      </c>
      <c r="U199" s="85">
        <f>Tabela1[[#This Row],[Pré AST (U/L)]]</f>
        <v>23</v>
      </c>
      <c r="V199" s="193">
        <f>Tabela1[[#This Row],[Pós AST (U/L)]]</f>
        <v>109</v>
      </c>
      <c r="W199" s="194">
        <f>Tabela1[[#This Row],[Pré Albumina (g/dL)]]</f>
        <v>4.7</v>
      </c>
      <c r="X199" s="125">
        <f>Tabela1[[#This Row],[Pós Albumina (g/dL)]]</f>
        <v>4.9000000000000004</v>
      </c>
      <c r="Y199" s="85">
        <f>Tabela1[[#This Row],[Pré TGP (g/dL)]]</f>
        <v>24</v>
      </c>
      <c r="Z199" s="85">
        <f>Tabela1[[#This Row],[Pós TGP (g/dL)]]</f>
        <v>56</v>
      </c>
      <c r="AA199" s="85">
        <f>Tabela1[[#This Row],[Pré GGT U/L]]</f>
        <v>18</v>
      </c>
      <c r="AB199" s="193">
        <f>Tabela1[[#This Row],[Pós GGT U/L]]</f>
        <v>20</v>
      </c>
      <c r="AC199" s="194">
        <f>Tabela1[[#This Row],[Pré Ac. Úrico (mg/dL)]]</f>
        <v>4.5</v>
      </c>
      <c r="AD199" s="125">
        <f>Tabela1[[#This Row],[Pós Ac. Úrico (mg/dL)2]]</f>
        <v>5.0999999999999996</v>
      </c>
      <c r="AE19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19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199" s="85">
        <f>Tabela1[[#This Row],[Pré Ureia mg/dL]]</f>
        <v>35</v>
      </c>
      <c r="AH199" s="85">
        <f>Tabela1[[#This Row],[Pós Ureia mg/dL]]</f>
        <v>60</v>
      </c>
      <c r="AI199" s="125">
        <f>Tabela1[[#This Row],[Pré creatinina mg/dL]]</f>
        <v>0.9</v>
      </c>
      <c r="AJ199" s="125">
        <f>Tabela1[[#This Row],[Pós creatinina mg/dL]]</f>
        <v>1.1000000000000001</v>
      </c>
      <c r="AK199" s="180">
        <f t="shared" si="12"/>
        <v>0.20000000000000007</v>
      </c>
      <c r="AL199" s="125">
        <f>Tabela1[[#This Row],[Pré Fósforo mg/dL]]</f>
        <v>4.5999999999999996</v>
      </c>
      <c r="AM199" s="125">
        <f>Tabela1[[#This Row],[Pós Fósforo mg/dL]]</f>
        <v>4.7</v>
      </c>
      <c r="AN199" s="125">
        <f>Tabela1[[#This Row],[Pré Proteína Total (g/dL)]]</f>
        <v>7.9</v>
      </c>
      <c r="AO199" s="125">
        <f>Tabela1[[#This Row],[Pós Proteína Total (g/dL)]]</f>
        <v>7.8</v>
      </c>
      <c r="AP199" s="85" t="str">
        <f>Tabela1[[#This Row],[Pré FE (ug/dL)]]</f>
        <v>-</v>
      </c>
      <c r="AQ199" s="193">
        <f>Tabela1[[#This Row],[Pós FE (ug/dL)]]</f>
        <v>103</v>
      </c>
      <c r="AR199" s="194">
        <f>Tabela1[[#This Row],[Pré calcio mg/dL]]</f>
        <v>8.8000000000000007</v>
      </c>
      <c r="AS199" s="125">
        <f>Tabela1[[#This Row],[Pós calcio mg/dL]]</f>
        <v>9.8000000000000007</v>
      </c>
      <c r="AT199" s="125">
        <f>Tabela1[[#This Row],[Pré Potássio mmol/L]]</f>
        <v>4.4000000000000004</v>
      </c>
      <c r="AU199" s="125">
        <f>Tabela1[[#This Row],[Pós Potássio mmol/L]]</f>
        <v>4.4000000000000004</v>
      </c>
      <c r="AV199" s="85">
        <f>Tabela1[[#This Row],[Glicose pré]]</f>
        <v>91</v>
      </c>
      <c r="AW199" s="85">
        <f>Tabela1[[#This Row],[Glicose pós]]</f>
        <v>75</v>
      </c>
      <c r="AX199" s="85">
        <f>Tabela1[[#This Row],[Pré Sódio mmol/L]]</f>
        <v>143</v>
      </c>
      <c r="AY199" s="85">
        <f>Tabela1[[#This Row],[Pós Sódio mmol/L]]</f>
        <v>141</v>
      </c>
      <c r="AZ199" s="125">
        <f>Tabela1[[#This Row],[Pré Magnésio mg/dL]]</f>
        <v>2.2000000000000002</v>
      </c>
      <c r="BA199" s="125">
        <f>Tabela1[[#This Row],[Pós Magnésio mg/dL]]</f>
        <v>1.9</v>
      </c>
      <c r="BB199" s="85">
        <f>Tabela1[[#This Row],[Pré Cloro mmol/L]]</f>
        <v>103</v>
      </c>
      <c r="BC199" s="85">
        <f>Tabela1[[#This Row],[Pós Cloro mmol/L]]</f>
        <v>101</v>
      </c>
      <c r="BD19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299.81122222222223</v>
      </c>
      <c r="BE19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299.2356666666667</v>
      </c>
      <c r="BF199" s="194">
        <f>Tabela1[[#This Row],[Pré RBC 10^6/mm³]]</f>
        <v>4.8600000000000003</v>
      </c>
      <c r="BG199" s="125">
        <f>Tabela1[[#This Row],[Pós RBC 10^6/mm³]]</f>
        <v>5.2</v>
      </c>
      <c r="BH199" s="125">
        <f>Tabela1[[#This Row],[Pré HGB g/dL]]</f>
        <v>13.8</v>
      </c>
      <c r="BI199" s="125">
        <f>Tabela1[[#This Row],[Pós HGB g/dL]]</f>
        <v>15</v>
      </c>
      <c r="BJ199" s="125">
        <f>Tabela1[[#This Row],[Pré HCT %]]</f>
        <v>41.3</v>
      </c>
      <c r="BK199" s="125">
        <f>Tabela1[[#This Row],[Pós HCT %]]</f>
        <v>44.4</v>
      </c>
      <c r="BL199" s="125">
        <f>Tabela1[[#This Row],[Pré MCV fL]]</f>
        <v>85</v>
      </c>
      <c r="BM199" s="125">
        <f>Tabela1[[#This Row],[Pós MCV fL]]</f>
        <v>85.4</v>
      </c>
      <c r="BN199" s="125">
        <f>Tabela1[[#This Row],[Pré MCH pg]]</f>
        <v>28.4</v>
      </c>
      <c r="BO199" s="125">
        <f>Tabela1[[#This Row],[Pós MCH pg]]</f>
        <v>28.8</v>
      </c>
      <c r="BP199" s="125">
        <f>Tabela1[[#This Row],[Pré MCHC g/dL]]</f>
        <v>33.4</v>
      </c>
      <c r="BQ199" s="125">
        <f>Tabela1[[#This Row],[Pós MCHC g/dL]]</f>
        <v>33.799999999999997</v>
      </c>
      <c r="BR199" s="85">
        <f>Tabela1[[#This Row],[Pré PLT 10³/mm³]]</f>
        <v>244</v>
      </c>
      <c r="BS199" s="85">
        <f>Tabela1[[#This Row],[Pós PLT 10³/mm³]]</f>
        <v>270</v>
      </c>
      <c r="BT199" s="125">
        <f>Tabela1[[#This Row],[Pré RDW %]]</f>
        <v>13</v>
      </c>
      <c r="BU199" s="125">
        <f>Tabela1[[#This Row],[Pós RDW %]]</f>
        <v>13</v>
      </c>
      <c r="BV199" s="179">
        <f>Tabela1[[#This Row],[Pré RET %]]</f>
        <v>1.1000000000000001</v>
      </c>
      <c r="BW199" s="196">
        <f>Tabela1[[#This Row],[Pós RET %]]</f>
        <v>1.1499999999999999</v>
      </c>
      <c r="BX199" s="197">
        <f>Tabela1[[#This Row],[Pré WBC 10³/mm³]]</f>
        <v>5.3</v>
      </c>
      <c r="BY199" s="179">
        <f>Tabela1[[#This Row],[Pós WBC 10³/mm³]]</f>
        <v>10</v>
      </c>
      <c r="BZ199" s="125">
        <f>Tabela1[[#This Row],[Pré NEUT %]]</f>
        <v>45.7</v>
      </c>
      <c r="CA199" s="125">
        <f>Tabela1[[#This Row],[Pós NEUT %]]</f>
        <v>75.2</v>
      </c>
      <c r="CB199" s="125">
        <f>Tabela1[[#This Row],[Pré LINF %]]</f>
        <v>43.8</v>
      </c>
      <c r="CC199" s="125">
        <f>Tabela1[[#This Row],[Pós LINF %]]</f>
        <v>16.3</v>
      </c>
      <c r="CD199" s="125">
        <f>Tabela1[[#This Row],[Pré MONO %]]</f>
        <v>8.1</v>
      </c>
      <c r="CE199" s="125">
        <f>Tabela1[[#This Row],[Pós MONO %]]</f>
        <v>8</v>
      </c>
      <c r="CF199" s="125">
        <f>Tabela1[[#This Row],[Pré EOS %]]</f>
        <v>1.5</v>
      </c>
      <c r="CG199" s="125">
        <f>Tabela1[[#This Row],[Pós EOS %]]</f>
        <v>0.1</v>
      </c>
      <c r="CH199" s="125">
        <f>Tabela1[[#This Row],[Pré BASO %]]</f>
        <v>0.9</v>
      </c>
      <c r="CI199" s="198">
        <f>Tabela1[[#This Row],[Pós BASO %]]</f>
        <v>0.4</v>
      </c>
      <c r="CJ199" s="199" t="str">
        <f t="shared" si="13"/>
        <v>NÃO</v>
      </c>
      <c r="CK199" s="200" t="str">
        <f t="shared" si="14"/>
        <v>SIM</v>
      </c>
      <c r="CL199" s="194">
        <f t="shared" si="15"/>
        <v>75.355769999999993</v>
      </c>
      <c r="CM199" s="125">
        <f>Tabela1[[#This Row],[MCT KG]]</f>
        <v>84.3</v>
      </c>
      <c r="CN199" s="85">
        <f>Tabela1[[#This Row],[ESTATURA]]</f>
        <v>178</v>
      </c>
      <c r="CO199" s="85">
        <f>Tabela1[[#This Row],[vo2max estimado]]</f>
        <v>52.69</v>
      </c>
      <c r="CP199" s="85">
        <f>Tabela1[[#This Row],[Handgrip     Dominante]]</f>
        <v>60</v>
      </c>
      <c r="CQ199" s="85">
        <f>Tabela1[[#This Row],[Handgrip Contrário]]</f>
        <v>57</v>
      </c>
      <c r="CR199" s="281">
        <f>Tabela1[[#This Row],[% gordura]]</f>
        <v>10.61</v>
      </c>
    </row>
    <row r="200" spans="1:96" ht="15.75" customHeight="1">
      <c r="A200" s="279">
        <f>Tabela1[[#This Row],[Ano]]</f>
        <v>2018</v>
      </c>
      <c r="B200" s="181" t="str">
        <f>Tabela1[[#This Row],[Missão]]</f>
        <v>Avelar</v>
      </c>
      <c r="C200" s="181">
        <f>Tabela1[[#This Row],[Aluno]]</f>
        <v>3169</v>
      </c>
      <c r="D200" s="181">
        <f>Tabela1[[#This Row],[Idade]]</f>
        <v>31</v>
      </c>
      <c r="E200" s="182">
        <f>Tabela1[[#This Row],[Peso Kg]]</f>
        <v>89</v>
      </c>
      <c r="F200" s="191">
        <f>Tabela1[[#This Row],[Cor da pele]]</f>
        <v>1</v>
      </c>
      <c r="G200" s="192" t="str">
        <f>Tabela1[[#This Row],[ACTN3]]</f>
        <v>XX</v>
      </c>
      <c r="H200" s="85" t="str">
        <f>Tabela1[[#This Row],[AGT]]</f>
        <v>MT</v>
      </c>
      <c r="I200" s="85" t="str">
        <f>Tabela1[[#This Row],[ECA]]</f>
        <v>ID</v>
      </c>
      <c r="J200" s="85" t="str">
        <f>Tabela1[[#This Row],[BDKRB2]]</f>
        <v>(-9,-9)</v>
      </c>
      <c r="K200" s="85">
        <f>Tabela1[[#This Row],[Score Força%]]</f>
        <v>100</v>
      </c>
      <c r="L200" s="193">
        <f>Tabela1[[#This Row],[Score Resistência %]]</f>
        <v>0</v>
      </c>
      <c r="M200" s="192">
        <f>Tabela1[[#This Row],[Pré CK (U/L)]]</f>
        <v>895</v>
      </c>
      <c r="N200" s="85">
        <f>Tabela1[[#This Row],[Pós CK (U/L)]]</f>
        <v>6864</v>
      </c>
      <c r="O200" s="85">
        <f>Tabela1[[#This Row],[Pré CK MB U/L]]</f>
        <v>23</v>
      </c>
      <c r="P200" s="85">
        <f>Tabela1[[#This Row],[Pós CK MB U/L]]</f>
        <v>71</v>
      </c>
      <c r="Q200" s="85">
        <f>Tabela1[[#This Row],[Pré Lactato (mmol/L)]]</f>
        <v>2</v>
      </c>
      <c r="R200" s="85">
        <f>Tabela1[[#This Row],[Pós Lactato (mmol/L)]]</f>
        <v>4.5</v>
      </c>
      <c r="S200" s="85">
        <f>Tabela1[[#This Row],[Pré LDH (U/L)]]</f>
        <v>656</v>
      </c>
      <c r="T200" s="85">
        <f>Tabela1[[#This Row],[Pós LDH (U/L)]]</f>
        <v>1341</v>
      </c>
      <c r="U200" s="85">
        <f>Tabela1[[#This Row],[Pré AST (U/L)]]</f>
        <v>45</v>
      </c>
      <c r="V200" s="193">
        <f>Tabela1[[#This Row],[Pós AST (U/L)]]</f>
        <v>179</v>
      </c>
      <c r="W200" s="194">
        <f>Tabela1[[#This Row],[Pré Albumina (g/dL)]]</f>
        <v>4.7</v>
      </c>
      <c r="X200" s="125">
        <f>Tabela1[[#This Row],[Pós Albumina (g/dL)]]</f>
        <v>4.7</v>
      </c>
      <c r="Y200" s="85">
        <f>Tabela1[[#This Row],[Pré TGP (g/dL)]]</f>
        <v>42</v>
      </c>
      <c r="Z200" s="85">
        <f>Tabela1[[#This Row],[Pós TGP (g/dL)]]</f>
        <v>75</v>
      </c>
      <c r="AA200" s="85">
        <f>Tabela1[[#This Row],[Pré GGT U/L]]</f>
        <v>23</v>
      </c>
      <c r="AB200" s="193">
        <f>Tabela1[[#This Row],[Pós GGT U/L]]</f>
        <v>20</v>
      </c>
      <c r="AC200" s="194">
        <f>Tabela1[[#This Row],[Pré Ac. Úrico (mg/dL)]]</f>
        <v>4.4000000000000004</v>
      </c>
      <c r="AD200" s="125">
        <f>Tabela1[[#This Row],[Pós Ac. Úrico (mg/dL)2]]</f>
        <v>9.1</v>
      </c>
      <c r="AE20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20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200" s="85">
        <f>Tabela1[[#This Row],[Pré Ureia mg/dL]]</f>
        <v>45</v>
      </c>
      <c r="AH200" s="85">
        <f>Tabela1[[#This Row],[Pós Ureia mg/dL]]</f>
        <v>52</v>
      </c>
      <c r="AI200" s="125">
        <f>Tabela1[[#This Row],[Pré creatinina mg/dL]]</f>
        <v>1.2</v>
      </c>
      <c r="AJ200" s="125">
        <f>Tabela1[[#This Row],[Pós creatinina mg/dL]]</f>
        <v>1.1000000000000001</v>
      </c>
      <c r="AK200" s="180">
        <f t="shared" si="12"/>
        <v>0</v>
      </c>
      <c r="AL200" s="125">
        <f>Tabela1[[#This Row],[Pré Fósforo mg/dL]]</f>
        <v>4.7</v>
      </c>
      <c r="AM200" s="125">
        <f>Tabela1[[#This Row],[Pós Fósforo mg/dL]]</f>
        <v>6.2</v>
      </c>
      <c r="AN200" s="125">
        <f>Tabela1[[#This Row],[Pré Proteína Total (g/dL)]]</f>
        <v>7.8</v>
      </c>
      <c r="AO200" s="125">
        <f>Tabela1[[#This Row],[Pós Proteína Total (g/dL)]]</f>
        <v>8</v>
      </c>
      <c r="AP200" s="85" t="str">
        <f>Tabela1[[#This Row],[Pré FE (ug/dL)]]</f>
        <v>-</v>
      </c>
      <c r="AQ200" s="193">
        <f>Tabela1[[#This Row],[Pós FE (ug/dL)]]</f>
        <v>87</v>
      </c>
      <c r="AR200" s="194">
        <f>Tabela1[[#This Row],[Pré calcio mg/dL]]</f>
        <v>8.8000000000000007</v>
      </c>
      <c r="AS200" s="125">
        <f>Tabela1[[#This Row],[Pós calcio mg/dL]]</f>
        <v>9.4</v>
      </c>
      <c r="AT200" s="125">
        <f>Tabela1[[#This Row],[Pré Potássio mmol/L]]</f>
        <v>4.7</v>
      </c>
      <c r="AU200" s="125">
        <f>Tabela1[[#This Row],[Pós Potássio mmol/L]]</f>
        <v>5.0999999999999996</v>
      </c>
      <c r="AV200" s="85">
        <f>Tabela1[[#This Row],[Glicose pré]]</f>
        <v>83</v>
      </c>
      <c r="AW200" s="85">
        <f>Tabela1[[#This Row],[Glicose pós]]</f>
        <v>91</v>
      </c>
      <c r="AX200" s="85">
        <f>Tabela1[[#This Row],[Pré Sódio mmol/L]]</f>
        <v>141</v>
      </c>
      <c r="AY200" s="85">
        <f>Tabela1[[#This Row],[Pós Sódio mmol/L]]</f>
        <v>141</v>
      </c>
      <c r="AZ200" s="125">
        <f>Tabela1[[#This Row],[Pré Magnésio mg/dL]]</f>
        <v>2.1</v>
      </c>
      <c r="BA200" s="125">
        <f>Tabela1[[#This Row],[Pós Magnésio mg/dL]]</f>
        <v>2</v>
      </c>
      <c r="BB200" s="85">
        <f>Tabela1[[#This Row],[Pré Cloro mmol/L]]</f>
        <v>106</v>
      </c>
      <c r="BC200" s="85">
        <f>Tabela1[[#This Row],[Pós Cloro mmol/L]]</f>
        <v>100</v>
      </c>
      <c r="BD20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297.80477777777776</v>
      </c>
      <c r="BE20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300.22655555555554</v>
      </c>
      <c r="BF200" s="194">
        <f>Tabela1[[#This Row],[Pré RBC 10^6/mm³]]</f>
        <v>4.41</v>
      </c>
      <c r="BG200" s="125">
        <f>Tabela1[[#This Row],[Pós RBC 10^6/mm³]]</f>
        <v>4.66</v>
      </c>
      <c r="BH200" s="125">
        <f>Tabela1[[#This Row],[Pré HGB g/dL]]</f>
        <v>12.8</v>
      </c>
      <c r="BI200" s="125">
        <f>Tabela1[[#This Row],[Pós HGB g/dL]]</f>
        <v>13.7</v>
      </c>
      <c r="BJ200" s="125">
        <f>Tabela1[[#This Row],[Pré HCT %]]</f>
        <v>38.700000000000003</v>
      </c>
      <c r="BK200" s="125">
        <f>Tabela1[[#This Row],[Pós HCT %]]</f>
        <v>41.2</v>
      </c>
      <c r="BL200" s="125">
        <f>Tabela1[[#This Row],[Pré MCV fL]]</f>
        <v>87.8</v>
      </c>
      <c r="BM200" s="125">
        <f>Tabela1[[#This Row],[Pós MCV fL]]</f>
        <v>88.4</v>
      </c>
      <c r="BN200" s="125">
        <f>Tabela1[[#This Row],[Pré MCH pg]]</f>
        <v>29</v>
      </c>
      <c r="BO200" s="125">
        <f>Tabela1[[#This Row],[Pós MCH pg]]</f>
        <v>29.4</v>
      </c>
      <c r="BP200" s="125">
        <f>Tabela1[[#This Row],[Pré MCHC g/dL]]</f>
        <v>33.1</v>
      </c>
      <c r="BQ200" s="125">
        <f>Tabela1[[#This Row],[Pós MCHC g/dL]]</f>
        <v>33.299999999999997</v>
      </c>
      <c r="BR200" s="85">
        <f>Tabela1[[#This Row],[Pré PLT 10³/mm³]]</f>
        <v>264</v>
      </c>
      <c r="BS200" s="85">
        <f>Tabela1[[#This Row],[Pós PLT 10³/mm³]]</f>
        <v>326</v>
      </c>
      <c r="BT200" s="125">
        <f>Tabela1[[#This Row],[Pré RDW %]]</f>
        <v>13.9</v>
      </c>
      <c r="BU200" s="125">
        <f>Tabela1[[#This Row],[Pós RDW %]]</f>
        <v>14.1</v>
      </c>
      <c r="BV200" s="179">
        <f>Tabela1[[#This Row],[Pré RET %]]</f>
        <v>1.1000000000000001</v>
      </c>
      <c r="BW200" s="196">
        <f>Tabela1[[#This Row],[Pós RET %]]</f>
        <v>1.44</v>
      </c>
      <c r="BX200" s="197">
        <f>Tabela1[[#This Row],[Pré WBC 10³/mm³]]</f>
        <v>7.61</v>
      </c>
      <c r="BY200" s="179">
        <f>Tabela1[[#This Row],[Pós WBC 10³/mm³]]</f>
        <v>13.6</v>
      </c>
      <c r="BZ200" s="125">
        <f>Tabela1[[#This Row],[Pré NEUT %]]</f>
        <v>60.2</v>
      </c>
      <c r="CA200" s="125">
        <f>Tabela1[[#This Row],[Pós NEUT %]]</f>
        <v>78.599999999999994</v>
      </c>
      <c r="CB200" s="125">
        <f>Tabela1[[#This Row],[Pré LINF %]]</f>
        <v>26.1</v>
      </c>
      <c r="CC200" s="125">
        <f>Tabela1[[#This Row],[Pós LINF %]]</f>
        <v>13.5</v>
      </c>
      <c r="CD200" s="125">
        <f>Tabela1[[#This Row],[Pré MONO %]]</f>
        <v>10</v>
      </c>
      <c r="CE200" s="125">
        <f>Tabela1[[#This Row],[Pós MONO %]]</f>
        <v>7.4</v>
      </c>
      <c r="CF200" s="125">
        <f>Tabela1[[#This Row],[Pré EOS %]]</f>
        <v>2.9</v>
      </c>
      <c r="CG200" s="125">
        <f>Tabela1[[#This Row],[Pós EOS %]]</f>
        <v>0.1</v>
      </c>
      <c r="CH200" s="125">
        <f>Tabela1[[#This Row],[Pré BASO %]]</f>
        <v>0.8</v>
      </c>
      <c r="CI200" s="198">
        <f>Tabela1[[#This Row],[Pós BASO %]]</f>
        <v>0.4</v>
      </c>
      <c r="CJ200" s="199" t="str">
        <f t="shared" si="13"/>
        <v>NÃO</v>
      </c>
      <c r="CK200" s="200" t="str">
        <f t="shared" si="14"/>
        <v>SIM</v>
      </c>
      <c r="CL200" s="194">
        <f t="shared" si="15"/>
        <v>74.95620000000001</v>
      </c>
      <c r="CM200" s="125">
        <f>Tabela1[[#This Row],[MCT KG]]</f>
        <v>90.2</v>
      </c>
      <c r="CN200" s="85">
        <f>Tabela1[[#This Row],[ESTATURA]]</f>
        <v>184.5</v>
      </c>
      <c r="CO200" s="85">
        <f>Tabela1[[#This Row],[vo2max estimado]]</f>
        <v>48.67</v>
      </c>
      <c r="CP200" s="85">
        <f>Tabela1[[#This Row],[Handgrip     Dominante]]</f>
        <v>54</v>
      </c>
      <c r="CQ200" s="85">
        <f>Tabela1[[#This Row],[Handgrip Contrário]]</f>
        <v>47</v>
      </c>
      <c r="CR200" s="281">
        <f>Tabela1[[#This Row],[% gordura]]</f>
        <v>16.899999999999999</v>
      </c>
    </row>
    <row r="201" spans="1:96" ht="15.75" customHeight="1">
      <c r="A201" s="279">
        <f>Tabela1[[#This Row],[Ano]]</f>
        <v>2018</v>
      </c>
      <c r="B201" s="181" t="str">
        <f>Tabela1[[#This Row],[Missão]]</f>
        <v>Avelar</v>
      </c>
      <c r="C201" s="181">
        <f>Tabela1[[#This Row],[Aluno]]</f>
        <v>3175</v>
      </c>
      <c r="D201" s="181">
        <f>Tabela1[[#This Row],[Idade]]</f>
        <v>32</v>
      </c>
      <c r="E201" s="182">
        <f>Tabela1[[#This Row],[Peso Kg]]</f>
        <v>96</v>
      </c>
      <c r="F201" s="191">
        <f>Tabela1[[#This Row],[Cor da pele]]</f>
        <v>2</v>
      </c>
      <c r="G201" s="192" t="str">
        <f>Tabela1[[#This Row],[ACTN3]]</f>
        <v>RX</v>
      </c>
      <c r="H201" s="85" t="str">
        <f>Tabela1[[#This Row],[AGT]]</f>
        <v>MM</v>
      </c>
      <c r="I201" s="85" t="str">
        <f>Tabela1[[#This Row],[ECA]]</f>
        <v>ID</v>
      </c>
      <c r="J201" s="85" t="str">
        <f>Tabela1[[#This Row],[BDKRB2]]</f>
        <v>(+9,+9)</v>
      </c>
      <c r="K201" s="85">
        <f>Tabela1[[#This Row],[Score Força%]]</f>
        <v>45.8333333333333</v>
      </c>
      <c r="L201" s="193">
        <f>Tabela1[[#This Row],[Score Resistência %]]</f>
        <v>54.1666666666667</v>
      </c>
      <c r="M201" s="192">
        <f>Tabela1[[#This Row],[Pré CK (U/L)]]</f>
        <v>11652</v>
      </c>
      <c r="N201" s="85">
        <f>Tabela1[[#This Row],[Pós CK (U/L)]]</f>
        <v>3194</v>
      </c>
      <c r="O201" s="85">
        <f>Tabela1[[#This Row],[Pré CK MB U/L]]</f>
        <v>92</v>
      </c>
      <c r="P201" s="85">
        <f>Tabela1[[#This Row],[Pós CK MB U/L]]</f>
        <v>92</v>
      </c>
      <c r="Q201" s="85">
        <f>Tabela1[[#This Row],[Pré Lactato (mmol/L)]]</f>
        <v>1.7</v>
      </c>
      <c r="R201" s="85">
        <f>Tabela1[[#This Row],[Pós Lactato (mmol/L)]]</f>
        <v>5.7</v>
      </c>
      <c r="S201" s="85">
        <f>Tabela1[[#This Row],[Pré LDH (U/L)]]</f>
        <v>1594</v>
      </c>
      <c r="T201" s="85">
        <f>Tabela1[[#This Row],[Pós LDH (U/L)]]</f>
        <v>1438</v>
      </c>
      <c r="U201" s="85">
        <f>Tabela1[[#This Row],[Pré AST (U/L)]]</f>
        <v>176</v>
      </c>
      <c r="V201" s="193">
        <f>Tabela1[[#This Row],[Pós AST (U/L)]]</f>
        <v>124</v>
      </c>
      <c r="W201" s="194">
        <f>Tabela1[[#This Row],[Pré Albumina (g/dL)]]</f>
        <v>4.5999999999999996</v>
      </c>
      <c r="X201" s="125">
        <f>Tabela1[[#This Row],[Pós Albumina (g/dL)]]</f>
        <v>5</v>
      </c>
      <c r="Y201" s="85">
        <f>Tabela1[[#This Row],[Pré TGP (g/dL)]]</f>
        <v>57</v>
      </c>
      <c r="Z201" s="85">
        <f>Tabela1[[#This Row],[Pós TGP (g/dL)]]</f>
        <v>67</v>
      </c>
      <c r="AA201" s="85">
        <f>Tabela1[[#This Row],[Pré GGT U/L]]</f>
        <v>30</v>
      </c>
      <c r="AB201" s="193">
        <f>Tabela1[[#This Row],[Pós GGT U/L]]</f>
        <v>27</v>
      </c>
      <c r="AC201" s="194">
        <f>Tabela1[[#This Row],[Pré Ac. Úrico (mg/dL)]]</f>
        <v>6.4</v>
      </c>
      <c r="AD201" s="125">
        <f>Tabela1[[#This Row],[Pós Ac. Úrico (mg/dL)2]]</f>
        <v>4.5999999999999996</v>
      </c>
      <c r="AE20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0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01" s="85">
        <f>Tabela1[[#This Row],[Pré Ureia mg/dL]]</f>
        <v>33</v>
      </c>
      <c r="AH201" s="85">
        <f>Tabela1[[#This Row],[Pós Ureia mg/dL]]</f>
        <v>68</v>
      </c>
      <c r="AI201" s="125">
        <f>Tabela1[[#This Row],[Pré creatinina mg/dL]]</f>
        <v>1</v>
      </c>
      <c r="AJ201" s="125">
        <f>Tabela1[[#This Row],[Pós creatinina mg/dL]]</f>
        <v>1</v>
      </c>
      <c r="AK201" s="180">
        <f t="shared" si="12"/>
        <v>0</v>
      </c>
      <c r="AL201" s="125">
        <f>Tabela1[[#This Row],[Pré Fósforo mg/dL]]</f>
        <v>5.0999999999999996</v>
      </c>
      <c r="AM201" s="125">
        <f>Tabela1[[#This Row],[Pós Fósforo mg/dL]]</f>
        <v>6.5</v>
      </c>
      <c r="AN201" s="125">
        <f>Tabela1[[#This Row],[Pré Proteína Total (g/dL)]]</f>
        <v>7.2</v>
      </c>
      <c r="AO201" s="125">
        <f>Tabela1[[#This Row],[Pós Proteína Total (g/dL)]]</f>
        <v>8.5</v>
      </c>
      <c r="AP201" s="85" t="str">
        <f>Tabela1[[#This Row],[Pré FE (ug/dL)]]</f>
        <v>-</v>
      </c>
      <c r="AQ201" s="193">
        <f>Tabela1[[#This Row],[Pós FE (ug/dL)]]</f>
        <v>78</v>
      </c>
      <c r="AR201" s="194">
        <f>Tabela1[[#This Row],[Pré calcio mg/dL]]</f>
        <v>9</v>
      </c>
      <c r="AS201" s="125">
        <f>Tabela1[[#This Row],[Pós calcio mg/dL]]</f>
        <v>10.3</v>
      </c>
      <c r="AT201" s="125">
        <f>Tabela1[[#This Row],[Pré Potássio mmol/L]]</f>
        <v>4.8</v>
      </c>
      <c r="AU201" s="125">
        <f>Tabela1[[#This Row],[Pós Potássio mmol/L]]</f>
        <v>4.5999999999999996</v>
      </c>
      <c r="AV201" s="85">
        <f>Tabela1[[#This Row],[Glicose pré]]</f>
        <v>80</v>
      </c>
      <c r="AW201" s="85">
        <f>Tabela1[[#This Row],[Glicose pós]]</f>
        <v>81</v>
      </c>
      <c r="AX201" s="85">
        <f>Tabela1[[#This Row],[Pré Sódio mmol/L]]</f>
        <v>142</v>
      </c>
      <c r="AY201" s="85">
        <f>Tabela1[[#This Row],[Pós Sódio mmol/L]]</f>
        <v>142</v>
      </c>
      <c r="AZ201" s="125">
        <f>Tabela1[[#This Row],[Pré Magnésio mg/dL]]</f>
        <v>2.2000000000000002</v>
      </c>
      <c r="BA201" s="125">
        <f>Tabela1[[#This Row],[Pós Magnésio mg/dL]]</f>
        <v>2.1</v>
      </c>
      <c r="BB201" s="85">
        <f>Tabela1[[#This Row],[Pré Cloro mmol/L]]</f>
        <v>103</v>
      </c>
      <c r="BC201" s="85">
        <f>Tabela1[[#This Row],[Pós Cloro mmol/L]]</f>
        <v>103</v>
      </c>
      <c r="BD20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297.65911111111114</v>
      </c>
      <c r="BE20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303.18433333333331</v>
      </c>
      <c r="BF201" s="194">
        <f>Tabela1[[#This Row],[Pré RBC 10^6/mm³]]</f>
        <v>4.7699999999999996</v>
      </c>
      <c r="BG201" s="125">
        <f>Tabela1[[#This Row],[Pós RBC 10^6/mm³]]</f>
        <v>4.97</v>
      </c>
      <c r="BH201" s="125">
        <f>Tabela1[[#This Row],[Pré HGB g/dL]]</f>
        <v>14.2</v>
      </c>
      <c r="BI201" s="125">
        <f>Tabela1[[#This Row],[Pós HGB g/dL]]</f>
        <v>14.9</v>
      </c>
      <c r="BJ201" s="125">
        <f>Tabela1[[#This Row],[Pré HCT %]]</f>
        <v>42</v>
      </c>
      <c r="BK201" s="125">
        <f>Tabela1[[#This Row],[Pós HCT %]]</f>
        <v>43.7</v>
      </c>
      <c r="BL201" s="125">
        <f>Tabela1[[#This Row],[Pré MCV fL]]</f>
        <v>88.1</v>
      </c>
      <c r="BM201" s="125">
        <f>Tabela1[[#This Row],[Pós MCV fL]]</f>
        <v>87.9</v>
      </c>
      <c r="BN201" s="125">
        <f>Tabela1[[#This Row],[Pré MCH pg]]</f>
        <v>29.8</v>
      </c>
      <c r="BO201" s="125">
        <f>Tabela1[[#This Row],[Pós MCH pg]]</f>
        <v>30</v>
      </c>
      <c r="BP201" s="125">
        <f>Tabela1[[#This Row],[Pré MCHC g/dL]]</f>
        <v>33.799999999999997</v>
      </c>
      <c r="BQ201" s="125">
        <f>Tabela1[[#This Row],[Pós MCHC g/dL]]</f>
        <v>34.1</v>
      </c>
      <c r="BR201" s="85">
        <f>Tabela1[[#This Row],[Pré PLT 10³/mm³]]</f>
        <v>179</v>
      </c>
      <c r="BS201" s="85">
        <f>Tabela1[[#This Row],[Pós PLT 10³/mm³]]</f>
        <v>188</v>
      </c>
      <c r="BT201" s="125">
        <f>Tabela1[[#This Row],[Pré RDW %]]</f>
        <v>12.9</v>
      </c>
      <c r="BU201" s="125">
        <f>Tabela1[[#This Row],[Pós RDW %]]</f>
        <v>13</v>
      </c>
      <c r="BV201" s="179">
        <f>Tabela1[[#This Row],[Pré RET %]]</f>
        <v>1.28</v>
      </c>
      <c r="BW201" s="196">
        <f>Tabela1[[#This Row],[Pós RET %]]</f>
        <v>0.88</v>
      </c>
      <c r="BX201" s="197">
        <f>Tabela1[[#This Row],[Pré WBC 10³/mm³]]</f>
        <v>6.08</v>
      </c>
      <c r="BY201" s="179">
        <f>Tabela1[[#This Row],[Pós WBC 10³/mm³]]</f>
        <v>12.31</v>
      </c>
      <c r="BZ201" s="125">
        <f>Tabela1[[#This Row],[Pré NEUT %]]</f>
        <v>50.3</v>
      </c>
      <c r="CA201" s="125">
        <f>Tabela1[[#This Row],[Pós NEUT %]]</f>
        <v>62.9</v>
      </c>
      <c r="CB201" s="125">
        <f>Tabela1[[#This Row],[Pré LINF %]]</f>
        <v>39.299999999999997</v>
      </c>
      <c r="CC201" s="125">
        <f>Tabela1[[#This Row],[Pós LINF %]]</f>
        <v>26.7</v>
      </c>
      <c r="CD201" s="125">
        <f>Tabela1[[#This Row],[Pré MONO %]]</f>
        <v>7.6</v>
      </c>
      <c r="CE201" s="125">
        <f>Tabela1[[#This Row],[Pós MONO %]]</f>
        <v>9.1</v>
      </c>
      <c r="CF201" s="125">
        <f>Tabela1[[#This Row],[Pré EOS %]]</f>
        <v>2.2999999999999998</v>
      </c>
      <c r="CG201" s="125">
        <f>Tabela1[[#This Row],[Pós EOS %]]</f>
        <v>1.1000000000000001</v>
      </c>
      <c r="CH201" s="125">
        <f>Tabela1[[#This Row],[Pré BASO %]]</f>
        <v>0.5</v>
      </c>
      <c r="CI201" s="198">
        <f>Tabela1[[#This Row],[Pós BASO %]]</f>
        <v>0.2</v>
      </c>
      <c r="CJ201" s="199" t="str">
        <f t="shared" si="13"/>
        <v>NÃO</v>
      </c>
      <c r="CK201" s="200" t="str">
        <f t="shared" si="14"/>
        <v>SIM</v>
      </c>
      <c r="CL201" s="194">
        <f t="shared" si="15"/>
        <v>82.029080000000008</v>
      </c>
      <c r="CM201" s="125">
        <f>Tabela1[[#This Row],[MCT KG]]</f>
        <v>90.7</v>
      </c>
      <c r="CN201" s="85">
        <f>Tabela1[[#This Row],[ESTATURA]]</f>
        <v>191</v>
      </c>
      <c r="CO201" s="85">
        <f>Tabela1[[#This Row],[vo2max estimado]]</f>
        <v>50.01</v>
      </c>
      <c r="CP201" s="85">
        <f>Tabela1[[#This Row],[Handgrip     Dominante]]</f>
        <v>56.5</v>
      </c>
      <c r="CQ201" s="85">
        <f>Tabela1[[#This Row],[Handgrip Contrário]]</f>
        <v>54.5</v>
      </c>
      <c r="CR201" s="281">
        <f>Tabela1[[#This Row],[% gordura]]</f>
        <v>9.56</v>
      </c>
    </row>
    <row r="202" spans="1:96" ht="15.75" customHeight="1">
      <c r="A202" s="279">
        <f>Tabela1[[#This Row],[Ano]]</f>
        <v>2018</v>
      </c>
      <c r="B202" s="181" t="str">
        <f>Tabela1[[#This Row],[Missão]]</f>
        <v>Avelar</v>
      </c>
      <c r="C202" s="181">
        <f>Tabela1[[#This Row],[Aluno]]</f>
        <v>3181</v>
      </c>
      <c r="D202" s="181">
        <f>Tabela1[[#This Row],[Idade]]</f>
        <v>28</v>
      </c>
      <c r="E202" s="182">
        <f>Tabela1[[#This Row],[Peso Kg]]</f>
        <v>82</v>
      </c>
      <c r="F202" s="191">
        <f>Tabela1[[#This Row],[Cor da pele]]</f>
        <v>0</v>
      </c>
      <c r="G202" s="192" t="str">
        <f>Tabela1[[#This Row],[ACTN3]]</f>
        <v>RX</v>
      </c>
      <c r="H202" s="85" t="str">
        <f>Tabela1[[#This Row],[AGT]]</f>
        <v>MT</v>
      </c>
      <c r="I202" s="85" t="str">
        <f>Tabela1[[#This Row],[ECA]]</f>
        <v>ID</v>
      </c>
      <c r="J202" s="85" t="str">
        <f>Tabela1[[#This Row],[BDKRB2]]</f>
        <v>(+9,-9)</v>
      </c>
      <c r="K202" s="85">
        <f>Tabela1[[#This Row],[Score Força%]]</f>
        <v>54.1666666666667</v>
      </c>
      <c r="L202" s="193">
        <f>Tabela1[[#This Row],[Score Resistência %]]</f>
        <v>45.8333333333333</v>
      </c>
      <c r="M202" s="192">
        <f>Tabela1[[#This Row],[Pré CK (U/L)]]</f>
        <v>936</v>
      </c>
      <c r="N202" s="85">
        <f>Tabela1[[#This Row],[Pós CK (U/L)]]</f>
        <v>1894</v>
      </c>
      <c r="O202" s="85">
        <f>Tabela1[[#This Row],[Pré CK MB U/L]]</f>
        <v>14</v>
      </c>
      <c r="P202" s="85">
        <f>Tabela1[[#This Row],[Pós CK MB U/L]]</f>
        <v>57</v>
      </c>
      <c r="Q202" s="85">
        <f>Tabela1[[#This Row],[Pré Lactato (mmol/L)]]</f>
        <v>1.3</v>
      </c>
      <c r="R202" s="85">
        <f>Tabela1[[#This Row],[Pós Lactato (mmol/L)]]</f>
        <v>5.3</v>
      </c>
      <c r="S202" s="85">
        <f>Tabela1[[#This Row],[Pré LDH (U/L)]]</f>
        <v>646</v>
      </c>
      <c r="T202" s="85">
        <f>Tabela1[[#This Row],[Pós LDH (U/L)]]</f>
        <v>1198</v>
      </c>
      <c r="U202" s="85">
        <f>Tabela1[[#This Row],[Pré AST (U/L)]]</f>
        <v>63</v>
      </c>
      <c r="V202" s="193">
        <f>Tabela1[[#This Row],[Pós AST (U/L)]]</f>
        <v>93</v>
      </c>
      <c r="W202" s="194">
        <f>Tabela1[[#This Row],[Pré Albumina (g/dL)]]</f>
        <v>4</v>
      </c>
      <c r="X202" s="125">
        <f>Tabela1[[#This Row],[Pós Albumina (g/dL)]]</f>
        <v>5</v>
      </c>
      <c r="Y202" s="85">
        <f>Tabela1[[#This Row],[Pré TGP (g/dL)]]</f>
        <v>46</v>
      </c>
      <c r="Z202" s="85">
        <f>Tabela1[[#This Row],[Pós TGP (g/dL)]]</f>
        <v>53</v>
      </c>
      <c r="AA202" s="85">
        <f>Tabela1[[#This Row],[Pré GGT U/L]]</f>
        <v>18</v>
      </c>
      <c r="AB202" s="193">
        <f>Tabela1[[#This Row],[Pós GGT U/L]]</f>
        <v>21</v>
      </c>
      <c r="AC202" s="194">
        <f>Tabela1[[#This Row],[Pré Ac. Úrico (mg/dL)]]</f>
        <v>7.9</v>
      </c>
      <c r="AD202" s="125">
        <f>Tabela1[[#This Row],[Pós Ac. Úrico (mg/dL)2]]</f>
        <v>5</v>
      </c>
      <c r="AE20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20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202" s="85">
        <f>Tabela1[[#This Row],[Pré Ureia mg/dL]]</f>
        <v>35</v>
      </c>
      <c r="AH202" s="85">
        <f>Tabela1[[#This Row],[Pós Ureia mg/dL]]</f>
        <v>60</v>
      </c>
      <c r="AI202" s="125">
        <f>Tabela1[[#This Row],[Pré creatinina mg/dL]]</f>
        <v>1.1000000000000001</v>
      </c>
      <c r="AJ202" s="125">
        <f>Tabela1[[#This Row],[Pós creatinina mg/dL]]</f>
        <v>1.3</v>
      </c>
      <c r="AK202" s="180">
        <f t="shared" si="12"/>
        <v>0.19999999999999996</v>
      </c>
      <c r="AL202" s="125">
        <f>Tabela1[[#This Row],[Pré Fósforo mg/dL]]</f>
        <v>4.4000000000000004</v>
      </c>
      <c r="AM202" s="125">
        <f>Tabela1[[#This Row],[Pós Fósforo mg/dL]]</f>
        <v>5.2</v>
      </c>
      <c r="AN202" s="125">
        <f>Tabela1[[#This Row],[Pré Proteína Total (g/dL)]]</f>
        <v>7.2</v>
      </c>
      <c r="AO202" s="125">
        <f>Tabela1[[#This Row],[Pós Proteína Total (g/dL)]]</f>
        <v>7.6</v>
      </c>
      <c r="AP202" s="85" t="str">
        <f>Tabela1[[#This Row],[Pré FE (ug/dL)]]</f>
        <v>-</v>
      </c>
      <c r="AQ202" s="193">
        <f>Tabela1[[#This Row],[Pós FE (ug/dL)]]</f>
        <v>85</v>
      </c>
      <c r="AR202" s="194">
        <f>Tabela1[[#This Row],[Pré calcio mg/dL]]</f>
        <v>8.4</v>
      </c>
      <c r="AS202" s="125">
        <f>Tabela1[[#This Row],[Pós calcio mg/dL]]</f>
        <v>9.8000000000000007</v>
      </c>
      <c r="AT202" s="125">
        <f>Tabela1[[#This Row],[Pré Potássio mmol/L]]</f>
        <v>4.4000000000000004</v>
      </c>
      <c r="AU202" s="125">
        <f>Tabela1[[#This Row],[Pós Potássio mmol/L]]</f>
        <v>4.5</v>
      </c>
      <c r="AV202" s="85">
        <f>Tabela1[[#This Row],[Glicose pré]]</f>
        <v>80</v>
      </c>
      <c r="AW202" s="85">
        <f>Tabela1[[#This Row],[Glicose pós]]</f>
        <v>82</v>
      </c>
      <c r="AX202" s="85">
        <f>Tabela1[[#This Row],[Pré Sódio mmol/L]]</f>
        <v>140</v>
      </c>
      <c r="AY202" s="85">
        <f>Tabela1[[#This Row],[Pós Sódio mmol/L]]</f>
        <v>139</v>
      </c>
      <c r="AZ202" s="125">
        <f>Tabela1[[#This Row],[Pré Magnésio mg/dL]]</f>
        <v>2.1</v>
      </c>
      <c r="BA202" s="125">
        <f>Tabela1[[#This Row],[Pós Magnésio mg/dL]]</f>
        <v>1.9</v>
      </c>
      <c r="BB202" s="85">
        <f>Tabela1[[#This Row],[Pré Cloro mmol/L]]</f>
        <v>106</v>
      </c>
      <c r="BC202" s="85">
        <f>Tabela1[[#This Row],[Pós Cloro mmol/L]]</f>
        <v>100</v>
      </c>
      <c r="BD20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293.5284444444444</v>
      </c>
      <c r="BE20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296.14888888888891</v>
      </c>
      <c r="BF202" s="194">
        <f>Tabela1[[#This Row],[Pré RBC 10^6/mm³]]</f>
        <v>4.57</v>
      </c>
      <c r="BG202" s="125">
        <f>Tabela1[[#This Row],[Pós RBC 10^6/mm³]]</f>
        <v>4.8899999999999997</v>
      </c>
      <c r="BH202" s="125">
        <f>Tabela1[[#This Row],[Pré HGB g/dL]]</f>
        <v>14.3</v>
      </c>
      <c r="BI202" s="125">
        <f>Tabela1[[#This Row],[Pós HGB g/dL]]</f>
        <v>15.5</v>
      </c>
      <c r="BJ202" s="125">
        <f>Tabela1[[#This Row],[Pré HCT %]]</f>
        <v>41.1</v>
      </c>
      <c r="BK202" s="125">
        <f>Tabela1[[#This Row],[Pós HCT %]]</f>
        <v>44.6</v>
      </c>
      <c r="BL202" s="125">
        <f>Tabela1[[#This Row],[Pré MCV fL]]</f>
        <v>89.9</v>
      </c>
      <c r="BM202" s="125">
        <f>Tabela1[[#This Row],[Pós MCV fL]]</f>
        <v>91.2</v>
      </c>
      <c r="BN202" s="125">
        <f>Tabela1[[#This Row],[Pré MCH pg]]</f>
        <v>31.3</v>
      </c>
      <c r="BO202" s="125">
        <f>Tabela1[[#This Row],[Pós MCH pg]]</f>
        <v>31.7</v>
      </c>
      <c r="BP202" s="125">
        <f>Tabela1[[#This Row],[Pré MCHC g/dL]]</f>
        <v>34.799999999999997</v>
      </c>
      <c r="BQ202" s="125">
        <f>Tabela1[[#This Row],[Pós MCHC g/dL]]</f>
        <v>34.799999999999997</v>
      </c>
      <c r="BR202" s="85">
        <f>Tabela1[[#This Row],[Pré PLT 10³/mm³]]</f>
        <v>225</v>
      </c>
      <c r="BS202" s="85">
        <f>Tabela1[[#This Row],[Pós PLT 10³/mm³]]</f>
        <v>214</v>
      </c>
      <c r="BT202" s="125">
        <f>Tabela1[[#This Row],[Pré RDW %]]</f>
        <v>12.9</v>
      </c>
      <c r="BU202" s="125">
        <f>Tabela1[[#This Row],[Pós RDW %]]</f>
        <v>13</v>
      </c>
      <c r="BV202" s="179">
        <f>Tabela1[[#This Row],[Pré RET %]]</f>
        <v>1.24</v>
      </c>
      <c r="BW202" s="196">
        <f>Tabela1[[#This Row],[Pós RET %]]</f>
        <v>0.79</v>
      </c>
      <c r="BX202" s="197">
        <f>Tabela1[[#This Row],[Pré WBC 10³/mm³]]</f>
        <v>5.94</v>
      </c>
      <c r="BY202" s="179">
        <f>Tabela1[[#This Row],[Pós WBC 10³/mm³]]</f>
        <v>14.19</v>
      </c>
      <c r="BZ202" s="125">
        <f>Tabela1[[#This Row],[Pré NEUT %]]</f>
        <v>60.9</v>
      </c>
      <c r="CA202" s="125">
        <f>Tabela1[[#This Row],[Pós NEUT %]]</f>
        <v>82.4</v>
      </c>
      <c r="CB202" s="125">
        <f>Tabela1[[#This Row],[Pré LINF %]]</f>
        <v>27.8</v>
      </c>
      <c r="CC202" s="125">
        <f>Tabela1[[#This Row],[Pós LINF %]]</f>
        <v>7.9</v>
      </c>
      <c r="CD202" s="125">
        <f>Tabela1[[#This Row],[Pré MONO %]]</f>
        <v>8.1</v>
      </c>
      <c r="CE202" s="125">
        <f>Tabela1[[#This Row],[Pós MONO %]]</f>
        <v>9.4</v>
      </c>
      <c r="CF202" s="125">
        <f>Tabela1[[#This Row],[Pré EOS %]]</f>
        <v>2.9</v>
      </c>
      <c r="CG202" s="125">
        <f>Tabela1[[#This Row],[Pós EOS %]]</f>
        <v>0.2</v>
      </c>
      <c r="CH202" s="125">
        <f>Tabela1[[#This Row],[Pré BASO %]]</f>
        <v>0.3</v>
      </c>
      <c r="CI202" s="198">
        <f>Tabela1[[#This Row],[Pós BASO %]]</f>
        <v>0.1</v>
      </c>
      <c r="CJ202" s="199" t="str">
        <f t="shared" si="13"/>
        <v>NÃO</v>
      </c>
      <c r="CK202" s="200" t="str">
        <f t="shared" si="14"/>
        <v>SIM</v>
      </c>
      <c r="CL202" s="194">
        <f t="shared" si="15"/>
        <v>77.353679999999997</v>
      </c>
      <c r="CM202" s="125">
        <f>Tabela1[[#This Row],[MCT KG]]</f>
        <v>84.3</v>
      </c>
      <c r="CN202" s="85">
        <f>Tabela1[[#This Row],[ESTATURA]]</f>
        <v>190</v>
      </c>
      <c r="CO202" s="85">
        <f>Tabela1[[#This Row],[vo2max estimado]]</f>
        <v>51.12</v>
      </c>
      <c r="CP202" s="85">
        <f>Tabela1[[#This Row],[Handgrip     Dominante]]</f>
        <v>54.5</v>
      </c>
      <c r="CQ202" s="85">
        <f>Tabela1[[#This Row],[Handgrip Contrário]]</f>
        <v>50.5</v>
      </c>
      <c r="CR202" s="281">
        <f>Tabela1[[#This Row],[% gordura]]</f>
        <v>8.24</v>
      </c>
    </row>
    <row r="203" spans="1:96" ht="15.75" customHeight="1">
      <c r="A203" s="279">
        <f>Tabela1[[#This Row],[Ano]]</f>
        <v>2018</v>
      </c>
      <c r="B203" s="181" t="str">
        <f>Tabela1[[#This Row],[Missão]]</f>
        <v>Avelar</v>
      </c>
      <c r="C203" s="181">
        <f>Tabela1[[#This Row],[Aluno]]</f>
        <v>3183</v>
      </c>
      <c r="D203" s="181">
        <f>Tabela1[[#This Row],[Idade]]</f>
        <v>26</v>
      </c>
      <c r="E203" s="182">
        <f>Tabela1[[#This Row],[Peso Kg]]</f>
        <v>90</v>
      </c>
      <c r="F203" s="191">
        <f>Tabela1[[#This Row],[Cor da pele]]</f>
        <v>1</v>
      </c>
      <c r="G203" s="192" t="str">
        <f>Tabela1[[#This Row],[ACTN3]]</f>
        <v>-</v>
      </c>
      <c r="H203" s="85" t="str">
        <f>Tabela1[[#This Row],[AGT]]</f>
        <v>-</v>
      </c>
      <c r="I203" s="85" t="str">
        <f>Tabela1[[#This Row],[ECA]]</f>
        <v>-</v>
      </c>
      <c r="J203" s="85" t="str">
        <f>Tabela1[[#This Row],[BDKRB2]]</f>
        <v>-</v>
      </c>
      <c r="K203" s="85" t="str">
        <f>Tabela1[[#This Row],[Score Força%]]</f>
        <v>-</v>
      </c>
      <c r="L203" s="193" t="str">
        <f>Tabela1[[#This Row],[Score Resistência %]]</f>
        <v>-</v>
      </c>
      <c r="M203" s="192">
        <f>Tabela1[[#This Row],[Pré CK (U/L)]]</f>
        <v>2733</v>
      </c>
      <c r="N203" s="85">
        <f>Tabela1[[#This Row],[Pós CK (U/L)]]</f>
        <v>3072</v>
      </c>
      <c r="O203" s="85">
        <f>Tabela1[[#This Row],[Pré CK MB U/L]]</f>
        <v>27</v>
      </c>
      <c r="P203" s="85">
        <f>Tabela1[[#This Row],[Pós CK MB U/L]]</f>
        <v>69</v>
      </c>
      <c r="Q203" s="85">
        <f>Tabela1[[#This Row],[Pré Lactato (mmol/L)]]</f>
        <v>1.9</v>
      </c>
      <c r="R203" s="85">
        <f>Tabela1[[#This Row],[Pós Lactato (mmol/L)]]</f>
        <v>5</v>
      </c>
      <c r="S203" s="85">
        <f>Tabela1[[#This Row],[Pré LDH (U/L)]]</f>
        <v>966</v>
      </c>
      <c r="T203" s="85">
        <f>Tabela1[[#This Row],[Pós LDH (U/L)]]</f>
        <v>1148</v>
      </c>
      <c r="U203" s="85">
        <f>Tabela1[[#This Row],[Pré AST (U/L)]]</f>
        <v>63</v>
      </c>
      <c r="V203" s="193">
        <f>Tabela1[[#This Row],[Pós AST (U/L)]]</f>
        <v>122</v>
      </c>
      <c r="W203" s="194">
        <f>Tabela1[[#This Row],[Pré Albumina (g/dL)]]</f>
        <v>4.9000000000000004</v>
      </c>
      <c r="X203" s="125">
        <f>Tabela1[[#This Row],[Pós Albumina (g/dL)]]</f>
        <v>5.0999999999999996</v>
      </c>
      <c r="Y203" s="85">
        <f>Tabela1[[#This Row],[Pré TGP (g/dL)]]</f>
        <v>40</v>
      </c>
      <c r="Z203" s="85">
        <f>Tabela1[[#This Row],[Pós TGP (g/dL)]]</f>
        <v>51</v>
      </c>
      <c r="AA203" s="85">
        <f>Tabela1[[#This Row],[Pré GGT U/L]]</f>
        <v>26</v>
      </c>
      <c r="AB203" s="193">
        <f>Tabela1[[#This Row],[Pós GGT U/L]]</f>
        <v>24</v>
      </c>
      <c r="AC203" s="194">
        <f>Tabela1[[#This Row],[Pré Ac. Úrico (mg/dL)]]</f>
        <v>5.0999999999999996</v>
      </c>
      <c r="AD203" s="125">
        <f>Tabela1[[#This Row],[Pós Ac. Úrico (mg/dL)2]]</f>
        <v>5.6</v>
      </c>
      <c r="AE20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0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203" s="85">
        <f>Tabela1[[#This Row],[Pré Ureia mg/dL]]</f>
        <v>44</v>
      </c>
      <c r="AH203" s="85">
        <f>Tabela1[[#This Row],[Pós Ureia mg/dL]]</f>
        <v>39</v>
      </c>
      <c r="AI203" s="125">
        <f>Tabela1[[#This Row],[Pré creatinina mg/dL]]</f>
        <v>1</v>
      </c>
      <c r="AJ203" s="125">
        <f>Tabela1[[#This Row],[Pós creatinina mg/dL]]</f>
        <v>0.8</v>
      </c>
      <c r="AK203" s="180">
        <f t="shared" si="12"/>
        <v>0</v>
      </c>
      <c r="AL203" s="125">
        <f>Tabela1[[#This Row],[Pré Fósforo mg/dL]]</f>
        <v>4.7</v>
      </c>
      <c r="AM203" s="125">
        <f>Tabela1[[#This Row],[Pós Fósforo mg/dL]]</f>
        <v>5.4</v>
      </c>
      <c r="AN203" s="125">
        <f>Tabela1[[#This Row],[Pré Proteína Total (g/dL)]]</f>
        <v>8.1999999999999993</v>
      </c>
      <c r="AO203" s="125">
        <f>Tabela1[[#This Row],[Pós Proteína Total (g/dL)]]</f>
        <v>8.4</v>
      </c>
      <c r="AP203" s="85" t="str">
        <f>Tabela1[[#This Row],[Pré FE (ug/dL)]]</f>
        <v>-</v>
      </c>
      <c r="AQ203" s="193">
        <f>Tabela1[[#This Row],[Pós FE (ug/dL)]]</f>
        <v>99</v>
      </c>
      <c r="AR203" s="194">
        <f>Tabela1[[#This Row],[Pré calcio mg/dL]]</f>
        <v>9.3000000000000007</v>
      </c>
      <c r="AS203" s="125">
        <f>Tabela1[[#This Row],[Pós calcio mg/dL]]</f>
        <v>9.9</v>
      </c>
      <c r="AT203" s="125">
        <f>Tabela1[[#This Row],[Pré Potássio mmol/L]]</f>
        <v>4.8</v>
      </c>
      <c r="AU203" s="125">
        <f>Tabela1[[#This Row],[Pós Potássio mmol/L]]</f>
        <v>4.5</v>
      </c>
      <c r="AV203" s="85">
        <f>Tabela1[[#This Row],[Glicose pré]]</f>
        <v>80</v>
      </c>
      <c r="AW203" s="85">
        <f>Tabela1[[#This Row],[Glicose pós]]</f>
        <v>72</v>
      </c>
      <c r="AX203" s="85">
        <f>Tabela1[[#This Row],[Pré Sódio mmol/L]]</f>
        <v>141</v>
      </c>
      <c r="AY203" s="85">
        <f>Tabela1[[#This Row],[Pós Sódio mmol/L]]</f>
        <v>141</v>
      </c>
      <c r="AZ203" s="125">
        <f>Tabela1[[#This Row],[Pré Magnésio mg/dL]]</f>
        <v>2.4</v>
      </c>
      <c r="BA203" s="125">
        <f>Tabela1[[#This Row],[Pós Magnésio mg/dL]]</f>
        <v>2</v>
      </c>
      <c r="BB203" s="85">
        <f>Tabela1[[#This Row],[Pré Cloro mmol/L]]</f>
        <v>103</v>
      </c>
      <c r="BC203" s="85">
        <f>Tabela1[[#This Row],[Pós Cloro mmol/L]]</f>
        <v>100</v>
      </c>
      <c r="BD20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297.63244444444445</v>
      </c>
      <c r="BE20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295.73</v>
      </c>
      <c r="BF203" s="194">
        <f>Tabela1[[#This Row],[Pré RBC 10^6/mm³]]</f>
        <v>4.6399999999999997</v>
      </c>
      <c r="BG203" s="125">
        <f>Tabela1[[#This Row],[Pós RBC 10^6/mm³]]</f>
        <v>5.05</v>
      </c>
      <c r="BH203" s="125">
        <f>Tabela1[[#This Row],[Pré HGB g/dL]]</f>
        <v>13.8</v>
      </c>
      <c r="BI203" s="125">
        <f>Tabela1[[#This Row],[Pós HGB g/dL]]</f>
        <v>15.1</v>
      </c>
      <c r="BJ203" s="125">
        <f>Tabela1[[#This Row],[Pré HCT %]]</f>
        <v>39.9</v>
      </c>
      <c r="BK203" s="125">
        <f>Tabela1[[#This Row],[Pós HCT %]]</f>
        <v>43.7</v>
      </c>
      <c r="BL203" s="125">
        <f>Tabela1[[#This Row],[Pré MCV fL]]</f>
        <v>86</v>
      </c>
      <c r="BM203" s="125">
        <f>Tabela1[[#This Row],[Pós MCV fL]]</f>
        <v>86.5</v>
      </c>
      <c r="BN203" s="125">
        <f>Tabela1[[#This Row],[Pré MCH pg]]</f>
        <v>29.7</v>
      </c>
      <c r="BO203" s="125">
        <f>Tabela1[[#This Row],[Pós MCH pg]]</f>
        <v>29.9</v>
      </c>
      <c r="BP203" s="125">
        <f>Tabela1[[#This Row],[Pré MCHC g/dL]]</f>
        <v>34.6</v>
      </c>
      <c r="BQ203" s="125">
        <f>Tabela1[[#This Row],[Pós MCHC g/dL]]</f>
        <v>34.6</v>
      </c>
      <c r="BR203" s="85">
        <f>Tabela1[[#This Row],[Pré PLT 10³/mm³]]</f>
        <v>269</v>
      </c>
      <c r="BS203" s="85">
        <f>Tabela1[[#This Row],[Pós PLT 10³/mm³]]</f>
        <v>309</v>
      </c>
      <c r="BT203" s="125">
        <f>Tabela1[[#This Row],[Pré RDW %]]</f>
        <v>13.2</v>
      </c>
      <c r="BU203" s="125">
        <f>Tabela1[[#This Row],[Pós RDW %]]</f>
        <v>13.2</v>
      </c>
      <c r="BV203" s="179">
        <f>Tabela1[[#This Row],[Pré RET %]]</f>
        <v>1.56</v>
      </c>
      <c r="BW203" s="196">
        <f>Tabela1[[#This Row],[Pós RET %]]</f>
        <v>1.3</v>
      </c>
      <c r="BX203" s="197">
        <f>Tabela1[[#This Row],[Pré WBC 10³/mm³]]</f>
        <v>7.81</v>
      </c>
      <c r="BY203" s="179">
        <f>Tabela1[[#This Row],[Pós WBC 10³/mm³]]</f>
        <v>13.03</v>
      </c>
      <c r="BZ203" s="125">
        <f>Tabela1[[#This Row],[Pré NEUT %]]</f>
        <v>52.7</v>
      </c>
      <c r="CA203" s="125">
        <f>Tabela1[[#This Row],[Pós NEUT %]]</f>
        <v>80.3</v>
      </c>
      <c r="CB203" s="125">
        <f>Tabela1[[#This Row],[Pré LINF %]]</f>
        <v>30.5</v>
      </c>
      <c r="CC203" s="125">
        <f>Tabela1[[#This Row],[Pós LINF %]]</f>
        <v>12.7</v>
      </c>
      <c r="CD203" s="125">
        <f>Tabela1[[#This Row],[Pré MONO %]]</f>
        <v>10.6</v>
      </c>
      <c r="CE203" s="125">
        <f>Tabela1[[#This Row],[Pós MONO %]]</f>
        <v>6.3</v>
      </c>
      <c r="CF203" s="125">
        <f>Tabela1[[#This Row],[Pré EOS %]]</f>
        <v>5.8</v>
      </c>
      <c r="CG203" s="125">
        <f>Tabela1[[#This Row],[Pós EOS %]]</f>
        <v>0.5</v>
      </c>
      <c r="CH203" s="125">
        <f>Tabela1[[#This Row],[Pré BASO %]]</f>
        <v>0.4</v>
      </c>
      <c r="CI203" s="198">
        <f>Tabela1[[#This Row],[Pós BASO %]]</f>
        <v>0.2</v>
      </c>
      <c r="CJ203" s="199" t="str">
        <f t="shared" si="13"/>
        <v>NÃO</v>
      </c>
      <c r="CK203" s="200" t="str">
        <f t="shared" si="14"/>
        <v>SIM</v>
      </c>
      <c r="CL203" s="194">
        <f t="shared" si="15"/>
        <v>82.441199999999995</v>
      </c>
      <c r="CM203" s="125">
        <f>Tabela1[[#This Row],[MCT KG]]</f>
        <v>92</v>
      </c>
      <c r="CN203" s="85">
        <f>Tabela1[[#This Row],[ESTATURA]]</f>
        <v>174.4</v>
      </c>
      <c r="CO203" s="85">
        <f>Tabela1[[#This Row],[vo2max estimado]]</f>
        <v>49.71</v>
      </c>
      <c r="CP203" s="85">
        <f>Tabela1[[#This Row],[Handgrip     Dominante]]</f>
        <v>55</v>
      </c>
      <c r="CQ203" s="85">
        <f>Tabela1[[#This Row],[Handgrip Contrário]]</f>
        <v>55.5</v>
      </c>
      <c r="CR203" s="281">
        <f>Tabela1[[#This Row],[% gordura]]</f>
        <v>10.39</v>
      </c>
    </row>
    <row r="204" spans="1:96" ht="15.75" customHeight="1">
      <c r="A204" s="279">
        <f>Tabela1[[#This Row],[Ano]]</f>
        <v>2018</v>
      </c>
      <c r="B204" s="181" t="str">
        <f>Tabela1[[#This Row],[Missão]]</f>
        <v>Avelar</v>
      </c>
      <c r="C204" s="181">
        <f>Tabela1[[#This Row],[Aluno]]</f>
        <v>3187</v>
      </c>
      <c r="D204" s="181">
        <f>Tabela1[[#This Row],[Idade]]</f>
        <v>25</v>
      </c>
      <c r="E204" s="182">
        <f>Tabela1[[#This Row],[Peso Kg]]</f>
        <v>85</v>
      </c>
      <c r="F204" s="191">
        <f>Tabela1[[#This Row],[Cor da pele]]</f>
        <v>1</v>
      </c>
      <c r="G204" s="192" t="str">
        <f>Tabela1[[#This Row],[ACTN3]]</f>
        <v>RX</v>
      </c>
      <c r="H204" s="85" t="str">
        <f>Tabela1[[#This Row],[AGT]]</f>
        <v>MM</v>
      </c>
      <c r="I204" s="85" t="str">
        <f>Tabela1[[#This Row],[ECA]]</f>
        <v>II</v>
      </c>
      <c r="J204" s="85" t="str">
        <f>Tabela1[[#This Row],[BDKRB2]]</f>
        <v>(+9,-9)</v>
      </c>
      <c r="K204" s="85">
        <f>Tabela1[[#This Row],[Score Força%]]</f>
        <v>25</v>
      </c>
      <c r="L204" s="193">
        <f>Tabela1[[#This Row],[Score Resistência %]]</f>
        <v>75</v>
      </c>
      <c r="M204" s="192">
        <f>Tabela1[[#This Row],[Pré CK (U/L)]]</f>
        <v>417</v>
      </c>
      <c r="N204" s="85">
        <f>Tabela1[[#This Row],[Pós CK (U/L)]]</f>
        <v>6101</v>
      </c>
      <c r="O204" s="85">
        <f>Tabela1[[#This Row],[Pré CK MB U/L]]</f>
        <v>13</v>
      </c>
      <c r="P204" s="85">
        <f>Tabela1[[#This Row],[Pós CK MB U/L]]</f>
        <v>82</v>
      </c>
      <c r="Q204" s="85">
        <f>Tabela1[[#This Row],[Pré Lactato (mmol/L)]]</f>
        <v>2</v>
      </c>
      <c r="R204" s="85">
        <f>Tabela1[[#This Row],[Pós Lactato (mmol/L)]]</f>
        <v>6.4</v>
      </c>
      <c r="S204" s="85">
        <f>Tabela1[[#This Row],[Pré LDH (U/L)]]</f>
        <v>529</v>
      </c>
      <c r="T204" s="85">
        <f>Tabela1[[#This Row],[Pós LDH (U/L)]]</f>
        <v>919</v>
      </c>
      <c r="U204" s="85">
        <f>Tabela1[[#This Row],[Pré AST (U/L)]]</f>
        <v>32</v>
      </c>
      <c r="V204" s="193">
        <f>Tabela1[[#This Row],[Pós AST (U/L)]]</f>
        <v>143</v>
      </c>
      <c r="W204" s="194">
        <f>Tabela1[[#This Row],[Pré Albumina (g/dL)]]</f>
        <v>4.2</v>
      </c>
      <c r="X204" s="125">
        <f>Tabela1[[#This Row],[Pós Albumina (g/dL)]]</f>
        <v>5</v>
      </c>
      <c r="Y204" s="85">
        <f>Tabela1[[#This Row],[Pré TGP (g/dL)]]</f>
        <v>37</v>
      </c>
      <c r="Z204" s="85">
        <f>Tabela1[[#This Row],[Pós TGP (g/dL)]]</f>
        <v>61</v>
      </c>
      <c r="AA204" s="85">
        <f>Tabela1[[#This Row],[Pré GGT U/L]]</f>
        <v>17</v>
      </c>
      <c r="AB204" s="193">
        <f>Tabela1[[#This Row],[Pós GGT U/L]]</f>
        <v>33</v>
      </c>
      <c r="AC204" s="194">
        <f>Tabela1[[#This Row],[Pré Ac. Úrico (mg/dL)]]</f>
        <v>4.4000000000000004</v>
      </c>
      <c r="AD204" s="125">
        <f>Tabela1[[#This Row],[Pós Ac. Úrico (mg/dL)2]]</f>
        <v>5.8</v>
      </c>
      <c r="AE20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20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204" s="85">
        <f>Tabela1[[#This Row],[Pré Ureia mg/dL]]</f>
        <v>41</v>
      </c>
      <c r="AH204" s="85">
        <f>Tabela1[[#This Row],[Pós Ureia mg/dL]]</f>
        <v>45</v>
      </c>
      <c r="AI204" s="125">
        <f>Tabela1[[#This Row],[Pré creatinina mg/dL]]</f>
        <v>1.2</v>
      </c>
      <c r="AJ204" s="125">
        <f>Tabela1[[#This Row],[Pós creatinina mg/dL]]</f>
        <v>1.1000000000000001</v>
      </c>
      <c r="AK204" s="180">
        <f t="shared" si="12"/>
        <v>0</v>
      </c>
      <c r="AL204" s="125">
        <f>Tabela1[[#This Row],[Pré Fósforo mg/dL]]</f>
        <v>3.8</v>
      </c>
      <c r="AM204" s="125">
        <f>Tabela1[[#This Row],[Pós Fósforo mg/dL]]</f>
        <v>5.2</v>
      </c>
      <c r="AN204" s="125">
        <f>Tabela1[[#This Row],[Pré Proteína Total (g/dL)]]</f>
        <v>6.6</v>
      </c>
      <c r="AO204" s="125">
        <f>Tabela1[[#This Row],[Pós Proteína Total (g/dL)]]</f>
        <v>8.3000000000000007</v>
      </c>
      <c r="AP204" s="85" t="str">
        <f>Tabela1[[#This Row],[Pré FE (ug/dL)]]</f>
        <v>-</v>
      </c>
      <c r="AQ204" s="193">
        <f>Tabela1[[#This Row],[Pós FE (ug/dL)]]</f>
        <v>148</v>
      </c>
      <c r="AR204" s="194">
        <f>Tabela1[[#This Row],[Pré calcio mg/dL]]</f>
        <v>8.8000000000000007</v>
      </c>
      <c r="AS204" s="125">
        <f>Tabela1[[#This Row],[Pós calcio mg/dL]]</f>
        <v>10.1</v>
      </c>
      <c r="AT204" s="125">
        <f>Tabela1[[#This Row],[Pré Potássio mmol/L]]</f>
        <v>4.5999999999999996</v>
      </c>
      <c r="AU204" s="125">
        <f>Tabela1[[#This Row],[Pós Potássio mmol/L]]</f>
        <v>4.3</v>
      </c>
      <c r="AV204" s="85">
        <f>Tabela1[[#This Row],[Glicose pré]]</f>
        <v>75</v>
      </c>
      <c r="AW204" s="85">
        <f>Tabela1[[#This Row],[Glicose pós]]</f>
        <v>72</v>
      </c>
      <c r="AX204" s="85">
        <f>Tabela1[[#This Row],[Pré Sódio mmol/L]]</f>
        <v>139</v>
      </c>
      <c r="AY204" s="85">
        <f>Tabela1[[#This Row],[Pós Sódio mmol/L]]</f>
        <v>142</v>
      </c>
      <c r="AZ204" s="125">
        <f>Tabela1[[#This Row],[Pré Magnésio mg/dL]]</f>
        <v>1.8</v>
      </c>
      <c r="BA204" s="125">
        <f>Tabela1[[#This Row],[Pós Magnésio mg/dL]]</f>
        <v>2.1</v>
      </c>
      <c r="BB204" s="85">
        <f>Tabela1[[#This Row],[Pré Cloro mmol/L]]</f>
        <v>103</v>
      </c>
      <c r="BC204" s="85">
        <f>Tabela1[[#This Row],[Pós Cloro mmol/L]]</f>
        <v>100</v>
      </c>
      <c r="BD20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292.721</v>
      </c>
      <c r="BE20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298.21800000000007</v>
      </c>
      <c r="BF204" s="194">
        <f>Tabela1[[#This Row],[Pré RBC 10^6/mm³]]</f>
        <v>4.5599999999999996</v>
      </c>
      <c r="BG204" s="125">
        <f>Tabela1[[#This Row],[Pós RBC 10^6/mm³]]</f>
        <v>4.8499999999999996</v>
      </c>
      <c r="BH204" s="125">
        <f>Tabela1[[#This Row],[Pré HGB g/dL]]</f>
        <v>13.3</v>
      </c>
      <c r="BI204" s="125">
        <f>Tabela1[[#This Row],[Pós HGB g/dL]]</f>
        <v>14.2</v>
      </c>
      <c r="BJ204" s="125">
        <f>Tabela1[[#This Row],[Pré HCT %]]</f>
        <v>38.299999999999997</v>
      </c>
      <c r="BK204" s="125">
        <f>Tabela1[[#This Row],[Pós HCT %]]</f>
        <v>41.8</v>
      </c>
      <c r="BL204" s="125">
        <f>Tabela1[[#This Row],[Pré MCV fL]]</f>
        <v>84</v>
      </c>
      <c r="BM204" s="125">
        <f>Tabela1[[#This Row],[Pós MCV fL]]</f>
        <v>86.2</v>
      </c>
      <c r="BN204" s="125">
        <f>Tabela1[[#This Row],[Pré MCH pg]]</f>
        <v>29.2</v>
      </c>
      <c r="BO204" s="125">
        <f>Tabela1[[#This Row],[Pós MCH pg]]</f>
        <v>29.3</v>
      </c>
      <c r="BP204" s="125">
        <f>Tabela1[[#This Row],[Pré MCHC g/dL]]</f>
        <v>34.700000000000003</v>
      </c>
      <c r="BQ204" s="125">
        <f>Tabela1[[#This Row],[Pós MCHC g/dL]]</f>
        <v>34</v>
      </c>
      <c r="BR204" s="85">
        <f>Tabela1[[#This Row],[Pré PLT 10³/mm³]]</f>
        <v>265</v>
      </c>
      <c r="BS204" s="85">
        <f>Tabela1[[#This Row],[Pós PLT 10³/mm³]]</f>
        <v>311</v>
      </c>
      <c r="BT204" s="125">
        <f>Tabela1[[#This Row],[Pré RDW %]]</f>
        <v>13.2</v>
      </c>
      <c r="BU204" s="125">
        <f>Tabela1[[#This Row],[Pós RDW %]]</f>
        <v>13.4</v>
      </c>
      <c r="BV204" s="179">
        <f>Tabela1[[#This Row],[Pré RET %]]</f>
        <v>1.1399999999999999</v>
      </c>
      <c r="BW204" s="196">
        <f>Tabela1[[#This Row],[Pós RET %]]</f>
        <v>1.1499999999999999</v>
      </c>
      <c r="BX204" s="197">
        <f>Tabela1[[#This Row],[Pré WBC 10³/mm³]]</f>
        <v>6.21</v>
      </c>
      <c r="BY204" s="179">
        <f>Tabela1[[#This Row],[Pós WBC 10³/mm³]]</f>
        <v>14.35</v>
      </c>
      <c r="BZ204" s="125">
        <f>Tabela1[[#This Row],[Pré NEUT %]]</f>
        <v>56.9</v>
      </c>
      <c r="CA204" s="125">
        <f>Tabela1[[#This Row],[Pós NEUT %]]</f>
        <v>72.900000000000006</v>
      </c>
      <c r="CB204" s="125">
        <f>Tabela1[[#This Row],[Pré LINF %]]</f>
        <v>31.7</v>
      </c>
      <c r="CC204" s="125">
        <f>Tabela1[[#This Row],[Pós LINF %]]</f>
        <v>19</v>
      </c>
      <c r="CD204" s="125">
        <f>Tabela1[[#This Row],[Pré MONO %]]</f>
        <v>7.7</v>
      </c>
      <c r="CE204" s="125">
        <f>Tabela1[[#This Row],[Pós MONO %]]</f>
        <v>7</v>
      </c>
      <c r="CF204" s="125">
        <f>Tabela1[[#This Row],[Pré EOS %]]</f>
        <v>3.1</v>
      </c>
      <c r="CG204" s="125">
        <f>Tabela1[[#This Row],[Pós EOS %]]</f>
        <v>0.8</v>
      </c>
      <c r="CH204" s="125">
        <f>Tabela1[[#This Row],[Pré BASO %]]</f>
        <v>0.6</v>
      </c>
      <c r="CI204" s="198">
        <f>Tabela1[[#This Row],[Pós BASO %]]</f>
        <v>0.3</v>
      </c>
      <c r="CJ204" s="199" t="str">
        <f t="shared" si="13"/>
        <v>NÃO</v>
      </c>
      <c r="CK204" s="200" t="str">
        <f t="shared" si="14"/>
        <v>SIM</v>
      </c>
      <c r="CL204" s="194">
        <f t="shared" si="15"/>
        <v>79.512460000000004</v>
      </c>
      <c r="CM204" s="125">
        <f>Tabela1[[#This Row],[MCT KG]]</f>
        <v>85.7</v>
      </c>
      <c r="CN204" s="85">
        <f>Tabela1[[#This Row],[ESTATURA]]</f>
        <v>185</v>
      </c>
      <c r="CO204" s="85">
        <f>Tabela1[[#This Row],[vo2max estimado]]</f>
        <v>52.04</v>
      </c>
      <c r="CP204" s="85">
        <f>Tabela1[[#This Row],[Handgrip     Dominante]]</f>
        <v>50</v>
      </c>
      <c r="CQ204" s="85">
        <f>Tabela1[[#This Row],[Handgrip Contrário]]</f>
        <v>50</v>
      </c>
      <c r="CR204" s="281">
        <f>Tabela1[[#This Row],[% gordura]]</f>
        <v>7.22</v>
      </c>
    </row>
    <row r="205" spans="1:96" ht="15.75" customHeight="1">
      <c r="A205" s="279">
        <f>Tabela1[[#This Row],[Ano]]</f>
        <v>2018</v>
      </c>
      <c r="B205" s="181" t="str">
        <f>Tabela1[[#This Row],[Missão]]</f>
        <v>Avelar</v>
      </c>
      <c r="C205" s="181">
        <f>Tabela1[[#This Row],[Aluno]]</f>
        <v>3189</v>
      </c>
      <c r="D205" s="181">
        <f>Tabela1[[#This Row],[Idade]]</f>
        <v>28</v>
      </c>
      <c r="E205" s="182">
        <f>Tabela1[[#This Row],[Peso Kg]]</f>
        <v>77</v>
      </c>
      <c r="F205" s="191">
        <f>Tabela1[[#This Row],[Cor da pele]]</f>
        <v>2</v>
      </c>
      <c r="G205" s="192" t="str">
        <f>Tabela1[[#This Row],[ACTN3]]</f>
        <v>RR</v>
      </c>
      <c r="H205" s="85" t="str">
        <f>Tabela1[[#This Row],[AGT]]</f>
        <v>MT</v>
      </c>
      <c r="I205" s="85" t="str">
        <f>Tabela1[[#This Row],[ECA]]</f>
        <v>ID</v>
      </c>
      <c r="J205" s="85" t="str">
        <f>Tabela1[[#This Row],[BDKRB2]]</f>
        <v>(+9,-9)</v>
      </c>
      <c r="K205" s="85">
        <f>Tabela1[[#This Row],[Score Força%]]</f>
        <v>212.5</v>
      </c>
      <c r="L205" s="193">
        <f>Tabela1[[#This Row],[Score Resistência %]]</f>
        <v>-112.5</v>
      </c>
      <c r="M205" s="192">
        <f>Tabela1[[#This Row],[Pré CK (U/L)]]</f>
        <v>667</v>
      </c>
      <c r="N205" s="85">
        <f>Tabela1[[#This Row],[Pós CK (U/L)]]</f>
        <v>19751</v>
      </c>
      <c r="O205" s="85">
        <f>Tabela1[[#This Row],[Pré CK MB U/L]]</f>
        <v>14</v>
      </c>
      <c r="P205" s="85">
        <f>Tabela1[[#This Row],[Pós CK MB U/L]]</f>
        <v>219</v>
      </c>
      <c r="Q205" s="85">
        <f>Tabela1[[#This Row],[Pré Lactato (mmol/L)]]</f>
        <v>1.1000000000000001</v>
      </c>
      <c r="R205" s="85">
        <f>Tabela1[[#This Row],[Pós Lactato (mmol/L)]]</f>
        <v>5.8</v>
      </c>
      <c r="S205" s="85">
        <f>Tabela1[[#This Row],[Pré LDH (U/L)]]</f>
        <v>522</v>
      </c>
      <c r="T205" s="85">
        <f>Tabela1[[#This Row],[Pós LDH (U/L)]]</f>
        <v>2835</v>
      </c>
      <c r="U205" s="85">
        <f>Tabela1[[#This Row],[Pré AST (U/L)]]</f>
        <v>32</v>
      </c>
      <c r="V205" s="193">
        <f>Tabela1[[#This Row],[Pós AST (U/L)]]</f>
        <v>398</v>
      </c>
      <c r="W205" s="194">
        <f>Tabela1[[#This Row],[Pré Albumina (g/dL)]]</f>
        <v>4.4000000000000004</v>
      </c>
      <c r="X205" s="125">
        <f>Tabela1[[#This Row],[Pós Albumina (g/dL)]]</f>
        <v>5.4</v>
      </c>
      <c r="Y205" s="85">
        <f>Tabela1[[#This Row],[Pré TGP (g/dL)]]</f>
        <v>26</v>
      </c>
      <c r="Z205" s="85">
        <f>Tabela1[[#This Row],[Pós TGP (g/dL)]]</f>
        <v>115</v>
      </c>
      <c r="AA205" s="85">
        <f>Tabela1[[#This Row],[Pré GGT U/L]]</f>
        <v>18</v>
      </c>
      <c r="AB205" s="193">
        <f>Tabela1[[#This Row],[Pós GGT U/L]]</f>
        <v>35</v>
      </c>
      <c r="AC205" s="194">
        <f>Tabela1[[#This Row],[Pré Ac. Úrico (mg/dL)]]</f>
        <v>4.5</v>
      </c>
      <c r="AD205" s="125">
        <f>Tabela1[[#This Row],[Pós Ac. Úrico (mg/dL)2]]</f>
        <v>7</v>
      </c>
      <c r="AE20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0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05" s="85">
        <f>Tabela1[[#This Row],[Pré Ureia mg/dL]]</f>
        <v>31</v>
      </c>
      <c r="AH205" s="85">
        <f>Tabela1[[#This Row],[Pós Ureia mg/dL]]</f>
        <v>49</v>
      </c>
      <c r="AI205" s="125">
        <f>Tabela1[[#This Row],[Pré creatinina mg/dL]]</f>
        <v>1</v>
      </c>
      <c r="AJ205" s="125">
        <f>Tabela1[[#This Row],[Pós creatinina mg/dL]]</f>
        <v>1</v>
      </c>
      <c r="AK205" s="180">
        <f t="shared" si="12"/>
        <v>0</v>
      </c>
      <c r="AL205" s="125">
        <f>Tabela1[[#This Row],[Pré Fósforo mg/dL]]</f>
        <v>4.4000000000000004</v>
      </c>
      <c r="AM205" s="125">
        <f>Tabela1[[#This Row],[Pós Fósforo mg/dL]]</f>
        <v>6.2</v>
      </c>
      <c r="AN205" s="125">
        <f>Tabela1[[#This Row],[Pré Proteína Total (g/dL)]]</f>
        <v>7.2</v>
      </c>
      <c r="AO205" s="125">
        <f>Tabela1[[#This Row],[Pós Proteína Total (g/dL)]]</f>
        <v>7.9</v>
      </c>
      <c r="AP205" s="85" t="str">
        <f>Tabela1[[#This Row],[Pré FE (ug/dL)]]</f>
        <v>-</v>
      </c>
      <c r="AQ205" s="193">
        <f>Tabela1[[#This Row],[Pós FE (ug/dL)]]</f>
        <v>95</v>
      </c>
      <c r="AR205" s="194">
        <f>Tabela1[[#This Row],[Pré calcio mg/dL]]</f>
        <v>8.5</v>
      </c>
      <c r="AS205" s="125">
        <f>Tabela1[[#This Row],[Pós calcio mg/dL]]</f>
        <v>9.6</v>
      </c>
      <c r="AT205" s="125">
        <f>Tabela1[[#This Row],[Pré Potássio mmol/L]]</f>
        <v>4.5999999999999996</v>
      </c>
      <c r="AU205" s="125">
        <f>Tabela1[[#This Row],[Pós Potássio mmol/L]]</f>
        <v>4.2</v>
      </c>
      <c r="AV205" s="85">
        <f>Tabela1[[#This Row],[Glicose pré]]</f>
        <v>85</v>
      </c>
      <c r="AW205" s="85">
        <f>Tabela1[[#This Row],[Glicose pós]]</f>
        <v>82</v>
      </c>
      <c r="AX205" s="85">
        <f>Tabela1[[#This Row],[Pré Sódio mmol/L]]</f>
        <v>140</v>
      </c>
      <c r="AY205" s="85">
        <f>Tabela1[[#This Row],[Pós Sódio mmol/L]]</f>
        <v>142</v>
      </c>
      <c r="AZ205" s="125">
        <f>Tabela1[[#This Row],[Pré Magnésio mg/dL]]</f>
        <v>2</v>
      </c>
      <c r="BA205" s="125">
        <f>Tabela1[[#This Row],[Pós Magnésio mg/dL]]</f>
        <v>2.2999999999999998</v>
      </c>
      <c r="BB205" s="85">
        <f>Tabela1[[#This Row],[Pré Cloro mmol/L]]</f>
        <v>104</v>
      </c>
      <c r="BC205" s="85">
        <f>Tabela1[[#This Row],[Pós Cloro mmol/L]]</f>
        <v>99</v>
      </c>
      <c r="BD20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293.55322222222225</v>
      </c>
      <c r="BE20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299.33755555555558</v>
      </c>
      <c r="BF205" s="194">
        <f>Tabela1[[#This Row],[Pré RBC 10^6/mm³]]</f>
        <v>4.46</v>
      </c>
      <c r="BG205" s="125">
        <f>Tabela1[[#This Row],[Pós RBC 10^6/mm³]]</f>
        <v>4.5999999999999996</v>
      </c>
      <c r="BH205" s="125">
        <f>Tabela1[[#This Row],[Pré HGB g/dL]]</f>
        <v>13.9</v>
      </c>
      <c r="BI205" s="125">
        <f>Tabela1[[#This Row],[Pós HGB g/dL]]</f>
        <v>14.4</v>
      </c>
      <c r="BJ205" s="125">
        <f>Tabela1[[#This Row],[Pré HCT %]]</f>
        <v>40.4</v>
      </c>
      <c r="BK205" s="125">
        <f>Tabela1[[#This Row],[Pós HCT %]]</f>
        <v>41.8</v>
      </c>
      <c r="BL205" s="125">
        <f>Tabela1[[#This Row],[Pré MCV fL]]</f>
        <v>90.6</v>
      </c>
      <c r="BM205" s="125">
        <f>Tabela1[[#This Row],[Pós MCV fL]]</f>
        <v>90.9</v>
      </c>
      <c r="BN205" s="125">
        <f>Tabela1[[#This Row],[Pré MCH pg]]</f>
        <v>31.2</v>
      </c>
      <c r="BO205" s="125">
        <f>Tabela1[[#This Row],[Pós MCH pg]]</f>
        <v>31.3</v>
      </c>
      <c r="BP205" s="125">
        <f>Tabela1[[#This Row],[Pré MCHC g/dL]]</f>
        <v>34.4</v>
      </c>
      <c r="BQ205" s="125">
        <f>Tabela1[[#This Row],[Pós MCHC g/dL]]</f>
        <v>34.4</v>
      </c>
      <c r="BR205" s="85">
        <f>Tabela1[[#This Row],[Pré PLT 10³/mm³]]</f>
        <v>184</v>
      </c>
      <c r="BS205" s="85">
        <f>Tabela1[[#This Row],[Pós PLT 10³/mm³]]</f>
        <v>223</v>
      </c>
      <c r="BT205" s="125">
        <f>Tabela1[[#This Row],[Pré RDW %]]</f>
        <v>13.4</v>
      </c>
      <c r="BU205" s="125">
        <f>Tabela1[[#This Row],[Pós RDW %]]</f>
        <v>13.3</v>
      </c>
      <c r="BV205" s="179">
        <f>Tabela1[[#This Row],[Pré RET %]]</f>
        <v>1.91</v>
      </c>
      <c r="BW205" s="196">
        <f>Tabela1[[#This Row],[Pós RET %]]</f>
        <v>1.57</v>
      </c>
      <c r="BX205" s="197">
        <f>Tabela1[[#This Row],[Pré WBC 10³/mm³]]</f>
        <v>7</v>
      </c>
      <c r="BY205" s="179">
        <f>Tabela1[[#This Row],[Pós WBC 10³/mm³]]</f>
        <v>17.25</v>
      </c>
      <c r="BZ205" s="125">
        <f>Tabela1[[#This Row],[Pré NEUT %]]</f>
        <v>56.7</v>
      </c>
      <c r="CA205" s="125">
        <f>Tabela1[[#This Row],[Pós NEUT %]]</f>
        <v>86.8</v>
      </c>
      <c r="CB205" s="125">
        <f>Tabela1[[#This Row],[Pré LINF %]]</f>
        <v>30.4</v>
      </c>
      <c r="CC205" s="125">
        <f>Tabela1[[#This Row],[Pós LINF %]]</f>
        <v>6.7</v>
      </c>
      <c r="CD205" s="125">
        <f>Tabela1[[#This Row],[Pré MONO %]]</f>
        <v>10.7</v>
      </c>
      <c r="CE205" s="125">
        <f>Tabela1[[#This Row],[Pós MONO %]]</f>
        <v>6.4</v>
      </c>
      <c r="CF205" s="125">
        <f>Tabela1[[#This Row],[Pré EOS %]]</f>
        <v>1.9</v>
      </c>
      <c r="CG205" s="125">
        <f>Tabela1[[#This Row],[Pós EOS %]]</f>
        <v>0</v>
      </c>
      <c r="CH205" s="125">
        <f>Tabela1[[#This Row],[Pré BASO %]]</f>
        <v>0.3</v>
      </c>
      <c r="CI205" s="198">
        <f>Tabela1[[#This Row],[Pós BASO %]]</f>
        <v>0.1</v>
      </c>
      <c r="CJ205" s="199" t="str">
        <f t="shared" si="13"/>
        <v>NÃO</v>
      </c>
      <c r="CK205" s="200" t="str">
        <f t="shared" si="14"/>
        <v>SIM</v>
      </c>
      <c r="CL205" s="194">
        <f t="shared" si="15"/>
        <v>70.76357999999999</v>
      </c>
      <c r="CM205" s="125">
        <f>Tabela1[[#This Row],[MCT KG]]</f>
        <v>78.599999999999994</v>
      </c>
      <c r="CN205" s="85">
        <f>Tabela1[[#This Row],[ESTATURA]]</f>
        <v>179</v>
      </c>
      <c r="CO205" s="85">
        <f>Tabela1[[#This Row],[vo2max estimado]]</f>
        <v>53.31</v>
      </c>
      <c r="CP205" s="85">
        <f>Tabela1[[#This Row],[Handgrip     Dominante]]</f>
        <v>50</v>
      </c>
      <c r="CQ205" s="85">
        <f>Tabela1[[#This Row],[Handgrip Contrário]]</f>
        <v>44</v>
      </c>
      <c r="CR205" s="281">
        <f>Tabela1[[#This Row],[% gordura]]</f>
        <v>9.9700000000000006</v>
      </c>
    </row>
    <row r="206" spans="1:96" ht="15.75" customHeight="1">
      <c r="A206" s="279">
        <f>Tabela1[[#This Row],[Ano]]</f>
        <v>2018</v>
      </c>
      <c r="B206" s="181" t="str">
        <f>Tabela1[[#This Row],[Missão]]</f>
        <v>Avelar</v>
      </c>
      <c r="C206" s="181">
        <f>Tabela1[[#This Row],[Aluno]]</f>
        <v>3190</v>
      </c>
      <c r="D206" s="181">
        <f>Tabela1[[#This Row],[Idade]]</f>
        <v>29</v>
      </c>
      <c r="E206" s="182">
        <f>Tabela1[[#This Row],[Peso Kg]]</f>
        <v>80</v>
      </c>
      <c r="F206" s="191">
        <f>Tabela1[[#This Row],[Cor da pele]]</f>
        <v>1</v>
      </c>
      <c r="G206" s="192" t="str">
        <f>Tabela1[[#This Row],[ACTN3]]</f>
        <v>-</v>
      </c>
      <c r="H206" s="85" t="str">
        <f>Tabela1[[#This Row],[AGT]]</f>
        <v>-</v>
      </c>
      <c r="I206" s="85" t="str">
        <f>Tabela1[[#This Row],[ECA]]</f>
        <v>-</v>
      </c>
      <c r="J206" s="85" t="str">
        <f>Tabela1[[#This Row],[BDKRB2]]</f>
        <v>-</v>
      </c>
      <c r="K206" s="85" t="str">
        <f>Tabela1[[#This Row],[Score Força%]]</f>
        <v>-</v>
      </c>
      <c r="L206" s="193" t="str">
        <f>Tabela1[[#This Row],[Score Resistência %]]</f>
        <v>-</v>
      </c>
      <c r="M206" s="192">
        <f>Tabela1[[#This Row],[Pré CK (U/L)]]</f>
        <v>1299</v>
      </c>
      <c r="N206" s="85">
        <f>Tabela1[[#This Row],[Pós CK (U/L)]]</f>
        <v>11142</v>
      </c>
      <c r="O206" s="85">
        <f>Tabela1[[#This Row],[Pré CK MB U/L]]</f>
        <v>19</v>
      </c>
      <c r="P206" s="85">
        <f>Tabela1[[#This Row],[Pós CK MB U/L]]</f>
        <v>165</v>
      </c>
      <c r="Q206" s="85">
        <f>Tabela1[[#This Row],[Pré Lactato (mmol/L)]]</f>
        <v>1.7</v>
      </c>
      <c r="R206" s="85">
        <f>Tabela1[[#This Row],[Pós Lactato (mmol/L)]]</f>
        <v>10</v>
      </c>
      <c r="S206" s="85">
        <f>Tabela1[[#This Row],[Pré LDH (U/L)]]</f>
        <v>825</v>
      </c>
      <c r="T206" s="85">
        <f>Tabela1[[#This Row],[Pós LDH (U/L)]]</f>
        <v>2333</v>
      </c>
      <c r="U206" s="85">
        <f>Tabela1[[#This Row],[Pré AST (U/L)]]</f>
        <v>59</v>
      </c>
      <c r="V206" s="193">
        <f>Tabela1[[#This Row],[Pós AST (U/L)]]</f>
        <v>231</v>
      </c>
      <c r="W206" s="194">
        <f>Tabela1[[#This Row],[Pré Albumina (g/dL)]]</f>
        <v>4.4000000000000004</v>
      </c>
      <c r="X206" s="125">
        <f>Tabela1[[#This Row],[Pós Albumina (g/dL)]]</f>
        <v>5.2</v>
      </c>
      <c r="Y206" s="85">
        <f>Tabela1[[#This Row],[Pré TGP (g/dL)]]</f>
        <v>32</v>
      </c>
      <c r="Z206" s="85">
        <f>Tabela1[[#This Row],[Pós TGP (g/dL)]]</f>
        <v>67</v>
      </c>
      <c r="AA206" s="85">
        <f>Tabela1[[#This Row],[Pré GGT U/L]]</f>
        <v>20</v>
      </c>
      <c r="AB206" s="193">
        <f>Tabela1[[#This Row],[Pós GGT U/L]]</f>
        <v>29</v>
      </c>
      <c r="AC206" s="194">
        <f>Tabela1[[#This Row],[Pré Ac. Úrico (mg/dL)]]</f>
        <v>4.4000000000000004</v>
      </c>
      <c r="AD206" s="125">
        <f>Tabela1[[#This Row],[Pós Ac. Úrico (mg/dL)2]]</f>
        <v>5.2</v>
      </c>
      <c r="AE20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0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06" s="85">
        <f>Tabela1[[#This Row],[Pré Ureia mg/dL]]</f>
        <v>37</v>
      </c>
      <c r="AH206" s="85">
        <f>Tabela1[[#This Row],[Pós Ureia mg/dL]]</f>
        <v>45</v>
      </c>
      <c r="AI206" s="125">
        <f>Tabela1[[#This Row],[Pré creatinina mg/dL]]</f>
        <v>1</v>
      </c>
      <c r="AJ206" s="125">
        <f>Tabela1[[#This Row],[Pós creatinina mg/dL]]</f>
        <v>0.9</v>
      </c>
      <c r="AK206" s="180">
        <f t="shared" si="12"/>
        <v>0</v>
      </c>
      <c r="AL206" s="125">
        <f>Tabela1[[#This Row],[Pré Fósforo mg/dL]]</f>
        <v>4.4000000000000004</v>
      </c>
      <c r="AM206" s="125">
        <f>Tabela1[[#This Row],[Pós Fósforo mg/dL]]</f>
        <v>5.3</v>
      </c>
      <c r="AN206" s="125">
        <f>Tabela1[[#This Row],[Pré Proteína Total (g/dL)]]</f>
        <v>7.3</v>
      </c>
      <c r="AO206" s="125">
        <f>Tabela1[[#This Row],[Pós Proteína Total (g/dL)]]</f>
        <v>8.3000000000000007</v>
      </c>
      <c r="AP206" s="85" t="str">
        <f>Tabela1[[#This Row],[Pré FE (ug/dL)]]</f>
        <v>-</v>
      </c>
      <c r="AQ206" s="193">
        <f>Tabela1[[#This Row],[Pós FE (ug/dL)]]</f>
        <v>70</v>
      </c>
      <c r="AR206" s="194">
        <f>Tabela1[[#This Row],[Pré calcio mg/dL]]</f>
        <v>8.8000000000000007</v>
      </c>
      <c r="AS206" s="125">
        <f>Tabela1[[#This Row],[Pós calcio mg/dL]]</f>
        <v>9.8000000000000007</v>
      </c>
      <c r="AT206" s="125">
        <f>Tabela1[[#This Row],[Pré Potássio mmol/L]]</f>
        <v>4.9000000000000004</v>
      </c>
      <c r="AU206" s="125">
        <f>Tabela1[[#This Row],[Pós Potássio mmol/L]]</f>
        <v>4.4000000000000004</v>
      </c>
      <c r="AV206" s="85">
        <f>Tabela1[[#This Row],[Glicose pré]]</f>
        <v>79</v>
      </c>
      <c r="AW206" s="85">
        <f>Tabela1[[#This Row],[Glicose pós]]</f>
        <v>82</v>
      </c>
      <c r="AX206" s="85">
        <f>Tabela1[[#This Row],[Pré Sódio mmol/L]]</f>
        <v>140</v>
      </c>
      <c r="AY206" s="85">
        <f>Tabela1[[#This Row],[Pós Sódio mmol/L]]</f>
        <v>140</v>
      </c>
      <c r="AZ206" s="125">
        <f>Tabela1[[#This Row],[Pré Magnésio mg/dL]]</f>
        <v>1.9</v>
      </c>
      <c r="BA206" s="125">
        <f>Tabela1[[#This Row],[Pós Magnésio mg/dL]]</f>
        <v>2.2000000000000002</v>
      </c>
      <c r="BB206" s="85">
        <f>Tabela1[[#This Row],[Pré Cloro mmol/L]]</f>
        <v>102</v>
      </c>
      <c r="BC206" s="85">
        <f>Tabela1[[#This Row],[Pós Cloro mmol/L]]</f>
        <v>96</v>
      </c>
      <c r="BD20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294.72788888888891</v>
      </c>
      <c r="BE20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295.32288888888888</v>
      </c>
      <c r="BF206" s="194">
        <f>Tabela1[[#This Row],[Pré RBC 10^6/mm³]]</f>
        <v>4.46</v>
      </c>
      <c r="BG206" s="125">
        <f>Tabela1[[#This Row],[Pós RBC 10^6/mm³]]</f>
        <v>4.72</v>
      </c>
      <c r="BH206" s="125">
        <f>Tabela1[[#This Row],[Pré HGB g/dL]]</f>
        <v>13.2</v>
      </c>
      <c r="BI206" s="125">
        <f>Tabela1[[#This Row],[Pós HGB g/dL]]</f>
        <v>14.5</v>
      </c>
      <c r="BJ206" s="125">
        <f>Tabela1[[#This Row],[Pré HCT %]]</f>
        <v>39.799999999999997</v>
      </c>
      <c r="BK206" s="125">
        <f>Tabela1[[#This Row],[Pós HCT %]]</f>
        <v>42.6</v>
      </c>
      <c r="BL206" s="125">
        <f>Tabela1[[#This Row],[Pré MCV fL]]</f>
        <v>89.2</v>
      </c>
      <c r="BM206" s="125">
        <f>Tabela1[[#This Row],[Pós MCV fL]]</f>
        <v>90.3</v>
      </c>
      <c r="BN206" s="125">
        <f>Tabela1[[#This Row],[Pré MCH pg]]</f>
        <v>29.6</v>
      </c>
      <c r="BO206" s="125">
        <f>Tabela1[[#This Row],[Pós MCH pg]]</f>
        <v>30.7</v>
      </c>
      <c r="BP206" s="125">
        <f>Tabela1[[#This Row],[Pré MCHC g/dL]]</f>
        <v>33.200000000000003</v>
      </c>
      <c r="BQ206" s="125">
        <f>Tabela1[[#This Row],[Pós MCHC g/dL]]</f>
        <v>34</v>
      </c>
      <c r="BR206" s="85">
        <f>Tabela1[[#This Row],[Pré PLT 10³/mm³]]</f>
        <v>256</v>
      </c>
      <c r="BS206" s="85">
        <f>Tabela1[[#This Row],[Pós PLT 10³/mm³]]</f>
        <v>271</v>
      </c>
      <c r="BT206" s="125">
        <f>Tabela1[[#This Row],[Pré RDW %]]</f>
        <v>14.2</v>
      </c>
      <c r="BU206" s="125">
        <f>Tabela1[[#This Row],[Pós RDW %]]</f>
        <v>14.4</v>
      </c>
      <c r="BV206" s="179">
        <f>Tabela1[[#This Row],[Pré RET %]]</f>
        <v>1.17</v>
      </c>
      <c r="BW206" s="196">
        <f>Tabela1[[#This Row],[Pós RET %]]</f>
        <v>0.98</v>
      </c>
      <c r="BX206" s="197">
        <f>Tabela1[[#This Row],[Pré WBC 10³/mm³]]</f>
        <v>6.28</v>
      </c>
      <c r="BY206" s="179">
        <f>Tabela1[[#This Row],[Pós WBC 10³/mm³]]</f>
        <v>16.09</v>
      </c>
      <c r="BZ206" s="125">
        <f>Tabela1[[#This Row],[Pré NEUT %]]</f>
        <v>61</v>
      </c>
      <c r="CA206" s="125">
        <f>Tabela1[[#This Row],[Pós NEUT %]]</f>
        <v>87.1</v>
      </c>
      <c r="CB206" s="125">
        <f>Tabela1[[#This Row],[Pré LINF %]]</f>
        <v>29.8</v>
      </c>
      <c r="CC206" s="125">
        <f>Tabela1[[#This Row],[Pós LINF %]]</f>
        <v>7.5</v>
      </c>
      <c r="CD206" s="125">
        <f>Tabela1[[#This Row],[Pré MONO %]]</f>
        <v>6.7</v>
      </c>
      <c r="CE206" s="125">
        <f>Tabela1[[#This Row],[Pós MONO %]]</f>
        <v>5.2</v>
      </c>
      <c r="CF206" s="125">
        <f>Tabela1[[#This Row],[Pré EOS %]]</f>
        <v>1.9</v>
      </c>
      <c r="CG206" s="125">
        <f>Tabela1[[#This Row],[Pós EOS %]]</f>
        <v>0.1</v>
      </c>
      <c r="CH206" s="125">
        <f>Tabela1[[#This Row],[Pré BASO %]]</f>
        <v>0.6</v>
      </c>
      <c r="CI206" s="198">
        <f>Tabela1[[#This Row],[Pós BASO %]]</f>
        <v>0.1</v>
      </c>
      <c r="CJ206" s="199" t="str">
        <f t="shared" si="13"/>
        <v>NÃO</v>
      </c>
      <c r="CK206" s="200" t="str">
        <f t="shared" si="14"/>
        <v>SIM</v>
      </c>
      <c r="CL206" s="194">
        <f t="shared" si="15"/>
        <v>72.151949999999999</v>
      </c>
      <c r="CM206" s="125">
        <f>Tabela1[[#This Row],[MCT KG]]</f>
        <v>81.5</v>
      </c>
      <c r="CN206" s="85">
        <f>Tabela1[[#This Row],[ESTATURA]]</f>
        <v>175</v>
      </c>
      <c r="CO206" s="85">
        <f>Tabela1[[#This Row],[vo2max estimado]]</f>
        <v>51.49</v>
      </c>
      <c r="CP206" s="85">
        <f>Tabela1[[#This Row],[Handgrip     Dominante]]</f>
        <v>49.5</v>
      </c>
      <c r="CQ206" s="85">
        <f>Tabela1[[#This Row],[Handgrip Contrário]]</f>
        <v>41</v>
      </c>
      <c r="CR206" s="281">
        <f>Tabela1[[#This Row],[% gordura]]</f>
        <v>11.47</v>
      </c>
    </row>
    <row r="207" spans="1:96" ht="15.75" customHeight="1">
      <c r="A207" s="279">
        <f>Tabela1[[#This Row],[Ano]]</f>
        <v>2018</v>
      </c>
      <c r="B207" s="181" t="str">
        <f>Tabela1[[#This Row],[Missão]]</f>
        <v>Avelar</v>
      </c>
      <c r="C207" s="181">
        <f>Tabela1[[#This Row],[Aluno]]</f>
        <v>3193</v>
      </c>
      <c r="D207" s="181">
        <f>Tabela1[[#This Row],[Idade]]</f>
        <v>29</v>
      </c>
      <c r="E207" s="182">
        <f>Tabela1[[#This Row],[Peso Kg]]</f>
        <v>83</v>
      </c>
      <c r="F207" s="191">
        <f>Tabela1[[#This Row],[Cor da pele]]</f>
        <v>0</v>
      </c>
      <c r="G207" s="192" t="str">
        <f>Tabela1[[#This Row],[ACTN3]]</f>
        <v>-</v>
      </c>
      <c r="H207" s="85" t="str">
        <f>Tabela1[[#This Row],[AGT]]</f>
        <v>-</v>
      </c>
      <c r="I207" s="85" t="str">
        <f>Tabela1[[#This Row],[ECA]]</f>
        <v>-</v>
      </c>
      <c r="J207" s="85" t="str">
        <f>Tabela1[[#This Row],[BDKRB2]]</f>
        <v>-</v>
      </c>
      <c r="K207" s="85" t="str">
        <f>Tabela1[[#This Row],[Score Força%]]</f>
        <v>-</v>
      </c>
      <c r="L207" s="193" t="str">
        <f>Tabela1[[#This Row],[Score Resistência %]]</f>
        <v>-</v>
      </c>
      <c r="M207" s="192">
        <f>Tabela1[[#This Row],[Pré CK (U/L)]]</f>
        <v>380</v>
      </c>
      <c r="N207" s="85">
        <f>Tabela1[[#This Row],[Pós CK (U/L)]]</f>
        <v>2520</v>
      </c>
      <c r="O207" s="85">
        <f>Tabela1[[#This Row],[Pré CK MB U/L]]</f>
        <v>5</v>
      </c>
      <c r="P207" s="85">
        <f>Tabela1[[#This Row],[Pós CK MB U/L]]</f>
        <v>37</v>
      </c>
      <c r="Q207" s="85">
        <f>Tabela1[[#This Row],[Pré Lactato (mmol/L)]]</f>
        <v>3.2</v>
      </c>
      <c r="R207" s="85">
        <f>Tabela1[[#This Row],[Pós Lactato (mmol/L)]]</f>
        <v>7.4</v>
      </c>
      <c r="S207" s="85">
        <f>Tabela1[[#This Row],[Pré LDH (U/L)]]</f>
        <v>384</v>
      </c>
      <c r="T207" s="85">
        <f>Tabela1[[#This Row],[Pós LDH (U/L)]]</f>
        <v>869</v>
      </c>
      <c r="U207" s="85">
        <f>Tabela1[[#This Row],[Pré AST (U/L)]]</f>
        <v>24</v>
      </c>
      <c r="V207" s="193">
        <f>Tabela1[[#This Row],[Pós AST (U/L)]]</f>
        <v>76</v>
      </c>
      <c r="W207" s="194">
        <f>Tabela1[[#This Row],[Pré Albumina (g/dL)]]</f>
        <v>4.5</v>
      </c>
      <c r="X207" s="125">
        <f>Tabela1[[#This Row],[Pós Albumina (g/dL)]]</f>
        <v>5</v>
      </c>
      <c r="Y207" s="85">
        <f>Tabela1[[#This Row],[Pré TGP (g/dL)]]</f>
        <v>28</v>
      </c>
      <c r="Z207" s="85">
        <f>Tabela1[[#This Row],[Pós TGP (g/dL)]]</f>
        <v>40</v>
      </c>
      <c r="AA207" s="85">
        <f>Tabela1[[#This Row],[Pré GGT U/L]]</f>
        <v>33</v>
      </c>
      <c r="AB207" s="193">
        <f>Tabela1[[#This Row],[Pós GGT U/L]]</f>
        <v>35</v>
      </c>
      <c r="AC207" s="194">
        <f>Tabela1[[#This Row],[Pré Ac. Úrico (mg/dL)]]</f>
        <v>5.2</v>
      </c>
      <c r="AD207" s="125">
        <f>Tabela1[[#This Row],[Pós Ac. Úrico (mg/dL)2]]</f>
        <v>5.9</v>
      </c>
      <c r="AE20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20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07" s="85">
        <f>Tabela1[[#This Row],[Pré Ureia mg/dL]]</f>
        <v>40</v>
      </c>
      <c r="AH207" s="85">
        <f>Tabela1[[#This Row],[Pós Ureia mg/dL]]</f>
        <v>43</v>
      </c>
      <c r="AI207" s="125">
        <f>Tabela1[[#This Row],[Pré creatinina mg/dL]]</f>
        <v>1.1000000000000001</v>
      </c>
      <c r="AJ207" s="125">
        <f>Tabela1[[#This Row],[Pós creatinina mg/dL]]</f>
        <v>1</v>
      </c>
      <c r="AK207" s="180">
        <f t="shared" si="12"/>
        <v>0</v>
      </c>
      <c r="AL207" s="125">
        <f>Tabela1[[#This Row],[Pré Fósforo mg/dL]]</f>
        <v>4.8</v>
      </c>
      <c r="AM207" s="125">
        <f>Tabela1[[#This Row],[Pós Fósforo mg/dL]]</f>
        <v>5.7</v>
      </c>
      <c r="AN207" s="125">
        <f>Tabela1[[#This Row],[Pré Proteína Total (g/dL)]]</f>
        <v>7.6</v>
      </c>
      <c r="AO207" s="125">
        <f>Tabela1[[#This Row],[Pós Proteína Total (g/dL)]]</f>
        <v>7.8</v>
      </c>
      <c r="AP207" s="85" t="str">
        <f>Tabela1[[#This Row],[Pré FE (ug/dL)]]</f>
        <v>-</v>
      </c>
      <c r="AQ207" s="193">
        <f>Tabela1[[#This Row],[Pós FE (ug/dL)]]</f>
        <v>104</v>
      </c>
      <c r="AR207" s="194">
        <f>Tabela1[[#This Row],[Pré calcio mg/dL]]</f>
        <v>9</v>
      </c>
      <c r="AS207" s="125">
        <f>Tabela1[[#This Row],[Pós calcio mg/dL]]</f>
        <v>9.8000000000000007</v>
      </c>
      <c r="AT207" s="125">
        <f>Tabela1[[#This Row],[Pré Potássio mmol/L]]</f>
        <v>5</v>
      </c>
      <c r="AU207" s="125">
        <f>Tabela1[[#This Row],[Pós Potássio mmol/L]]</f>
        <v>4.5</v>
      </c>
      <c r="AV207" s="85">
        <f>Tabela1[[#This Row],[Glicose pré]]</f>
        <v>84</v>
      </c>
      <c r="AW207" s="85" t="str">
        <f>Tabela1[[#This Row],[Glicose pós]]</f>
        <v>-</v>
      </c>
      <c r="AX207" s="85">
        <f>Tabela1[[#This Row],[Pré Sódio mmol/L]]</f>
        <v>143</v>
      </c>
      <c r="AY207" s="85">
        <f>Tabela1[[#This Row],[Pós Sódio mmol/L]]</f>
        <v>141</v>
      </c>
      <c r="AZ207" s="125">
        <f>Tabela1[[#This Row],[Pré Magnésio mg/dL]]</f>
        <v>2.2999999999999998</v>
      </c>
      <c r="BA207" s="125">
        <f>Tabela1[[#This Row],[Pós Magnésio mg/dL]]</f>
        <v>2.2000000000000002</v>
      </c>
      <c r="BB207" s="85">
        <f>Tabela1[[#This Row],[Pré Cloro mmol/L]]</f>
        <v>105</v>
      </c>
      <c r="BC207" s="85">
        <f>Tabela1[[#This Row],[Pós Cloro mmol/L]]</f>
        <v>99</v>
      </c>
      <c r="BD20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301.31333333333339</v>
      </c>
      <c r="BE207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207" s="194">
        <f>Tabela1[[#This Row],[Pré RBC 10^6/mm³]]</f>
        <v>4.63</v>
      </c>
      <c r="BG207" s="125">
        <f>Tabela1[[#This Row],[Pós RBC 10^6/mm³]]</f>
        <v>4.7</v>
      </c>
      <c r="BH207" s="125">
        <f>Tabela1[[#This Row],[Pré HGB g/dL]]</f>
        <v>13.9</v>
      </c>
      <c r="BI207" s="125">
        <f>Tabela1[[#This Row],[Pós HGB g/dL]]</f>
        <v>14.2</v>
      </c>
      <c r="BJ207" s="125">
        <f>Tabela1[[#This Row],[Pré HCT %]]</f>
        <v>40.4</v>
      </c>
      <c r="BK207" s="125">
        <f>Tabela1[[#This Row],[Pós HCT %]]</f>
        <v>41</v>
      </c>
      <c r="BL207" s="125">
        <f>Tabela1[[#This Row],[Pré MCV fL]]</f>
        <v>87.3</v>
      </c>
      <c r="BM207" s="125">
        <f>Tabela1[[#This Row],[Pós MCV fL]]</f>
        <v>87.2</v>
      </c>
      <c r="BN207" s="125">
        <f>Tabela1[[#This Row],[Pré MCH pg]]</f>
        <v>30</v>
      </c>
      <c r="BO207" s="125">
        <f>Tabela1[[#This Row],[Pós MCH pg]]</f>
        <v>30.2</v>
      </c>
      <c r="BP207" s="125">
        <f>Tabela1[[#This Row],[Pré MCHC g/dL]]</f>
        <v>34.4</v>
      </c>
      <c r="BQ207" s="125">
        <f>Tabela1[[#This Row],[Pós MCHC g/dL]]</f>
        <v>34.6</v>
      </c>
      <c r="BR207" s="85">
        <f>Tabela1[[#This Row],[Pré PLT 10³/mm³]]</f>
        <v>313</v>
      </c>
      <c r="BS207" s="85">
        <f>Tabela1[[#This Row],[Pós PLT 10³/mm³]]</f>
        <v>345</v>
      </c>
      <c r="BT207" s="125">
        <f>Tabela1[[#This Row],[Pré RDW %]]</f>
        <v>12.9</v>
      </c>
      <c r="BU207" s="125">
        <f>Tabela1[[#This Row],[Pós RDW %]]</f>
        <v>12.7</v>
      </c>
      <c r="BV207" s="179">
        <f>Tabela1[[#This Row],[Pré RET %]]</f>
        <v>1.3</v>
      </c>
      <c r="BW207" s="196">
        <f>Tabela1[[#This Row],[Pós RET %]]</f>
        <v>1.1299999999999999</v>
      </c>
      <c r="BX207" s="197">
        <f>Tabela1[[#This Row],[Pré WBC 10³/mm³]]</f>
        <v>8.0299999999999994</v>
      </c>
      <c r="BY207" s="179">
        <f>Tabela1[[#This Row],[Pós WBC 10³/mm³]]</f>
        <v>18.54</v>
      </c>
      <c r="BZ207" s="125">
        <f>Tabela1[[#This Row],[Pré NEUT %]]</f>
        <v>52.2</v>
      </c>
      <c r="CA207" s="125">
        <f>Tabela1[[#This Row],[Pós NEUT %]]</f>
        <v>77.099999999999994</v>
      </c>
      <c r="CB207" s="125">
        <f>Tabela1[[#This Row],[Pré LINF %]]</f>
        <v>37.200000000000003</v>
      </c>
      <c r="CC207" s="125">
        <f>Tabela1[[#This Row],[Pós LINF %]]</f>
        <v>13.6</v>
      </c>
      <c r="CD207" s="125">
        <f>Tabela1[[#This Row],[Pré MONO %]]</f>
        <v>8.5</v>
      </c>
      <c r="CE207" s="125">
        <f>Tabela1[[#This Row],[Pós MONO %]]</f>
        <v>9</v>
      </c>
      <c r="CF207" s="125">
        <f>Tabela1[[#This Row],[Pré EOS %]]</f>
        <v>1.7</v>
      </c>
      <c r="CG207" s="125">
        <f>Tabela1[[#This Row],[Pós EOS %]]</f>
        <v>0.1</v>
      </c>
      <c r="CH207" s="125">
        <f>Tabela1[[#This Row],[Pré BASO %]]</f>
        <v>0.4</v>
      </c>
      <c r="CI207" s="198">
        <f>Tabela1[[#This Row],[Pós BASO %]]</f>
        <v>0.2</v>
      </c>
      <c r="CJ207" s="199" t="str">
        <f t="shared" si="13"/>
        <v>NÃO</v>
      </c>
      <c r="CK207" s="200" t="str">
        <f t="shared" si="14"/>
        <v>SIM</v>
      </c>
      <c r="CL207" s="194">
        <f t="shared" si="15"/>
        <v>72.809100000000001</v>
      </c>
      <c r="CM207" s="125">
        <f>Tabela1[[#This Row],[MCT KG]]</f>
        <v>81.900000000000006</v>
      </c>
      <c r="CN207" s="85">
        <f>Tabela1[[#This Row],[ESTATURA]]</f>
        <v>180.5</v>
      </c>
      <c r="CO207" s="85">
        <f>Tabela1[[#This Row],[vo2max estimado]]</f>
        <v>51.93</v>
      </c>
      <c r="CP207" s="85">
        <f>Tabela1[[#This Row],[Handgrip     Dominante]]</f>
        <v>44.5</v>
      </c>
      <c r="CQ207" s="85">
        <f>Tabela1[[#This Row],[Handgrip Contrário]]</f>
        <v>46.5</v>
      </c>
      <c r="CR207" s="281">
        <f>Tabela1[[#This Row],[% gordura]]</f>
        <v>11.1</v>
      </c>
    </row>
    <row r="208" spans="1:96" ht="15.75" customHeight="1">
      <c r="A208" s="279">
        <f>Tabela1[[#This Row],[Ano]]</f>
        <v>2018</v>
      </c>
      <c r="B208" s="181" t="str">
        <f>Tabela1[[#This Row],[Missão]]</f>
        <v>Avelar</v>
      </c>
      <c r="C208" s="181">
        <f>Tabela1[[#This Row],[Aluno]]</f>
        <v>3194</v>
      </c>
      <c r="D208" s="181">
        <f>Tabela1[[#This Row],[Idade]]</f>
        <v>28</v>
      </c>
      <c r="E208" s="182">
        <f>Tabela1[[#This Row],[Peso Kg]]</f>
        <v>81</v>
      </c>
      <c r="F208" s="191">
        <f>Tabela1[[#This Row],[Cor da pele]]</f>
        <v>1</v>
      </c>
      <c r="G208" s="192" t="str">
        <f>Tabela1[[#This Row],[ACTN3]]</f>
        <v>-</v>
      </c>
      <c r="H208" s="85" t="str">
        <f>Tabela1[[#This Row],[AGT]]</f>
        <v>-</v>
      </c>
      <c r="I208" s="85" t="str">
        <f>Tabela1[[#This Row],[ECA]]</f>
        <v>-</v>
      </c>
      <c r="J208" s="85" t="str">
        <f>Tabela1[[#This Row],[BDKRB2]]</f>
        <v>-</v>
      </c>
      <c r="K208" s="85" t="str">
        <f>Tabela1[[#This Row],[Score Força%]]</f>
        <v>-</v>
      </c>
      <c r="L208" s="193" t="str">
        <f>Tabela1[[#This Row],[Score Resistência %]]</f>
        <v>-</v>
      </c>
      <c r="M208" s="192">
        <f>Tabela1[[#This Row],[Pré CK (U/L)]]</f>
        <v>2782</v>
      </c>
      <c r="N208" s="85">
        <f>Tabela1[[#This Row],[Pós CK (U/L)]]</f>
        <v>7563</v>
      </c>
      <c r="O208" s="85">
        <f>Tabela1[[#This Row],[Pré CK MB U/L]]</f>
        <v>19</v>
      </c>
      <c r="P208" s="85">
        <f>Tabela1[[#This Row],[Pós CK MB U/L]]</f>
        <v>101</v>
      </c>
      <c r="Q208" s="85">
        <f>Tabela1[[#This Row],[Pré Lactato (mmol/L)]]</f>
        <v>2</v>
      </c>
      <c r="R208" s="85">
        <f>Tabela1[[#This Row],[Pós Lactato (mmol/L)]]</f>
        <v>7.8</v>
      </c>
      <c r="S208" s="85">
        <f>Tabela1[[#This Row],[Pré LDH (U/L)]]</f>
        <v>778</v>
      </c>
      <c r="T208" s="85">
        <f>Tabela1[[#This Row],[Pós LDH (U/L)]]</f>
        <v>1422</v>
      </c>
      <c r="U208" s="85">
        <f>Tabela1[[#This Row],[Pré AST (U/L)]]</f>
        <v>56</v>
      </c>
      <c r="V208" s="193">
        <f>Tabela1[[#This Row],[Pós AST (U/L)]]</f>
        <v>180</v>
      </c>
      <c r="W208" s="194">
        <f>Tabela1[[#This Row],[Pré Albumina (g/dL)]]</f>
        <v>4.8</v>
      </c>
      <c r="X208" s="125">
        <f>Tabela1[[#This Row],[Pós Albumina (g/dL)]]</f>
        <v>5.0999999999999996</v>
      </c>
      <c r="Y208" s="85">
        <f>Tabela1[[#This Row],[Pré TGP (g/dL)]]</f>
        <v>21</v>
      </c>
      <c r="Z208" s="85">
        <f>Tabela1[[#This Row],[Pós TGP (g/dL)]]</f>
        <v>39</v>
      </c>
      <c r="AA208" s="85">
        <f>Tabela1[[#This Row],[Pré GGT U/L]]</f>
        <v>14</v>
      </c>
      <c r="AB208" s="193">
        <f>Tabela1[[#This Row],[Pós GGT U/L]]</f>
        <v>14</v>
      </c>
      <c r="AC208" s="194">
        <f>Tabela1[[#This Row],[Pré Ac. Úrico (mg/dL)]]</f>
        <v>6.1</v>
      </c>
      <c r="AD208" s="125">
        <f>Tabela1[[#This Row],[Pós Ac. Úrico (mg/dL)2]]</f>
        <v>7</v>
      </c>
      <c r="AE20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0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08" s="85">
        <f>Tabela1[[#This Row],[Pré Ureia mg/dL]]</f>
        <v>26</v>
      </c>
      <c r="AH208" s="85">
        <f>Tabela1[[#This Row],[Pós Ureia mg/dL]]</f>
        <v>37</v>
      </c>
      <c r="AI208" s="125">
        <f>Tabela1[[#This Row],[Pré creatinina mg/dL]]</f>
        <v>1</v>
      </c>
      <c r="AJ208" s="125">
        <f>Tabela1[[#This Row],[Pós creatinina mg/dL]]</f>
        <v>0.9</v>
      </c>
      <c r="AK208" s="180">
        <f t="shared" si="12"/>
        <v>0</v>
      </c>
      <c r="AL208" s="125">
        <f>Tabela1[[#This Row],[Pré Fósforo mg/dL]]</f>
        <v>4.9000000000000004</v>
      </c>
      <c r="AM208" s="125">
        <f>Tabela1[[#This Row],[Pós Fósforo mg/dL]]</f>
        <v>4.8</v>
      </c>
      <c r="AN208" s="125">
        <f>Tabela1[[#This Row],[Pré Proteína Total (g/dL)]]</f>
        <v>8.4</v>
      </c>
      <c r="AO208" s="125">
        <f>Tabela1[[#This Row],[Pós Proteína Total (g/dL)]]</f>
        <v>8.3000000000000007</v>
      </c>
      <c r="AP208" s="85" t="str">
        <f>Tabela1[[#This Row],[Pré FE (ug/dL)]]</f>
        <v>-</v>
      </c>
      <c r="AQ208" s="193">
        <f>Tabela1[[#This Row],[Pós FE (ug/dL)]]</f>
        <v>102</v>
      </c>
      <c r="AR208" s="194">
        <f>Tabela1[[#This Row],[Pré calcio mg/dL]]</f>
        <v>9.1999999999999993</v>
      </c>
      <c r="AS208" s="125">
        <f>Tabela1[[#This Row],[Pós calcio mg/dL]]</f>
        <v>9.9</v>
      </c>
      <c r="AT208" s="125">
        <f>Tabela1[[#This Row],[Pré Potássio mmol/L]]</f>
        <v>5.5</v>
      </c>
      <c r="AU208" s="125">
        <f>Tabela1[[#This Row],[Pós Potássio mmol/L]]</f>
        <v>4.2</v>
      </c>
      <c r="AV208" s="85">
        <f>Tabela1[[#This Row],[Glicose pré]]</f>
        <v>90</v>
      </c>
      <c r="AW208" s="85" t="str">
        <f>Tabela1[[#This Row],[Glicose pós]]</f>
        <v>-</v>
      </c>
      <c r="AX208" s="85">
        <f>Tabela1[[#This Row],[Pré Sódio mmol/L]]</f>
        <v>141</v>
      </c>
      <c r="AY208" s="85">
        <f>Tabela1[[#This Row],[Pós Sódio mmol/L]]</f>
        <v>140</v>
      </c>
      <c r="AZ208" s="125">
        <f>Tabela1[[#This Row],[Pré Magnésio mg/dL]]</f>
        <v>2.2999999999999998</v>
      </c>
      <c r="BA208" s="125">
        <f>Tabela1[[#This Row],[Pós Magnésio mg/dL]]</f>
        <v>2.2999999999999998</v>
      </c>
      <c r="BB208" s="85">
        <f>Tabela1[[#This Row],[Pré Cloro mmol/L]]</f>
        <v>100</v>
      </c>
      <c r="BC208" s="85">
        <f>Tabela1[[#This Row],[Pós Cloro mmol/L]]</f>
        <v>97</v>
      </c>
      <c r="BD20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296.57333333333332</v>
      </c>
      <c r="BE208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208" s="194">
        <f>Tabela1[[#This Row],[Pré RBC 10^6/mm³]]</f>
        <v>4.7699999999999996</v>
      </c>
      <c r="BG208" s="125">
        <f>Tabela1[[#This Row],[Pós RBC 10^6/mm³]]</f>
        <v>4.7300000000000004</v>
      </c>
      <c r="BH208" s="125">
        <f>Tabela1[[#This Row],[Pré HGB g/dL]]</f>
        <v>13.9</v>
      </c>
      <c r="BI208" s="125">
        <f>Tabela1[[#This Row],[Pós HGB g/dL]]</f>
        <v>13.8</v>
      </c>
      <c r="BJ208" s="125">
        <f>Tabela1[[#This Row],[Pré HCT %]]</f>
        <v>41.2</v>
      </c>
      <c r="BK208" s="125">
        <f>Tabela1[[#This Row],[Pós HCT %]]</f>
        <v>41.2</v>
      </c>
      <c r="BL208" s="125">
        <f>Tabela1[[#This Row],[Pré MCV fL]]</f>
        <v>86.4</v>
      </c>
      <c r="BM208" s="125">
        <f>Tabela1[[#This Row],[Pós MCV fL]]</f>
        <v>87.1</v>
      </c>
      <c r="BN208" s="125">
        <f>Tabela1[[#This Row],[Pré MCH pg]]</f>
        <v>29.1</v>
      </c>
      <c r="BO208" s="125">
        <f>Tabela1[[#This Row],[Pós MCH pg]]</f>
        <v>29.2</v>
      </c>
      <c r="BP208" s="125">
        <f>Tabela1[[#This Row],[Pré MCHC g/dL]]</f>
        <v>33.700000000000003</v>
      </c>
      <c r="BQ208" s="125">
        <f>Tabela1[[#This Row],[Pós MCHC g/dL]]</f>
        <v>33.5</v>
      </c>
      <c r="BR208" s="85">
        <f>Tabela1[[#This Row],[Pré PLT 10³/mm³]]</f>
        <v>308</v>
      </c>
      <c r="BS208" s="85">
        <f>Tabela1[[#This Row],[Pós PLT 10³/mm³]]</f>
        <v>330</v>
      </c>
      <c r="BT208" s="125">
        <f>Tabela1[[#This Row],[Pré RDW %]]</f>
        <v>14.2</v>
      </c>
      <c r="BU208" s="125">
        <f>Tabela1[[#This Row],[Pós RDW %]]</f>
        <v>14.2</v>
      </c>
      <c r="BV208" s="179">
        <f>Tabela1[[#This Row],[Pré RET %]]</f>
        <v>1.52</v>
      </c>
      <c r="BW208" s="196">
        <f>Tabela1[[#This Row],[Pós RET %]]</f>
        <v>1.29</v>
      </c>
      <c r="BX208" s="197">
        <f>Tabela1[[#This Row],[Pré WBC 10³/mm³]]</f>
        <v>5.5</v>
      </c>
      <c r="BY208" s="179">
        <f>Tabela1[[#This Row],[Pós WBC 10³/mm³]]</f>
        <v>12.76</v>
      </c>
      <c r="BZ208" s="125">
        <f>Tabela1[[#This Row],[Pré NEUT %]]</f>
        <v>49.6</v>
      </c>
      <c r="CA208" s="125">
        <f>Tabela1[[#This Row],[Pós NEUT %]]</f>
        <v>77.900000000000006</v>
      </c>
      <c r="CB208" s="125">
        <f>Tabela1[[#This Row],[Pré LINF %]]</f>
        <v>36.700000000000003</v>
      </c>
      <c r="CC208" s="125">
        <f>Tabela1[[#This Row],[Pós LINF %]]</f>
        <v>12.5</v>
      </c>
      <c r="CD208" s="125">
        <f>Tabela1[[#This Row],[Pré MONO %]]</f>
        <v>12.4</v>
      </c>
      <c r="CE208" s="125">
        <f>Tabela1[[#This Row],[Pós MONO %]]</f>
        <v>9.4</v>
      </c>
      <c r="CF208" s="125">
        <f>Tabela1[[#This Row],[Pré EOS %]]</f>
        <v>0.9</v>
      </c>
      <c r="CG208" s="125">
        <f>Tabela1[[#This Row],[Pós EOS %]]</f>
        <v>0.1</v>
      </c>
      <c r="CH208" s="125">
        <f>Tabela1[[#This Row],[Pré BASO %]]</f>
        <v>0.4</v>
      </c>
      <c r="CI208" s="198">
        <f>Tabela1[[#This Row],[Pós BASO %]]</f>
        <v>0.1</v>
      </c>
      <c r="CJ208" s="199" t="str">
        <f t="shared" si="13"/>
        <v>NÃO</v>
      </c>
      <c r="CK208" s="200" t="str">
        <f t="shared" si="14"/>
        <v>SIM</v>
      </c>
      <c r="CL208" s="194">
        <f t="shared" si="15"/>
        <v>71.943809999999999</v>
      </c>
      <c r="CM208" s="125">
        <f>Tabela1[[#This Row],[MCT KG]]</f>
        <v>81.099999999999994</v>
      </c>
      <c r="CN208" s="85">
        <f>Tabela1[[#This Row],[ESTATURA]]</f>
        <v>178</v>
      </c>
      <c r="CO208" s="85">
        <f>Tabela1[[#This Row],[vo2max estimado]]</f>
        <v>51.6</v>
      </c>
      <c r="CP208" s="85">
        <f>Tabela1[[#This Row],[Handgrip     Dominante]]</f>
        <v>45.5</v>
      </c>
      <c r="CQ208" s="85">
        <f>Tabela1[[#This Row],[Handgrip Contrário]]</f>
        <v>43</v>
      </c>
      <c r="CR208" s="281">
        <f>Tabela1[[#This Row],[% gordura]]</f>
        <v>11.29</v>
      </c>
    </row>
    <row r="209" spans="1:96" ht="15.75" customHeight="1">
      <c r="A209" s="279">
        <f>Tabela1[[#This Row],[Ano]]</f>
        <v>2018</v>
      </c>
      <c r="B209" s="181" t="str">
        <f>Tabela1[[#This Row],[Missão]]</f>
        <v>Avelar</v>
      </c>
      <c r="C209" s="181">
        <f>Tabela1[[#This Row],[Aluno]]</f>
        <v>3195</v>
      </c>
      <c r="D209" s="181">
        <f>Tabela1[[#This Row],[Idade]]</f>
        <v>26</v>
      </c>
      <c r="E209" s="182">
        <f>Tabela1[[#This Row],[Peso Kg]]</f>
        <v>68</v>
      </c>
      <c r="F209" s="191">
        <f>Tabela1[[#This Row],[Cor da pele]]</f>
        <v>1</v>
      </c>
      <c r="G209" s="192" t="str">
        <f>Tabela1[[#This Row],[ACTN3]]</f>
        <v>-</v>
      </c>
      <c r="H209" s="85" t="str">
        <f>Tabela1[[#This Row],[AGT]]</f>
        <v>-</v>
      </c>
      <c r="I209" s="85" t="str">
        <f>Tabela1[[#This Row],[ECA]]</f>
        <v>-</v>
      </c>
      <c r="J209" s="85" t="str">
        <f>Tabela1[[#This Row],[BDKRB2]]</f>
        <v>-</v>
      </c>
      <c r="K209" s="85" t="str">
        <f>Tabela1[[#This Row],[Score Força%]]</f>
        <v>-</v>
      </c>
      <c r="L209" s="193" t="str">
        <f>Tabela1[[#This Row],[Score Resistência %]]</f>
        <v>-</v>
      </c>
      <c r="M209" s="192">
        <f>Tabela1[[#This Row],[Pré CK (U/L)]]</f>
        <v>957</v>
      </c>
      <c r="N209" s="85">
        <f>Tabela1[[#This Row],[Pós CK (U/L)]]</f>
        <v>2245</v>
      </c>
      <c r="O209" s="85">
        <f>Tabela1[[#This Row],[Pré CK MB U/L]]</f>
        <v>19</v>
      </c>
      <c r="P209" s="85">
        <f>Tabela1[[#This Row],[Pós CK MB U/L]]</f>
        <v>58</v>
      </c>
      <c r="Q209" s="85">
        <f>Tabela1[[#This Row],[Pré Lactato (mmol/L)]]</f>
        <v>1.4</v>
      </c>
      <c r="R209" s="85">
        <f>Tabela1[[#This Row],[Pós Lactato (mmol/L)]]</f>
        <v>7.4</v>
      </c>
      <c r="S209" s="85">
        <f>Tabela1[[#This Row],[Pré LDH (U/L)]]</f>
        <v>667</v>
      </c>
      <c r="T209" s="85">
        <f>Tabela1[[#This Row],[Pós LDH (U/L)]]</f>
        <v>905</v>
      </c>
      <c r="U209" s="85">
        <f>Tabela1[[#This Row],[Pré AST (U/L)]]</f>
        <v>42</v>
      </c>
      <c r="V209" s="193">
        <f>Tabela1[[#This Row],[Pós AST (U/L)]]</f>
        <v>89</v>
      </c>
      <c r="W209" s="194">
        <f>Tabela1[[#This Row],[Pré Albumina (g/dL)]]</f>
        <v>4.5</v>
      </c>
      <c r="X209" s="125">
        <f>Tabela1[[#This Row],[Pós Albumina (g/dL)]]</f>
        <v>5.2</v>
      </c>
      <c r="Y209" s="85">
        <f>Tabela1[[#This Row],[Pré TGP (g/dL)]]</f>
        <v>35</v>
      </c>
      <c r="Z209" s="85">
        <f>Tabela1[[#This Row],[Pós TGP (g/dL)]]</f>
        <v>38</v>
      </c>
      <c r="AA209" s="85">
        <f>Tabela1[[#This Row],[Pré GGT U/L]]</f>
        <v>23</v>
      </c>
      <c r="AB209" s="193">
        <f>Tabela1[[#This Row],[Pós GGT U/L]]</f>
        <v>21</v>
      </c>
      <c r="AC209" s="194">
        <f>Tabela1[[#This Row],[Pré Ac. Úrico (mg/dL)]]</f>
        <v>3.8</v>
      </c>
      <c r="AD209" s="125">
        <f>Tabela1[[#This Row],[Pós Ac. Úrico (mg/dL)2]]</f>
        <v>5.0999999999999996</v>
      </c>
      <c r="AE20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20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209" s="85">
        <f>Tabela1[[#This Row],[Pré Ureia mg/dL]]</f>
        <v>44</v>
      </c>
      <c r="AH209" s="85">
        <f>Tabela1[[#This Row],[Pós Ureia mg/dL]]</f>
        <v>35</v>
      </c>
      <c r="AI209" s="125">
        <f>Tabela1[[#This Row],[Pré creatinina mg/dL]]</f>
        <v>1.1000000000000001</v>
      </c>
      <c r="AJ209" s="125">
        <f>Tabela1[[#This Row],[Pós creatinina mg/dL]]</f>
        <v>0.8</v>
      </c>
      <c r="AK209" s="180">
        <f t="shared" si="12"/>
        <v>0</v>
      </c>
      <c r="AL209" s="125">
        <f>Tabela1[[#This Row],[Pré Fósforo mg/dL]]</f>
        <v>4.9000000000000004</v>
      </c>
      <c r="AM209" s="125">
        <f>Tabela1[[#This Row],[Pós Fósforo mg/dL]]</f>
        <v>5.0999999999999996</v>
      </c>
      <c r="AN209" s="125">
        <f>Tabela1[[#This Row],[Pré Proteína Total (g/dL)]]</f>
        <v>7</v>
      </c>
      <c r="AO209" s="125">
        <f>Tabela1[[#This Row],[Pós Proteína Total (g/dL)]]</f>
        <v>8.4</v>
      </c>
      <c r="AP209" s="85" t="str">
        <f>Tabela1[[#This Row],[Pré FE (ug/dL)]]</f>
        <v>-</v>
      </c>
      <c r="AQ209" s="193">
        <f>Tabela1[[#This Row],[Pós FE (ug/dL)]]</f>
        <v>75</v>
      </c>
      <c r="AR209" s="194">
        <f>Tabela1[[#This Row],[Pré calcio mg/dL]]</f>
        <v>8.5</v>
      </c>
      <c r="AS209" s="125">
        <f>Tabela1[[#This Row],[Pós calcio mg/dL]]</f>
        <v>10</v>
      </c>
      <c r="AT209" s="125">
        <f>Tabela1[[#This Row],[Pré Potássio mmol/L]]</f>
        <v>4.8</v>
      </c>
      <c r="AU209" s="125">
        <f>Tabela1[[#This Row],[Pós Potássio mmol/L]]</f>
        <v>3.3</v>
      </c>
      <c r="AV209" s="85">
        <f>Tabela1[[#This Row],[Glicose pré]]</f>
        <v>88</v>
      </c>
      <c r="AW209" s="85" t="str">
        <f>Tabela1[[#This Row],[Glicose pós]]</f>
        <v>-</v>
      </c>
      <c r="AX209" s="85">
        <f>Tabela1[[#This Row],[Pré Sódio mmol/L]]</f>
        <v>139</v>
      </c>
      <c r="AY209" s="85">
        <f>Tabela1[[#This Row],[Pós Sódio mmol/L]]</f>
        <v>141</v>
      </c>
      <c r="AZ209" s="125">
        <f>Tabela1[[#This Row],[Pré Magnésio mg/dL]]</f>
        <v>2.2000000000000002</v>
      </c>
      <c r="BA209" s="125">
        <f>Tabela1[[#This Row],[Pós Magnésio mg/dL]]</f>
        <v>2.1</v>
      </c>
      <c r="BB209" s="85">
        <f>Tabela1[[#This Row],[Pré Cloro mmol/L]]</f>
        <v>102</v>
      </c>
      <c r="BC209" s="85">
        <f>Tabela1[[#This Row],[Pós Cloro mmol/L]]</f>
        <v>97</v>
      </c>
      <c r="BD20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294.42355555555554</v>
      </c>
      <c r="BE209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209" s="194">
        <f>Tabela1[[#This Row],[Pré RBC 10^6/mm³]]</f>
        <v>4.62</v>
      </c>
      <c r="BG209" s="125">
        <f>Tabela1[[#This Row],[Pós RBC 10^6/mm³]]</f>
        <v>4.76</v>
      </c>
      <c r="BH209" s="125">
        <f>Tabela1[[#This Row],[Pré HGB g/dL]]</f>
        <v>14.4</v>
      </c>
      <c r="BI209" s="125">
        <f>Tabela1[[#This Row],[Pós HGB g/dL]]</f>
        <v>15</v>
      </c>
      <c r="BJ209" s="125">
        <f>Tabela1[[#This Row],[Pré HCT %]]</f>
        <v>41.8</v>
      </c>
      <c r="BK209" s="125">
        <f>Tabela1[[#This Row],[Pós HCT %]]</f>
        <v>43</v>
      </c>
      <c r="BL209" s="125">
        <f>Tabela1[[#This Row],[Pré MCV fL]]</f>
        <v>90.5</v>
      </c>
      <c r="BM209" s="125">
        <f>Tabela1[[#This Row],[Pós MCV fL]]</f>
        <v>90.3</v>
      </c>
      <c r="BN209" s="125">
        <f>Tabela1[[#This Row],[Pré MCH pg]]</f>
        <v>31.2</v>
      </c>
      <c r="BO209" s="125">
        <f>Tabela1[[#This Row],[Pós MCH pg]]</f>
        <v>31.5</v>
      </c>
      <c r="BP209" s="125">
        <f>Tabela1[[#This Row],[Pré MCHC g/dL]]</f>
        <v>34.4</v>
      </c>
      <c r="BQ209" s="125">
        <f>Tabela1[[#This Row],[Pós MCHC g/dL]]</f>
        <v>34.9</v>
      </c>
      <c r="BR209" s="85">
        <f>Tabela1[[#This Row],[Pré PLT 10³/mm³]]</f>
        <v>262</v>
      </c>
      <c r="BS209" s="85">
        <f>Tabela1[[#This Row],[Pós PLT 10³/mm³]]</f>
        <v>311</v>
      </c>
      <c r="BT209" s="125">
        <f>Tabela1[[#This Row],[Pré RDW %]]</f>
        <v>12.9</v>
      </c>
      <c r="BU209" s="125">
        <f>Tabela1[[#This Row],[Pós RDW %]]</f>
        <v>12.7</v>
      </c>
      <c r="BV209" s="179">
        <f>Tabela1[[#This Row],[Pré RET %]]</f>
        <v>1.31</v>
      </c>
      <c r="BW209" s="196">
        <f>Tabela1[[#This Row],[Pós RET %]]</f>
        <v>1.1299999999999999</v>
      </c>
      <c r="BX209" s="197">
        <f>Tabela1[[#This Row],[Pré WBC 10³/mm³]]</f>
        <v>6.84</v>
      </c>
      <c r="BY209" s="179">
        <f>Tabela1[[#This Row],[Pós WBC 10³/mm³]]</f>
        <v>16.3</v>
      </c>
      <c r="BZ209" s="125">
        <f>Tabela1[[#This Row],[Pré NEUT %]]</f>
        <v>55.2</v>
      </c>
      <c r="CA209" s="125">
        <f>Tabela1[[#This Row],[Pós NEUT %]]</f>
        <v>78.3</v>
      </c>
      <c r="CB209" s="125">
        <f>Tabela1[[#This Row],[Pré LINF %]]</f>
        <v>32.700000000000003</v>
      </c>
      <c r="CC209" s="125">
        <f>Tabela1[[#This Row],[Pós LINF %]]</f>
        <v>11.5</v>
      </c>
      <c r="CD209" s="125">
        <f>Tabela1[[#This Row],[Pré MONO %]]</f>
        <v>9.8000000000000007</v>
      </c>
      <c r="CE209" s="125">
        <f>Tabela1[[#This Row],[Pós MONO %]]</f>
        <v>9.9</v>
      </c>
      <c r="CF209" s="125">
        <f>Tabela1[[#This Row],[Pré EOS %]]</f>
        <v>2</v>
      </c>
      <c r="CG209" s="125">
        <f>Tabela1[[#This Row],[Pós EOS %]]</f>
        <v>0.1</v>
      </c>
      <c r="CH209" s="125">
        <f>Tabela1[[#This Row],[Pré BASO %]]</f>
        <v>0.3</v>
      </c>
      <c r="CI209" s="198">
        <f>Tabela1[[#This Row],[Pós BASO %]]</f>
        <v>0.2</v>
      </c>
      <c r="CJ209" s="199" t="str">
        <f t="shared" si="13"/>
        <v>NÃO</v>
      </c>
      <c r="CK209" s="200" t="str">
        <f t="shared" si="14"/>
        <v>SIM</v>
      </c>
      <c r="CL209" s="194">
        <f t="shared" si="15"/>
        <v>62.5396</v>
      </c>
      <c r="CM209" s="125">
        <f>Tabela1[[#This Row],[MCT KG]]</f>
        <v>68</v>
      </c>
      <c r="CN209" s="85">
        <f>Tabela1[[#This Row],[ESTATURA]]</f>
        <v>173</v>
      </c>
      <c r="CO209" s="85">
        <f>Tabela1[[#This Row],[vo2max estimado]]</f>
        <v>55.9</v>
      </c>
      <c r="CP209" s="85">
        <f>Tabela1[[#This Row],[Handgrip     Dominante]]</f>
        <v>39</v>
      </c>
      <c r="CQ209" s="85">
        <f>Tabela1[[#This Row],[Handgrip Contrário]]</f>
        <v>39</v>
      </c>
      <c r="CR209" s="281">
        <f>Tabela1[[#This Row],[% gordura]]</f>
        <v>8.0299999999999994</v>
      </c>
    </row>
    <row r="210" spans="1:96" ht="15.75" customHeight="1">
      <c r="A210" s="279">
        <f>Tabela1[[#This Row],[Ano]]</f>
        <v>2018</v>
      </c>
      <c r="B210" s="181" t="str">
        <f>Tabela1[[#This Row],[Missão]]</f>
        <v>Avelar</v>
      </c>
      <c r="C210" s="181">
        <f>Tabela1[[#This Row],[Aluno]]</f>
        <v>3196</v>
      </c>
      <c r="D210" s="181">
        <f>Tabela1[[#This Row],[Idade]]</f>
        <v>27</v>
      </c>
      <c r="E210" s="182">
        <f>Tabela1[[#This Row],[Peso Kg]]</f>
        <v>80</v>
      </c>
      <c r="F210" s="191">
        <f>Tabela1[[#This Row],[Cor da pele]]</f>
        <v>1</v>
      </c>
      <c r="G210" s="192" t="str">
        <f>Tabela1[[#This Row],[ACTN3]]</f>
        <v>-</v>
      </c>
      <c r="H210" s="85" t="str">
        <f>Tabela1[[#This Row],[AGT]]</f>
        <v>-</v>
      </c>
      <c r="I210" s="85" t="str">
        <f>Tabela1[[#This Row],[ECA]]</f>
        <v>-</v>
      </c>
      <c r="J210" s="85" t="str">
        <f>Tabela1[[#This Row],[BDKRB2]]</f>
        <v>-</v>
      </c>
      <c r="K210" s="85" t="str">
        <f>Tabela1[[#This Row],[Score Força%]]</f>
        <v>-</v>
      </c>
      <c r="L210" s="193" t="str">
        <f>Tabela1[[#This Row],[Score Resistência %]]</f>
        <v>-</v>
      </c>
      <c r="M210" s="192">
        <f>Tabela1[[#This Row],[Pré CK (U/L)]]</f>
        <v>420</v>
      </c>
      <c r="N210" s="85">
        <f>Tabela1[[#This Row],[Pós CK (U/L)]]</f>
        <v>2513</v>
      </c>
      <c r="O210" s="85">
        <f>Tabela1[[#This Row],[Pré CK MB U/L]]</f>
        <v>18</v>
      </c>
      <c r="P210" s="85">
        <f>Tabela1[[#This Row],[Pós CK MB U/L]]</f>
        <v>41</v>
      </c>
      <c r="Q210" s="85">
        <f>Tabela1[[#This Row],[Pré Lactato (mmol/L)]]</f>
        <v>1.4</v>
      </c>
      <c r="R210" s="85">
        <f>Tabela1[[#This Row],[Pós Lactato (mmol/L)]]</f>
        <v>4.7</v>
      </c>
      <c r="S210" s="85">
        <f>Tabela1[[#This Row],[Pré LDH (U/L)]]</f>
        <v>293</v>
      </c>
      <c r="T210" s="85">
        <f>Tabela1[[#This Row],[Pós LDH (U/L)]]</f>
        <v>1119</v>
      </c>
      <c r="U210" s="85">
        <f>Tabela1[[#This Row],[Pré AST (U/L)]]</f>
        <v>39</v>
      </c>
      <c r="V210" s="193">
        <f>Tabela1[[#This Row],[Pós AST (U/L)]]</f>
        <v>78</v>
      </c>
      <c r="W210" s="194">
        <f>Tabela1[[#This Row],[Pré Albumina (g/dL)]]</f>
        <v>4.3</v>
      </c>
      <c r="X210" s="125">
        <f>Tabela1[[#This Row],[Pós Albumina (g/dL)]]</f>
        <v>5.0999999999999996</v>
      </c>
      <c r="Y210" s="85">
        <f>Tabela1[[#This Row],[Pré TGP (g/dL)]]</f>
        <v>40</v>
      </c>
      <c r="Z210" s="85">
        <f>Tabela1[[#This Row],[Pós TGP (g/dL)]]</f>
        <v>57</v>
      </c>
      <c r="AA210" s="85">
        <f>Tabela1[[#This Row],[Pré GGT U/L]]</f>
        <v>15</v>
      </c>
      <c r="AB210" s="193">
        <f>Tabela1[[#This Row],[Pós GGT U/L]]</f>
        <v>30</v>
      </c>
      <c r="AC210" s="194">
        <f>Tabela1[[#This Row],[Pré Ac. Úrico (mg/dL)]]</f>
        <v>4.3</v>
      </c>
      <c r="AD210" s="125">
        <f>Tabela1[[#This Row],[Pós Ac. Úrico (mg/dL)2]]</f>
        <v>7.6</v>
      </c>
      <c r="AE21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21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210" s="85">
        <f>Tabela1[[#This Row],[Pré Ureia mg/dL]]</f>
        <v>40</v>
      </c>
      <c r="AH210" s="85">
        <f>Tabela1[[#This Row],[Pós Ureia mg/dL]]</f>
        <v>56</v>
      </c>
      <c r="AI210" s="125">
        <f>Tabela1[[#This Row],[Pré creatinina mg/dL]]</f>
        <v>1.1000000000000001</v>
      </c>
      <c r="AJ210" s="125">
        <f>Tabela1[[#This Row],[Pós creatinina mg/dL]]</f>
        <v>1.2</v>
      </c>
      <c r="AK210" s="180">
        <f t="shared" si="12"/>
        <v>9.9999999999999867E-2</v>
      </c>
      <c r="AL210" s="125">
        <f>Tabela1[[#This Row],[Pré Fósforo mg/dL]]</f>
        <v>4.3</v>
      </c>
      <c r="AM210" s="125">
        <f>Tabela1[[#This Row],[Pós Fósforo mg/dL]]</f>
        <v>5.2</v>
      </c>
      <c r="AN210" s="125">
        <f>Tabela1[[#This Row],[Pré Proteína Total (g/dL)]]</f>
        <v>6.9</v>
      </c>
      <c r="AO210" s="125">
        <f>Tabela1[[#This Row],[Pós Proteína Total (g/dL)]]</f>
        <v>8.4</v>
      </c>
      <c r="AP210" s="85" t="str">
        <f>Tabela1[[#This Row],[Pré FE (ug/dL)]]</f>
        <v>-</v>
      </c>
      <c r="AQ210" s="193">
        <f>Tabela1[[#This Row],[Pós FE (ug/dL)]]</f>
        <v>67</v>
      </c>
      <c r="AR210" s="194">
        <f>Tabela1[[#This Row],[Pré calcio mg/dL]]</f>
        <v>8.6999999999999993</v>
      </c>
      <c r="AS210" s="125">
        <f>Tabela1[[#This Row],[Pós calcio mg/dL]]</f>
        <v>10</v>
      </c>
      <c r="AT210" s="125">
        <f>Tabela1[[#This Row],[Pré Potássio mmol/L]]</f>
        <v>4.8</v>
      </c>
      <c r="AU210" s="125">
        <f>Tabela1[[#This Row],[Pós Potássio mmol/L]]</f>
        <v>4.9000000000000004</v>
      </c>
      <c r="AV210" s="85">
        <f>Tabela1[[#This Row],[Glicose pré]]</f>
        <v>94</v>
      </c>
      <c r="AW210" s="85" t="str">
        <f>Tabela1[[#This Row],[Glicose pós]]</f>
        <v>-</v>
      </c>
      <c r="AX210" s="85">
        <f>Tabela1[[#This Row],[Pré Sódio mmol/L]]</f>
        <v>141</v>
      </c>
      <c r="AY210" s="85">
        <f>Tabela1[[#This Row],[Pós Sódio mmol/L]]</f>
        <v>141</v>
      </c>
      <c r="AZ210" s="125">
        <f>Tabela1[[#This Row],[Pré Magnésio mg/dL]]</f>
        <v>2.1</v>
      </c>
      <c r="BA210" s="125">
        <f>Tabela1[[#This Row],[Pós Magnésio mg/dL]]</f>
        <v>2.1</v>
      </c>
      <c r="BB210" s="85">
        <f>Tabela1[[#This Row],[Pré Cloro mmol/L]]</f>
        <v>105</v>
      </c>
      <c r="BC210" s="85">
        <f>Tabela1[[#This Row],[Pós Cloro mmol/L]]</f>
        <v>99</v>
      </c>
      <c r="BD21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297.86022222222226</v>
      </c>
      <c r="BE210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210" s="194">
        <f>Tabela1[[#This Row],[Pré RBC 10^6/mm³]]</f>
        <v>5.36</v>
      </c>
      <c r="BG210" s="125">
        <f>Tabela1[[#This Row],[Pós RBC 10^6/mm³]]</f>
        <v>5.5</v>
      </c>
      <c r="BH210" s="125">
        <f>Tabela1[[#This Row],[Pré HGB g/dL]]</f>
        <v>15</v>
      </c>
      <c r="BI210" s="125">
        <f>Tabela1[[#This Row],[Pós HGB g/dL]]</f>
        <v>15.2</v>
      </c>
      <c r="BJ210" s="125">
        <f>Tabela1[[#This Row],[Pré HCT %]]</f>
        <v>43.1</v>
      </c>
      <c r="BK210" s="125">
        <f>Tabela1[[#This Row],[Pós HCT %]]</f>
        <v>44.5</v>
      </c>
      <c r="BL210" s="125">
        <f>Tabela1[[#This Row],[Pré MCV fL]]</f>
        <v>80.400000000000006</v>
      </c>
      <c r="BM210" s="125">
        <f>Tabela1[[#This Row],[Pós MCV fL]]</f>
        <v>80.900000000000006</v>
      </c>
      <c r="BN210" s="125">
        <f>Tabela1[[#This Row],[Pré MCH pg]]</f>
        <v>28</v>
      </c>
      <c r="BO210" s="125">
        <f>Tabela1[[#This Row],[Pós MCH pg]]</f>
        <v>27.6</v>
      </c>
      <c r="BP210" s="125">
        <f>Tabela1[[#This Row],[Pré MCHC g/dL]]</f>
        <v>34.799999999999997</v>
      </c>
      <c r="BQ210" s="125">
        <f>Tabela1[[#This Row],[Pós MCHC g/dL]]</f>
        <v>34.200000000000003</v>
      </c>
      <c r="BR210" s="85">
        <f>Tabela1[[#This Row],[Pré PLT 10³/mm³]]</f>
        <v>241</v>
      </c>
      <c r="BS210" s="85">
        <f>Tabela1[[#This Row],[Pós PLT 10³/mm³]]</f>
        <v>280</v>
      </c>
      <c r="BT210" s="125">
        <f>Tabela1[[#This Row],[Pré RDW %]]</f>
        <v>13</v>
      </c>
      <c r="BU210" s="125">
        <f>Tabela1[[#This Row],[Pós RDW %]]</f>
        <v>12.8</v>
      </c>
      <c r="BV210" s="179">
        <f>Tabela1[[#This Row],[Pré RET %]]</f>
        <v>0.93</v>
      </c>
      <c r="BW210" s="196">
        <f>Tabela1[[#This Row],[Pós RET %]]</f>
        <v>1.03</v>
      </c>
      <c r="BX210" s="197">
        <f>Tabela1[[#This Row],[Pré WBC 10³/mm³]]</f>
        <v>5.21</v>
      </c>
      <c r="BY210" s="179">
        <f>Tabela1[[#This Row],[Pós WBC 10³/mm³]]</f>
        <v>12.19</v>
      </c>
      <c r="BZ210" s="125">
        <f>Tabela1[[#This Row],[Pré NEUT %]]</f>
        <v>38.200000000000003</v>
      </c>
      <c r="CA210" s="125">
        <f>Tabela1[[#This Row],[Pós NEUT %]]</f>
        <v>81.8</v>
      </c>
      <c r="CB210" s="125">
        <f>Tabela1[[#This Row],[Pré LINF %]]</f>
        <v>51.8</v>
      </c>
      <c r="CC210" s="125">
        <f>Tabela1[[#This Row],[Pós LINF %]]</f>
        <v>12.6</v>
      </c>
      <c r="CD210" s="125">
        <f>Tabela1[[#This Row],[Pré MONO %]]</f>
        <v>7.5</v>
      </c>
      <c r="CE210" s="125">
        <f>Tabela1[[#This Row],[Pós MONO %]]</f>
        <v>5.3</v>
      </c>
      <c r="CF210" s="125">
        <f>Tabela1[[#This Row],[Pré EOS %]]</f>
        <v>2.1</v>
      </c>
      <c r="CG210" s="125">
        <f>Tabela1[[#This Row],[Pós EOS %]]</f>
        <v>0.1</v>
      </c>
      <c r="CH210" s="125">
        <f>Tabela1[[#This Row],[Pré BASO %]]</f>
        <v>0.4</v>
      </c>
      <c r="CI210" s="198">
        <f>Tabela1[[#This Row],[Pós BASO %]]</f>
        <v>0.2</v>
      </c>
      <c r="CJ210" s="199" t="str">
        <f t="shared" si="13"/>
        <v>NÃO</v>
      </c>
      <c r="CK210" s="200" t="str">
        <f t="shared" si="14"/>
        <v>SIM</v>
      </c>
      <c r="CL210" s="194">
        <f t="shared" si="15"/>
        <v>70.30368</v>
      </c>
      <c r="CM210" s="125">
        <f>Tabela1[[#This Row],[MCT KG]]</f>
        <v>82.4</v>
      </c>
      <c r="CN210" s="85">
        <f>Tabela1[[#This Row],[ESTATURA]]</f>
        <v>168</v>
      </c>
      <c r="CO210" s="85">
        <f>Tabela1[[#This Row],[vo2max estimado]]</f>
        <v>50.7</v>
      </c>
      <c r="CP210" s="85">
        <f>Tabela1[[#This Row],[Handgrip     Dominante]]</f>
        <v>60</v>
      </c>
      <c r="CQ210" s="85">
        <f>Tabela1[[#This Row],[Handgrip Contrário]]</f>
        <v>58</v>
      </c>
      <c r="CR210" s="281">
        <f>Tabela1[[#This Row],[% gordura]]</f>
        <v>14.68</v>
      </c>
    </row>
    <row r="211" spans="1:96" ht="15.75" customHeight="1">
      <c r="A211" s="279">
        <f>Tabela1[[#This Row],[Ano]]</f>
        <v>2019</v>
      </c>
      <c r="B211" s="181" t="str">
        <f>Tabela1[[#This Row],[Missão]]</f>
        <v>CIASC</v>
      </c>
      <c r="C211" s="181">
        <f>Tabela1[[#This Row],[Aluno]]</f>
        <v>3197</v>
      </c>
      <c r="D211" s="181">
        <f>Tabela1[[#This Row],[Idade]]</f>
        <v>26</v>
      </c>
      <c r="E211" s="182">
        <f>Tabela1[[#This Row],[Peso Kg]]</f>
        <v>83.6</v>
      </c>
      <c r="F211" s="191">
        <f>Tabela1[[#This Row],[Cor da pele]]</f>
        <v>1</v>
      </c>
      <c r="G211" s="192" t="str">
        <f>Tabela1[[#This Row],[ACTN3]]</f>
        <v>RR</v>
      </c>
      <c r="H211" s="85" t="str">
        <f>Tabela1[[#This Row],[AGT]]</f>
        <v>MM</v>
      </c>
      <c r="I211" s="85" t="str">
        <f>Tabela1[[#This Row],[ECA]]</f>
        <v>DD</v>
      </c>
      <c r="J211" s="85" t="str">
        <f>Tabela1[[#This Row],[BDKRB2]]</f>
        <v>(-9,-9)</v>
      </c>
      <c r="K211" s="85">
        <f>Tabela1[[#This Row],[Score Força%]]</f>
        <v>50</v>
      </c>
      <c r="L211" s="193">
        <f>Tabela1[[#This Row],[Score Resistência %]]</f>
        <v>50</v>
      </c>
      <c r="M211" s="192">
        <f>Tabela1[[#This Row],[Pré CK (U/L)]]</f>
        <v>243</v>
      </c>
      <c r="N211" s="85">
        <f>Tabela1[[#This Row],[Pós CK (U/L)]]</f>
        <v>1082</v>
      </c>
      <c r="O211" s="85">
        <f>Tabela1[[#This Row],[Pré CK MB U/L]]</f>
        <v>7</v>
      </c>
      <c r="P211" s="85">
        <f>Tabela1[[#This Row],[Pós CK MB U/L]]</f>
        <v>55</v>
      </c>
      <c r="Q211" s="85">
        <f>Tabela1[[#This Row],[Pré Lactato (mmol/L)]]</f>
        <v>2.8</v>
      </c>
      <c r="R211" s="85">
        <f>Tabela1[[#This Row],[Pós Lactato (mmol/L)]]</f>
        <v>3</v>
      </c>
      <c r="S211" s="85">
        <f>Tabela1[[#This Row],[Pré LDH (U/L)]]</f>
        <v>160</v>
      </c>
      <c r="T211" s="85">
        <f>Tabela1[[#This Row],[Pós LDH (U/L)]]</f>
        <v>295</v>
      </c>
      <c r="U211" s="85">
        <f>Tabela1[[#This Row],[Pré AST (U/L)]]</f>
        <v>27</v>
      </c>
      <c r="V211" s="193">
        <f>Tabela1[[#This Row],[Pós AST (U/L)]]</f>
        <v>68</v>
      </c>
      <c r="W211" s="194">
        <f>Tabela1[[#This Row],[Pré Albumina (g/dL)]]</f>
        <v>4.5999999999999996</v>
      </c>
      <c r="X211" s="125">
        <f>Tabela1[[#This Row],[Pós Albumina (g/dL)]]</f>
        <v>4.5999999999999996</v>
      </c>
      <c r="Y211" s="85">
        <f>Tabela1[[#This Row],[Pré TGP (g/dL)]]</f>
        <v>33</v>
      </c>
      <c r="Z211" s="85">
        <f>Tabela1[[#This Row],[Pós TGP (g/dL)]]</f>
        <v>63</v>
      </c>
      <c r="AA211" s="85">
        <f>Tabela1[[#This Row],[Pré GGT U/L]]</f>
        <v>17</v>
      </c>
      <c r="AB211" s="193">
        <f>Tabela1[[#This Row],[Pós GGT U/L]]</f>
        <v>22</v>
      </c>
      <c r="AC211" s="194">
        <f>Tabela1[[#This Row],[Pré Ac. Úrico (mg/dL)]]</f>
        <v>6.4</v>
      </c>
      <c r="AD211" s="125">
        <f>Tabela1[[#This Row],[Pós Ac. Úrico (mg/dL)2]]</f>
        <v>6.8</v>
      </c>
      <c r="AE21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1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11" s="85">
        <f>Tabela1[[#This Row],[Pré Ureia mg/dL]]</f>
        <v>21</v>
      </c>
      <c r="AH211" s="85">
        <f>Tabela1[[#This Row],[Pós Ureia mg/dL]]</f>
        <v>35</v>
      </c>
      <c r="AI211" s="125">
        <f>Tabela1[[#This Row],[Pré creatinina mg/dL]]</f>
        <v>1</v>
      </c>
      <c r="AJ211" s="125">
        <f>Tabela1[[#This Row],[Pós creatinina mg/dL]]</f>
        <v>1</v>
      </c>
      <c r="AK211" s="180">
        <f t="shared" si="12"/>
        <v>0</v>
      </c>
      <c r="AL211" s="125">
        <f>Tabela1[[#This Row],[Pré Fósforo mg/dL]]</f>
        <v>3.3</v>
      </c>
      <c r="AM211" s="125">
        <f>Tabela1[[#This Row],[Pós Fósforo mg/dL]]</f>
        <v>3.9</v>
      </c>
      <c r="AN211" s="125">
        <f>Tabela1[[#This Row],[Pré Proteína Total (g/dL)]]</f>
        <v>7.5</v>
      </c>
      <c r="AO211" s="125">
        <f>Tabela1[[#This Row],[Pós Proteína Total (g/dL)]]</f>
        <v>7.6</v>
      </c>
      <c r="AP211" s="85">
        <f>Tabela1[[#This Row],[Pré FE (ug/dL)]]</f>
        <v>10</v>
      </c>
      <c r="AQ211" s="193">
        <f>Tabela1[[#This Row],[Pós FE (ug/dL)]]</f>
        <v>52</v>
      </c>
      <c r="AR211" s="194">
        <f>Tabela1[[#This Row],[Pré calcio mg/dL]]</f>
        <v>2.8</v>
      </c>
      <c r="AS211" s="125">
        <f>Tabela1[[#This Row],[Pós calcio mg/dL]]</f>
        <v>10.4</v>
      </c>
      <c r="AT211" s="125">
        <f>Tabela1[[#This Row],[Pré Potássio mmol/L]]</f>
        <v>4</v>
      </c>
      <c r="AU211" s="125">
        <f>Tabela1[[#This Row],[Pós Potássio mmol/L]]</f>
        <v>4.2</v>
      </c>
      <c r="AV211" s="85">
        <f>Tabela1[[#This Row],[Glicose pré]]</f>
        <v>113</v>
      </c>
      <c r="AW211" s="85">
        <f>Tabela1[[#This Row],[Glicose pós]]</f>
        <v>113</v>
      </c>
      <c r="AX211" s="85">
        <f>Tabela1[[#This Row],[Pré Sódio mmol/L]]</f>
        <v>139</v>
      </c>
      <c r="AY211" s="85">
        <f>Tabela1[[#This Row],[Pós Sódio mmol/L]]</f>
        <v>141</v>
      </c>
      <c r="AZ211" s="125">
        <f>Tabela1[[#This Row],[Pré Magnésio mg/dL]]</f>
        <v>1.3</v>
      </c>
      <c r="BA211" s="125">
        <f>Tabela1[[#This Row],[Pós Magnésio mg/dL]]</f>
        <v>2</v>
      </c>
      <c r="BB211" s="85">
        <f>Tabela1[[#This Row],[Pré Cloro mmol/L]]</f>
        <v>97</v>
      </c>
      <c r="BC211" s="85">
        <f>Tabela1[[#This Row],[Pós Cloro mmol/L]]</f>
        <v>104</v>
      </c>
      <c r="BD21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290.69944444444445</v>
      </c>
      <c r="BE21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297.12477777777775</v>
      </c>
      <c r="BF211" s="194" t="str">
        <f>Tabela1[[#This Row],[Pré RBC 10^6/mm³]]</f>
        <v>-</v>
      </c>
      <c r="BG211" s="125">
        <f>Tabela1[[#This Row],[Pós RBC 10^6/mm³]]</f>
        <v>4.68</v>
      </c>
      <c r="BH211" s="125" t="str">
        <f>Tabela1[[#This Row],[Pré HGB g/dL]]</f>
        <v>-</v>
      </c>
      <c r="BI211" s="125">
        <f>Tabela1[[#This Row],[Pós HGB g/dL]]</f>
        <v>14.3</v>
      </c>
      <c r="BJ211" s="125" t="str">
        <f>Tabela1[[#This Row],[Pré HCT %]]</f>
        <v>-</v>
      </c>
      <c r="BK211" s="125">
        <f>Tabela1[[#This Row],[Pós HCT %]]</f>
        <v>42</v>
      </c>
      <c r="BL211" s="125" t="str">
        <f>Tabela1[[#This Row],[Pré MCV fL]]</f>
        <v>-</v>
      </c>
      <c r="BM211" s="125">
        <f>Tabela1[[#This Row],[Pós MCV fL]]</f>
        <v>89.7</v>
      </c>
      <c r="BN211" s="125" t="str">
        <f>Tabela1[[#This Row],[Pré MCH pg]]</f>
        <v>-</v>
      </c>
      <c r="BO211" s="125">
        <f>Tabela1[[#This Row],[Pós MCH pg]]</f>
        <v>30.6</v>
      </c>
      <c r="BP211" s="125" t="str">
        <f>Tabela1[[#This Row],[Pré MCHC g/dL]]</f>
        <v>-</v>
      </c>
      <c r="BQ211" s="125">
        <f>Tabela1[[#This Row],[Pós MCHC g/dL]]</f>
        <v>34</v>
      </c>
      <c r="BR211" s="85" t="str">
        <f>Tabela1[[#This Row],[Pré PLT 10³/mm³]]</f>
        <v>-</v>
      </c>
      <c r="BS211" s="85">
        <f>Tabela1[[#This Row],[Pós PLT 10³/mm³]]</f>
        <v>447</v>
      </c>
      <c r="BT211" s="125" t="str">
        <f>Tabela1[[#This Row],[Pré RDW %]]</f>
        <v>-</v>
      </c>
      <c r="BU211" s="125">
        <f>Tabela1[[#This Row],[Pós RDW %]]</f>
        <v>12.4</v>
      </c>
      <c r="BV211" s="179" t="str">
        <f>Tabela1[[#This Row],[Pré RET %]]</f>
        <v>-</v>
      </c>
      <c r="BW211" s="196">
        <f>Tabela1[[#This Row],[Pós RET %]]</f>
        <v>8.0500000000000002E-2</v>
      </c>
      <c r="BX211" s="197" t="str">
        <f>Tabela1[[#This Row],[Pré WBC 10³/mm³]]</f>
        <v>-</v>
      </c>
      <c r="BY211" s="179">
        <f>Tabela1[[#This Row],[Pós WBC 10³/mm³]]</f>
        <v>8.5399999999999991</v>
      </c>
      <c r="BZ211" s="125" t="str">
        <f>Tabela1[[#This Row],[Pré NEUT %]]</f>
        <v>-</v>
      </c>
      <c r="CA211" s="125">
        <f>Tabela1[[#This Row],[Pós NEUT %]]</f>
        <v>74.5</v>
      </c>
      <c r="CB211" s="125" t="str">
        <f>Tabela1[[#This Row],[Pré LINF %]]</f>
        <v>-</v>
      </c>
      <c r="CC211" s="125">
        <f>Tabela1[[#This Row],[Pós LINF %]]</f>
        <v>19.100000000000001</v>
      </c>
      <c r="CD211" s="125" t="str">
        <f>Tabela1[[#This Row],[Pré MONO %]]</f>
        <v>-</v>
      </c>
      <c r="CE211" s="125">
        <f>Tabela1[[#This Row],[Pós MONO %]]</f>
        <v>5.5</v>
      </c>
      <c r="CF211" s="125" t="str">
        <f>Tabela1[[#This Row],[Pré EOS %]]</f>
        <v>-</v>
      </c>
      <c r="CG211" s="125">
        <f>Tabela1[[#This Row],[Pós EOS %]]</f>
        <v>0.7</v>
      </c>
      <c r="CH211" s="125" t="str">
        <f>Tabela1[[#This Row],[Pré BASO %]]</f>
        <v>-</v>
      </c>
      <c r="CI211" s="198">
        <f>Tabela1[[#This Row],[Pós BASO %]]</f>
        <v>0.2</v>
      </c>
      <c r="CJ211" s="199" t="str">
        <f t="shared" si="13"/>
        <v>NÃO</v>
      </c>
      <c r="CK211" s="200" t="str">
        <f t="shared" si="14"/>
        <v>SIM</v>
      </c>
      <c r="CL211" s="194">
        <f t="shared" si="15"/>
        <v>76.297020000000003</v>
      </c>
      <c r="CM211" s="125">
        <f>Tabela1[[#This Row],[MCT KG]]</f>
        <v>85.65</v>
      </c>
      <c r="CN211" s="85">
        <f>Tabela1[[#This Row],[ESTATURA]]</f>
        <v>177</v>
      </c>
      <c r="CO211" s="85">
        <f>Tabela1[[#This Row],[vo2max estimado]]</f>
        <v>51.46</v>
      </c>
      <c r="CP211" s="85">
        <f>Tabela1[[#This Row],[Handgrip     Dominante]]</f>
        <v>48</v>
      </c>
      <c r="CQ211" s="85">
        <f>Tabela1[[#This Row],[Handgrip Contrário]]</f>
        <v>52</v>
      </c>
      <c r="CR211" s="281">
        <f>Tabela1[[#This Row],[% gordura]]</f>
        <v>10.92</v>
      </c>
    </row>
    <row r="212" spans="1:96" ht="15.75" customHeight="1">
      <c r="A212" s="279">
        <f>Tabela1[[#This Row],[Ano]]</f>
        <v>2019</v>
      </c>
      <c r="B212" s="181" t="str">
        <f>Tabela1[[#This Row],[Missão]]</f>
        <v>CIASC</v>
      </c>
      <c r="C212" s="181">
        <f>Tabela1[[#This Row],[Aluno]]</f>
        <v>3200</v>
      </c>
      <c r="D212" s="181">
        <f>Tabela1[[#This Row],[Idade]]</f>
        <v>25</v>
      </c>
      <c r="E212" s="182">
        <f>Tabela1[[#This Row],[Peso Kg]]</f>
        <v>76.3</v>
      </c>
      <c r="F212" s="191">
        <f>Tabela1[[#This Row],[Cor da pele]]</f>
        <v>1</v>
      </c>
      <c r="G212" s="192" t="str">
        <f>Tabela1[[#This Row],[ACTN3]]</f>
        <v>XX</v>
      </c>
      <c r="H212" s="85" t="str">
        <f>Tabela1[[#This Row],[AGT]]</f>
        <v>TT</v>
      </c>
      <c r="I212" s="85" t="str">
        <f>Tabela1[[#This Row],[ECA]]</f>
        <v>ID</v>
      </c>
      <c r="J212" s="85" t="str">
        <f>Tabela1[[#This Row],[BDKRB2]]</f>
        <v>(-9,-9)</v>
      </c>
      <c r="K212" s="85">
        <f>Tabela1[[#This Row],[Score Força%]]</f>
        <v>37.5</v>
      </c>
      <c r="L212" s="193">
        <f>Tabela1[[#This Row],[Score Resistência %]]</f>
        <v>62.5</v>
      </c>
      <c r="M212" s="192">
        <f>Tabela1[[#This Row],[Pré CK (U/L)]]</f>
        <v>129</v>
      </c>
      <c r="N212" s="85">
        <f>Tabela1[[#This Row],[Pós CK (U/L)]]</f>
        <v>860</v>
      </c>
      <c r="O212" s="85">
        <f>Tabela1[[#This Row],[Pré CK MB U/L]]</f>
        <v>4</v>
      </c>
      <c r="P212" s="85">
        <f>Tabela1[[#This Row],[Pós CK MB U/L]]</f>
        <v>45</v>
      </c>
      <c r="Q212" s="85">
        <f>Tabela1[[#This Row],[Pré Lactato (mmol/L)]]</f>
        <v>2</v>
      </c>
      <c r="R212" s="85">
        <f>Tabela1[[#This Row],[Pós Lactato (mmol/L)]]</f>
        <v>2.8</v>
      </c>
      <c r="S212" s="85">
        <f>Tabela1[[#This Row],[Pré LDH (U/L)]]</f>
        <v>127</v>
      </c>
      <c r="T212" s="85">
        <f>Tabela1[[#This Row],[Pós LDH (U/L)]]</f>
        <v>334</v>
      </c>
      <c r="U212" s="85">
        <f>Tabela1[[#This Row],[Pré AST (U/L)]]</f>
        <v>21</v>
      </c>
      <c r="V212" s="193">
        <f>Tabela1[[#This Row],[Pós AST (U/L)]]</f>
        <v>72</v>
      </c>
      <c r="W212" s="194">
        <f>Tabela1[[#This Row],[Pré Albumina (g/dL)]]</f>
        <v>4.2</v>
      </c>
      <c r="X212" s="125">
        <f>Tabela1[[#This Row],[Pós Albumina (g/dL)]]</f>
        <v>4.5999999999999996</v>
      </c>
      <c r="Y212" s="85">
        <f>Tabela1[[#This Row],[Pré TGP (g/dL)]]</f>
        <v>20</v>
      </c>
      <c r="Z212" s="85">
        <f>Tabela1[[#This Row],[Pós TGP (g/dL)]]</f>
        <v>82</v>
      </c>
      <c r="AA212" s="85">
        <f>Tabela1[[#This Row],[Pré GGT U/L]]</f>
        <v>21</v>
      </c>
      <c r="AB212" s="193">
        <f>Tabela1[[#This Row],[Pós GGT U/L]]</f>
        <v>43</v>
      </c>
      <c r="AC212" s="194">
        <f>Tabela1[[#This Row],[Pré Ac. Úrico (mg/dL)]]</f>
        <v>4.4000000000000004</v>
      </c>
      <c r="AD212" s="125">
        <f>Tabela1[[#This Row],[Pós Ac. Úrico (mg/dL)2]]</f>
        <v>4.3</v>
      </c>
      <c r="AE21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1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12" s="85">
        <f>Tabela1[[#This Row],[Pré Ureia mg/dL]]</f>
        <v>31</v>
      </c>
      <c r="AH212" s="85">
        <f>Tabela1[[#This Row],[Pós Ureia mg/dL]]</f>
        <v>45</v>
      </c>
      <c r="AI212" s="125">
        <f>Tabela1[[#This Row],[Pré creatinina mg/dL]]</f>
        <v>0.8</v>
      </c>
      <c r="AJ212" s="125">
        <f>Tabela1[[#This Row],[Pós creatinina mg/dL]]</f>
        <v>0.9</v>
      </c>
      <c r="AK212" s="180">
        <f t="shared" si="12"/>
        <v>9.9999999999999978E-2</v>
      </c>
      <c r="AL212" s="125">
        <f>Tabela1[[#This Row],[Pré Fósforo mg/dL]]</f>
        <v>3.2</v>
      </c>
      <c r="AM212" s="125">
        <f>Tabela1[[#This Row],[Pós Fósforo mg/dL]]</f>
        <v>3.1</v>
      </c>
      <c r="AN212" s="125">
        <f>Tabela1[[#This Row],[Pré Proteína Total (g/dL)]]</f>
        <v>7</v>
      </c>
      <c r="AO212" s="125">
        <f>Tabela1[[#This Row],[Pós Proteína Total (g/dL)]]</f>
        <v>7.2</v>
      </c>
      <c r="AP212" s="85">
        <f>Tabela1[[#This Row],[Pré FE (ug/dL)]]</f>
        <v>10</v>
      </c>
      <c r="AQ212" s="193">
        <f>Tabela1[[#This Row],[Pós FE (ug/dL)]]</f>
        <v>85</v>
      </c>
      <c r="AR212" s="194">
        <f>Tabela1[[#This Row],[Pré calcio mg/dL]]</f>
        <v>2.4</v>
      </c>
      <c r="AS212" s="125">
        <f>Tabela1[[#This Row],[Pós calcio mg/dL]]</f>
        <v>10.3</v>
      </c>
      <c r="AT212" s="125">
        <f>Tabela1[[#This Row],[Pré Potássio mmol/L]]</f>
        <v>4.4000000000000004</v>
      </c>
      <c r="AU212" s="125">
        <f>Tabela1[[#This Row],[Pós Potássio mmol/L]]</f>
        <v>4.3</v>
      </c>
      <c r="AV212" s="85">
        <f>Tabela1[[#This Row],[Glicose pré]]</f>
        <v>90</v>
      </c>
      <c r="AW212" s="85">
        <f>Tabela1[[#This Row],[Glicose pós]]</f>
        <v>90</v>
      </c>
      <c r="AX212" s="85">
        <f>Tabela1[[#This Row],[Pré Sódio mmol/L]]</f>
        <v>139</v>
      </c>
      <c r="AY212" s="85">
        <f>Tabela1[[#This Row],[Pós Sódio mmol/L]]</f>
        <v>141</v>
      </c>
      <c r="AZ212" s="125">
        <f>Tabela1[[#This Row],[Pré Magnésio mg/dL]]</f>
        <v>1.2</v>
      </c>
      <c r="BA212" s="125">
        <f>Tabela1[[#This Row],[Pós Magnésio mg/dL]]</f>
        <v>2.2000000000000002</v>
      </c>
      <c r="BB212" s="85" t="str">
        <f>Tabela1[[#This Row],[Pré Cloro mmol/L]]</f>
        <v>-</v>
      </c>
      <c r="BC212" s="85">
        <f>Tabela1[[#This Row],[Pós Cloro mmol/L]]</f>
        <v>104</v>
      </c>
      <c r="BD21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291.64066666666673</v>
      </c>
      <c r="BE21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297.50800000000004</v>
      </c>
      <c r="BF212" s="194" t="str">
        <f>Tabela1[[#This Row],[Pré RBC 10^6/mm³]]</f>
        <v>-</v>
      </c>
      <c r="BG212" s="125">
        <f>Tabela1[[#This Row],[Pós RBC 10^6/mm³]]</f>
        <v>4.28</v>
      </c>
      <c r="BH212" s="125" t="str">
        <f>Tabela1[[#This Row],[Pré HGB g/dL]]</f>
        <v>-</v>
      </c>
      <c r="BI212" s="125">
        <f>Tabela1[[#This Row],[Pós HGB g/dL]]</f>
        <v>12.8</v>
      </c>
      <c r="BJ212" s="125" t="str">
        <f>Tabela1[[#This Row],[Pré HCT %]]</f>
        <v>-</v>
      </c>
      <c r="BK212" s="125">
        <f>Tabela1[[#This Row],[Pós HCT %]]</f>
        <v>39</v>
      </c>
      <c r="BL212" s="125" t="str">
        <f>Tabela1[[#This Row],[Pré MCV fL]]</f>
        <v>-</v>
      </c>
      <c r="BM212" s="125">
        <f>Tabela1[[#This Row],[Pós MCV fL]]</f>
        <v>91.1</v>
      </c>
      <c r="BN212" s="125" t="str">
        <f>Tabela1[[#This Row],[Pré MCH pg]]</f>
        <v>-</v>
      </c>
      <c r="BO212" s="125">
        <f>Tabela1[[#This Row],[Pós MCH pg]]</f>
        <v>29.9</v>
      </c>
      <c r="BP212" s="125" t="str">
        <f>Tabela1[[#This Row],[Pré MCHC g/dL]]</f>
        <v>-</v>
      </c>
      <c r="BQ212" s="125">
        <f>Tabela1[[#This Row],[Pós MCHC g/dL]]</f>
        <v>32.799999999999997</v>
      </c>
      <c r="BR212" s="85" t="str">
        <f>Tabela1[[#This Row],[Pré PLT 10³/mm³]]</f>
        <v>-</v>
      </c>
      <c r="BS212" s="85">
        <f>Tabela1[[#This Row],[Pós PLT 10³/mm³]]</f>
        <v>355</v>
      </c>
      <c r="BT212" s="125" t="str">
        <f>Tabela1[[#This Row],[Pré RDW %]]</f>
        <v>-</v>
      </c>
      <c r="BU212" s="125">
        <f>Tabela1[[#This Row],[Pós RDW %]]</f>
        <v>13.3</v>
      </c>
      <c r="BV212" s="179" t="str">
        <f>Tabela1[[#This Row],[Pré RET %]]</f>
        <v>-</v>
      </c>
      <c r="BW212" s="196">
        <f>Tabela1[[#This Row],[Pós RET %]]</f>
        <v>7.9200000000000007E-2</v>
      </c>
      <c r="BX212" s="197" t="str">
        <f>Tabela1[[#This Row],[Pré WBC 10³/mm³]]</f>
        <v>-</v>
      </c>
      <c r="BY212" s="179">
        <f>Tabela1[[#This Row],[Pós WBC 10³/mm³]]</f>
        <v>6.19</v>
      </c>
      <c r="BZ212" s="125" t="str">
        <f>Tabela1[[#This Row],[Pré NEUT %]]</f>
        <v>-</v>
      </c>
      <c r="CA212" s="125">
        <f>Tabela1[[#This Row],[Pós NEUT %]]</f>
        <v>74.900000000000006</v>
      </c>
      <c r="CB212" s="125" t="str">
        <f>Tabela1[[#This Row],[Pré LINF %]]</f>
        <v>-</v>
      </c>
      <c r="CC212" s="125">
        <f>Tabela1[[#This Row],[Pós LINF %]]</f>
        <v>16.2</v>
      </c>
      <c r="CD212" s="125" t="str">
        <f>Tabela1[[#This Row],[Pré MONO %]]</f>
        <v>-</v>
      </c>
      <c r="CE212" s="125">
        <f>Tabela1[[#This Row],[Pós MONO %]]</f>
        <v>8.4</v>
      </c>
      <c r="CF212" s="125" t="str">
        <f>Tabela1[[#This Row],[Pré EOS %]]</f>
        <v>-</v>
      </c>
      <c r="CG212" s="125">
        <f>Tabela1[[#This Row],[Pós EOS %]]</f>
        <v>0.3</v>
      </c>
      <c r="CH212" s="125" t="str">
        <f>Tabela1[[#This Row],[Pré BASO %]]</f>
        <v>-</v>
      </c>
      <c r="CI212" s="198">
        <f>Tabela1[[#This Row],[Pós BASO %]]</f>
        <v>0.2</v>
      </c>
      <c r="CJ212" s="199" t="str">
        <f t="shared" si="13"/>
        <v>NÃO</v>
      </c>
      <c r="CK212" s="200" t="str">
        <f t="shared" si="14"/>
        <v>NÃO</v>
      </c>
      <c r="CL212" s="194">
        <f t="shared" si="15"/>
        <v>73.936000000000007</v>
      </c>
      <c r="CM212" s="125">
        <f>Tabela1[[#This Row],[MCT KG]]</f>
        <v>80</v>
      </c>
      <c r="CN212" s="85">
        <f>Tabela1[[#This Row],[ESTATURA]]</f>
        <v>177.5</v>
      </c>
      <c r="CO212" s="85">
        <f>Tabela1[[#This Row],[vo2max estimado]]</f>
        <v>0</v>
      </c>
      <c r="CP212" s="85">
        <f>Tabela1[[#This Row],[Handgrip     Dominante]]</f>
        <v>42</v>
      </c>
      <c r="CQ212" s="85">
        <f>Tabela1[[#This Row],[Handgrip Contrário]]</f>
        <v>42</v>
      </c>
      <c r="CR212" s="281">
        <f>Tabela1[[#This Row],[% gordura]]</f>
        <v>7.58</v>
      </c>
    </row>
    <row r="213" spans="1:96" ht="15.75" customHeight="1">
      <c r="A213" s="279">
        <f>Tabela1[[#This Row],[Ano]]</f>
        <v>2019</v>
      </c>
      <c r="B213" s="181" t="str">
        <f>Tabela1[[#This Row],[Missão]]</f>
        <v>CIASC</v>
      </c>
      <c r="C213" s="181">
        <f>Tabela1[[#This Row],[Aluno]]</f>
        <v>3202</v>
      </c>
      <c r="D213" s="181">
        <f>Tabela1[[#This Row],[Idade]]</f>
        <v>25</v>
      </c>
      <c r="E213" s="182">
        <f>Tabela1[[#This Row],[Peso Kg]]</f>
        <v>85.3</v>
      </c>
      <c r="F213" s="191">
        <f>Tabela1[[#This Row],[Cor da pele]]</f>
        <v>1</v>
      </c>
      <c r="G213" s="192" t="str">
        <f>Tabela1[[#This Row],[ACTN3]]</f>
        <v>XX</v>
      </c>
      <c r="H213" s="85" t="str">
        <f>Tabela1[[#This Row],[AGT]]</f>
        <v>MM</v>
      </c>
      <c r="I213" s="85" t="str">
        <f>Tabela1[[#This Row],[ECA]]</f>
        <v>ID</v>
      </c>
      <c r="J213" s="85" t="str">
        <f>Tabela1[[#This Row],[BDKRB2]]</f>
        <v>(+9,-9)</v>
      </c>
      <c r="K213" s="85">
        <f>Tabela1[[#This Row],[Score Força%]]</f>
        <v>25</v>
      </c>
      <c r="L213" s="193">
        <f>Tabela1[[#This Row],[Score Resistência %]]</f>
        <v>75</v>
      </c>
      <c r="M213" s="192">
        <f>Tabela1[[#This Row],[Pré CK (U/L)]]</f>
        <v>192</v>
      </c>
      <c r="N213" s="85">
        <f>Tabela1[[#This Row],[Pós CK (U/L)]]</f>
        <v>826</v>
      </c>
      <c r="O213" s="85">
        <f>Tabela1[[#This Row],[Pré CK MB U/L]]</f>
        <v>9</v>
      </c>
      <c r="P213" s="85">
        <f>Tabela1[[#This Row],[Pós CK MB U/L]]</f>
        <v>46</v>
      </c>
      <c r="Q213" s="85">
        <f>Tabela1[[#This Row],[Pré Lactato (mmol/L)]]</f>
        <v>1.9</v>
      </c>
      <c r="R213" s="85">
        <f>Tabela1[[#This Row],[Pós Lactato (mmol/L)]]</f>
        <v>4.5999999999999996</v>
      </c>
      <c r="S213" s="85">
        <f>Tabela1[[#This Row],[Pré LDH (U/L)]]</f>
        <v>164</v>
      </c>
      <c r="T213" s="85">
        <f>Tabela1[[#This Row],[Pós LDH (U/L)]]</f>
        <v>436</v>
      </c>
      <c r="U213" s="85">
        <f>Tabela1[[#This Row],[Pré AST (U/L)]]</f>
        <v>31</v>
      </c>
      <c r="V213" s="193">
        <f>Tabela1[[#This Row],[Pós AST (U/L)]]</f>
        <v>71</v>
      </c>
      <c r="W213" s="194">
        <f>Tabela1[[#This Row],[Pré Albumina (g/dL)]]</f>
        <v>4.0999999999999996</v>
      </c>
      <c r="X213" s="125">
        <f>Tabela1[[#This Row],[Pós Albumina (g/dL)]]</f>
        <v>4.8</v>
      </c>
      <c r="Y213" s="85">
        <f>Tabela1[[#This Row],[Pré TGP (g/dL)]]</f>
        <v>31</v>
      </c>
      <c r="Z213" s="85">
        <f>Tabela1[[#This Row],[Pós TGP (g/dL)]]</f>
        <v>62</v>
      </c>
      <c r="AA213" s="85">
        <f>Tabela1[[#This Row],[Pré GGT U/L]]</f>
        <v>32</v>
      </c>
      <c r="AB213" s="193">
        <f>Tabela1[[#This Row],[Pós GGT U/L]]</f>
        <v>60</v>
      </c>
      <c r="AC213" s="194">
        <f>Tabela1[[#This Row],[Pré Ac. Úrico (mg/dL)]]</f>
        <v>4.5999999999999996</v>
      </c>
      <c r="AD213" s="125">
        <f>Tabela1[[#This Row],[Pós Ac. Úrico (mg/dL)2]]</f>
        <v>5.3</v>
      </c>
      <c r="AE21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1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128.71280700150223</v>
      </c>
      <c r="AG213" s="85">
        <f>Tabela1[[#This Row],[Pré Ureia mg/dL]]</f>
        <v>40</v>
      </c>
      <c r="AH213" s="85">
        <f>Tabela1[[#This Row],[Pós Ureia mg/dL]]</f>
        <v>37</v>
      </c>
      <c r="AI213" s="125">
        <f>Tabela1[[#This Row],[Pré creatinina mg/dL]]</f>
        <v>0.8</v>
      </c>
      <c r="AJ213" s="125">
        <f>Tabela1[[#This Row],[Pós creatinina mg/dL]]</f>
        <v>0.7</v>
      </c>
      <c r="AK213" s="180">
        <f t="shared" si="12"/>
        <v>0</v>
      </c>
      <c r="AL213" s="125">
        <f>Tabela1[[#This Row],[Pré Fósforo mg/dL]]</f>
        <v>3.9</v>
      </c>
      <c r="AM213" s="125">
        <f>Tabela1[[#This Row],[Pós Fósforo mg/dL]]</f>
        <v>3.5</v>
      </c>
      <c r="AN213" s="125">
        <f>Tabela1[[#This Row],[Pré Proteína Total (g/dL)]]</f>
        <v>6.8</v>
      </c>
      <c r="AO213" s="125">
        <f>Tabela1[[#This Row],[Pós Proteína Total (g/dL)]]</f>
        <v>7.5</v>
      </c>
      <c r="AP213" s="85">
        <f>Tabela1[[#This Row],[Pré FE (ug/dL)]]</f>
        <v>10</v>
      </c>
      <c r="AQ213" s="193">
        <f>Tabela1[[#This Row],[Pós FE (ug/dL)]]</f>
        <v>72</v>
      </c>
      <c r="AR213" s="194">
        <f>Tabela1[[#This Row],[Pré calcio mg/dL]]</f>
        <v>1.9</v>
      </c>
      <c r="AS213" s="125">
        <f>Tabela1[[#This Row],[Pós calcio mg/dL]]</f>
        <v>9.9</v>
      </c>
      <c r="AT213" s="125">
        <f>Tabela1[[#This Row],[Pré Potássio mmol/L]]</f>
        <v>3.8</v>
      </c>
      <c r="AU213" s="125">
        <f>Tabela1[[#This Row],[Pós Potássio mmol/L]]</f>
        <v>3.9</v>
      </c>
      <c r="AV213" s="85">
        <f>Tabela1[[#This Row],[Glicose pré]]</f>
        <v>100</v>
      </c>
      <c r="AW213" s="85">
        <f>Tabela1[[#This Row],[Glicose pós]]</f>
        <v>100</v>
      </c>
      <c r="AX213" s="85">
        <f>Tabela1[[#This Row],[Pré Sódio mmol/L]]</f>
        <v>140</v>
      </c>
      <c r="AY213" s="85">
        <f>Tabela1[[#This Row],[Pós Sódio mmol/L]]</f>
        <v>141</v>
      </c>
      <c r="AZ213" s="125">
        <f>Tabela1[[#This Row],[Pré Magnésio mg/dL]]</f>
        <v>1.1000000000000001</v>
      </c>
      <c r="BA213" s="125">
        <f>Tabela1[[#This Row],[Pós Magnésio mg/dL]]</f>
        <v>2.2000000000000002</v>
      </c>
      <c r="BB213" s="85" t="str">
        <f>Tabela1[[#This Row],[Pré Cloro mmol/L]]</f>
        <v>-</v>
      </c>
      <c r="BC213" s="85">
        <f>Tabela1[[#This Row],[Pós Cloro mmol/L]]</f>
        <v>104</v>
      </c>
      <c r="BD21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294.52355555555562</v>
      </c>
      <c r="BE21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296.06955555555561</v>
      </c>
      <c r="BF213" s="194" t="str">
        <f>Tabela1[[#This Row],[Pré RBC 10^6/mm³]]</f>
        <v>-</v>
      </c>
      <c r="BG213" s="125">
        <f>Tabela1[[#This Row],[Pós RBC 10^6/mm³]]</f>
        <v>4.37</v>
      </c>
      <c r="BH213" s="125" t="str">
        <f>Tabela1[[#This Row],[Pré HGB g/dL]]</f>
        <v>-</v>
      </c>
      <c r="BI213" s="125">
        <f>Tabela1[[#This Row],[Pós HGB g/dL]]</f>
        <v>13.4</v>
      </c>
      <c r="BJ213" s="125" t="str">
        <f>Tabela1[[#This Row],[Pré HCT %]]</f>
        <v>-</v>
      </c>
      <c r="BK213" s="125">
        <f>Tabela1[[#This Row],[Pós HCT %]]</f>
        <v>41.1</v>
      </c>
      <c r="BL213" s="125" t="str">
        <f>Tabela1[[#This Row],[Pré MCV fL]]</f>
        <v>-</v>
      </c>
      <c r="BM213" s="125">
        <f>Tabela1[[#This Row],[Pós MCV fL]]</f>
        <v>94.1</v>
      </c>
      <c r="BN213" s="125" t="str">
        <f>Tabela1[[#This Row],[Pré MCH pg]]</f>
        <v>-</v>
      </c>
      <c r="BO213" s="125">
        <f>Tabela1[[#This Row],[Pós MCH pg]]</f>
        <v>30.7</v>
      </c>
      <c r="BP213" s="125" t="str">
        <f>Tabela1[[#This Row],[Pré MCHC g/dL]]</f>
        <v>-</v>
      </c>
      <c r="BQ213" s="125">
        <f>Tabela1[[#This Row],[Pós MCHC g/dL]]</f>
        <v>32.6</v>
      </c>
      <c r="BR213" s="85" t="str">
        <f>Tabela1[[#This Row],[Pré PLT 10³/mm³]]</f>
        <v>-</v>
      </c>
      <c r="BS213" s="85">
        <f>Tabela1[[#This Row],[Pós PLT 10³/mm³]]</f>
        <v>183</v>
      </c>
      <c r="BT213" s="125" t="str">
        <f>Tabela1[[#This Row],[Pré RDW %]]</f>
        <v>-</v>
      </c>
      <c r="BU213" s="125">
        <f>Tabela1[[#This Row],[Pós RDW %]]</f>
        <v>13</v>
      </c>
      <c r="BV213" s="179" t="str">
        <f>Tabela1[[#This Row],[Pré RET %]]</f>
        <v>-</v>
      </c>
      <c r="BW213" s="196">
        <f>Tabela1[[#This Row],[Pós RET %]]</f>
        <v>8.48E-2</v>
      </c>
      <c r="BX213" s="197" t="str">
        <f>Tabela1[[#This Row],[Pré WBC 10³/mm³]]</f>
        <v>-</v>
      </c>
      <c r="BY213" s="179">
        <f>Tabela1[[#This Row],[Pós WBC 10³/mm³]]</f>
        <v>12.3</v>
      </c>
      <c r="BZ213" s="125" t="str">
        <f>Tabela1[[#This Row],[Pré NEUT %]]</f>
        <v>-</v>
      </c>
      <c r="CA213" s="125">
        <f>Tabela1[[#This Row],[Pós NEUT %]]</f>
        <v>77.2</v>
      </c>
      <c r="CB213" s="125" t="str">
        <f>Tabela1[[#This Row],[Pré LINF %]]</f>
        <v>-</v>
      </c>
      <c r="CC213" s="125">
        <f>Tabela1[[#This Row],[Pós LINF %]]</f>
        <v>14.2</v>
      </c>
      <c r="CD213" s="125" t="str">
        <f>Tabela1[[#This Row],[Pré MONO %]]</f>
        <v>-</v>
      </c>
      <c r="CE213" s="125">
        <f>Tabela1[[#This Row],[Pós MONO %]]</f>
        <v>8.1999999999999993</v>
      </c>
      <c r="CF213" s="125" t="str">
        <f>Tabela1[[#This Row],[Pré EOS %]]</f>
        <v>-</v>
      </c>
      <c r="CG213" s="125">
        <f>Tabela1[[#This Row],[Pós EOS %]]</f>
        <v>0.2</v>
      </c>
      <c r="CH213" s="125" t="str">
        <f>Tabela1[[#This Row],[Pré BASO %]]</f>
        <v>-</v>
      </c>
      <c r="CI213" s="198">
        <f>Tabela1[[#This Row],[Pós BASO %]]</f>
        <v>0.2</v>
      </c>
      <c r="CJ213" s="199" t="str">
        <f t="shared" si="13"/>
        <v>NÃO</v>
      </c>
      <c r="CK213" s="200" t="str">
        <f t="shared" si="14"/>
        <v>NÃO</v>
      </c>
      <c r="CL213" s="194">
        <f t="shared" si="15"/>
        <v>81.37906000000001</v>
      </c>
      <c r="CM213" s="125">
        <f>Tabela1[[#This Row],[MCT KG]]</f>
        <v>88.9</v>
      </c>
      <c r="CN213" s="85">
        <f>Tabela1[[#This Row],[ESTATURA]]</f>
        <v>184.5</v>
      </c>
      <c r="CO213" s="85">
        <f>Tabela1[[#This Row],[vo2max estimado]]</f>
        <v>49.69</v>
      </c>
      <c r="CP213" s="85">
        <f>Tabela1[[#This Row],[Handgrip     Dominante]]</f>
        <v>54</v>
      </c>
      <c r="CQ213" s="85">
        <f>Tabela1[[#This Row],[Handgrip Contrário]]</f>
        <v>50</v>
      </c>
      <c r="CR213" s="281">
        <f>Tabela1[[#This Row],[% gordura]]</f>
        <v>8.4600000000000009</v>
      </c>
    </row>
    <row r="214" spans="1:96" ht="15.75" customHeight="1">
      <c r="A214" s="279">
        <f>Tabela1[[#This Row],[Ano]]</f>
        <v>2019</v>
      </c>
      <c r="B214" s="181" t="str">
        <f>Tabela1[[#This Row],[Missão]]</f>
        <v>CIASC</v>
      </c>
      <c r="C214" s="181">
        <f>Tabela1[[#This Row],[Aluno]]</f>
        <v>3205</v>
      </c>
      <c r="D214" s="181">
        <f>Tabela1[[#This Row],[Idade]]</f>
        <v>32</v>
      </c>
      <c r="E214" s="182">
        <f>Tabela1[[#This Row],[Peso Kg]]</f>
        <v>75.2</v>
      </c>
      <c r="F214" s="191">
        <f>Tabela1[[#This Row],[Cor da pele]]</f>
        <v>1</v>
      </c>
      <c r="G214" s="192" t="str">
        <f>Tabela1[[#This Row],[ACTN3]]</f>
        <v>RR</v>
      </c>
      <c r="H214" s="85" t="str">
        <f>Tabela1[[#This Row],[AGT]]</f>
        <v>-</v>
      </c>
      <c r="I214" s="85" t="str">
        <f>Tabela1[[#This Row],[ECA]]</f>
        <v>ID</v>
      </c>
      <c r="J214" s="85" t="str">
        <f>Tabela1[[#This Row],[BDKRB2]]</f>
        <v>(+9,-9)</v>
      </c>
      <c r="K214" s="85" t="str">
        <f>Tabela1[[#This Row],[Score Força%]]</f>
        <v>-</v>
      </c>
      <c r="L214" s="193" t="str">
        <f>Tabela1[[#This Row],[Score Resistência %]]</f>
        <v>-</v>
      </c>
      <c r="M214" s="192">
        <f>Tabela1[[#This Row],[Pré CK (U/L)]]</f>
        <v>120</v>
      </c>
      <c r="N214" s="85">
        <f>Tabela1[[#This Row],[Pós CK (U/L)]]</f>
        <v>963</v>
      </c>
      <c r="O214" s="85">
        <f>Tabela1[[#This Row],[Pré CK MB U/L]]</f>
        <v>5</v>
      </c>
      <c r="P214" s="85">
        <f>Tabela1[[#This Row],[Pós CK MB U/L]]</f>
        <v>61</v>
      </c>
      <c r="Q214" s="85">
        <f>Tabela1[[#This Row],[Pré Lactato (mmol/L)]]</f>
        <v>2.4</v>
      </c>
      <c r="R214" s="85">
        <f>Tabela1[[#This Row],[Pós Lactato (mmol/L)]]</f>
        <v>3.9</v>
      </c>
      <c r="S214" s="85">
        <f>Tabela1[[#This Row],[Pré LDH (U/L)]]</f>
        <v>153</v>
      </c>
      <c r="T214" s="85">
        <f>Tabela1[[#This Row],[Pós LDH (U/L)]]</f>
        <v>484</v>
      </c>
      <c r="U214" s="85">
        <f>Tabela1[[#This Row],[Pré AST (U/L)]]</f>
        <v>23</v>
      </c>
      <c r="V214" s="193">
        <f>Tabela1[[#This Row],[Pós AST (U/L)]]</f>
        <v>78</v>
      </c>
      <c r="W214" s="194">
        <f>Tabela1[[#This Row],[Pré Albumina (g/dL)]]</f>
        <v>4.3</v>
      </c>
      <c r="X214" s="125">
        <f>Tabela1[[#This Row],[Pós Albumina (g/dL)]]</f>
        <v>5.2</v>
      </c>
      <c r="Y214" s="85">
        <f>Tabela1[[#This Row],[Pré TGP (g/dL)]]</f>
        <v>26</v>
      </c>
      <c r="Z214" s="85">
        <f>Tabela1[[#This Row],[Pós TGP (g/dL)]]</f>
        <v>90</v>
      </c>
      <c r="AA214" s="85">
        <f>Tabela1[[#This Row],[Pré GGT U/L]]</f>
        <v>26</v>
      </c>
      <c r="AB214" s="193">
        <f>Tabela1[[#This Row],[Pós GGT U/L]]</f>
        <v>32</v>
      </c>
      <c r="AC214" s="194">
        <f>Tabela1[[#This Row],[Pré Ac. Úrico (mg/dL)]]</f>
        <v>5.0999999999999996</v>
      </c>
      <c r="AD214" s="125">
        <f>Tabela1[[#This Row],[Pós Ac. Úrico (mg/dL)2]]</f>
        <v>6</v>
      </c>
      <c r="AE21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1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14" s="85">
        <f>Tabela1[[#This Row],[Pré Ureia mg/dL]]</f>
        <v>38</v>
      </c>
      <c r="AH214" s="85">
        <f>Tabela1[[#This Row],[Pós Ureia mg/dL]]</f>
        <v>53</v>
      </c>
      <c r="AI214" s="125">
        <f>Tabela1[[#This Row],[Pré creatinina mg/dL]]</f>
        <v>0.9</v>
      </c>
      <c r="AJ214" s="125">
        <f>Tabela1[[#This Row],[Pós creatinina mg/dL]]</f>
        <v>1</v>
      </c>
      <c r="AK214" s="180">
        <f t="shared" si="12"/>
        <v>9.9999999999999978E-2</v>
      </c>
      <c r="AL214" s="125">
        <f>Tabela1[[#This Row],[Pré Fósforo mg/dL]]</f>
        <v>4</v>
      </c>
      <c r="AM214" s="125">
        <f>Tabela1[[#This Row],[Pós Fósforo mg/dL]]</f>
        <v>3.5</v>
      </c>
      <c r="AN214" s="125">
        <f>Tabela1[[#This Row],[Pré Proteína Total (g/dL)]]</f>
        <v>6.5</v>
      </c>
      <c r="AO214" s="125">
        <f>Tabela1[[#This Row],[Pós Proteína Total (g/dL)]]</f>
        <v>7.6</v>
      </c>
      <c r="AP214" s="85">
        <f>Tabela1[[#This Row],[Pré FE (ug/dL)]]</f>
        <v>10</v>
      </c>
      <c r="AQ214" s="193">
        <f>Tabela1[[#This Row],[Pós FE (ug/dL)]]</f>
        <v>55</v>
      </c>
      <c r="AR214" s="194">
        <f>Tabela1[[#This Row],[Pré calcio mg/dL]]</f>
        <v>1.8</v>
      </c>
      <c r="AS214" s="125">
        <f>Tabela1[[#This Row],[Pós calcio mg/dL]]</f>
        <v>10.4</v>
      </c>
      <c r="AT214" s="125">
        <f>Tabela1[[#This Row],[Pré Potássio mmol/L]]</f>
        <v>4.2</v>
      </c>
      <c r="AU214" s="125">
        <f>Tabela1[[#This Row],[Pós Potássio mmol/L]]</f>
        <v>4.0999999999999996</v>
      </c>
      <c r="AV214" s="85">
        <f>Tabela1[[#This Row],[Glicose pré]]</f>
        <v>141</v>
      </c>
      <c r="AW214" s="85">
        <f>Tabela1[[#This Row],[Glicose pós]]</f>
        <v>141</v>
      </c>
      <c r="AX214" s="85">
        <f>Tabela1[[#This Row],[Pré Sódio mmol/L]]</f>
        <v>138</v>
      </c>
      <c r="AY214" s="85">
        <f>Tabela1[[#This Row],[Pós Sódio mmol/L]]</f>
        <v>142</v>
      </c>
      <c r="AZ214" s="125">
        <f>Tabela1[[#This Row],[Pré Magnésio mg/dL]]</f>
        <v>1.1000000000000001</v>
      </c>
      <c r="BA214" s="125">
        <f>Tabela1[[#This Row],[Pós Magnésio mg/dL]]</f>
        <v>2.1</v>
      </c>
      <c r="BB214" s="85">
        <f>Tabela1[[#This Row],[Pré Cloro mmol/L]]</f>
        <v>99</v>
      </c>
      <c r="BC214" s="85">
        <f>Tabela1[[#This Row],[Pós Cloro mmol/L]]</f>
        <v>103</v>
      </c>
      <c r="BD21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293.83366666666666</v>
      </c>
      <c r="BE21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303.58766666666662</v>
      </c>
      <c r="BF214" s="194" t="str">
        <f>Tabela1[[#This Row],[Pré RBC 10^6/mm³]]</f>
        <v>-</v>
      </c>
      <c r="BG214" s="125">
        <f>Tabela1[[#This Row],[Pós RBC 10^6/mm³]]</f>
        <v>4.79</v>
      </c>
      <c r="BH214" s="125" t="str">
        <f>Tabela1[[#This Row],[Pré HGB g/dL]]</f>
        <v>-</v>
      </c>
      <c r="BI214" s="125">
        <f>Tabela1[[#This Row],[Pós HGB g/dL]]</f>
        <v>14.3</v>
      </c>
      <c r="BJ214" s="125" t="str">
        <f>Tabela1[[#This Row],[Pré HCT %]]</f>
        <v>-</v>
      </c>
      <c r="BK214" s="125">
        <f>Tabela1[[#This Row],[Pós HCT %]]</f>
        <v>42.6</v>
      </c>
      <c r="BL214" s="125" t="str">
        <f>Tabela1[[#This Row],[Pré MCV fL]]</f>
        <v>-</v>
      </c>
      <c r="BM214" s="125">
        <f>Tabela1[[#This Row],[Pós MCV fL]]</f>
        <v>88.9</v>
      </c>
      <c r="BN214" s="125" t="str">
        <f>Tabela1[[#This Row],[Pré MCH pg]]</f>
        <v>-</v>
      </c>
      <c r="BO214" s="125">
        <f>Tabela1[[#This Row],[Pós MCH pg]]</f>
        <v>29.9</v>
      </c>
      <c r="BP214" s="125" t="str">
        <f>Tabela1[[#This Row],[Pré MCHC g/dL]]</f>
        <v>-</v>
      </c>
      <c r="BQ214" s="125">
        <f>Tabela1[[#This Row],[Pós MCHC g/dL]]</f>
        <v>33.6</v>
      </c>
      <c r="BR214" s="85" t="str">
        <f>Tabela1[[#This Row],[Pré PLT 10³/mm³]]</f>
        <v>-</v>
      </c>
      <c r="BS214" s="85">
        <f>Tabela1[[#This Row],[Pós PLT 10³/mm³]]</f>
        <v>257</v>
      </c>
      <c r="BT214" s="125" t="str">
        <f>Tabela1[[#This Row],[Pré RDW %]]</f>
        <v>-</v>
      </c>
      <c r="BU214" s="125">
        <f>Tabela1[[#This Row],[Pós RDW %]]</f>
        <v>12.8</v>
      </c>
      <c r="BV214" s="179" t="str">
        <f>Tabela1[[#This Row],[Pré RET %]]</f>
        <v>-</v>
      </c>
      <c r="BW214" s="196">
        <f>Tabela1[[#This Row],[Pós RET %]]</f>
        <v>7.9000000000000001E-2</v>
      </c>
      <c r="BX214" s="197" t="str">
        <f>Tabela1[[#This Row],[Pré WBC 10³/mm³]]</f>
        <v>-</v>
      </c>
      <c r="BY214" s="179">
        <f>Tabela1[[#This Row],[Pós WBC 10³/mm³]]</f>
        <v>9.82</v>
      </c>
      <c r="BZ214" s="125" t="str">
        <f>Tabela1[[#This Row],[Pré NEUT %]]</f>
        <v>-</v>
      </c>
      <c r="CA214" s="125">
        <f>Tabela1[[#This Row],[Pós NEUT %]]</f>
        <v>71.7</v>
      </c>
      <c r="CB214" s="125" t="str">
        <f>Tabela1[[#This Row],[Pré LINF %]]</f>
        <v>-</v>
      </c>
      <c r="CC214" s="125">
        <f>Tabela1[[#This Row],[Pós LINF %]]</f>
        <v>16.2</v>
      </c>
      <c r="CD214" s="125" t="str">
        <f>Tabela1[[#This Row],[Pré MONO %]]</f>
        <v>-</v>
      </c>
      <c r="CE214" s="125">
        <f>Tabela1[[#This Row],[Pós MONO %]]</f>
        <v>9.6</v>
      </c>
      <c r="CF214" s="125" t="str">
        <f>Tabela1[[#This Row],[Pré EOS %]]</f>
        <v>-</v>
      </c>
      <c r="CG214" s="125">
        <f>Tabela1[[#This Row],[Pós EOS %]]</f>
        <v>1.5</v>
      </c>
      <c r="CH214" s="125" t="str">
        <f>Tabela1[[#This Row],[Pré BASO %]]</f>
        <v>-</v>
      </c>
      <c r="CI214" s="198">
        <f>Tabela1[[#This Row],[Pós BASO %]]</f>
        <v>1</v>
      </c>
      <c r="CJ214" s="199" t="str">
        <f t="shared" si="13"/>
        <v>NÃO</v>
      </c>
      <c r="CK214" s="200" t="str">
        <f t="shared" si="14"/>
        <v>NÃO</v>
      </c>
      <c r="CL214" s="194">
        <f t="shared" si="15"/>
        <v>70.381349999999998</v>
      </c>
      <c r="CM214" s="125">
        <f>Tabela1[[#This Row],[MCT KG]]</f>
        <v>79.5</v>
      </c>
      <c r="CN214" s="85">
        <f>Tabela1[[#This Row],[ESTATURA]]</f>
        <v>176.5</v>
      </c>
      <c r="CO214" s="85">
        <f>Tabela1[[#This Row],[vo2max estimado]]</f>
        <v>52.51</v>
      </c>
      <c r="CP214" s="85">
        <f>Tabela1[[#This Row],[Handgrip     Dominante]]</f>
        <v>48</v>
      </c>
      <c r="CQ214" s="85">
        <f>Tabela1[[#This Row],[Handgrip Contrário]]</f>
        <v>52</v>
      </c>
      <c r="CR214" s="281">
        <f>Tabela1[[#This Row],[% gordura]]</f>
        <v>11.47</v>
      </c>
    </row>
    <row r="215" spans="1:96" ht="15.75" customHeight="1">
      <c r="A215" s="279">
        <f>Tabela1[[#This Row],[Ano]]</f>
        <v>2019</v>
      </c>
      <c r="B215" s="181" t="str">
        <f>Tabela1[[#This Row],[Missão]]</f>
        <v>CIASC</v>
      </c>
      <c r="C215" s="181">
        <f>Tabela1[[#This Row],[Aluno]]</f>
        <v>3213</v>
      </c>
      <c r="D215" s="181">
        <f>Tabela1[[#This Row],[Idade]]</f>
        <v>32</v>
      </c>
      <c r="E215" s="182">
        <f>Tabela1[[#This Row],[Peso Kg]]</f>
        <v>76.2</v>
      </c>
      <c r="F215" s="191">
        <f>Tabela1[[#This Row],[Cor da pele]]</f>
        <v>1</v>
      </c>
      <c r="G215" s="192" t="str">
        <f>Tabela1[[#This Row],[ACTN3]]</f>
        <v>RR</v>
      </c>
      <c r="H215" s="85" t="str">
        <f>Tabela1[[#This Row],[AGT]]</f>
        <v>MT</v>
      </c>
      <c r="I215" s="85" t="str">
        <f>Tabela1[[#This Row],[ECA]]</f>
        <v>ID</v>
      </c>
      <c r="J215" s="85" t="str">
        <f>Tabela1[[#This Row],[BDKRB2]]</f>
        <v>(-9,-9)</v>
      </c>
      <c r="K215" s="85">
        <f>Tabela1[[#This Row],[Score Força%]]</f>
        <v>37.5</v>
      </c>
      <c r="L215" s="193">
        <f>Tabela1[[#This Row],[Score Resistência %]]</f>
        <v>62.5</v>
      </c>
      <c r="M215" s="192">
        <f>Tabela1[[#This Row],[Pré CK (U/L)]]</f>
        <v>154</v>
      </c>
      <c r="N215" s="85">
        <f>Tabela1[[#This Row],[Pós CK (U/L)]]</f>
        <v>5038</v>
      </c>
      <c r="O215" s="85">
        <f>Tabela1[[#This Row],[Pré CK MB U/L]]</f>
        <v>5</v>
      </c>
      <c r="P215" s="85">
        <f>Tabela1[[#This Row],[Pós CK MB U/L]]</f>
        <v>133</v>
      </c>
      <c r="Q215" s="85">
        <f>Tabela1[[#This Row],[Pré Lactato (mmol/L)]]</f>
        <v>2.9</v>
      </c>
      <c r="R215" s="85">
        <f>Tabela1[[#This Row],[Pós Lactato (mmol/L)]]</f>
        <v>6.4</v>
      </c>
      <c r="S215" s="85">
        <f>Tabela1[[#This Row],[Pré LDH (U/L)]]</f>
        <v>149</v>
      </c>
      <c r="T215" s="85">
        <f>Tabela1[[#This Row],[Pós LDH (U/L)]]</f>
        <v>697</v>
      </c>
      <c r="U215" s="85">
        <f>Tabela1[[#This Row],[Pré AST (U/L)]]</f>
        <v>22</v>
      </c>
      <c r="V215" s="193">
        <f>Tabela1[[#This Row],[Pós AST (U/L)]]</f>
        <v>166</v>
      </c>
      <c r="W215" s="194">
        <f>Tabela1[[#This Row],[Pré Albumina (g/dL)]]</f>
        <v>4.5</v>
      </c>
      <c r="X215" s="125">
        <f>Tabela1[[#This Row],[Pós Albumina (g/dL)]]</f>
        <v>4.3</v>
      </c>
      <c r="Y215" s="85">
        <f>Tabela1[[#This Row],[Pré TGP (g/dL)]]</f>
        <v>25</v>
      </c>
      <c r="Z215" s="85">
        <f>Tabela1[[#This Row],[Pós TGP (g/dL)]]</f>
        <v>102</v>
      </c>
      <c r="AA215" s="85">
        <f>Tabela1[[#This Row],[Pré GGT U/L]]</f>
        <v>22</v>
      </c>
      <c r="AB215" s="193">
        <f>Tabela1[[#This Row],[Pós GGT U/L]]</f>
        <v>22</v>
      </c>
      <c r="AC215" s="194">
        <f>Tabela1[[#This Row],[Pré Ac. Úrico (mg/dL)]]</f>
        <v>3.8</v>
      </c>
      <c r="AD215" s="125">
        <f>Tabela1[[#This Row],[Pós Ac. Úrico (mg/dL)2]]</f>
        <v>4.5</v>
      </c>
      <c r="AE21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1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15" s="85">
        <f>Tabela1[[#This Row],[Pré Ureia mg/dL]]</f>
        <v>21</v>
      </c>
      <c r="AH215" s="85">
        <f>Tabela1[[#This Row],[Pós Ureia mg/dL]]</f>
        <v>36</v>
      </c>
      <c r="AI215" s="125">
        <f>Tabela1[[#This Row],[Pré creatinina mg/dL]]</f>
        <v>0.8</v>
      </c>
      <c r="AJ215" s="125">
        <f>Tabela1[[#This Row],[Pós creatinina mg/dL]]</f>
        <v>0.9</v>
      </c>
      <c r="AK215" s="180">
        <f t="shared" si="12"/>
        <v>9.9999999999999978E-2</v>
      </c>
      <c r="AL215" s="125">
        <f>Tabela1[[#This Row],[Pré Fósforo mg/dL]]</f>
        <v>3.3</v>
      </c>
      <c r="AM215" s="125">
        <f>Tabela1[[#This Row],[Pós Fósforo mg/dL]]</f>
        <v>3.2</v>
      </c>
      <c r="AN215" s="125">
        <f>Tabela1[[#This Row],[Pré Proteína Total (g/dL)]]</f>
        <v>7.3</v>
      </c>
      <c r="AO215" s="125">
        <f>Tabela1[[#This Row],[Pós Proteína Total (g/dL)]]</f>
        <v>6.8</v>
      </c>
      <c r="AP215" s="85">
        <f>Tabela1[[#This Row],[Pré FE (ug/dL)]]</f>
        <v>10</v>
      </c>
      <c r="AQ215" s="193">
        <f>Tabela1[[#This Row],[Pós FE (ug/dL)]]</f>
        <v>45</v>
      </c>
      <c r="AR215" s="194">
        <f>Tabela1[[#This Row],[Pré calcio mg/dL]]</f>
        <v>2.1</v>
      </c>
      <c r="AS215" s="125">
        <f>Tabela1[[#This Row],[Pós calcio mg/dL]]</f>
        <v>9.9</v>
      </c>
      <c r="AT215" s="125">
        <f>Tabela1[[#This Row],[Pré Potássio mmol/L]]</f>
        <v>4.8</v>
      </c>
      <c r="AU215" s="125">
        <f>Tabela1[[#This Row],[Pós Potássio mmol/L]]</f>
        <v>4.0999999999999996</v>
      </c>
      <c r="AV215" s="85">
        <f>Tabela1[[#This Row],[Glicose pré]]</f>
        <v>93</v>
      </c>
      <c r="AW215" s="85">
        <f>Tabela1[[#This Row],[Glicose pós]]</f>
        <v>93</v>
      </c>
      <c r="AX215" s="85">
        <f>Tabela1[[#This Row],[Pré Sódio mmol/L]]</f>
        <v>141</v>
      </c>
      <c r="AY215" s="85">
        <f>Tabela1[[#This Row],[Pós Sódio mmol/L]]</f>
        <v>141</v>
      </c>
      <c r="AZ215" s="125">
        <f>Tabela1[[#This Row],[Pré Magnésio mg/dL]]</f>
        <v>1</v>
      </c>
      <c r="BA215" s="125">
        <f>Tabela1[[#This Row],[Pós Magnésio mg/dL]]</f>
        <v>2</v>
      </c>
      <c r="BB215" s="85">
        <f>Tabela1[[#This Row],[Pré Cloro mmol/L]]</f>
        <v>97</v>
      </c>
      <c r="BC215" s="85">
        <f>Tabela1[[#This Row],[Pós Cloro mmol/L]]</f>
        <v>105</v>
      </c>
      <c r="BD21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294.62966666666671</v>
      </c>
      <c r="BE21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295.82766666666669</v>
      </c>
      <c r="BF215" s="194" t="str">
        <f>Tabela1[[#This Row],[Pré RBC 10^6/mm³]]</f>
        <v>-</v>
      </c>
      <c r="BG215" s="125">
        <f>Tabela1[[#This Row],[Pós RBC 10^6/mm³]]</f>
        <v>3.94</v>
      </c>
      <c r="BH215" s="125" t="str">
        <f>Tabela1[[#This Row],[Pré HGB g/dL]]</f>
        <v>-</v>
      </c>
      <c r="BI215" s="125">
        <f>Tabela1[[#This Row],[Pós HGB g/dL]]</f>
        <v>12.4</v>
      </c>
      <c r="BJ215" s="125" t="str">
        <f>Tabela1[[#This Row],[Pré HCT %]]</f>
        <v>-</v>
      </c>
      <c r="BK215" s="125">
        <f>Tabela1[[#This Row],[Pós HCT %]]</f>
        <v>38.1</v>
      </c>
      <c r="BL215" s="125" t="str">
        <f>Tabela1[[#This Row],[Pré MCV fL]]</f>
        <v>-</v>
      </c>
      <c r="BM215" s="125">
        <f>Tabela1[[#This Row],[Pós MCV fL]]</f>
        <v>96.7</v>
      </c>
      <c r="BN215" s="125" t="str">
        <f>Tabela1[[#This Row],[Pré MCH pg]]</f>
        <v>-</v>
      </c>
      <c r="BO215" s="125">
        <f>Tabela1[[#This Row],[Pós MCH pg]]</f>
        <v>31.5</v>
      </c>
      <c r="BP215" s="125" t="str">
        <f>Tabela1[[#This Row],[Pré MCHC g/dL]]</f>
        <v>-</v>
      </c>
      <c r="BQ215" s="125">
        <f>Tabela1[[#This Row],[Pós MCHC g/dL]]</f>
        <v>32.5</v>
      </c>
      <c r="BR215" s="85" t="str">
        <f>Tabela1[[#This Row],[Pré PLT 10³/mm³]]</f>
        <v>-</v>
      </c>
      <c r="BS215" s="85">
        <f>Tabela1[[#This Row],[Pós PLT 10³/mm³]]</f>
        <v>285</v>
      </c>
      <c r="BT215" s="125" t="str">
        <f>Tabela1[[#This Row],[Pré RDW %]]</f>
        <v>-</v>
      </c>
      <c r="BU215" s="125">
        <f>Tabela1[[#This Row],[Pós RDW %]]</f>
        <v>13.9</v>
      </c>
      <c r="BV215" s="179" t="str">
        <f>Tabela1[[#This Row],[Pré RET %]]</f>
        <v>-</v>
      </c>
      <c r="BW215" s="196">
        <f>Tabela1[[#This Row],[Pós RET %]]</f>
        <v>6.3E-2</v>
      </c>
      <c r="BX215" s="197" t="str">
        <f>Tabela1[[#This Row],[Pré WBC 10³/mm³]]</f>
        <v>-</v>
      </c>
      <c r="BY215" s="179">
        <f>Tabela1[[#This Row],[Pós WBC 10³/mm³]]</f>
        <v>13.43</v>
      </c>
      <c r="BZ215" s="125" t="str">
        <f>Tabela1[[#This Row],[Pré NEUT %]]</f>
        <v>-</v>
      </c>
      <c r="CA215" s="125">
        <f>Tabela1[[#This Row],[Pós NEUT %]]</f>
        <v>81.400000000000006</v>
      </c>
      <c r="CB215" s="125" t="str">
        <f>Tabela1[[#This Row],[Pré LINF %]]</f>
        <v>-</v>
      </c>
      <c r="CC215" s="125">
        <f>Tabela1[[#This Row],[Pós LINF %]]</f>
        <v>8.8000000000000007</v>
      </c>
      <c r="CD215" s="125" t="str">
        <f>Tabela1[[#This Row],[Pré MONO %]]</f>
        <v>-</v>
      </c>
      <c r="CE215" s="125">
        <f>Tabela1[[#This Row],[Pós MONO %]]</f>
        <v>9.6</v>
      </c>
      <c r="CF215" s="125" t="str">
        <f>Tabela1[[#This Row],[Pré EOS %]]</f>
        <v>-</v>
      </c>
      <c r="CG215" s="125">
        <f>Tabela1[[#This Row],[Pós EOS %]]</f>
        <v>0.1</v>
      </c>
      <c r="CH215" s="125" t="str">
        <f>Tabela1[[#This Row],[Pré BASO %]]</f>
        <v>-</v>
      </c>
      <c r="CI215" s="198">
        <f>Tabela1[[#This Row],[Pós BASO %]]</f>
        <v>0.1</v>
      </c>
      <c r="CJ215" s="199" t="str">
        <f t="shared" si="13"/>
        <v>NÃO</v>
      </c>
      <c r="CK215" s="200" t="str">
        <f t="shared" si="14"/>
        <v>SIM</v>
      </c>
      <c r="CL215" s="194">
        <f t="shared" si="15"/>
        <v>71.386020000000002</v>
      </c>
      <c r="CM215" s="125">
        <f>Tabela1[[#This Row],[MCT KG]]</f>
        <v>77.400000000000006</v>
      </c>
      <c r="CN215" s="85">
        <f>Tabela1[[#This Row],[ESTATURA]]</f>
        <v>175</v>
      </c>
      <c r="CO215" s="85">
        <f>Tabela1[[#This Row],[vo2max estimado]]</f>
        <v>53.39</v>
      </c>
      <c r="CP215" s="85">
        <f>Tabela1[[#This Row],[Handgrip     Dominante]]</f>
        <v>48</v>
      </c>
      <c r="CQ215" s="85">
        <f>Tabela1[[#This Row],[Handgrip Contrário]]</f>
        <v>44</v>
      </c>
      <c r="CR215" s="281">
        <f>Tabela1[[#This Row],[% gordura]]</f>
        <v>7.77</v>
      </c>
    </row>
    <row r="216" spans="1:96" ht="15.75" customHeight="1">
      <c r="A216" s="279">
        <f>Tabela1[[#This Row],[Ano]]</f>
        <v>2019</v>
      </c>
      <c r="B216" s="181" t="str">
        <f>Tabela1[[#This Row],[Missão]]</f>
        <v>CIASC</v>
      </c>
      <c r="C216" s="181">
        <f>Tabela1[[#This Row],[Aluno]]</f>
        <v>3214</v>
      </c>
      <c r="D216" s="181">
        <f>Tabela1[[#This Row],[Idade]]</f>
        <v>31</v>
      </c>
      <c r="E216" s="182">
        <f>Tabela1[[#This Row],[Peso Kg]]</f>
        <v>79</v>
      </c>
      <c r="F216" s="191">
        <f>Tabela1[[#This Row],[Cor da pele]]</f>
        <v>1</v>
      </c>
      <c r="G216" s="192" t="str">
        <f>Tabela1[[#This Row],[ACTN3]]</f>
        <v>RX</v>
      </c>
      <c r="H216" s="85" t="str">
        <f>Tabela1[[#This Row],[AGT]]</f>
        <v>MM</v>
      </c>
      <c r="I216" s="85" t="str">
        <f>Tabela1[[#This Row],[ECA]]</f>
        <v>II</v>
      </c>
      <c r="J216" s="85" t="str">
        <f>Tabela1[[#This Row],[BDKRB2]]</f>
        <v>(+9,+9)</v>
      </c>
      <c r="K216" s="85">
        <f>Tabela1[[#This Row],[Score Força%]]</f>
        <v>25</v>
      </c>
      <c r="L216" s="193">
        <f>Tabela1[[#This Row],[Score Resistência %]]</f>
        <v>75</v>
      </c>
      <c r="M216" s="192">
        <f>Tabela1[[#This Row],[Pré CK (U/L)]]</f>
        <v>123</v>
      </c>
      <c r="N216" s="85">
        <f>Tabela1[[#This Row],[Pós CK (U/L)]]</f>
        <v>696</v>
      </c>
      <c r="O216" s="85">
        <f>Tabela1[[#This Row],[Pré CK MB U/L]]</f>
        <v>4</v>
      </c>
      <c r="P216" s="85">
        <f>Tabela1[[#This Row],[Pós CK MB U/L]]</f>
        <v>34</v>
      </c>
      <c r="Q216" s="85">
        <f>Tabela1[[#This Row],[Pré Lactato (mmol/L)]]</f>
        <v>3.2</v>
      </c>
      <c r="R216" s="85">
        <f>Tabela1[[#This Row],[Pós Lactato (mmol/L)]]</f>
        <v>3.2</v>
      </c>
      <c r="S216" s="85">
        <f>Tabela1[[#This Row],[Pré LDH (U/L)]]</f>
        <v>140</v>
      </c>
      <c r="T216" s="85">
        <f>Tabela1[[#This Row],[Pós LDH (U/L)]]</f>
        <v>299</v>
      </c>
      <c r="U216" s="85">
        <f>Tabela1[[#This Row],[Pré AST (U/L)]]</f>
        <v>24</v>
      </c>
      <c r="V216" s="193">
        <f>Tabela1[[#This Row],[Pós AST (U/L)]]</f>
        <v>55</v>
      </c>
      <c r="W216" s="194">
        <f>Tabela1[[#This Row],[Pré Albumina (g/dL)]]</f>
        <v>4.0999999999999996</v>
      </c>
      <c r="X216" s="125">
        <f>Tabela1[[#This Row],[Pós Albumina (g/dL)]]</f>
        <v>4.2</v>
      </c>
      <c r="Y216" s="85">
        <f>Tabela1[[#This Row],[Pré TGP (g/dL)]]</f>
        <v>26</v>
      </c>
      <c r="Z216" s="85">
        <f>Tabela1[[#This Row],[Pós TGP (g/dL)]]</f>
        <v>45</v>
      </c>
      <c r="AA216" s="85">
        <f>Tabela1[[#This Row],[Pré GGT U/L]]</f>
        <v>26</v>
      </c>
      <c r="AB216" s="193">
        <f>Tabela1[[#This Row],[Pós GGT U/L]]</f>
        <v>34</v>
      </c>
      <c r="AC216" s="194">
        <f>Tabela1[[#This Row],[Pré Ac. Úrico (mg/dL)]]</f>
        <v>5</v>
      </c>
      <c r="AD216" s="125">
        <f>Tabela1[[#This Row],[Pós Ac. Úrico (mg/dL)2]]</f>
        <v>5.7</v>
      </c>
      <c r="AE21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1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128.71280700150223</v>
      </c>
      <c r="AG216" s="85">
        <f>Tabela1[[#This Row],[Pré Ureia mg/dL]]</f>
        <v>31</v>
      </c>
      <c r="AH216" s="85">
        <f>Tabela1[[#This Row],[Pós Ureia mg/dL]]</f>
        <v>37</v>
      </c>
      <c r="AI216" s="125">
        <f>Tabela1[[#This Row],[Pré creatinina mg/dL]]</f>
        <v>0.8</v>
      </c>
      <c r="AJ216" s="125">
        <f>Tabela1[[#This Row],[Pós creatinina mg/dL]]</f>
        <v>0.7</v>
      </c>
      <c r="AK216" s="180">
        <f t="shared" si="12"/>
        <v>0</v>
      </c>
      <c r="AL216" s="125">
        <f>Tabela1[[#This Row],[Pré Fósforo mg/dL]]</f>
        <v>3.3</v>
      </c>
      <c r="AM216" s="125">
        <f>Tabela1[[#This Row],[Pós Fósforo mg/dL]]</f>
        <v>3.7</v>
      </c>
      <c r="AN216" s="125">
        <f>Tabela1[[#This Row],[Pré Proteína Total (g/dL)]]</f>
        <v>6.5</v>
      </c>
      <c r="AO216" s="125">
        <f>Tabela1[[#This Row],[Pós Proteína Total (g/dL)]]</f>
        <v>6.7</v>
      </c>
      <c r="AP216" s="85">
        <f>Tabela1[[#This Row],[Pré FE (ug/dL)]]</f>
        <v>10</v>
      </c>
      <c r="AQ216" s="193">
        <f>Tabela1[[#This Row],[Pós FE (ug/dL)]]</f>
        <v>40</v>
      </c>
      <c r="AR216" s="194">
        <f>Tabela1[[#This Row],[Pré calcio mg/dL]]</f>
        <v>1.8</v>
      </c>
      <c r="AS216" s="125">
        <f>Tabela1[[#This Row],[Pós calcio mg/dL]]</f>
        <v>9.5</v>
      </c>
      <c r="AT216" s="125">
        <f>Tabela1[[#This Row],[Pré Potássio mmol/L]]</f>
        <v>4.0999999999999996</v>
      </c>
      <c r="AU216" s="125">
        <f>Tabela1[[#This Row],[Pós Potássio mmol/L]]</f>
        <v>4.2</v>
      </c>
      <c r="AV216" s="85">
        <f>Tabela1[[#This Row],[Glicose pré]]</f>
        <v>117</v>
      </c>
      <c r="AW216" s="85">
        <f>Tabela1[[#This Row],[Glicose pós]]</f>
        <v>117</v>
      </c>
      <c r="AX216" s="85">
        <f>Tabela1[[#This Row],[Pré Sódio mmol/L]]</f>
        <v>141</v>
      </c>
      <c r="AY216" s="85">
        <f>Tabela1[[#This Row],[Pós Sódio mmol/L]]</f>
        <v>138</v>
      </c>
      <c r="AZ216" s="125">
        <f>Tabela1[[#This Row],[Pré Magnésio mg/dL]]</f>
        <v>1</v>
      </c>
      <c r="BA216" s="125">
        <f>Tabela1[[#This Row],[Pós Magnésio mg/dL]]</f>
        <v>2</v>
      </c>
      <c r="BB216" s="85">
        <f>Tabela1[[#This Row],[Pré Cloro mmol/L]]</f>
        <v>97</v>
      </c>
      <c r="BC216" s="85">
        <f>Tabela1[[#This Row],[Pós Cloro mmol/L]]</f>
        <v>101</v>
      </c>
      <c r="BD21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296.52766666666673</v>
      </c>
      <c r="BE21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292.13366666666673</v>
      </c>
      <c r="BF216" s="194" t="str">
        <f>Tabela1[[#This Row],[Pré RBC 10^6/mm³]]</f>
        <v>-</v>
      </c>
      <c r="BG216" s="125">
        <f>Tabela1[[#This Row],[Pós RBC 10^6/mm³]]</f>
        <v>4.58</v>
      </c>
      <c r="BH216" s="125" t="str">
        <f>Tabela1[[#This Row],[Pré HGB g/dL]]</f>
        <v>-</v>
      </c>
      <c r="BI216" s="125">
        <f>Tabela1[[#This Row],[Pós HGB g/dL]]</f>
        <v>13.1</v>
      </c>
      <c r="BJ216" s="125" t="str">
        <f>Tabela1[[#This Row],[Pré HCT %]]</f>
        <v>-</v>
      </c>
      <c r="BK216" s="125">
        <f>Tabela1[[#This Row],[Pós HCT %]]</f>
        <v>39.6</v>
      </c>
      <c r="BL216" s="125" t="str">
        <f>Tabela1[[#This Row],[Pré MCV fL]]</f>
        <v>-</v>
      </c>
      <c r="BM216" s="125">
        <f>Tabela1[[#This Row],[Pós MCV fL]]</f>
        <v>86.5</v>
      </c>
      <c r="BN216" s="125" t="str">
        <f>Tabela1[[#This Row],[Pré MCH pg]]</f>
        <v>-</v>
      </c>
      <c r="BO216" s="125">
        <f>Tabela1[[#This Row],[Pós MCH pg]]</f>
        <v>28.6</v>
      </c>
      <c r="BP216" s="125" t="str">
        <f>Tabela1[[#This Row],[Pré MCHC g/dL]]</f>
        <v>-</v>
      </c>
      <c r="BQ216" s="125">
        <f>Tabela1[[#This Row],[Pós MCHC g/dL]]</f>
        <v>33.1</v>
      </c>
      <c r="BR216" s="85" t="str">
        <f>Tabela1[[#This Row],[Pré PLT 10³/mm³]]</f>
        <v>-</v>
      </c>
      <c r="BS216" s="85">
        <f>Tabela1[[#This Row],[Pós PLT 10³/mm³]]</f>
        <v>256</v>
      </c>
      <c r="BT216" s="125" t="str">
        <f>Tabela1[[#This Row],[Pré RDW %]]</f>
        <v>-</v>
      </c>
      <c r="BU216" s="125">
        <f>Tabela1[[#This Row],[Pós RDW %]]</f>
        <v>12.8</v>
      </c>
      <c r="BV216" s="179" t="str">
        <f>Tabela1[[#This Row],[Pré RET %]]</f>
        <v>-</v>
      </c>
      <c r="BW216" s="196" t="str">
        <f>Tabela1[[#This Row],[Pós RET %]]</f>
        <v>-</v>
      </c>
      <c r="BX216" s="197" t="str">
        <f>Tabela1[[#This Row],[Pré WBC 10³/mm³]]</f>
        <v>-</v>
      </c>
      <c r="BY216" s="179">
        <f>Tabela1[[#This Row],[Pós WBC 10³/mm³]]</f>
        <v>9.3699999999999992</v>
      </c>
      <c r="BZ216" s="125" t="str">
        <f>Tabela1[[#This Row],[Pré NEUT %]]</f>
        <v>-</v>
      </c>
      <c r="CA216" s="125">
        <f>Tabela1[[#This Row],[Pós NEUT %]]</f>
        <v>80.599999999999994</v>
      </c>
      <c r="CB216" s="125" t="str">
        <f>Tabela1[[#This Row],[Pré LINF %]]</f>
        <v>-</v>
      </c>
      <c r="CC216" s="125">
        <f>Tabela1[[#This Row],[Pós LINF %]]</f>
        <v>11.8</v>
      </c>
      <c r="CD216" s="125" t="str">
        <f>Tabela1[[#This Row],[Pré MONO %]]</f>
        <v>-</v>
      </c>
      <c r="CE216" s="125">
        <f>Tabela1[[#This Row],[Pós MONO %]]</f>
        <v>7</v>
      </c>
      <c r="CF216" s="125" t="str">
        <f>Tabela1[[#This Row],[Pré EOS %]]</f>
        <v>-</v>
      </c>
      <c r="CG216" s="125">
        <f>Tabela1[[#This Row],[Pós EOS %]]</f>
        <v>0.4</v>
      </c>
      <c r="CH216" s="125" t="str">
        <f>Tabela1[[#This Row],[Pré BASO %]]</f>
        <v>-</v>
      </c>
      <c r="CI216" s="198">
        <f>Tabela1[[#This Row],[Pós BASO %]]</f>
        <v>0.2</v>
      </c>
      <c r="CJ216" s="199" t="str">
        <f t="shared" si="13"/>
        <v>NÃO</v>
      </c>
      <c r="CK216" s="200" t="str">
        <f t="shared" si="14"/>
        <v>NÃO</v>
      </c>
      <c r="CL216" s="194">
        <f t="shared" si="15"/>
        <v>70.427400000000006</v>
      </c>
      <c r="CM216" s="125">
        <f>Tabela1[[#This Row],[MCT KG]]</f>
        <v>80.25</v>
      </c>
      <c r="CN216" s="85">
        <f>Tabela1[[#This Row],[ESTATURA]]</f>
        <v>178</v>
      </c>
      <c r="CO216" s="85">
        <f>Tabela1[[#This Row],[vo2max estimado]]</f>
        <v>51.39</v>
      </c>
      <c r="CP216" s="85">
        <f>Tabela1[[#This Row],[Handgrip     Dominante]]</f>
        <v>48</v>
      </c>
      <c r="CQ216" s="85">
        <f>Tabela1[[#This Row],[Handgrip Contrário]]</f>
        <v>47</v>
      </c>
      <c r="CR216" s="281">
        <f>Tabela1[[#This Row],[% gordura]]</f>
        <v>12.24</v>
      </c>
    </row>
    <row r="217" spans="1:96" ht="15.75" customHeight="1">
      <c r="A217" s="279">
        <f>Tabela1[[#This Row],[Ano]]</f>
        <v>2019</v>
      </c>
      <c r="B217" s="181" t="str">
        <f>Tabela1[[#This Row],[Missão]]</f>
        <v>CIASC</v>
      </c>
      <c r="C217" s="181">
        <f>Tabela1[[#This Row],[Aluno]]</f>
        <v>3215</v>
      </c>
      <c r="D217" s="181">
        <f>Tabela1[[#This Row],[Idade]]</f>
        <v>33</v>
      </c>
      <c r="E217" s="182">
        <f>Tabela1[[#This Row],[Peso Kg]]</f>
        <v>73.400000000000006</v>
      </c>
      <c r="F217" s="191">
        <f>Tabela1[[#This Row],[Cor da pele]]</f>
        <v>1</v>
      </c>
      <c r="G217" s="192" t="str">
        <f>Tabela1[[#This Row],[ACTN3]]</f>
        <v>XX</v>
      </c>
      <c r="H217" s="85" t="str">
        <f>Tabela1[[#This Row],[AGT]]</f>
        <v>MM</v>
      </c>
      <c r="I217" s="85" t="str">
        <f>Tabela1[[#This Row],[ECA]]</f>
        <v>ID</v>
      </c>
      <c r="J217" s="85" t="str">
        <f>Tabela1[[#This Row],[BDKRB2]]</f>
        <v>(+9,-9)</v>
      </c>
      <c r="K217" s="85">
        <f>Tabela1[[#This Row],[Score Força%]]</f>
        <v>25</v>
      </c>
      <c r="L217" s="193">
        <f>Tabela1[[#This Row],[Score Resistência %]]</f>
        <v>75</v>
      </c>
      <c r="M217" s="192">
        <f>Tabela1[[#This Row],[Pré CK (U/L)]]</f>
        <v>77</v>
      </c>
      <c r="N217" s="85">
        <f>Tabela1[[#This Row],[Pós CK (U/L)]]</f>
        <v>583</v>
      </c>
      <c r="O217" s="85">
        <f>Tabela1[[#This Row],[Pré CK MB U/L]]</f>
        <v>3</v>
      </c>
      <c r="P217" s="85">
        <f>Tabela1[[#This Row],[Pós CK MB U/L]]</f>
        <v>40</v>
      </c>
      <c r="Q217" s="85">
        <f>Tabela1[[#This Row],[Pré Lactato (mmol/L)]]</f>
        <v>2.2000000000000002</v>
      </c>
      <c r="R217" s="85">
        <f>Tabela1[[#This Row],[Pós Lactato (mmol/L)]]</f>
        <v>3.3</v>
      </c>
      <c r="S217" s="85">
        <f>Tabela1[[#This Row],[Pré LDH (U/L)]]</f>
        <v>149</v>
      </c>
      <c r="T217" s="85">
        <f>Tabela1[[#This Row],[Pós LDH (U/L)]]</f>
        <v>365</v>
      </c>
      <c r="U217" s="85">
        <f>Tabela1[[#This Row],[Pré AST (U/L)]]</f>
        <v>17</v>
      </c>
      <c r="V217" s="193">
        <f>Tabela1[[#This Row],[Pós AST (U/L)]]</f>
        <v>65</v>
      </c>
      <c r="W217" s="194">
        <f>Tabela1[[#This Row],[Pré Albumina (g/dL)]]</f>
        <v>4</v>
      </c>
      <c r="X217" s="125">
        <f>Tabela1[[#This Row],[Pós Albumina (g/dL)]]</f>
        <v>4.4000000000000004</v>
      </c>
      <c r="Y217" s="85">
        <f>Tabela1[[#This Row],[Pré TGP (g/dL)]]</f>
        <v>18</v>
      </c>
      <c r="Z217" s="85">
        <f>Tabela1[[#This Row],[Pós TGP (g/dL)]]</f>
        <v>66</v>
      </c>
      <c r="AA217" s="85">
        <f>Tabela1[[#This Row],[Pré GGT U/L]]</f>
        <v>15</v>
      </c>
      <c r="AB217" s="193">
        <f>Tabela1[[#This Row],[Pós GGT U/L]]</f>
        <v>28</v>
      </c>
      <c r="AC217" s="194">
        <f>Tabela1[[#This Row],[Pré Ac. Úrico (mg/dL)]]</f>
        <v>2.6</v>
      </c>
      <c r="AD217" s="125">
        <f>Tabela1[[#This Row],[Pós Ac. Úrico (mg/dL)2]]</f>
        <v>4.0999999999999996</v>
      </c>
      <c r="AE21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1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17" s="85">
        <f>Tabela1[[#This Row],[Pré Ureia mg/dL]]</f>
        <v>40</v>
      </c>
      <c r="AH217" s="85">
        <f>Tabela1[[#This Row],[Pós Ureia mg/dL]]</f>
        <v>42</v>
      </c>
      <c r="AI217" s="125">
        <f>Tabela1[[#This Row],[Pré creatinina mg/dL]]</f>
        <v>0.8</v>
      </c>
      <c r="AJ217" s="125">
        <f>Tabela1[[#This Row],[Pós creatinina mg/dL]]</f>
        <v>1</v>
      </c>
      <c r="AK217" s="180">
        <f t="shared" si="12"/>
        <v>0.19999999999999996</v>
      </c>
      <c r="AL217" s="125">
        <f>Tabela1[[#This Row],[Pré Fósforo mg/dL]]</f>
        <v>3</v>
      </c>
      <c r="AM217" s="125">
        <f>Tabela1[[#This Row],[Pós Fósforo mg/dL]]</f>
        <v>3</v>
      </c>
      <c r="AN217" s="125">
        <f>Tabela1[[#This Row],[Pré Proteína Total (g/dL)]]</f>
        <v>6.5</v>
      </c>
      <c r="AO217" s="125">
        <f>Tabela1[[#This Row],[Pós Proteína Total (g/dL)]]</f>
        <v>7.2</v>
      </c>
      <c r="AP217" s="85">
        <f>Tabela1[[#This Row],[Pré FE (ug/dL)]]</f>
        <v>10</v>
      </c>
      <c r="AQ217" s="193">
        <f>Tabela1[[#This Row],[Pós FE (ug/dL)]]</f>
        <v>49</v>
      </c>
      <c r="AR217" s="194">
        <f>Tabela1[[#This Row],[Pré calcio mg/dL]]</f>
        <v>1</v>
      </c>
      <c r="AS217" s="125">
        <f>Tabela1[[#This Row],[Pós calcio mg/dL]]</f>
        <v>9.9</v>
      </c>
      <c r="AT217" s="125">
        <f>Tabela1[[#This Row],[Pré Potássio mmol/L]]</f>
        <v>4.7</v>
      </c>
      <c r="AU217" s="125">
        <f>Tabela1[[#This Row],[Pós Potássio mmol/L]]</f>
        <v>4.0999999999999996</v>
      </c>
      <c r="AV217" s="85">
        <f>Tabela1[[#This Row],[Glicose pré]]</f>
        <v>104</v>
      </c>
      <c r="AW217" s="85">
        <f>Tabela1[[#This Row],[Glicose pós]]</f>
        <v>104</v>
      </c>
      <c r="AX217" s="85">
        <f>Tabela1[[#This Row],[Pré Sódio mmol/L]]</f>
        <v>128</v>
      </c>
      <c r="AY217" s="85">
        <f>Tabela1[[#This Row],[Pós Sódio mmol/L]]</f>
        <v>138</v>
      </c>
      <c r="AZ217" s="125">
        <f>Tabela1[[#This Row],[Pré Magnésio mg/dL]]</f>
        <v>0.4</v>
      </c>
      <c r="BA217" s="125">
        <f>Tabela1[[#This Row],[Pós Magnésio mg/dL]]</f>
        <v>2.1</v>
      </c>
      <c r="BB217" s="85">
        <f>Tabela1[[#This Row],[Pré Cloro mmol/L]]</f>
        <v>89</v>
      </c>
      <c r="BC217" s="85">
        <f>Tabela1[[#This Row],[Pós Cloro mmol/L]]</f>
        <v>104</v>
      </c>
      <c r="BD21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274.13311111111113</v>
      </c>
      <c r="BE21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291.95044444444443</v>
      </c>
      <c r="BF217" s="194" t="str">
        <f>Tabela1[[#This Row],[Pré RBC 10^6/mm³]]</f>
        <v>-</v>
      </c>
      <c r="BG217" s="125">
        <f>Tabela1[[#This Row],[Pós RBC 10^6/mm³]]</f>
        <v>4.47</v>
      </c>
      <c r="BH217" s="125" t="str">
        <f>Tabela1[[#This Row],[Pré HGB g/dL]]</f>
        <v>-</v>
      </c>
      <c r="BI217" s="125">
        <f>Tabela1[[#This Row],[Pós HGB g/dL]]</f>
        <v>13</v>
      </c>
      <c r="BJ217" s="125" t="str">
        <f>Tabela1[[#This Row],[Pré HCT %]]</f>
        <v>-</v>
      </c>
      <c r="BK217" s="125">
        <f>Tabela1[[#This Row],[Pós HCT %]]</f>
        <v>40.200000000000003</v>
      </c>
      <c r="BL217" s="125" t="str">
        <f>Tabela1[[#This Row],[Pré MCV fL]]</f>
        <v>-</v>
      </c>
      <c r="BM217" s="125">
        <f>Tabela1[[#This Row],[Pós MCV fL]]</f>
        <v>89.9</v>
      </c>
      <c r="BN217" s="125" t="str">
        <f>Tabela1[[#This Row],[Pré MCH pg]]</f>
        <v>-</v>
      </c>
      <c r="BO217" s="125">
        <f>Tabela1[[#This Row],[Pós MCH pg]]</f>
        <v>29.1</v>
      </c>
      <c r="BP217" s="125" t="str">
        <f>Tabela1[[#This Row],[Pré MCHC g/dL]]</f>
        <v>-</v>
      </c>
      <c r="BQ217" s="125">
        <f>Tabela1[[#This Row],[Pós MCHC g/dL]]</f>
        <v>32.299999999999997</v>
      </c>
      <c r="BR217" s="85" t="str">
        <f>Tabela1[[#This Row],[Pré PLT 10³/mm³]]</f>
        <v>-</v>
      </c>
      <c r="BS217" s="85">
        <f>Tabela1[[#This Row],[Pós PLT 10³/mm³]]</f>
        <v>281</v>
      </c>
      <c r="BT217" s="125" t="str">
        <f>Tabela1[[#This Row],[Pré RDW %]]</f>
        <v>-</v>
      </c>
      <c r="BU217" s="125">
        <f>Tabela1[[#This Row],[Pós RDW %]]</f>
        <v>13.3</v>
      </c>
      <c r="BV217" s="179" t="str">
        <f>Tabela1[[#This Row],[Pré RET %]]</f>
        <v>-</v>
      </c>
      <c r="BW217" s="196">
        <f>Tabela1[[#This Row],[Pós RET %]]</f>
        <v>7.1499999999999994E-2</v>
      </c>
      <c r="BX217" s="197" t="str">
        <f>Tabela1[[#This Row],[Pré WBC 10³/mm³]]</f>
        <v>-</v>
      </c>
      <c r="BY217" s="179">
        <f>Tabela1[[#This Row],[Pós WBC 10³/mm³]]</f>
        <v>11.83</v>
      </c>
      <c r="BZ217" s="125" t="str">
        <f>Tabela1[[#This Row],[Pré NEUT %]]</f>
        <v>-</v>
      </c>
      <c r="CA217" s="125">
        <f>Tabela1[[#This Row],[Pós NEUT %]]</f>
        <v>86.2</v>
      </c>
      <c r="CB217" s="125" t="str">
        <f>Tabela1[[#This Row],[Pré LINF %]]</f>
        <v>-</v>
      </c>
      <c r="CC217" s="125">
        <f>Tabela1[[#This Row],[Pós LINF %]]</f>
        <v>7.7</v>
      </c>
      <c r="CD217" s="125" t="str">
        <f>Tabela1[[#This Row],[Pré MONO %]]</f>
        <v>-</v>
      </c>
      <c r="CE217" s="125">
        <f>Tabela1[[#This Row],[Pós MONO %]]</f>
        <v>5.3</v>
      </c>
      <c r="CF217" s="125" t="str">
        <f>Tabela1[[#This Row],[Pré EOS %]]</f>
        <v>-</v>
      </c>
      <c r="CG217" s="125">
        <f>Tabela1[[#This Row],[Pós EOS %]]</f>
        <v>0.5</v>
      </c>
      <c r="CH217" s="125" t="str">
        <f>Tabela1[[#This Row],[Pré BASO %]]</f>
        <v>-</v>
      </c>
      <c r="CI217" s="198">
        <f>Tabela1[[#This Row],[Pós BASO %]]</f>
        <v>0.3</v>
      </c>
      <c r="CJ217" s="199" t="str">
        <f t="shared" si="13"/>
        <v>NÃO</v>
      </c>
      <c r="CK217" s="200" t="str">
        <f t="shared" si="14"/>
        <v>NÃO</v>
      </c>
      <c r="CL217" s="194">
        <f t="shared" si="15"/>
        <v>66.237339999999989</v>
      </c>
      <c r="CM217" s="125">
        <f>Tabela1[[#This Row],[MCT KG]]</f>
        <v>74.599999999999994</v>
      </c>
      <c r="CN217" s="85">
        <f>Tabela1[[#This Row],[ESTATURA]]</f>
        <v>178.5</v>
      </c>
      <c r="CO217" s="85">
        <f>Tabela1[[#This Row],[vo2max estimado]]</f>
        <v>50</v>
      </c>
      <c r="CP217" s="85">
        <f>Tabela1[[#This Row],[Handgrip     Dominante]]</f>
        <v>62</v>
      </c>
      <c r="CQ217" s="85">
        <f>Tabela1[[#This Row],[Handgrip Contrário]]</f>
        <v>58</v>
      </c>
      <c r="CR217" s="281">
        <f>Tabela1[[#This Row],[% gordura]]</f>
        <v>11.21</v>
      </c>
    </row>
    <row r="218" spans="1:96" ht="15.75" customHeight="1">
      <c r="A218" s="279">
        <f>Tabela1[[#This Row],[Ano]]</f>
        <v>2019</v>
      </c>
      <c r="B218" s="181" t="str">
        <f>Tabela1[[#This Row],[Missão]]</f>
        <v>CIASC</v>
      </c>
      <c r="C218" s="181">
        <f>Tabela1[[#This Row],[Aluno]]</f>
        <v>3216</v>
      </c>
      <c r="D218" s="181">
        <f>Tabela1[[#This Row],[Idade]]</f>
        <v>31</v>
      </c>
      <c r="E218" s="182">
        <f>Tabela1[[#This Row],[Peso Kg]]</f>
        <v>70</v>
      </c>
      <c r="F218" s="191">
        <f>Tabela1[[#This Row],[Cor da pele]]</f>
        <v>1</v>
      </c>
      <c r="G218" s="192" t="str">
        <f>Tabela1[[#This Row],[ACTN3]]</f>
        <v>RR</v>
      </c>
      <c r="H218" s="85" t="str">
        <f>Tabela1[[#This Row],[AGT]]</f>
        <v>MM</v>
      </c>
      <c r="I218" s="85" t="str">
        <f>Tabela1[[#This Row],[ECA]]</f>
        <v>ID</v>
      </c>
      <c r="J218" s="85" t="str">
        <f>Tabela1[[#This Row],[BDKRB2]]</f>
        <v>(+9,-9)</v>
      </c>
      <c r="K218" s="85">
        <f>Tabela1[[#This Row],[Score Força%]]</f>
        <v>50</v>
      </c>
      <c r="L218" s="193">
        <f>Tabela1[[#This Row],[Score Resistência %]]</f>
        <v>50</v>
      </c>
      <c r="M218" s="192">
        <f>Tabela1[[#This Row],[Pré CK (U/L)]]</f>
        <v>186</v>
      </c>
      <c r="N218" s="85">
        <f>Tabela1[[#This Row],[Pós CK (U/L)]]</f>
        <v>928</v>
      </c>
      <c r="O218" s="85">
        <f>Tabela1[[#This Row],[Pré CK MB U/L]]</f>
        <v>9</v>
      </c>
      <c r="P218" s="85">
        <f>Tabela1[[#This Row],[Pós CK MB U/L]]</f>
        <v>49</v>
      </c>
      <c r="Q218" s="85">
        <f>Tabela1[[#This Row],[Pré Lactato (mmol/L)]]</f>
        <v>2.9</v>
      </c>
      <c r="R218" s="85">
        <f>Tabela1[[#This Row],[Pós Lactato (mmol/L)]]</f>
        <v>2.6</v>
      </c>
      <c r="S218" s="85">
        <f>Tabela1[[#This Row],[Pré LDH (U/L)]]</f>
        <v>178</v>
      </c>
      <c r="T218" s="85">
        <f>Tabela1[[#This Row],[Pós LDH (U/L)]]</f>
        <v>455</v>
      </c>
      <c r="U218" s="85">
        <f>Tabela1[[#This Row],[Pré AST (U/L)]]</f>
        <v>29</v>
      </c>
      <c r="V218" s="193">
        <f>Tabela1[[#This Row],[Pós AST (U/L)]]</f>
        <v>72</v>
      </c>
      <c r="W218" s="194">
        <f>Tabela1[[#This Row],[Pré Albumina (g/dL)]]</f>
        <v>4.5999999999999996</v>
      </c>
      <c r="X218" s="125">
        <f>Tabela1[[#This Row],[Pós Albumina (g/dL)]]</f>
        <v>4.8</v>
      </c>
      <c r="Y218" s="85">
        <f>Tabela1[[#This Row],[Pré TGP (g/dL)]]</f>
        <v>36</v>
      </c>
      <c r="Z218" s="85">
        <f>Tabela1[[#This Row],[Pós TGP (g/dL)]]</f>
        <v>58</v>
      </c>
      <c r="AA218" s="85">
        <f>Tabela1[[#This Row],[Pré GGT U/L]]</f>
        <v>34</v>
      </c>
      <c r="AB218" s="193">
        <f>Tabela1[[#This Row],[Pós GGT U/L]]</f>
        <v>40</v>
      </c>
      <c r="AC218" s="194">
        <f>Tabela1[[#This Row],[Pré Ac. Úrico (mg/dL)]]</f>
        <v>5.5</v>
      </c>
      <c r="AD218" s="125">
        <f>Tabela1[[#This Row],[Pós Ac. Úrico (mg/dL)2]]</f>
        <v>5.8</v>
      </c>
      <c r="AE21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1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218" s="85">
        <f>Tabela1[[#This Row],[Pré Ureia mg/dL]]</f>
        <v>34</v>
      </c>
      <c r="AH218" s="85">
        <f>Tabela1[[#This Row],[Pós Ureia mg/dL]]</f>
        <v>50</v>
      </c>
      <c r="AI218" s="125">
        <f>Tabela1[[#This Row],[Pré creatinina mg/dL]]</f>
        <v>0.9</v>
      </c>
      <c r="AJ218" s="125">
        <f>Tabela1[[#This Row],[Pós creatinina mg/dL]]</f>
        <v>0.8</v>
      </c>
      <c r="AK218" s="180">
        <f t="shared" si="12"/>
        <v>0</v>
      </c>
      <c r="AL218" s="125">
        <f>Tabela1[[#This Row],[Pré Fósforo mg/dL]]</f>
        <v>2.8</v>
      </c>
      <c r="AM218" s="125">
        <f>Tabela1[[#This Row],[Pós Fósforo mg/dL]]</f>
        <v>3</v>
      </c>
      <c r="AN218" s="125">
        <f>Tabela1[[#This Row],[Pré Proteína Total (g/dL)]]</f>
        <v>7.2</v>
      </c>
      <c r="AO218" s="125">
        <f>Tabela1[[#This Row],[Pós Proteína Total (g/dL)]]</f>
        <v>7.6</v>
      </c>
      <c r="AP218" s="85">
        <f>Tabela1[[#This Row],[Pré FE (ug/dL)]]</f>
        <v>10</v>
      </c>
      <c r="AQ218" s="193">
        <f>Tabela1[[#This Row],[Pós FE (ug/dL)]]</f>
        <v>95</v>
      </c>
      <c r="AR218" s="194">
        <f>Tabela1[[#This Row],[Pré calcio mg/dL]]</f>
        <v>1.9</v>
      </c>
      <c r="AS218" s="125">
        <f>Tabela1[[#This Row],[Pós calcio mg/dL]]</f>
        <v>10.1</v>
      </c>
      <c r="AT218" s="125">
        <f>Tabela1[[#This Row],[Pré Potássio mmol/L]]</f>
        <v>3.8</v>
      </c>
      <c r="AU218" s="125">
        <f>Tabela1[[#This Row],[Pós Potássio mmol/L]]</f>
        <v>3.8</v>
      </c>
      <c r="AV218" s="85">
        <f>Tabela1[[#This Row],[Glicose pré]]</f>
        <v>133</v>
      </c>
      <c r="AW218" s="85">
        <f>Tabela1[[#This Row],[Glicose pós]]</f>
        <v>133</v>
      </c>
      <c r="AX218" s="85">
        <f>Tabela1[[#This Row],[Pré Sódio mmol/L]]</f>
        <v>141</v>
      </c>
      <c r="AY218" s="85">
        <f>Tabela1[[#This Row],[Pós Sódio mmol/L]]</f>
        <v>141</v>
      </c>
      <c r="AZ218" s="125">
        <f>Tabela1[[#This Row],[Pré Magnésio mg/dL]]</f>
        <v>1.2</v>
      </c>
      <c r="BA218" s="125">
        <f>Tabela1[[#This Row],[Pós Magnésio mg/dL]]</f>
        <v>2.2999999999999998</v>
      </c>
      <c r="BB218" s="85">
        <f>Tabela1[[#This Row],[Pré Cloro mmol/L]]</f>
        <v>99</v>
      </c>
      <c r="BC218" s="85">
        <f>Tabela1[[#This Row],[Pós Cloro mmol/L]]</f>
        <v>104</v>
      </c>
      <c r="BD21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297.49188888888892</v>
      </c>
      <c r="BE21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300.15855555555555</v>
      </c>
      <c r="BF218" s="194" t="str">
        <f>Tabela1[[#This Row],[Pré RBC 10^6/mm³]]</f>
        <v>-</v>
      </c>
      <c r="BG218" s="125">
        <f>Tabela1[[#This Row],[Pós RBC 10^6/mm³]]</f>
        <v>4.93</v>
      </c>
      <c r="BH218" s="125" t="str">
        <f>Tabela1[[#This Row],[Pré HGB g/dL]]</f>
        <v>-</v>
      </c>
      <c r="BI218" s="125">
        <f>Tabela1[[#This Row],[Pós HGB g/dL]]</f>
        <v>15.2</v>
      </c>
      <c r="BJ218" s="125" t="str">
        <f>Tabela1[[#This Row],[Pré HCT %]]</f>
        <v>-</v>
      </c>
      <c r="BK218" s="125">
        <f>Tabela1[[#This Row],[Pós HCT %]]</f>
        <v>46.1</v>
      </c>
      <c r="BL218" s="125" t="str">
        <f>Tabela1[[#This Row],[Pré MCV fL]]</f>
        <v>-</v>
      </c>
      <c r="BM218" s="125">
        <f>Tabela1[[#This Row],[Pós MCV fL]]</f>
        <v>93.5</v>
      </c>
      <c r="BN218" s="125" t="str">
        <f>Tabela1[[#This Row],[Pré MCH pg]]</f>
        <v>-</v>
      </c>
      <c r="BO218" s="125">
        <f>Tabela1[[#This Row],[Pós MCH pg]]</f>
        <v>30.8</v>
      </c>
      <c r="BP218" s="125" t="str">
        <f>Tabela1[[#This Row],[Pré MCHC g/dL]]</f>
        <v>-</v>
      </c>
      <c r="BQ218" s="125">
        <f>Tabela1[[#This Row],[Pós MCHC g/dL]]</f>
        <v>33</v>
      </c>
      <c r="BR218" s="85" t="str">
        <f>Tabela1[[#This Row],[Pré PLT 10³/mm³]]</f>
        <v>-</v>
      </c>
      <c r="BS218" s="85">
        <f>Tabela1[[#This Row],[Pós PLT 10³/mm³]]</f>
        <v>215</v>
      </c>
      <c r="BT218" s="125" t="str">
        <f>Tabela1[[#This Row],[Pré RDW %]]</f>
        <v>-</v>
      </c>
      <c r="BU218" s="125">
        <f>Tabela1[[#This Row],[Pós RDW %]]</f>
        <v>12.3</v>
      </c>
      <c r="BV218" s="179" t="str">
        <f>Tabela1[[#This Row],[Pré RET %]]</f>
        <v>-</v>
      </c>
      <c r="BW218" s="196">
        <f>Tabela1[[#This Row],[Pós RET %]]</f>
        <v>7.0999999999999994E-2</v>
      </c>
      <c r="BX218" s="197" t="str">
        <f>Tabela1[[#This Row],[Pré WBC 10³/mm³]]</f>
        <v>-</v>
      </c>
      <c r="BY218" s="179">
        <f>Tabela1[[#This Row],[Pós WBC 10³/mm³]]</f>
        <v>10.51</v>
      </c>
      <c r="BZ218" s="125" t="str">
        <f>Tabela1[[#This Row],[Pré NEUT %]]</f>
        <v>-</v>
      </c>
      <c r="CA218" s="125">
        <f>Tabela1[[#This Row],[Pós NEUT %]]</f>
        <v>84.2</v>
      </c>
      <c r="CB218" s="125" t="str">
        <f>Tabela1[[#This Row],[Pré LINF %]]</f>
        <v>-</v>
      </c>
      <c r="CC218" s="125">
        <f>Tabela1[[#This Row],[Pós LINF %]]</f>
        <v>10.6</v>
      </c>
      <c r="CD218" s="125" t="str">
        <f>Tabela1[[#This Row],[Pré MONO %]]</f>
        <v>-</v>
      </c>
      <c r="CE218" s="125">
        <f>Tabela1[[#This Row],[Pós MONO %]]</f>
        <v>4.5</v>
      </c>
      <c r="CF218" s="125" t="str">
        <f>Tabela1[[#This Row],[Pré EOS %]]</f>
        <v>-</v>
      </c>
      <c r="CG218" s="125">
        <f>Tabela1[[#This Row],[Pós EOS %]]</f>
        <v>0.5</v>
      </c>
      <c r="CH218" s="125" t="str">
        <f>Tabela1[[#This Row],[Pré BASO %]]</f>
        <v>-</v>
      </c>
      <c r="CI218" s="198">
        <f>Tabela1[[#This Row],[Pós BASO %]]</f>
        <v>0.2</v>
      </c>
      <c r="CJ218" s="199" t="str">
        <f t="shared" si="13"/>
        <v>NÃO</v>
      </c>
      <c r="CK218" s="200" t="str">
        <f t="shared" si="14"/>
        <v>NÃO</v>
      </c>
      <c r="CL218" s="194">
        <f t="shared" si="15"/>
        <v>65.387150000000005</v>
      </c>
      <c r="CM218" s="125">
        <f>Tabela1[[#This Row],[MCT KG]]</f>
        <v>70.75</v>
      </c>
      <c r="CN218" s="85">
        <f>Tabela1[[#This Row],[ESTATURA]]</f>
        <v>181.5</v>
      </c>
      <c r="CO218" s="85">
        <f>Tabela1[[#This Row],[vo2max estimado]]</f>
        <v>54.55</v>
      </c>
      <c r="CP218" s="85">
        <f>Tabela1[[#This Row],[Handgrip     Dominante]]</f>
        <v>50</v>
      </c>
      <c r="CQ218" s="85">
        <f>Tabela1[[#This Row],[Handgrip Contrário]]</f>
        <v>42</v>
      </c>
      <c r="CR218" s="281">
        <f>Tabela1[[#This Row],[% gordura]]</f>
        <v>7.58</v>
      </c>
    </row>
    <row r="219" spans="1:96" ht="15.75" customHeight="1">
      <c r="A219" s="279">
        <f>Tabela1[[#This Row],[Ano]]</f>
        <v>2019</v>
      </c>
      <c r="B219" s="181" t="str">
        <f>Tabela1[[#This Row],[Missão]]</f>
        <v>CIASC</v>
      </c>
      <c r="C219" s="181">
        <f>Tabela1[[#This Row],[Aluno]]</f>
        <v>3219</v>
      </c>
      <c r="D219" s="181">
        <f>Tabela1[[#This Row],[Idade]]</f>
        <v>0</v>
      </c>
      <c r="E219" s="182">
        <f>Tabela1[[#This Row],[Peso Kg]]</f>
        <v>0</v>
      </c>
      <c r="F219" s="191">
        <f>Tabela1[[#This Row],[Cor da pele]]</f>
        <v>1</v>
      </c>
      <c r="G219" s="192" t="str">
        <f>Tabela1[[#This Row],[ACTN3]]</f>
        <v>RR</v>
      </c>
      <c r="H219" s="85" t="str">
        <f>Tabela1[[#This Row],[AGT]]</f>
        <v>MT</v>
      </c>
      <c r="I219" s="85" t="str">
        <f>Tabela1[[#This Row],[ECA]]</f>
        <v>DD</v>
      </c>
      <c r="J219" s="85" t="str">
        <f>Tabela1[[#This Row],[BDKRB2]]</f>
        <v>(+9,-9)</v>
      </c>
      <c r="K219" s="85">
        <f>Tabela1[[#This Row],[Score Força%]]</f>
        <v>75</v>
      </c>
      <c r="L219" s="193">
        <f>Tabela1[[#This Row],[Score Resistência %]]</f>
        <v>25</v>
      </c>
      <c r="M219" s="192">
        <f>Tabela1[[#This Row],[Pré CK (U/L)]]</f>
        <v>116</v>
      </c>
      <c r="N219" s="85">
        <f>Tabela1[[#This Row],[Pós CK (U/L)]]</f>
        <v>2974</v>
      </c>
      <c r="O219" s="85">
        <f>Tabela1[[#This Row],[Pré CK MB U/L]]</f>
        <v>6</v>
      </c>
      <c r="P219" s="85">
        <f>Tabela1[[#This Row],[Pós CK MB U/L]]</f>
        <v>81</v>
      </c>
      <c r="Q219" s="85">
        <f>Tabela1[[#This Row],[Pré Lactato (mmol/L)]]</f>
        <v>3.3</v>
      </c>
      <c r="R219" s="85">
        <f>Tabela1[[#This Row],[Pós Lactato (mmol/L)]]</f>
        <v>2.8</v>
      </c>
      <c r="S219" s="85">
        <f>Tabela1[[#This Row],[Pré LDH (U/L)]]</f>
        <v>139</v>
      </c>
      <c r="T219" s="85">
        <f>Tabela1[[#This Row],[Pós LDH (U/L)]]</f>
        <v>617</v>
      </c>
      <c r="U219" s="85">
        <f>Tabela1[[#This Row],[Pré AST (U/L)]]</f>
        <v>17</v>
      </c>
      <c r="V219" s="193">
        <f>Tabela1[[#This Row],[Pós AST (U/L)]]</f>
        <v>156</v>
      </c>
      <c r="W219" s="194">
        <f>Tabela1[[#This Row],[Pré Albumina (g/dL)]]</f>
        <v>4.5999999999999996</v>
      </c>
      <c r="X219" s="125">
        <f>Tabela1[[#This Row],[Pós Albumina (g/dL)]]</f>
        <v>4</v>
      </c>
      <c r="Y219" s="85" t="str">
        <f>Tabela1[[#This Row],[Pré TGP (g/dL)]]</f>
        <v>-</v>
      </c>
      <c r="Z219" s="85">
        <f>Tabela1[[#This Row],[Pós TGP (g/dL)]]</f>
        <v>188</v>
      </c>
      <c r="AA219" s="85">
        <f>Tabela1[[#This Row],[Pré GGT U/L]]</f>
        <v>22</v>
      </c>
      <c r="AB219" s="193">
        <f>Tabela1[[#This Row],[Pós GGT U/L]]</f>
        <v>82</v>
      </c>
      <c r="AC219" s="194">
        <f>Tabela1[[#This Row],[Pré Ac. Úrico (mg/dL)]]</f>
        <v>6.1</v>
      </c>
      <c r="AD219" s="125">
        <f>Tabela1[[#This Row],[Pós Ac. Úrico (mg/dL)2]]</f>
        <v>6.3</v>
      </c>
      <c r="AE21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1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219" s="85">
        <f>Tabela1[[#This Row],[Pré Ureia mg/dL]]</f>
        <v>36</v>
      </c>
      <c r="AH219" s="85">
        <f>Tabela1[[#This Row],[Pós Ureia mg/dL]]</f>
        <v>45</v>
      </c>
      <c r="AI219" s="125">
        <f>Tabela1[[#This Row],[Pré creatinina mg/dL]]</f>
        <v>0.9</v>
      </c>
      <c r="AJ219" s="125">
        <f>Tabela1[[#This Row],[Pós creatinina mg/dL]]</f>
        <v>0.8</v>
      </c>
      <c r="AK219" s="180">
        <f t="shared" si="12"/>
        <v>0</v>
      </c>
      <c r="AL219" s="125">
        <f>Tabela1[[#This Row],[Pré Fósforo mg/dL]]</f>
        <v>3.3</v>
      </c>
      <c r="AM219" s="125">
        <f>Tabela1[[#This Row],[Pós Fósforo mg/dL]]</f>
        <v>3.2</v>
      </c>
      <c r="AN219" s="125">
        <f>Tabela1[[#This Row],[Pré Proteína Total (g/dL)]]</f>
        <v>7.3</v>
      </c>
      <c r="AO219" s="125">
        <f>Tabela1[[#This Row],[Pós Proteína Total (g/dL)]]</f>
        <v>6.4</v>
      </c>
      <c r="AP219" s="85">
        <f>Tabela1[[#This Row],[Pré FE (ug/dL)]]</f>
        <v>10</v>
      </c>
      <c r="AQ219" s="193">
        <f>Tabela1[[#This Row],[Pós FE (ug/dL)]]</f>
        <v>34</v>
      </c>
      <c r="AR219" s="194">
        <f>Tabela1[[#This Row],[Pré calcio mg/dL]]</f>
        <v>2.2000000000000002</v>
      </c>
      <c r="AS219" s="125">
        <f>Tabela1[[#This Row],[Pós calcio mg/dL]]</f>
        <v>9.5</v>
      </c>
      <c r="AT219" s="125">
        <f>Tabela1[[#This Row],[Pré Potássio mmol/L]]</f>
        <v>3.7</v>
      </c>
      <c r="AU219" s="125">
        <f>Tabela1[[#This Row],[Pós Potássio mmol/L]]</f>
        <v>3.6</v>
      </c>
      <c r="AV219" s="85">
        <f>Tabela1[[#This Row],[Glicose pré]]</f>
        <v>91</v>
      </c>
      <c r="AW219" s="85">
        <f>Tabela1[[#This Row],[Glicose pós]]</f>
        <v>91</v>
      </c>
      <c r="AX219" s="85">
        <f>Tabela1[[#This Row],[Pré Sódio mmol/L]]</f>
        <v>140</v>
      </c>
      <c r="AY219" s="85">
        <f>Tabela1[[#This Row],[Pós Sódio mmol/L]]</f>
        <v>142</v>
      </c>
      <c r="AZ219" s="125">
        <f>Tabela1[[#This Row],[Pré Magnésio mg/dL]]</f>
        <v>1.1000000000000001</v>
      </c>
      <c r="BA219" s="125">
        <f>Tabela1[[#This Row],[Pós Magnésio mg/dL]]</f>
        <v>2.1</v>
      </c>
      <c r="BB219" s="85">
        <f>Tabela1[[#This Row],[Pré Cloro mmol/L]]</f>
        <v>97</v>
      </c>
      <c r="BC219" s="85">
        <f>Tabela1[[#This Row],[Pós Cloro mmol/L]]</f>
        <v>107</v>
      </c>
      <c r="BD21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293.09588888888885</v>
      </c>
      <c r="BE21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298.1298888888889</v>
      </c>
      <c r="BF219" s="194" t="str">
        <f>Tabela1[[#This Row],[Pré RBC 10^6/mm³]]</f>
        <v>-</v>
      </c>
      <c r="BG219" s="125">
        <f>Tabela1[[#This Row],[Pós RBC 10^6/mm³]]</f>
        <v>4.0199999999999996</v>
      </c>
      <c r="BH219" s="125" t="str">
        <f>Tabela1[[#This Row],[Pré HGB g/dL]]</f>
        <v>-</v>
      </c>
      <c r="BI219" s="125">
        <f>Tabela1[[#This Row],[Pós HGB g/dL]]</f>
        <v>11.6</v>
      </c>
      <c r="BJ219" s="125" t="str">
        <f>Tabela1[[#This Row],[Pré HCT %]]</f>
        <v>-</v>
      </c>
      <c r="BK219" s="125">
        <f>Tabela1[[#This Row],[Pós HCT %]]</f>
        <v>35.5</v>
      </c>
      <c r="BL219" s="125" t="str">
        <f>Tabela1[[#This Row],[Pré MCV fL]]</f>
        <v>-</v>
      </c>
      <c r="BM219" s="125">
        <f>Tabela1[[#This Row],[Pós MCV fL]]</f>
        <v>88.3</v>
      </c>
      <c r="BN219" s="125" t="str">
        <f>Tabela1[[#This Row],[Pré MCH pg]]</f>
        <v>-</v>
      </c>
      <c r="BO219" s="125">
        <f>Tabela1[[#This Row],[Pós MCH pg]]</f>
        <v>28.9</v>
      </c>
      <c r="BP219" s="125" t="str">
        <f>Tabela1[[#This Row],[Pré MCHC g/dL]]</f>
        <v>-</v>
      </c>
      <c r="BQ219" s="125">
        <f>Tabela1[[#This Row],[Pós MCHC g/dL]]</f>
        <v>32.700000000000003</v>
      </c>
      <c r="BR219" s="85" t="str">
        <f>Tabela1[[#This Row],[Pré PLT 10³/mm³]]</f>
        <v>-</v>
      </c>
      <c r="BS219" s="85">
        <f>Tabela1[[#This Row],[Pós PLT 10³/mm³]]</f>
        <v>214</v>
      </c>
      <c r="BT219" s="125" t="str">
        <f>Tabela1[[#This Row],[Pré RDW %]]</f>
        <v>-</v>
      </c>
      <c r="BU219" s="125">
        <f>Tabela1[[#This Row],[Pós RDW %]]</f>
        <v>13</v>
      </c>
      <c r="BV219" s="179" t="str">
        <f>Tabela1[[#This Row],[Pré RET %]]</f>
        <v>-</v>
      </c>
      <c r="BW219" s="196">
        <f>Tabela1[[#This Row],[Pós RET %]]</f>
        <v>8.0799999999999997E-2</v>
      </c>
      <c r="BX219" s="197" t="str">
        <f>Tabela1[[#This Row],[Pré WBC 10³/mm³]]</f>
        <v>-</v>
      </c>
      <c r="BY219" s="179">
        <f>Tabela1[[#This Row],[Pós WBC 10³/mm³]]</f>
        <v>12.01</v>
      </c>
      <c r="BZ219" s="125" t="str">
        <f>Tabela1[[#This Row],[Pré NEUT %]]</f>
        <v>-</v>
      </c>
      <c r="CA219" s="125">
        <f>Tabela1[[#This Row],[Pós NEUT %]]</f>
        <v>79.7</v>
      </c>
      <c r="CB219" s="125" t="str">
        <f>Tabela1[[#This Row],[Pré LINF %]]</f>
        <v>-</v>
      </c>
      <c r="CC219" s="125">
        <f>Tabela1[[#This Row],[Pós LINF %]]</f>
        <v>14.2</v>
      </c>
      <c r="CD219" s="125" t="str">
        <f>Tabela1[[#This Row],[Pré MONO %]]</f>
        <v>-</v>
      </c>
      <c r="CE219" s="125">
        <f>Tabela1[[#This Row],[Pós MONO %]]</f>
        <v>5.6</v>
      </c>
      <c r="CF219" s="125" t="str">
        <f>Tabela1[[#This Row],[Pré EOS %]]</f>
        <v>-</v>
      </c>
      <c r="CG219" s="125">
        <f>Tabela1[[#This Row],[Pós EOS %]]</f>
        <v>0.2</v>
      </c>
      <c r="CH219" s="125" t="str">
        <f>Tabela1[[#This Row],[Pré BASO %]]</f>
        <v>-</v>
      </c>
      <c r="CI219" s="198">
        <f>Tabela1[[#This Row],[Pós BASO %]]</f>
        <v>0.3</v>
      </c>
      <c r="CJ219" s="199" t="str">
        <f t="shared" si="13"/>
        <v>NÃO</v>
      </c>
      <c r="CK219" s="200" t="str">
        <f t="shared" si="14"/>
        <v>SIM</v>
      </c>
      <c r="CL219" s="194">
        <f t="shared" si="15"/>
        <v>63.753039999999999</v>
      </c>
      <c r="CM219" s="125">
        <f>Tabela1[[#This Row],[MCT KG]]</f>
        <v>76.7</v>
      </c>
      <c r="CN219" s="85">
        <f>Tabela1[[#This Row],[ESTATURA]]</f>
        <v>165</v>
      </c>
      <c r="CO219" s="85">
        <f>Tabela1[[#This Row],[vo2max estimado]]</f>
        <v>49.68</v>
      </c>
      <c r="CP219" s="85">
        <f>Tabela1[[#This Row],[Handgrip     Dominante]]</f>
        <v>52</v>
      </c>
      <c r="CQ219" s="85">
        <f>Tabela1[[#This Row],[Handgrip Contrário]]</f>
        <v>52</v>
      </c>
      <c r="CR219" s="281">
        <f>Tabela1[[#This Row],[% gordura]]</f>
        <v>16.88</v>
      </c>
    </row>
    <row r="220" spans="1:96" ht="15.75" customHeight="1">
      <c r="A220" s="279">
        <f>Tabela1[[#This Row],[Ano]]</f>
        <v>2019</v>
      </c>
      <c r="B220" s="181" t="str">
        <f>Tabela1[[#This Row],[Missão]]</f>
        <v>CIASC</v>
      </c>
      <c r="C220" s="181">
        <f>Tabela1[[#This Row],[Aluno]]</f>
        <v>3221</v>
      </c>
      <c r="D220" s="181">
        <f>Tabela1[[#This Row],[Idade]]</f>
        <v>29</v>
      </c>
      <c r="E220" s="182">
        <f>Tabela1[[#This Row],[Peso Kg]]</f>
        <v>0</v>
      </c>
      <c r="F220" s="191">
        <f>Tabela1[[#This Row],[Cor da pele]]</f>
        <v>1</v>
      </c>
      <c r="G220" s="192" t="str">
        <f>Tabela1[[#This Row],[ACTN3]]</f>
        <v>RX</v>
      </c>
      <c r="H220" s="85" t="str">
        <f>Tabela1[[#This Row],[AGT]]</f>
        <v>MT</v>
      </c>
      <c r="I220" s="85" t="str">
        <f>Tabela1[[#This Row],[ECA]]</f>
        <v>DD</v>
      </c>
      <c r="J220" s="85" t="str">
        <f>Tabela1[[#This Row],[BDKRB2]]</f>
        <v>(+9,-9)</v>
      </c>
      <c r="K220" s="85">
        <f>Tabela1[[#This Row],[Score Força%]]</f>
        <v>62.5</v>
      </c>
      <c r="L220" s="193">
        <f>Tabela1[[#This Row],[Score Resistência %]]</f>
        <v>37.5</v>
      </c>
      <c r="M220" s="192">
        <f>Tabela1[[#This Row],[Pré CK (U/L)]]</f>
        <v>90</v>
      </c>
      <c r="N220" s="85">
        <f>Tabela1[[#This Row],[Pós CK (U/L)]]</f>
        <v>504</v>
      </c>
      <c r="O220" s="85">
        <f>Tabela1[[#This Row],[Pré CK MB U/L]]</f>
        <v>4</v>
      </c>
      <c r="P220" s="85">
        <f>Tabela1[[#This Row],[Pós CK MB U/L]]</f>
        <v>32</v>
      </c>
      <c r="Q220" s="85">
        <f>Tabela1[[#This Row],[Pré Lactato (mmol/L)]]</f>
        <v>3</v>
      </c>
      <c r="R220" s="85">
        <f>Tabela1[[#This Row],[Pós Lactato (mmol/L)]]</f>
        <v>3.4</v>
      </c>
      <c r="S220" s="85">
        <f>Tabela1[[#This Row],[Pré LDH (U/L)]]</f>
        <v>189</v>
      </c>
      <c r="T220" s="85">
        <f>Tabela1[[#This Row],[Pós LDH (U/L)]]</f>
        <v>531</v>
      </c>
      <c r="U220" s="85">
        <f>Tabela1[[#This Row],[Pré AST (U/L)]]</f>
        <v>24</v>
      </c>
      <c r="V220" s="193">
        <f>Tabela1[[#This Row],[Pós AST (U/L)]]</f>
        <v>46</v>
      </c>
      <c r="W220" s="194">
        <f>Tabela1[[#This Row],[Pré Albumina (g/dL)]]</f>
        <v>4.5</v>
      </c>
      <c r="X220" s="125">
        <f>Tabela1[[#This Row],[Pós Albumina (g/dL)]]</f>
        <v>4.7</v>
      </c>
      <c r="Y220" s="85">
        <f>Tabela1[[#This Row],[Pré TGP (g/dL)]]</f>
        <v>37</v>
      </c>
      <c r="Z220" s="85">
        <f>Tabela1[[#This Row],[Pós TGP (g/dL)]]</f>
        <v>54</v>
      </c>
      <c r="AA220" s="85">
        <f>Tabela1[[#This Row],[Pré GGT U/L]]</f>
        <v>26</v>
      </c>
      <c r="AB220" s="193">
        <f>Tabela1[[#This Row],[Pós GGT U/L]]</f>
        <v>35</v>
      </c>
      <c r="AC220" s="194">
        <f>Tabela1[[#This Row],[Pré Ac. Úrico (mg/dL)]]</f>
        <v>5.5</v>
      </c>
      <c r="AD220" s="125">
        <f>Tabela1[[#This Row],[Pós Ac. Úrico (mg/dL)2]]</f>
        <v>5.4</v>
      </c>
      <c r="AE22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2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20" s="85">
        <f>Tabela1[[#This Row],[Pré Ureia mg/dL]]</f>
        <v>46</v>
      </c>
      <c r="AH220" s="85">
        <f>Tabela1[[#This Row],[Pós Ureia mg/dL]]</f>
        <v>58</v>
      </c>
      <c r="AI220" s="125">
        <f>Tabela1[[#This Row],[Pré creatinina mg/dL]]</f>
        <v>0.9</v>
      </c>
      <c r="AJ220" s="125">
        <f>Tabela1[[#This Row],[Pós creatinina mg/dL]]</f>
        <v>0.9</v>
      </c>
      <c r="AK220" s="180">
        <f t="shared" si="12"/>
        <v>0</v>
      </c>
      <c r="AL220" s="125">
        <f>Tabela1[[#This Row],[Pré Fósforo mg/dL]]</f>
        <v>3.9</v>
      </c>
      <c r="AM220" s="125">
        <f>Tabela1[[#This Row],[Pós Fósforo mg/dL]]</f>
        <v>3.5</v>
      </c>
      <c r="AN220" s="125">
        <f>Tabela1[[#This Row],[Pré Proteína Total (g/dL)]]</f>
        <v>7.2</v>
      </c>
      <c r="AO220" s="125">
        <f>Tabela1[[#This Row],[Pós Proteína Total (g/dL)]]</f>
        <v>7.2</v>
      </c>
      <c r="AP220" s="85">
        <f>Tabela1[[#This Row],[Pré FE (ug/dL)]]</f>
        <v>10</v>
      </c>
      <c r="AQ220" s="193">
        <f>Tabela1[[#This Row],[Pós FE (ug/dL)]]</f>
        <v>66</v>
      </c>
      <c r="AR220" s="194">
        <f>Tabela1[[#This Row],[Pré calcio mg/dL]]</f>
        <v>4.5</v>
      </c>
      <c r="AS220" s="125">
        <f>Tabela1[[#This Row],[Pós calcio mg/dL]]</f>
        <v>10</v>
      </c>
      <c r="AT220" s="125">
        <f>Tabela1[[#This Row],[Pré Potássio mmol/L]]</f>
        <v>4.7</v>
      </c>
      <c r="AU220" s="125">
        <f>Tabela1[[#This Row],[Pós Potássio mmol/L]]</f>
        <v>4.4000000000000004</v>
      </c>
      <c r="AV220" s="85">
        <f>Tabela1[[#This Row],[Glicose pré]]</f>
        <v>104</v>
      </c>
      <c r="AW220" s="85">
        <f>Tabela1[[#This Row],[Glicose pós]]</f>
        <v>104</v>
      </c>
      <c r="AX220" s="85">
        <f>Tabela1[[#This Row],[Pré Sódio mmol/L]]</f>
        <v>144</v>
      </c>
      <c r="AY220" s="85">
        <f>Tabela1[[#This Row],[Pós Sódio mmol/L]]</f>
        <v>139</v>
      </c>
      <c r="AZ220" s="125">
        <f>Tabela1[[#This Row],[Pré Magnésio mg/dL]]</f>
        <v>1.8</v>
      </c>
      <c r="BA220" s="125">
        <f>Tabela1[[#This Row],[Pós Magnésio mg/dL]]</f>
        <v>2</v>
      </c>
      <c r="BB220" s="85">
        <f>Tabela1[[#This Row],[Pré Cloro mmol/L]]</f>
        <v>104</v>
      </c>
      <c r="BC220" s="85">
        <f>Tabela1[[#This Row],[Pós Cloro mmol/L]]</f>
        <v>102</v>
      </c>
      <c r="BD22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304.89311111111112</v>
      </c>
      <c r="BE22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297.03511111111118</v>
      </c>
      <c r="BF220" s="194" t="str">
        <f>Tabela1[[#This Row],[Pré RBC 10^6/mm³]]</f>
        <v>-</v>
      </c>
      <c r="BG220" s="125">
        <f>Tabela1[[#This Row],[Pós RBC 10^6/mm³]]</f>
        <v>4.37</v>
      </c>
      <c r="BH220" s="125" t="str">
        <f>Tabela1[[#This Row],[Pré HGB g/dL]]</f>
        <v>-</v>
      </c>
      <c r="BI220" s="125">
        <f>Tabela1[[#This Row],[Pós HGB g/dL]]</f>
        <v>12.6</v>
      </c>
      <c r="BJ220" s="125" t="str">
        <f>Tabela1[[#This Row],[Pré HCT %]]</f>
        <v>-</v>
      </c>
      <c r="BK220" s="125">
        <f>Tabela1[[#This Row],[Pós HCT %]]</f>
        <v>38.4</v>
      </c>
      <c r="BL220" s="125" t="str">
        <f>Tabela1[[#This Row],[Pré MCV fL]]</f>
        <v>-</v>
      </c>
      <c r="BM220" s="125">
        <f>Tabela1[[#This Row],[Pós MCV fL]]</f>
        <v>87.9</v>
      </c>
      <c r="BN220" s="125" t="str">
        <f>Tabela1[[#This Row],[Pré MCH pg]]</f>
        <v>-</v>
      </c>
      <c r="BO220" s="125">
        <f>Tabela1[[#This Row],[Pós MCH pg]]</f>
        <v>28.8</v>
      </c>
      <c r="BP220" s="125" t="str">
        <f>Tabela1[[#This Row],[Pré MCHC g/dL]]</f>
        <v>-</v>
      </c>
      <c r="BQ220" s="125">
        <f>Tabela1[[#This Row],[Pós MCHC g/dL]]</f>
        <v>32.799999999999997</v>
      </c>
      <c r="BR220" s="85" t="str">
        <f>Tabela1[[#This Row],[Pré PLT 10³/mm³]]</f>
        <v>-</v>
      </c>
      <c r="BS220" s="85">
        <f>Tabela1[[#This Row],[Pós PLT 10³/mm³]]</f>
        <v>303</v>
      </c>
      <c r="BT220" s="125" t="str">
        <f>Tabela1[[#This Row],[Pré RDW %]]</f>
        <v>-</v>
      </c>
      <c r="BU220" s="125">
        <f>Tabela1[[#This Row],[Pós RDW %]]</f>
        <v>13.1</v>
      </c>
      <c r="BV220" s="179" t="str">
        <f>Tabela1[[#This Row],[Pré RET %]]</f>
        <v>-</v>
      </c>
      <c r="BW220" s="196">
        <f>Tabela1[[#This Row],[Pós RET %]]</f>
        <v>6.8599999999999994E-2</v>
      </c>
      <c r="BX220" s="197" t="str">
        <f>Tabela1[[#This Row],[Pré WBC 10³/mm³]]</f>
        <v>-</v>
      </c>
      <c r="BY220" s="179">
        <f>Tabela1[[#This Row],[Pós WBC 10³/mm³]]</f>
        <v>13.32</v>
      </c>
      <c r="BZ220" s="125" t="str">
        <f>Tabela1[[#This Row],[Pré NEUT %]]</f>
        <v>-</v>
      </c>
      <c r="CA220" s="125">
        <f>Tabela1[[#This Row],[Pós NEUT %]]</f>
        <v>78.7</v>
      </c>
      <c r="CB220" s="125" t="str">
        <f>Tabela1[[#This Row],[Pré LINF %]]</f>
        <v>-</v>
      </c>
      <c r="CC220" s="125">
        <f>Tabela1[[#This Row],[Pós LINF %]]</f>
        <v>15.3</v>
      </c>
      <c r="CD220" s="125" t="str">
        <f>Tabela1[[#This Row],[Pré MONO %]]</f>
        <v>-</v>
      </c>
      <c r="CE220" s="125">
        <f>Tabela1[[#This Row],[Pós MONO %]]</f>
        <v>5.3</v>
      </c>
      <c r="CF220" s="125" t="str">
        <f>Tabela1[[#This Row],[Pré EOS %]]</f>
        <v>-</v>
      </c>
      <c r="CG220" s="125">
        <f>Tabela1[[#This Row],[Pós EOS %]]</f>
        <v>0.5</v>
      </c>
      <c r="CH220" s="125" t="str">
        <f>Tabela1[[#This Row],[Pré BASO %]]</f>
        <v>-</v>
      </c>
      <c r="CI220" s="198">
        <f>Tabela1[[#This Row],[Pós BASO %]]</f>
        <v>0.2</v>
      </c>
      <c r="CJ220" s="199" t="str">
        <f t="shared" si="13"/>
        <v>NÃO</v>
      </c>
      <c r="CK220" s="200" t="str">
        <f t="shared" si="14"/>
        <v>NÃO</v>
      </c>
      <c r="CL220" s="194">
        <f t="shared" si="15"/>
        <v>75.047719999999998</v>
      </c>
      <c r="CM220" s="125">
        <f>Tabela1[[#This Row],[MCT KG]]</f>
        <v>83.6</v>
      </c>
      <c r="CN220" s="85">
        <f>Tabela1[[#This Row],[ESTATURA]]</f>
        <v>174</v>
      </c>
      <c r="CO220" s="85">
        <f>Tabela1[[#This Row],[vo2max estimado]]</f>
        <v>47.04</v>
      </c>
      <c r="CP220" s="85">
        <f>Tabela1[[#This Row],[Handgrip     Dominante]]</f>
        <v>38</v>
      </c>
      <c r="CQ220" s="85">
        <f>Tabela1[[#This Row],[Handgrip Contrário]]</f>
        <v>32</v>
      </c>
      <c r="CR220" s="281">
        <f>Tabela1[[#This Row],[% gordura]]</f>
        <v>10.23</v>
      </c>
    </row>
    <row r="221" spans="1:96" ht="15.75" customHeight="1">
      <c r="A221" s="279">
        <f>Tabela1[[#This Row],[Ano]]</f>
        <v>2019</v>
      </c>
      <c r="B221" s="181" t="str">
        <f>Tabela1[[#This Row],[Missão]]</f>
        <v>CIASC</v>
      </c>
      <c r="C221" s="181">
        <f>Tabela1[[#This Row],[Aluno]]</f>
        <v>3222</v>
      </c>
      <c r="D221" s="181">
        <f>Tabela1[[#This Row],[Idade]]</f>
        <v>28</v>
      </c>
      <c r="E221" s="182">
        <f>Tabela1[[#This Row],[Peso Kg]]</f>
        <v>61</v>
      </c>
      <c r="F221" s="191">
        <f>Tabela1[[#This Row],[Cor da pele]]</f>
        <v>1</v>
      </c>
      <c r="G221" s="192" t="str">
        <f>Tabela1[[#This Row],[ACTN3]]</f>
        <v>RR</v>
      </c>
      <c r="H221" s="85" t="str">
        <f>Tabela1[[#This Row],[AGT]]</f>
        <v>MT</v>
      </c>
      <c r="I221" s="85" t="str">
        <f>Tabela1[[#This Row],[ECA]]</f>
        <v>ID</v>
      </c>
      <c r="J221" s="85" t="str">
        <f>Tabela1[[#This Row],[BDKRB2]]</f>
        <v>(-9,-9)</v>
      </c>
      <c r="K221" s="85">
        <f>Tabela1[[#This Row],[Score Força%]]</f>
        <v>50</v>
      </c>
      <c r="L221" s="193">
        <f>Tabela1[[#This Row],[Score Resistência %]]</f>
        <v>50</v>
      </c>
      <c r="M221" s="192">
        <f>Tabela1[[#This Row],[Pré CK (U/L)]]</f>
        <v>62</v>
      </c>
      <c r="N221" s="85">
        <f>Tabela1[[#This Row],[Pós CK (U/L)]]</f>
        <v>462</v>
      </c>
      <c r="O221" s="85">
        <f>Tabela1[[#This Row],[Pré CK MB U/L]]</f>
        <v>3</v>
      </c>
      <c r="P221" s="85">
        <f>Tabela1[[#This Row],[Pós CK MB U/L]]</f>
        <v>35</v>
      </c>
      <c r="Q221" s="85">
        <f>Tabela1[[#This Row],[Pré Lactato (mmol/L)]]</f>
        <v>2.1</v>
      </c>
      <c r="R221" s="85">
        <f>Tabela1[[#This Row],[Pós Lactato (mmol/L)]]</f>
        <v>2.4</v>
      </c>
      <c r="S221" s="85">
        <f>Tabela1[[#This Row],[Pré LDH (U/L)]]</f>
        <v>168</v>
      </c>
      <c r="T221" s="85">
        <f>Tabela1[[#This Row],[Pós LDH (U/L)]]</f>
        <v>418</v>
      </c>
      <c r="U221" s="85">
        <f>Tabela1[[#This Row],[Pré AST (U/L)]]</f>
        <v>22</v>
      </c>
      <c r="V221" s="193">
        <f>Tabela1[[#This Row],[Pós AST (U/L)]]</f>
        <v>54</v>
      </c>
      <c r="W221" s="194">
        <f>Tabela1[[#This Row],[Pré Albumina (g/dL)]]</f>
        <v>3.9</v>
      </c>
      <c r="X221" s="125">
        <f>Tabela1[[#This Row],[Pós Albumina (g/dL)]]</f>
        <v>4.5</v>
      </c>
      <c r="Y221" s="85">
        <f>Tabela1[[#This Row],[Pré TGP (g/dL)]]</f>
        <v>21</v>
      </c>
      <c r="Z221" s="85">
        <f>Tabela1[[#This Row],[Pós TGP (g/dL)]]</f>
        <v>49</v>
      </c>
      <c r="AA221" s="85">
        <f>Tabela1[[#This Row],[Pré GGT U/L]]</f>
        <v>17</v>
      </c>
      <c r="AB221" s="193">
        <f>Tabela1[[#This Row],[Pós GGT U/L]]</f>
        <v>20</v>
      </c>
      <c r="AC221" s="194">
        <f>Tabela1[[#This Row],[Pré Ac. Úrico (mg/dL)]]</f>
        <v>4.0999999999999996</v>
      </c>
      <c r="AD221" s="125">
        <f>Tabela1[[#This Row],[Pós Ac. Úrico (mg/dL)2]]</f>
        <v>3.8</v>
      </c>
      <c r="AE22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2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221" s="85">
        <f>Tabela1[[#This Row],[Pré Ureia mg/dL]]</f>
        <v>29</v>
      </c>
      <c r="AH221" s="85">
        <f>Tabela1[[#This Row],[Pós Ureia mg/dL]]</f>
        <v>40</v>
      </c>
      <c r="AI221" s="125">
        <f>Tabela1[[#This Row],[Pré creatinina mg/dL]]</f>
        <v>0.8</v>
      </c>
      <c r="AJ221" s="125">
        <f>Tabela1[[#This Row],[Pós creatinina mg/dL]]</f>
        <v>0.8</v>
      </c>
      <c r="AK221" s="180">
        <f t="shared" si="12"/>
        <v>0</v>
      </c>
      <c r="AL221" s="125">
        <f>Tabela1[[#This Row],[Pré Fósforo mg/dL]]</f>
        <v>2.8</v>
      </c>
      <c r="AM221" s="125">
        <f>Tabela1[[#This Row],[Pós Fósforo mg/dL]]</f>
        <v>3.6</v>
      </c>
      <c r="AN221" s="125">
        <f>Tabela1[[#This Row],[Pré Proteína Total (g/dL)]]</f>
        <v>6</v>
      </c>
      <c r="AO221" s="125">
        <f>Tabela1[[#This Row],[Pós Proteína Total (g/dL)]]</f>
        <v>6.8</v>
      </c>
      <c r="AP221" s="85">
        <f>Tabela1[[#This Row],[Pré FE (ug/dL)]]</f>
        <v>10</v>
      </c>
      <c r="AQ221" s="193">
        <f>Tabela1[[#This Row],[Pós FE (ug/dL)]]</f>
        <v>64</v>
      </c>
      <c r="AR221" s="194">
        <f>Tabela1[[#This Row],[Pré calcio mg/dL]]</f>
        <v>1</v>
      </c>
      <c r="AS221" s="125">
        <f>Tabela1[[#This Row],[Pós calcio mg/dL]]</f>
        <v>9.6999999999999993</v>
      </c>
      <c r="AT221" s="125">
        <f>Tabela1[[#This Row],[Pré Potássio mmol/L]]</f>
        <v>4.3</v>
      </c>
      <c r="AU221" s="125">
        <f>Tabela1[[#This Row],[Pós Potássio mmol/L]]</f>
        <v>4.0999999999999996</v>
      </c>
      <c r="AV221" s="85">
        <f>Tabela1[[#This Row],[Glicose pré]]</f>
        <v>84</v>
      </c>
      <c r="AW221" s="85">
        <f>Tabela1[[#This Row],[Glicose pós]]</f>
        <v>84</v>
      </c>
      <c r="AX221" s="85">
        <f>Tabela1[[#This Row],[Pré Sódio mmol/L]]</f>
        <v>130</v>
      </c>
      <c r="AY221" s="85">
        <f>Tabela1[[#This Row],[Pós Sódio mmol/L]]</f>
        <v>140</v>
      </c>
      <c r="AZ221" s="125">
        <f>Tabela1[[#This Row],[Pré Magnésio mg/dL]]</f>
        <v>0.6</v>
      </c>
      <c r="BA221" s="125">
        <f>Tabela1[[#This Row],[Pós Magnésio mg/dL]]</f>
        <v>2.2000000000000002</v>
      </c>
      <c r="BB221" s="85">
        <f>Tabela1[[#This Row],[Pré Cloro mmol/L]]</f>
        <v>89</v>
      </c>
      <c r="BC221" s="85">
        <f>Tabela1[[#This Row],[Pós Cloro mmol/L]]</f>
        <v>103</v>
      </c>
      <c r="BD22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273.99800000000005</v>
      </c>
      <c r="BE22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294.05933333333337</v>
      </c>
      <c r="BF221" s="194" t="str">
        <f>Tabela1[[#This Row],[Pré RBC 10^6/mm³]]</f>
        <v>-</v>
      </c>
      <c r="BG221" s="125">
        <f>Tabela1[[#This Row],[Pós RBC 10^6/mm³]]</f>
        <v>4.6100000000000003</v>
      </c>
      <c r="BH221" s="125" t="str">
        <f>Tabela1[[#This Row],[Pré HGB g/dL]]</f>
        <v>-</v>
      </c>
      <c r="BI221" s="125">
        <f>Tabela1[[#This Row],[Pós HGB g/dL]]</f>
        <v>13.3</v>
      </c>
      <c r="BJ221" s="125" t="str">
        <f>Tabela1[[#This Row],[Pré HCT %]]</f>
        <v>-</v>
      </c>
      <c r="BK221" s="125">
        <f>Tabela1[[#This Row],[Pós HCT %]]</f>
        <v>40.5</v>
      </c>
      <c r="BL221" s="125" t="str">
        <f>Tabela1[[#This Row],[Pré MCV fL]]</f>
        <v>-</v>
      </c>
      <c r="BM221" s="125">
        <f>Tabela1[[#This Row],[Pós MCV fL]]</f>
        <v>87.9</v>
      </c>
      <c r="BN221" s="125" t="str">
        <f>Tabela1[[#This Row],[Pré MCH pg]]</f>
        <v>-</v>
      </c>
      <c r="BO221" s="125">
        <f>Tabela1[[#This Row],[Pós MCH pg]]</f>
        <v>28.9</v>
      </c>
      <c r="BP221" s="125" t="str">
        <f>Tabela1[[#This Row],[Pré MCHC g/dL]]</f>
        <v>-</v>
      </c>
      <c r="BQ221" s="125">
        <f>Tabela1[[#This Row],[Pós MCHC g/dL]]</f>
        <v>32.799999999999997</v>
      </c>
      <c r="BR221" s="85" t="str">
        <f>Tabela1[[#This Row],[Pré PLT 10³/mm³]]</f>
        <v>-</v>
      </c>
      <c r="BS221" s="85">
        <f>Tabela1[[#This Row],[Pós PLT 10³/mm³]]</f>
        <v>323</v>
      </c>
      <c r="BT221" s="125" t="str">
        <f>Tabela1[[#This Row],[Pré RDW %]]</f>
        <v>-</v>
      </c>
      <c r="BU221" s="125">
        <f>Tabela1[[#This Row],[Pós RDW %]]</f>
        <v>13</v>
      </c>
      <c r="BV221" s="179" t="str">
        <f>Tabela1[[#This Row],[Pré RET %]]</f>
        <v>-</v>
      </c>
      <c r="BW221" s="196">
        <f>Tabela1[[#This Row],[Pós RET %]]</f>
        <v>4.3799999999999999E-2</v>
      </c>
      <c r="BX221" s="197" t="str">
        <f>Tabela1[[#This Row],[Pré WBC 10³/mm³]]</f>
        <v>-</v>
      </c>
      <c r="BY221" s="179">
        <f>Tabela1[[#This Row],[Pós WBC 10³/mm³]]</f>
        <v>4.13</v>
      </c>
      <c r="BZ221" s="125" t="str">
        <f>Tabela1[[#This Row],[Pré NEUT %]]</f>
        <v>-</v>
      </c>
      <c r="CA221" s="125">
        <f>Tabela1[[#This Row],[Pós NEUT %]]</f>
        <v>67.599999999999994</v>
      </c>
      <c r="CB221" s="125" t="str">
        <f>Tabela1[[#This Row],[Pré LINF %]]</f>
        <v>-</v>
      </c>
      <c r="CC221" s="125">
        <f>Tabela1[[#This Row],[Pós LINF %]]</f>
        <v>21.8</v>
      </c>
      <c r="CD221" s="125" t="str">
        <f>Tabela1[[#This Row],[Pré MONO %]]</f>
        <v>-</v>
      </c>
      <c r="CE221" s="125">
        <f>Tabela1[[#This Row],[Pós MONO %]]</f>
        <v>9.9</v>
      </c>
      <c r="CF221" s="125" t="str">
        <f>Tabela1[[#This Row],[Pré EOS %]]</f>
        <v>-</v>
      </c>
      <c r="CG221" s="125">
        <f>Tabela1[[#This Row],[Pós EOS %]]</f>
        <v>0.5</v>
      </c>
      <c r="CH221" s="125" t="str">
        <f>Tabela1[[#This Row],[Pré BASO %]]</f>
        <v>-</v>
      </c>
      <c r="CI221" s="198">
        <f>Tabela1[[#This Row],[Pós BASO %]]</f>
        <v>0.2</v>
      </c>
      <c r="CJ221" s="199" t="str">
        <f t="shared" si="13"/>
        <v>NÃO</v>
      </c>
      <c r="CK221" s="200" t="str">
        <f t="shared" si="14"/>
        <v>NÃO</v>
      </c>
      <c r="CL221" s="194">
        <f t="shared" si="15"/>
        <v>56.283344999999997</v>
      </c>
      <c r="CM221" s="125">
        <f>Tabela1[[#This Row],[MCT KG]]</f>
        <v>62.35</v>
      </c>
      <c r="CN221" s="85">
        <f>Tabela1[[#This Row],[ESTATURA]]</f>
        <v>169</v>
      </c>
      <c r="CO221" s="85">
        <f>Tabela1[[#This Row],[vo2max estimado]]</f>
        <v>52.58</v>
      </c>
      <c r="CP221" s="85">
        <f>Tabela1[[#This Row],[Handgrip     Dominante]]</f>
        <v>44</v>
      </c>
      <c r="CQ221" s="85">
        <f>Tabela1[[#This Row],[Handgrip Contrário]]</f>
        <v>38</v>
      </c>
      <c r="CR221" s="281">
        <f>Tabela1[[#This Row],[% gordura]]</f>
        <v>9.73</v>
      </c>
    </row>
    <row r="222" spans="1:96" ht="15.75" customHeight="1">
      <c r="A222" s="279">
        <f>Tabela1[[#This Row],[Ano]]</f>
        <v>2019</v>
      </c>
      <c r="B222" s="181" t="str">
        <f>Tabela1[[#This Row],[Missão]]</f>
        <v>CIASC</v>
      </c>
      <c r="C222" s="181">
        <f>Tabela1[[#This Row],[Aluno]]</f>
        <v>3229</v>
      </c>
      <c r="D222" s="181">
        <f>Tabela1[[#This Row],[Idade]]</f>
        <v>30</v>
      </c>
      <c r="E222" s="182">
        <f>Tabela1[[#This Row],[Peso Kg]]</f>
        <v>0</v>
      </c>
      <c r="F222" s="191">
        <f>Tabela1[[#This Row],[Cor da pele]]</f>
        <v>1</v>
      </c>
      <c r="G222" s="192" t="str">
        <f>Tabela1[[#This Row],[ACTN3]]</f>
        <v>RX</v>
      </c>
      <c r="H222" s="85" t="str">
        <f>Tabela1[[#This Row],[AGT]]</f>
        <v>MT</v>
      </c>
      <c r="I222" s="85" t="str">
        <f>Tabela1[[#This Row],[ECA]]</f>
        <v>ID</v>
      </c>
      <c r="J222" s="85" t="str">
        <f>Tabela1[[#This Row],[BDKRB2]]</f>
        <v>(+9,+9)</v>
      </c>
      <c r="K222" s="85">
        <f>Tabela1[[#This Row],[Score Força%]]</f>
        <v>62.5</v>
      </c>
      <c r="L222" s="193">
        <f>Tabela1[[#This Row],[Score Resistência %]]</f>
        <v>37.5</v>
      </c>
      <c r="M222" s="192">
        <f>Tabela1[[#This Row],[Pré CK (U/L)]]</f>
        <v>177</v>
      </c>
      <c r="N222" s="85">
        <f>Tabela1[[#This Row],[Pós CK (U/L)]]</f>
        <v>1024</v>
      </c>
      <c r="O222" s="85">
        <f>Tabela1[[#This Row],[Pré CK MB U/L]]</f>
        <v>3</v>
      </c>
      <c r="P222" s="85">
        <f>Tabela1[[#This Row],[Pós CK MB U/L]]</f>
        <v>54</v>
      </c>
      <c r="Q222" s="85">
        <f>Tabela1[[#This Row],[Pré Lactato (mmol/L)]]</f>
        <v>3.2</v>
      </c>
      <c r="R222" s="85">
        <f>Tabela1[[#This Row],[Pós Lactato (mmol/L)]]</f>
        <v>2.2999999999999998</v>
      </c>
      <c r="S222" s="85">
        <f>Tabela1[[#This Row],[Pré LDH (U/L)]]</f>
        <v>157</v>
      </c>
      <c r="T222" s="85">
        <f>Tabela1[[#This Row],[Pós LDH (U/L)]]</f>
        <v>338</v>
      </c>
      <c r="U222" s="85">
        <f>Tabela1[[#This Row],[Pré AST (U/L)]]</f>
        <v>28</v>
      </c>
      <c r="V222" s="193">
        <f>Tabela1[[#This Row],[Pós AST (U/L)]]</f>
        <v>69</v>
      </c>
      <c r="W222" s="194">
        <f>Tabela1[[#This Row],[Pré Albumina (g/dL)]]</f>
        <v>4.7</v>
      </c>
      <c r="X222" s="125">
        <f>Tabela1[[#This Row],[Pós Albumina (g/dL)]]</f>
        <v>4.5</v>
      </c>
      <c r="Y222" s="85">
        <f>Tabela1[[#This Row],[Pré TGP (g/dL)]]</f>
        <v>27</v>
      </c>
      <c r="Z222" s="85">
        <f>Tabela1[[#This Row],[Pós TGP (g/dL)]]</f>
        <v>60</v>
      </c>
      <c r="AA222" s="85">
        <f>Tabela1[[#This Row],[Pré GGT U/L]]</f>
        <v>17</v>
      </c>
      <c r="AB222" s="193">
        <f>Tabela1[[#This Row],[Pós GGT U/L]]</f>
        <v>19</v>
      </c>
      <c r="AC222" s="194">
        <f>Tabela1[[#This Row],[Pré Ac. Úrico (mg/dL)]]</f>
        <v>4.3</v>
      </c>
      <c r="AD222" s="125">
        <f>Tabela1[[#This Row],[Pós Ac. Úrico (mg/dL)2]]</f>
        <v>4.4000000000000004</v>
      </c>
      <c r="AE22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2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22" s="85">
        <f>Tabela1[[#This Row],[Pré Ureia mg/dL]]</f>
        <v>28</v>
      </c>
      <c r="AH222" s="85">
        <f>Tabela1[[#This Row],[Pós Ureia mg/dL]]</f>
        <v>34</v>
      </c>
      <c r="AI222" s="125">
        <f>Tabela1[[#This Row],[Pré creatinina mg/dL]]</f>
        <v>1</v>
      </c>
      <c r="AJ222" s="125">
        <f>Tabela1[[#This Row],[Pós creatinina mg/dL]]</f>
        <v>1</v>
      </c>
      <c r="AK222" s="180">
        <f t="shared" si="12"/>
        <v>0</v>
      </c>
      <c r="AL222" s="125">
        <f>Tabela1[[#This Row],[Pré Fósforo mg/dL]]</f>
        <v>2.9</v>
      </c>
      <c r="AM222" s="125">
        <f>Tabela1[[#This Row],[Pós Fósforo mg/dL]]</f>
        <v>3.4</v>
      </c>
      <c r="AN222" s="125">
        <f>Tabela1[[#This Row],[Pré Proteína Total (g/dL)]]</f>
        <v>7.7</v>
      </c>
      <c r="AO222" s="125">
        <f>Tabela1[[#This Row],[Pós Proteína Total (g/dL)]]</f>
        <v>7.3</v>
      </c>
      <c r="AP222" s="85">
        <f>Tabela1[[#This Row],[Pré FE (ug/dL)]]</f>
        <v>10</v>
      </c>
      <c r="AQ222" s="193">
        <f>Tabela1[[#This Row],[Pós FE (ug/dL)]]</f>
        <v>46</v>
      </c>
      <c r="AR222" s="194">
        <f>Tabela1[[#This Row],[Pré calcio mg/dL]]</f>
        <v>3.1</v>
      </c>
      <c r="AS222" s="125">
        <f>Tabela1[[#This Row],[Pós calcio mg/dL]]</f>
        <v>10.1</v>
      </c>
      <c r="AT222" s="125">
        <f>Tabela1[[#This Row],[Pré Potássio mmol/L]]</f>
        <v>4.4000000000000004</v>
      </c>
      <c r="AU222" s="125">
        <f>Tabela1[[#This Row],[Pós Potássio mmol/L]]</f>
        <v>4.5999999999999996</v>
      </c>
      <c r="AV222" s="85">
        <f>Tabela1[[#This Row],[Glicose pré]]</f>
        <v>70</v>
      </c>
      <c r="AW222" s="85">
        <f>Tabela1[[#This Row],[Glicose pós]]</f>
        <v>70</v>
      </c>
      <c r="AX222" s="85">
        <f>Tabela1[[#This Row],[Pré Sódio mmol/L]]</f>
        <v>145</v>
      </c>
      <c r="AY222" s="85">
        <f>Tabela1[[#This Row],[Pós Sódio mmol/L]]</f>
        <v>142</v>
      </c>
      <c r="AZ222" s="125">
        <f>Tabela1[[#This Row],[Pré Magnésio mg/dL]]</f>
        <v>1.3</v>
      </c>
      <c r="BA222" s="125">
        <f>Tabela1[[#This Row],[Pós Magnésio mg/dL]]</f>
        <v>2.1</v>
      </c>
      <c r="BB222" s="85">
        <f>Tabela1[[#This Row],[Pré Cloro mmol/L]]</f>
        <v>99</v>
      </c>
      <c r="BC222" s="85">
        <f>Tabela1[[#This Row],[Pós Cloro mmol/L]]</f>
        <v>101</v>
      </c>
      <c r="BD22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301.02288888888893</v>
      </c>
      <c r="BE22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296.8148888888889</v>
      </c>
      <c r="BF222" s="194" t="str">
        <f>Tabela1[[#This Row],[Pré RBC 10^6/mm³]]</f>
        <v>-</v>
      </c>
      <c r="BG222" s="125">
        <f>Tabela1[[#This Row],[Pós RBC 10^6/mm³]]</f>
        <v>4.8499999999999996</v>
      </c>
      <c r="BH222" s="125" t="str">
        <f>Tabela1[[#This Row],[Pré HGB g/dL]]</f>
        <v>-</v>
      </c>
      <c r="BI222" s="125">
        <f>Tabela1[[#This Row],[Pós HGB g/dL]]</f>
        <v>13.1</v>
      </c>
      <c r="BJ222" s="125" t="str">
        <f>Tabela1[[#This Row],[Pré HCT %]]</f>
        <v>-</v>
      </c>
      <c r="BK222" s="125">
        <f>Tabela1[[#This Row],[Pós HCT %]]</f>
        <v>40.299999999999997</v>
      </c>
      <c r="BL222" s="125" t="str">
        <f>Tabela1[[#This Row],[Pré MCV fL]]</f>
        <v>-</v>
      </c>
      <c r="BM222" s="125">
        <f>Tabela1[[#This Row],[Pós MCV fL]]</f>
        <v>83.1</v>
      </c>
      <c r="BN222" s="125" t="str">
        <f>Tabela1[[#This Row],[Pré MCH pg]]</f>
        <v>-</v>
      </c>
      <c r="BO222" s="125">
        <f>Tabela1[[#This Row],[Pós MCH pg]]</f>
        <v>27</v>
      </c>
      <c r="BP222" s="125" t="str">
        <f>Tabela1[[#This Row],[Pré MCHC g/dL]]</f>
        <v>-</v>
      </c>
      <c r="BQ222" s="125">
        <f>Tabela1[[#This Row],[Pós MCHC g/dL]]</f>
        <v>32.5</v>
      </c>
      <c r="BR222" s="85" t="str">
        <f>Tabela1[[#This Row],[Pré PLT 10³/mm³]]</f>
        <v>-</v>
      </c>
      <c r="BS222" s="85">
        <f>Tabela1[[#This Row],[Pós PLT 10³/mm³]]</f>
        <v>383</v>
      </c>
      <c r="BT222" s="125" t="str">
        <f>Tabela1[[#This Row],[Pré RDW %]]</f>
        <v>-</v>
      </c>
      <c r="BU222" s="125">
        <f>Tabela1[[#This Row],[Pós RDW %]]</f>
        <v>12.6</v>
      </c>
      <c r="BV222" s="179" t="str">
        <f>Tabela1[[#This Row],[Pré RET %]]</f>
        <v>-</v>
      </c>
      <c r="BW222" s="196">
        <f>Tabela1[[#This Row],[Pós RET %]]</f>
        <v>4.5600000000000002E-2</v>
      </c>
      <c r="BX222" s="197" t="str">
        <f>Tabela1[[#This Row],[Pré WBC 10³/mm³]]</f>
        <v>-</v>
      </c>
      <c r="BY222" s="179">
        <f>Tabela1[[#This Row],[Pós WBC 10³/mm³]]</f>
        <v>10.91</v>
      </c>
      <c r="BZ222" s="125" t="str">
        <f>Tabela1[[#This Row],[Pré NEUT %]]</f>
        <v>-</v>
      </c>
      <c r="CA222" s="125">
        <f>Tabela1[[#This Row],[Pós NEUT %]]</f>
        <v>80.400000000000006</v>
      </c>
      <c r="CB222" s="125" t="str">
        <f>Tabela1[[#This Row],[Pré LINF %]]</f>
        <v>-</v>
      </c>
      <c r="CC222" s="125">
        <f>Tabela1[[#This Row],[Pós LINF %]]</f>
        <v>14</v>
      </c>
      <c r="CD222" s="125" t="str">
        <f>Tabela1[[#This Row],[Pré MONO %]]</f>
        <v>-</v>
      </c>
      <c r="CE222" s="125">
        <f>Tabela1[[#This Row],[Pós MONO %]]</f>
        <v>4.9000000000000004</v>
      </c>
      <c r="CF222" s="125" t="str">
        <f>Tabela1[[#This Row],[Pré EOS %]]</f>
        <v>-</v>
      </c>
      <c r="CG222" s="125">
        <f>Tabela1[[#This Row],[Pós EOS %]]</f>
        <v>0.5</v>
      </c>
      <c r="CH222" s="125" t="str">
        <f>Tabela1[[#This Row],[Pré BASO %]]</f>
        <v>-</v>
      </c>
      <c r="CI222" s="198">
        <f>Tabela1[[#This Row],[Pós BASO %]]</f>
        <v>0.2</v>
      </c>
      <c r="CJ222" s="199" t="str">
        <f t="shared" si="13"/>
        <v>NÃO</v>
      </c>
      <c r="CK222" s="200" t="str">
        <f t="shared" si="14"/>
        <v>SIM</v>
      </c>
      <c r="CL222" s="194">
        <f t="shared" si="15"/>
        <v>74.986559999999997</v>
      </c>
      <c r="CM222" s="125">
        <f>Tabela1[[#This Row],[MCT KG]]</f>
        <v>79.2</v>
      </c>
      <c r="CN222" s="85">
        <f>Tabela1[[#This Row],[ESTATURA]]</f>
        <v>173</v>
      </c>
      <c r="CO222" s="85">
        <f>Tabela1[[#This Row],[vo2max estimado]]</f>
        <v>51.33</v>
      </c>
      <c r="CP222" s="85">
        <f>Tabela1[[#This Row],[Handgrip     Dominante]]</f>
        <v>58</v>
      </c>
      <c r="CQ222" s="85">
        <f>Tabela1[[#This Row],[Handgrip Contrário]]</f>
        <v>58</v>
      </c>
      <c r="CR222" s="281">
        <f>Tabela1[[#This Row],[% gordura]]</f>
        <v>5.32</v>
      </c>
    </row>
    <row r="223" spans="1:96" ht="15.75" customHeight="1">
      <c r="A223" s="279">
        <f>Tabela1[[#This Row],[Ano]]</f>
        <v>2019</v>
      </c>
      <c r="B223" s="181" t="str">
        <f>Tabela1[[#This Row],[Missão]]</f>
        <v>CIASC</v>
      </c>
      <c r="C223" s="181">
        <f>Tabela1[[#This Row],[Aluno]]</f>
        <v>3235</v>
      </c>
      <c r="D223" s="181">
        <f>Tabela1[[#This Row],[Idade]]</f>
        <v>27</v>
      </c>
      <c r="E223" s="182">
        <f>Tabela1[[#This Row],[Peso Kg]]</f>
        <v>81.2</v>
      </c>
      <c r="F223" s="191">
        <f>Tabela1[[#This Row],[Cor da pele]]</f>
        <v>1</v>
      </c>
      <c r="G223" s="192" t="str">
        <f>Tabela1[[#This Row],[ACTN3]]</f>
        <v>XX</v>
      </c>
      <c r="H223" s="85" t="str">
        <f>Tabela1[[#This Row],[AGT]]</f>
        <v>TT</v>
      </c>
      <c r="I223" s="85" t="str">
        <f>Tabela1[[#This Row],[ECA]]</f>
        <v>DD</v>
      </c>
      <c r="J223" s="85" t="str">
        <f>Tabela1[[#This Row],[BDKRB2]]</f>
        <v>(+9,-9)</v>
      </c>
      <c r="K223" s="85">
        <f>Tabela1[[#This Row],[Score Força%]]</f>
        <v>62.5</v>
      </c>
      <c r="L223" s="193">
        <f>Tabela1[[#This Row],[Score Resistência %]]</f>
        <v>37.5</v>
      </c>
      <c r="M223" s="192">
        <f>Tabela1[[#This Row],[Pré CK (U/L)]]</f>
        <v>157</v>
      </c>
      <c r="N223" s="85">
        <f>Tabela1[[#This Row],[Pós CK (U/L)]]</f>
        <v>856</v>
      </c>
      <c r="O223" s="85">
        <f>Tabela1[[#This Row],[Pré CK MB U/L]]</f>
        <v>12</v>
      </c>
      <c r="P223" s="85">
        <f>Tabela1[[#This Row],[Pós CK MB U/L]]</f>
        <v>58</v>
      </c>
      <c r="Q223" s="85">
        <f>Tabela1[[#This Row],[Pré Lactato (mmol/L)]]</f>
        <v>2.2999999999999998</v>
      </c>
      <c r="R223" s="85">
        <f>Tabela1[[#This Row],[Pós Lactato (mmol/L)]]</f>
        <v>2.2999999999999998</v>
      </c>
      <c r="S223" s="85">
        <f>Tabela1[[#This Row],[Pré LDH (U/L)]]</f>
        <v>173</v>
      </c>
      <c r="T223" s="85">
        <f>Tabela1[[#This Row],[Pós LDH (U/L)]]</f>
        <v>441</v>
      </c>
      <c r="U223" s="85">
        <f>Tabela1[[#This Row],[Pré AST (U/L)]]</f>
        <v>32</v>
      </c>
      <c r="V223" s="193">
        <f>Tabela1[[#This Row],[Pós AST (U/L)]]</f>
        <v>79</v>
      </c>
      <c r="W223" s="194">
        <f>Tabela1[[#This Row],[Pré Albumina (g/dL)]]</f>
        <v>4.4000000000000004</v>
      </c>
      <c r="X223" s="125">
        <f>Tabela1[[#This Row],[Pós Albumina (g/dL)]]</f>
        <v>3.7</v>
      </c>
      <c r="Y223" s="85">
        <f>Tabela1[[#This Row],[Pré TGP (g/dL)]]</f>
        <v>31</v>
      </c>
      <c r="Z223" s="85">
        <f>Tabela1[[#This Row],[Pós TGP (g/dL)]]</f>
        <v>59</v>
      </c>
      <c r="AA223" s="85">
        <f>Tabela1[[#This Row],[Pré GGT U/L]]</f>
        <v>23</v>
      </c>
      <c r="AB223" s="193">
        <f>Tabela1[[#This Row],[Pós GGT U/L]]</f>
        <v>20</v>
      </c>
      <c r="AC223" s="194">
        <f>Tabela1[[#This Row],[Pré Ac. Úrico (mg/dL)]]</f>
        <v>5.7</v>
      </c>
      <c r="AD223" s="125">
        <f>Tabela1[[#This Row],[Pós Ac. Úrico (mg/dL)2]]</f>
        <v>5.6</v>
      </c>
      <c r="AE22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2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23" s="85">
        <f>Tabela1[[#This Row],[Pré Ureia mg/dL]]</f>
        <v>32</v>
      </c>
      <c r="AH223" s="85">
        <f>Tabela1[[#This Row],[Pós Ureia mg/dL]]</f>
        <v>39</v>
      </c>
      <c r="AI223" s="125">
        <f>Tabela1[[#This Row],[Pré creatinina mg/dL]]</f>
        <v>0.9</v>
      </c>
      <c r="AJ223" s="125">
        <f>Tabela1[[#This Row],[Pós creatinina mg/dL]]</f>
        <v>0.9</v>
      </c>
      <c r="AK223" s="180">
        <f t="shared" si="12"/>
        <v>0</v>
      </c>
      <c r="AL223" s="125">
        <f>Tabela1[[#This Row],[Pré Fósforo mg/dL]]</f>
        <v>2.8</v>
      </c>
      <c r="AM223" s="125">
        <f>Tabela1[[#This Row],[Pós Fósforo mg/dL]]</f>
        <v>3.3</v>
      </c>
      <c r="AN223" s="125">
        <f>Tabela1[[#This Row],[Pré Proteína Total (g/dL)]]</f>
        <v>7.5</v>
      </c>
      <c r="AO223" s="125">
        <f>Tabela1[[#This Row],[Pós Proteína Total (g/dL)]]</f>
        <v>6.8</v>
      </c>
      <c r="AP223" s="85">
        <f>Tabela1[[#This Row],[Pré FE (ug/dL)]]</f>
        <v>10</v>
      </c>
      <c r="AQ223" s="193">
        <f>Tabela1[[#This Row],[Pós FE (ug/dL)]]</f>
        <v>32</v>
      </c>
      <c r="AR223" s="194">
        <f>Tabela1[[#This Row],[Pré calcio mg/dL]]</f>
        <v>3</v>
      </c>
      <c r="AS223" s="125">
        <f>Tabela1[[#This Row],[Pós calcio mg/dL]]</f>
        <v>9.4</v>
      </c>
      <c r="AT223" s="125">
        <f>Tabela1[[#This Row],[Pré Potássio mmol/L]]</f>
        <v>4.2</v>
      </c>
      <c r="AU223" s="125">
        <f>Tabela1[[#This Row],[Pós Potássio mmol/L]]</f>
        <v>4.2</v>
      </c>
      <c r="AV223" s="85">
        <f>Tabela1[[#This Row],[Glicose pré]]</f>
        <v>97</v>
      </c>
      <c r="AW223" s="85">
        <f>Tabela1[[#This Row],[Glicose pós]]</f>
        <v>97</v>
      </c>
      <c r="AX223" s="85">
        <f>Tabela1[[#This Row],[Pré Sódio mmol/L]]</f>
        <v>140</v>
      </c>
      <c r="AY223" s="85">
        <f>Tabela1[[#This Row],[Pós Sódio mmol/L]]</f>
        <v>139</v>
      </c>
      <c r="AZ223" s="125">
        <f>Tabela1[[#This Row],[Pré Magnésio mg/dL]]</f>
        <v>1.3</v>
      </c>
      <c r="BA223" s="125">
        <f>Tabela1[[#This Row],[Pós Magnésio mg/dL]]</f>
        <v>1.9</v>
      </c>
      <c r="BB223" s="85">
        <f>Tabela1[[#This Row],[Pré Cloro mmol/L]]</f>
        <v>99</v>
      </c>
      <c r="BC223" s="85">
        <f>Tabela1[[#This Row],[Pós Cloro mmol/L]]</f>
        <v>104</v>
      </c>
      <c r="BD22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293.7425555555555</v>
      </c>
      <c r="BE22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293.04922222222217</v>
      </c>
      <c r="BF223" s="194" t="str">
        <f>Tabela1[[#This Row],[Pré RBC 10^6/mm³]]</f>
        <v>-</v>
      </c>
      <c r="BG223" s="125">
        <f>Tabela1[[#This Row],[Pós RBC 10^6/mm³]]</f>
        <v>4.62</v>
      </c>
      <c r="BH223" s="125" t="str">
        <f>Tabela1[[#This Row],[Pré HGB g/dL]]</f>
        <v>-</v>
      </c>
      <c r="BI223" s="125">
        <f>Tabela1[[#This Row],[Pós HGB g/dL]]</f>
        <v>13.3</v>
      </c>
      <c r="BJ223" s="125" t="str">
        <f>Tabela1[[#This Row],[Pré HCT %]]</f>
        <v>-</v>
      </c>
      <c r="BK223" s="125">
        <f>Tabela1[[#This Row],[Pós HCT %]]</f>
        <v>39.200000000000003</v>
      </c>
      <c r="BL223" s="125" t="str">
        <f>Tabela1[[#This Row],[Pré MCV fL]]</f>
        <v>-</v>
      </c>
      <c r="BM223" s="125">
        <f>Tabela1[[#This Row],[Pós MCV fL]]</f>
        <v>84.8</v>
      </c>
      <c r="BN223" s="125" t="str">
        <f>Tabela1[[#This Row],[Pré MCH pg]]</f>
        <v>-</v>
      </c>
      <c r="BO223" s="125">
        <f>Tabela1[[#This Row],[Pós MCH pg]]</f>
        <v>28.8</v>
      </c>
      <c r="BP223" s="125" t="str">
        <f>Tabela1[[#This Row],[Pré MCHC g/dL]]</f>
        <v>-</v>
      </c>
      <c r="BQ223" s="125">
        <f>Tabela1[[#This Row],[Pós MCHC g/dL]]</f>
        <v>33.9</v>
      </c>
      <c r="BR223" s="85" t="str">
        <f>Tabela1[[#This Row],[Pré PLT 10³/mm³]]</f>
        <v>-</v>
      </c>
      <c r="BS223" s="85">
        <f>Tabela1[[#This Row],[Pós PLT 10³/mm³]]</f>
        <v>279</v>
      </c>
      <c r="BT223" s="125" t="str">
        <f>Tabela1[[#This Row],[Pré RDW %]]</f>
        <v>-</v>
      </c>
      <c r="BU223" s="125">
        <f>Tabela1[[#This Row],[Pós RDW %]]</f>
        <v>13.2</v>
      </c>
      <c r="BV223" s="179" t="str">
        <f>Tabela1[[#This Row],[Pré RET %]]</f>
        <v>-</v>
      </c>
      <c r="BW223" s="196">
        <f>Tabela1[[#This Row],[Pós RET %]]</f>
        <v>7.85E-2</v>
      </c>
      <c r="BX223" s="197" t="str">
        <f>Tabela1[[#This Row],[Pré WBC 10³/mm³]]</f>
        <v>-</v>
      </c>
      <c r="BY223" s="179">
        <f>Tabela1[[#This Row],[Pós WBC 10³/mm³]]</f>
        <v>8.11</v>
      </c>
      <c r="BZ223" s="125" t="str">
        <f>Tabela1[[#This Row],[Pré NEUT %]]</f>
        <v>-</v>
      </c>
      <c r="CA223" s="125">
        <f>Tabela1[[#This Row],[Pós NEUT %]]</f>
        <v>82.8</v>
      </c>
      <c r="CB223" s="125" t="str">
        <f>Tabela1[[#This Row],[Pré LINF %]]</f>
        <v>-</v>
      </c>
      <c r="CC223" s="125">
        <f>Tabela1[[#This Row],[Pós LINF %]]</f>
        <v>9.4</v>
      </c>
      <c r="CD223" s="125" t="str">
        <f>Tabela1[[#This Row],[Pré MONO %]]</f>
        <v>-</v>
      </c>
      <c r="CE223" s="125">
        <f>Tabela1[[#This Row],[Pós MONO %]]</f>
        <v>5.9</v>
      </c>
      <c r="CF223" s="125" t="str">
        <f>Tabela1[[#This Row],[Pré EOS %]]</f>
        <v>-</v>
      </c>
      <c r="CG223" s="125">
        <f>Tabela1[[#This Row],[Pós EOS %]]</f>
        <v>1.5</v>
      </c>
      <c r="CH223" s="125" t="str">
        <f>Tabela1[[#This Row],[Pré BASO %]]</f>
        <v>-</v>
      </c>
      <c r="CI223" s="198">
        <f>Tabela1[[#This Row],[Pós BASO %]]</f>
        <v>0.4</v>
      </c>
      <c r="CJ223" s="199" t="str">
        <f t="shared" si="13"/>
        <v>NÃO</v>
      </c>
      <c r="CK223" s="200" t="str">
        <f t="shared" si="14"/>
        <v>NÃO</v>
      </c>
      <c r="CL223" s="194">
        <f t="shared" si="15"/>
        <v>76.552520000000001</v>
      </c>
      <c r="CM223" s="125">
        <f>Tabela1[[#This Row],[MCT KG]]</f>
        <v>83.6</v>
      </c>
      <c r="CN223" s="85">
        <f>Tabela1[[#This Row],[ESTATURA]]</f>
        <v>175</v>
      </c>
      <c r="CO223" s="85">
        <f>Tabela1[[#This Row],[vo2max estimado]]</f>
        <v>50.56</v>
      </c>
      <c r="CP223" s="85">
        <f>Tabela1[[#This Row],[Handgrip     Dominante]]</f>
        <v>54</v>
      </c>
      <c r="CQ223" s="85">
        <f>Tabela1[[#This Row],[Handgrip Contrário]]</f>
        <v>42</v>
      </c>
      <c r="CR223" s="281">
        <f>Tabela1[[#This Row],[% gordura]]</f>
        <v>8.43</v>
      </c>
    </row>
    <row r="224" spans="1:96" ht="15.75" customHeight="1">
      <c r="A224" s="279">
        <f>Tabela1[[#This Row],[Ano]]</f>
        <v>2019</v>
      </c>
      <c r="B224" s="181" t="str">
        <f>Tabela1[[#This Row],[Missão]]</f>
        <v>Marambaia</v>
      </c>
      <c r="C224" s="181">
        <f>Tabela1[[#This Row],[Aluno]]</f>
        <v>3197</v>
      </c>
      <c r="D224" s="181">
        <f>Tabela1[[#This Row],[Idade]]</f>
        <v>26</v>
      </c>
      <c r="E224" s="182">
        <f>Tabela1[[#This Row],[Peso Kg]]</f>
        <v>80</v>
      </c>
      <c r="F224" s="191">
        <f>Tabela1[[#This Row],[Cor da pele]]</f>
        <v>1</v>
      </c>
      <c r="G224" s="192" t="str">
        <f>Tabela1[[#This Row],[ACTN3]]</f>
        <v>RR</v>
      </c>
      <c r="H224" s="85" t="str">
        <f>Tabela1[[#This Row],[AGT]]</f>
        <v>MM</v>
      </c>
      <c r="I224" s="85" t="str">
        <f>Tabela1[[#This Row],[ECA]]</f>
        <v>DD</v>
      </c>
      <c r="J224" s="85" t="str">
        <f>Tabela1[[#This Row],[BDKRB2]]</f>
        <v>(-9,-9)</v>
      </c>
      <c r="K224" s="85">
        <f>Tabela1[[#This Row],[Score Força%]]</f>
        <v>50</v>
      </c>
      <c r="L224" s="193">
        <f>Tabela1[[#This Row],[Score Resistência %]]</f>
        <v>50</v>
      </c>
      <c r="M224" s="192">
        <f>Tabela1[[#This Row],[Pré CK (U/L)]]</f>
        <v>304</v>
      </c>
      <c r="N224" s="85">
        <f>Tabela1[[#This Row],[Pós CK (U/L)]]</f>
        <v>4034</v>
      </c>
      <c r="O224" s="85">
        <f>Tabela1[[#This Row],[Pré CK MB U/L]]</f>
        <v>29</v>
      </c>
      <c r="P224" s="85">
        <f>Tabela1[[#This Row],[Pós CK MB U/L]]</f>
        <v>102</v>
      </c>
      <c r="Q224" s="85">
        <f>Tabela1[[#This Row],[Pré Lactato (mmol/L)]]</f>
        <v>3.2</v>
      </c>
      <c r="R224" s="85">
        <f>Tabela1[[#This Row],[Pós Lactato (mmol/L)]]</f>
        <v>3.1</v>
      </c>
      <c r="S224" s="85">
        <f>Tabela1[[#This Row],[Pré LDH (U/L)]]</f>
        <v>239</v>
      </c>
      <c r="T224" s="85">
        <f>Tabela1[[#This Row],[Pós LDH (U/L)]]</f>
        <v>550</v>
      </c>
      <c r="U224" s="85">
        <f>Tabela1[[#This Row],[Pré AST (U/L)]]</f>
        <v>40</v>
      </c>
      <c r="V224" s="193">
        <f>Tabela1[[#This Row],[Pós AST (U/L)]]</f>
        <v>124</v>
      </c>
      <c r="W224" s="194">
        <f>Tabela1[[#This Row],[Pré Albumina (g/dL)]]</f>
        <v>3.9</v>
      </c>
      <c r="X224" s="125">
        <f>Tabela1[[#This Row],[Pós Albumina (g/dL)]]</f>
        <v>4.4000000000000004</v>
      </c>
      <c r="Y224" s="85">
        <f>Tabela1[[#This Row],[Pré TGP (g/dL)]]</f>
        <v>48</v>
      </c>
      <c r="Z224" s="85">
        <f>Tabela1[[#This Row],[Pós TGP (g/dL)]]</f>
        <v>71</v>
      </c>
      <c r="AA224" s="85">
        <f>Tabela1[[#This Row],[Pré GGT U/L]]</f>
        <v>15</v>
      </c>
      <c r="AB224" s="193">
        <f>Tabela1[[#This Row],[Pós GGT U/L]]</f>
        <v>19</v>
      </c>
      <c r="AC224" s="194">
        <f>Tabela1[[#This Row],[Pré Ac. Úrico (mg/dL)]]</f>
        <v>5.4</v>
      </c>
      <c r="AD224" s="125">
        <f>Tabela1[[#This Row],[Pós Ac. Úrico (mg/dL)2]]</f>
        <v>8</v>
      </c>
      <c r="AE22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2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24" s="85">
        <f>Tabela1[[#This Row],[Pré Ureia mg/dL]]</f>
        <v>40</v>
      </c>
      <c r="AH224" s="85">
        <f>Tabela1[[#This Row],[Pós Ureia mg/dL]]</f>
        <v>49</v>
      </c>
      <c r="AI224" s="125">
        <f>Tabela1[[#This Row],[Pré creatinina mg/dL]]</f>
        <v>0.9</v>
      </c>
      <c r="AJ224" s="125">
        <f>Tabela1[[#This Row],[Pós creatinina mg/dL]]</f>
        <v>1</v>
      </c>
      <c r="AK224" s="180">
        <f t="shared" si="12"/>
        <v>9.9999999999999978E-2</v>
      </c>
      <c r="AL224" s="125">
        <f>Tabela1[[#This Row],[Pré Fósforo mg/dL]]</f>
        <v>2.9</v>
      </c>
      <c r="AM224" s="125">
        <f>Tabela1[[#This Row],[Pós Fósforo mg/dL]]</f>
        <v>6</v>
      </c>
      <c r="AN224" s="125">
        <f>Tabela1[[#This Row],[Pré Proteína Total (g/dL)]]</f>
        <v>6.8</v>
      </c>
      <c r="AO224" s="125">
        <f>Tabela1[[#This Row],[Pós Proteína Total (g/dL)]]</f>
        <v>7.8</v>
      </c>
      <c r="AP224" s="85">
        <f>Tabela1[[#This Row],[Pré FE (ug/dL)]]</f>
        <v>57</v>
      </c>
      <c r="AQ224" s="193">
        <f>Tabela1[[#This Row],[Pós FE (ug/dL)]]</f>
        <v>20</v>
      </c>
      <c r="AR224" s="194">
        <f>Tabela1[[#This Row],[Pré calcio mg/dL]]</f>
        <v>9.9</v>
      </c>
      <c r="AS224" s="125">
        <f>Tabela1[[#This Row],[Pós calcio mg/dL]]</f>
        <v>10.199999999999999</v>
      </c>
      <c r="AT224" s="125">
        <f>Tabela1[[#This Row],[Pré Potássio mmol/L]]</f>
        <v>4.0999999999999996</v>
      </c>
      <c r="AU224" s="125">
        <f>Tabela1[[#This Row],[Pós Potássio mmol/L]]</f>
        <v>4.5999999999999996</v>
      </c>
      <c r="AV224" s="85">
        <f>Tabela1[[#This Row],[Glicose pré]]</f>
        <v>87</v>
      </c>
      <c r="AW224" s="85">
        <f>Tabela1[[#This Row],[Glicose pós]]</f>
        <v>70</v>
      </c>
      <c r="AX224" s="85">
        <f>Tabela1[[#This Row],[Pré Sódio mmol/L]]</f>
        <v>139</v>
      </c>
      <c r="AY224" s="85">
        <f>Tabela1[[#This Row],[Pós Sódio mmol/L]]</f>
        <v>135</v>
      </c>
      <c r="AZ224" s="125">
        <f>Tabela1[[#This Row],[Pré Magnésio mg/dL]]</f>
        <v>1.9</v>
      </c>
      <c r="BA224" s="125">
        <f>Tabela1[[#This Row],[Pós Magnésio mg/dL]]</f>
        <v>2.1</v>
      </c>
      <c r="BB224" s="85">
        <f>Tabela1[[#This Row],[Pré Cloro mmol/L]]</f>
        <v>103</v>
      </c>
      <c r="BC224" s="85">
        <f>Tabela1[[#This Row],[Pós Cloro mmol/L]]</f>
        <v>96</v>
      </c>
      <c r="BD22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292.39100000000002</v>
      </c>
      <c r="BE22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286.29488888888892</v>
      </c>
      <c r="BF224" s="194">
        <f>Tabela1[[#This Row],[Pré RBC 10^6/mm³]]</f>
        <v>4.6100000000000003</v>
      </c>
      <c r="BG224" s="125">
        <f>Tabela1[[#This Row],[Pós RBC 10^6/mm³]]</f>
        <v>4.41</v>
      </c>
      <c r="BH224" s="125">
        <f>Tabela1[[#This Row],[Pré HGB g/dL]]</f>
        <v>14</v>
      </c>
      <c r="BI224" s="125">
        <f>Tabela1[[#This Row],[Pós HGB g/dL]]</f>
        <v>13.3</v>
      </c>
      <c r="BJ224" s="125">
        <f>Tabela1[[#This Row],[Pré HCT %]]</f>
        <v>42.1</v>
      </c>
      <c r="BK224" s="125">
        <f>Tabela1[[#This Row],[Pós HCT %]]</f>
        <v>40.299999999999997</v>
      </c>
      <c r="BL224" s="125">
        <f>Tabela1[[#This Row],[Pré MCV fL]]</f>
        <v>91.3</v>
      </c>
      <c r="BM224" s="125">
        <f>Tabela1[[#This Row],[Pós MCV fL]]</f>
        <v>91.4</v>
      </c>
      <c r="BN224" s="125">
        <f>Tabela1[[#This Row],[Pré MCH pg]]</f>
        <v>30.4</v>
      </c>
      <c r="BO224" s="125">
        <f>Tabela1[[#This Row],[Pós MCH pg]]</f>
        <v>30.2</v>
      </c>
      <c r="BP224" s="125">
        <f>Tabela1[[#This Row],[Pré MCHC g/dL]]</f>
        <v>33.299999999999997</v>
      </c>
      <c r="BQ224" s="125">
        <f>Tabela1[[#This Row],[Pós MCHC g/dL]]</f>
        <v>33</v>
      </c>
      <c r="BR224" s="85">
        <f>Tabela1[[#This Row],[Pré PLT 10³/mm³]]</f>
        <v>474</v>
      </c>
      <c r="BS224" s="85">
        <f>Tabela1[[#This Row],[Pós PLT 10³/mm³]]</f>
        <v>483</v>
      </c>
      <c r="BT224" s="125">
        <f>Tabela1[[#This Row],[Pré RDW %]]</f>
        <v>12.5</v>
      </c>
      <c r="BU224" s="125">
        <f>Tabela1[[#This Row],[Pós RDW %]]</f>
        <v>12.6</v>
      </c>
      <c r="BV224" s="179">
        <f>Tabela1[[#This Row],[Pré RET %]]</f>
        <v>9.8199999999999996E-2</v>
      </c>
      <c r="BW224" s="196">
        <f>Tabela1[[#This Row],[Pós RET %]]</f>
        <v>8.8200000000000001E-2</v>
      </c>
      <c r="BX224" s="197">
        <f>Tabela1[[#This Row],[Pré WBC 10³/mm³]]</f>
        <v>8.4499999999999993</v>
      </c>
      <c r="BY224" s="179">
        <f>Tabela1[[#This Row],[Pós WBC 10³/mm³]]</f>
        <v>15.95</v>
      </c>
      <c r="BZ224" s="125">
        <f>Tabela1[[#This Row],[Pré NEUT %]]</f>
        <v>72.3</v>
      </c>
      <c r="CA224" s="125">
        <f>Tabela1[[#This Row],[Pós NEUT %]]</f>
        <v>85.3</v>
      </c>
      <c r="CB224" s="125">
        <f>Tabela1[[#This Row],[Pré LINF %]]</f>
        <v>20.8</v>
      </c>
      <c r="CC224" s="125">
        <f>Tabela1[[#This Row],[Pós LINF %]]</f>
        <v>10.199999999999999</v>
      </c>
      <c r="CD224" s="125">
        <f>Tabela1[[#This Row],[Pré MONO %]]</f>
        <v>5.3</v>
      </c>
      <c r="CE224" s="125">
        <f>Tabela1[[#This Row],[Pós MONO %]]</f>
        <v>4.4000000000000004</v>
      </c>
      <c r="CF224" s="125">
        <f>Tabela1[[#This Row],[Pré EOS %]]</f>
        <v>1.2</v>
      </c>
      <c r="CG224" s="125">
        <f>Tabela1[[#This Row],[Pós EOS %]]</f>
        <v>0</v>
      </c>
      <c r="CH224" s="125">
        <f>Tabela1[[#This Row],[Pré BASO %]]</f>
        <v>0.4</v>
      </c>
      <c r="CI224" s="198">
        <f>Tabela1[[#This Row],[Pós BASO %]]</f>
        <v>0.02</v>
      </c>
      <c r="CJ224" s="199" t="str">
        <f t="shared" si="13"/>
        <v>NÃO</v>
      </c>
      <c r="CK224" s="200" t="str">
        <f t="shared" si="14"/>
        <v>SIM</v>
      </c>
      <c r="CL224" s="194">
        <f t="shared" si="15"/>
        <v>76.297020000000003</v>
      </c>
      <c r="CM224" s="125">
        <f>Tabela1[[#This Row],[MCT KG]]</f>
        <v>85.65</v>
      </c>
      <c r="CN224" s="85">
        <f>Tabela1[[#This Row],[ESTATURA]]</f>
        <v>177</v>
      </c>
      <c r="CO224" s="85">
        <f>Tabela1[[#This Row],[vo2max estimado]]</f>
        <v>51.46</v>
      </c>
      <c r="CP224" s="85">
        <f>Tabela1[[#This Row],[Handgrip     Dominante]]</f>
        <v>48</v>
      </c>
      <c r="CQ224" s="85">
        <f>Tabela1[[#This Row],[Handgrip Contrário]]</f>
        <v>52</v>
      </c>
      <c r="CR224" s="281">
        <f>Tabela1[[#This Row],[% gordura]]</f>
        <v>10.92</v>
      </c>
    </row>
    <row r="225" spans="1:96" ht="15.75" customHeight="1">
      <c r="A225" s="279">
        <f>Tabela1[[#This Row],[Ano]]</f>
        <v>2019</v>
      </c>
      <c r="B225" s="181" t="str">
        <f>Tabela1[[#This Row],[Missão]]</f>
        <v>Marambaia</v>
      </c>
      <c r="C225" s="181">
        <f>Tabela1[[#This Row],[Aluno]]</f>
        <v>3200</v>
      </c>
      <c r="D225" s="181">
        <f>Tabela1[[#This Row],[Idade]]</f>
        <v>25</v>
      </c>
      <c r="E225" s="182">
        <f>Tabela1[[#This Row],[Peso Kg]]</f>
        <v>75.2</v>
      </c>
      <c r="F225" s="191">
        <f>Tabela1[[#This Row],[Cor da pele]]</f>
        <v>1</v>
      </c>
      <c r="G225" s="192" t="str">
        <f>Tabela1[[#This Row],[ACTN3]]</f>
        <v>XX</v>
      </c>
      <c r="H225" s="85" t="str">
        <f>Tabela1[[#This Row],[AGT]]</f>
        <v>TT</v>
      </c>
      <c r="I225" s="85" t="str">
        <f>Tabela1[[#This Row],[ECA]]</f>
        <v>ID</v>
      </c>
      <c r="J225" s="85" t="str">
        <f>Tabela1[[#This Row],[BDKRB2]]</f>
        <v>(-9,-9)</v>
      </c>
      <c r="K225" s="85">
        <f>Tabela1[[#This Row],[Score Força%]]</f>
        <v>37.5</v>
      </c>
      <c r="L225" s="193">
        <f>Tabela1[[#This Row],[Score Resistência %]]</f>
        <v>62.5</v>
      </c>
      <c r="M225" s="192">
        <f>Tabela1[[#This Row],[Pré CK (U/L)]]</f>
        <v>1358</v>
      </c>
      <c r="N225" s="85">
        <f>Tabela1[[#This Row],[Pós CK (U/L)]]</f>
        <v>3093</v>
      </c>
      <c r="O225" s="85">
        <f>Tabela1[[#This Row],[Pré CK MB U/L]]</f>
        <v>59</v>
      </c>
      <c r="P225" s="85">
        <f>Tabela1[[#This Row],[Pós CK MB U/L]]</f>
        <v>74</v>
      </c>
      <c r="Q225" s="85">
        <f>Tabela1[[#This Row],[Pré Lactato (mmol/L)]]</f>
        <v>2.4</v>
      </c>
      <c r="R225" s="85">
        <f>Tabela1[[#This Row],[Pós Lactato (mmol/L)]]</f>
        <v>2.4</v>
      </c>
      <c r="S225" s="85">
        <f>Tabela1[[#This Row],[Pré LDH (U/L)]]</f>
        <v>389</v>
      </c>
      <c r="T225" s="85">
        <f>Tabela1[[#This Row],[Pós LDH (U/L)]]</f>
        <v>668</v>
      </c>
      <c r="U225" s="85">
        <f>Tabela1[[#This Row],[Pré AST (U/L)]]</f>
        <v>125</v>
      </c>
      <c r="V225" s="193">
        <f>Tabela1[[#This Row],[Pós AST (U/L)]]</f>
        <v>175</v>
      </c>
      <c r="W225" s="194">
        <f>Tabela1[[#This Row],[Pré Albumina (g/dL)]]</f>
        <v>4</v>
      </c>
      <c r="X225" s="125">
        <f>Tabela1[[#This Row],[Pós Albumina (g/dL)]]</f>
        <v>4.3</v>
      </c>
      <c r="Y225" s="85">
        <f>Tabela1[[#This Row],[Pré TGP (g/dL)]]</f>
        <v>110</v>
      </c>
      <c r="Z225" s="85">
        <f>Tabela1[[#This Row],[Pós TGP (g/dL)]]</f>
        <v>162</v>
      </c>
      <c r="AA225" s="85">
        <f>Tabela1[[#This Row],[Pré GGT U/L]]</f>
        <v>39</v>
      </c>
      <c r="AB225" s="193">
        <f>Tabela1[[#This Row],[Pós GGT U/L]]</f>
        <v>43</v>
      </c>
      <c r="AC225" s="194">
        <f>Tabela1[[#This Row],[Pré Ac. Úrico (mg/dL)]]</f>
        <v>4.5999999999999996</v>
      </c>
      <c r="AD225" s="125">
        <f>Tabela1[[#This Row],[Pós Ac. Úrico (mg/dL)2]]</f>
        <v>4.5</v>
      </c>
      <c r="AE22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2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128.71280700150223</v>
      </c>
      <c r="AG225" s="85">
        <f>Tabela1[[#This Row],[Pré Ureia mg/dL]]</f>
        <v>53</v>
      </c>
      <c r="AH225" s="85">
        <f>Tabela1[[#This Row],[Pós Ureia mg/dL]]</f>
        <v>41</v>
      </c>
      <c r="AI225" s="125">
        <f>Tabela1[[#This Row],[Pré creatinina mg/dL]]</f>
        <v>0.8</v>
      </c>
      <c r="AJ225" s="125">
        <f>Tabela1[[#This Row],[Pós creatinina mg/dL]]</f>
        <v>0.7</v>
      </c>
      <c r="AK225" s="180">
        <f t="shared" si="12"/>
        <v>0</v>
      </c>
      <c r="AL225" s="125">
        <f>Tabela1[[#This Row],[Pré Fósforo mg/dL]]</f>
        <v>3.4</v>
      </c>
      <c r="AM225" s="125">
        <f>Tabela1[[#This Row],[Pós Fósforo mg/dL]]</f>
        <v>4.8</v>
      </c>
      <c r="AN225" s="125">
        <f>Tabela1[[#This Row],[Pré Proteína Total (g/dL)]]</f>
        <v>7.1</v>
      </c>
      <c r="AO225" s="125">
        <f>Tabela1[[#This Row],[Pós Proteína Total (g/dL)]]</f>
        <v>7.6</v>
      </c>
      <c r="AP225" s="85">
        <f>Tabela1[[#This Row],[Pré FE (ug/dL)]]</f>
        <v>47</v>
      </c>
      <c r="AQ225" s="193">
        <f>Tabela1[[#This Row],[Pós FE (ug/dL)]]</f>
        <v>21</v>
      </c>
      <c r="AR225" s="194">
        <f>Tabela1[[#This Row],[Pré calcio mg/dL]]</f>
        <v>10.199999999999999</v>
      </c>
      <c r="AS225" s="125">
        <f>Tabela1[[#This Row],[Pós calcio mg/dL]]</f>
        <v>10.1</v>
      </c>
      <c r="AT225" s="125">
        <f>Tabela1[[#This Row],[Pré Potássio mmol/L]]</f>
        <v>4.5</v>
      </c>
      <c r="AU225" s="125">
        <f>Tabela1[[#This Row],[Pós Potássio mmol/L]]</f>
        <v>4.7</v>
      </c>
      <c r="AV225" s="85">
        <f>Tabela1[[#This Row],[Glicose pré]]</f>
        <v>115</v>
      </c>
      <c r="AW225" s="85">
        <f>Tabela1[[#This Row],[Glicose pós]]</f>
        <v>87</v>
      </c>
      <c r="AX225" s="85">
        <f>Tabela1[[#This Row],[Pré Sódio mmol/L]]</f>
        <v>137</v>
      </c>
      <c r="AY225" s="85">
        <f>Tabela1[[#This Row],[Pós Sódio mmol/L]]</f>
        <v>137</v>
      </c>
      <c r="AZ225" s="125">
        <f>Tabela1[[#This Row],[Pré Magnésio mg/dL]]</f>
        <v>2.1</v>
      </c>
      <c r="BA225" s="125">
        <f>Tabela1[[#This Row],[Pós Magnésio mg/dL]]</f>
        <v>2.2999999999999998</v>
      </c>
      <c r="BB225" s="85">
        <f>Tabela1[[#This Row],[Pré Cloro mmol/L]]</f>
        <v>101</v>
      </c>
      <c r="BC225" s="85">
        <f>Tabela1[[#This Row],[Pós Cloro mmol/L]]</f>
        <v>94</v>
      </c>
      <c r="BD22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293.37055555555554</v>
      </c>
      <c r="BE22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289.95366666666666</v>
      </c>
      <c r="BF225" s="194">
        <f>Tabela1[[#This Row],[Pré RBC 10^6/mm³]]</f>
        <v>4.38</v>
      </c>
      <c r="BG225" s="125">
        <f>Tabela1[[#This Row],[Pós RBC 10^6/mm³]]</f>
        <v>4.33</v>
      </c>
      <c r="BH225" s="125">
        <f>Tabela1[[#This Row],[Pré HGB g/dL]]</f>
        <v>12.9</v>
      </c>
      <c r="BI225" s="125">
        <f>Tabela1[[#This Row],[Pós HGB g/dL]]</f>
        <v>12.9</v>
      </c>
      <c r="BJ225" s="125">
        <f>Tabela1[[#This Row],[Pré HCT %]]</f>
        <v>40.299999999999997</v>
      </c>
      <c r="BK225" s="125">
        <f>Tabela1[[#This Row],[Pós HCT %]]</f>
        <v>40.4</v>
      </c>
      <c r="BL225" s="125">
        <f>Tabela1[[#This Row],[Pré MCV fL]]</f>
        <v>92</v>
      </c>
      <c r="BM225" s="125">
        <f>Tabela1[[#This Row],[Pós MCV fL]]</f>
        <v>93.3</v>
      </c>
      <c r="BN225" s="125">
        <f>Tabela1[[#This Row],[Pré MCH pg]]</f>
        <v>29.5</v>
      </c>
      <c r="BO225" s="125">
        <f>Tabela1[[#This Row],[Pós MCH pg]]</f>
        <v>29.8</v>
      </c>
      <c r="BP225" s="125">
        <f>Tabela1[[#This Row],[Pré MCHC g/dL]]</f>
        <v>32</v>
      </c>
      <c r="BQ225" s="125">
        <f>Tabela1[[#This Row],[Pós MCHC g/dL]]</f>
        <v>31.9</v>
      </c>
      <c r="BR225" s="85">
        <f>Tabela1[[#This Row],[Pré PLT 10³/mm³]]</f>
        <v>381</v>
      </c>
      <c r="BS225" s="85">
        <f>Tabela1[[#This Row],[Pós PLT 10³/mm³]]</f>
        <v>400</v>
      </c>
      <c r="BT225" s="125">
        <f>Tabela1[[#This Row],[Pré RDW %]]</f>
        <v>13.4</v>
      </c>
      <c r="BU225" s="125">
        <f>Tabela1[[#This Row],[Pós RDW %]]</f>
        <v>13.6</v>
      </c>
      <c r="BV225" s="179">
        <f>Tabela1[[#This Row],[Pré RET %]]</f>
        <v>8.0600000000000005E-2</v>
      </c>
      <c r="BW225" s="196">
        <f>Tabela1[[#This Row],[Pós RET %]]</f>
        <v>9.5699999999999993E-2</v>
      </c>
      <c r="BX225" s="197">
        <f>Tabela1[[#This Row],[Pré WBC 10³/mm³]]</f>
        <v>5.57</v>
      </c>
      <c r="BY225" s="179">
        <f>Tabela1[[#This Row],[Pós WBC 10³/mm³]]</f>
        <v>10.74</v>
      </c>
      <c r="BZ225" s="125">
        <f>Tabela1[[#This Row],[Pré NEUT %]]</f>
        <v>71.8</v>
      </c>
      <c r="CA225" s="125">
        <f>Tabela1[[#This Row],[Pós NEUT %]]</f>
        <v>81.5</v>
      </c>
      <c r="CB225" s="125">
        <f>Tabela1[[#This Row],[Pré LINF %]]</f>
        <v>17.399999999999999</v>
      </c>
      <c r="CC225" s="125">
        <f>Tabela1[[#This Row],[Pós LINF %]]</f>
        <v>9.1</v>
      </c>
      <c r="CD225" s="125">
        <f>Tabela1[[#This Row],[Pré MONO %]]</f>
        <v>9.6999999999999993</v>
      </c>
      <c r="CE225" s="125">
        <f>Tabela1[[#This Row],[Pós MONO %]]</f>
        <v>8.6999999999999993</v>
      </c>
      <c r="CF225" s="125">
        <f>Tabela1[[#This Row],[Pré EOS %]]</f>
        <v>0.9</v>
      </c>
      <c r="CG225" s="125">
        <f>Tabela1[[#This Row],[Pós EOS %]]</f>
        <v>0.1</v>
      </c>
      <c r="CH225" s="125">
        <f>Tabela1[[#This Row],[Pré BASO %]]</f>
        <v>0.2</v>
      </c>
      <c r="CI225" s="198">
        <f>Tabela1[[#This Row],[Pós BASO %]]</f>
        <v>0.6</v>
      </c>
      <c r="CJ225" s="199" t="str">
        <f t="shared" si="13"/>
        <v>NÃO</v>
      </c>
      <c r="CK225" s="200" t="str">
        <f t="shared" si="14"/>
        <v>SIM</v>
      </c>
      <c r="CL225" s="194">
        <f t="shared" si="15"/>
        <v>73.936000000000007</v>
      </c>
      <c r="CM225" s="125">
        <f>Tabela1[[#This Row],[MCT KG]]</f>
        <v>80</v>
      </c>
      <c r="CN225" s="85">
        <f>Tabela1[[#This Row],[ESTATURA]]</f>
        <v>177.5</v>
      </c>
      <c r="CO225" s="85">
        <f>Tabela1[[#This Row],[vo2max estimado]]</f>
        <v>0</v>
      </c>
      <c r="CP225" s="85">
        <f>Tabela1[[#This Row],[Handgrip     Dominante]]</f>
        <v>42</v>
      </c>
      <c r="CQ225" s="85">
        <f>Tabela1[[#This Row],[Handgrip Contrário]]</f>
        <v>42</v>
      </c>
      <c r="CR225" s="281">
        <f>Tabela1[[#This Row],[% gordura]]</f>
        <v>7.58</v>
      </c>
    </row>
    <row r="226" spans="1:96" ht="15.75" customHeight="1">
      <c r="A226" s="279">
        <f>Tabela1[[#This Row],[Ano]]</f>
        <v>2019</v>
      </c>
      <c r="B226" s="181" t="str">
        <f>Tabela1[[#This Row],[Missão]]</f>
        <v>Marambaia</v>
      </c>
      <c r="C226" s="181">
        <f>Tabela1[[#This Row],[Aluno]]</f>
        <v>3202</v>
      </c>
      <c r="D226" s="181">
        <f>Tabela1[[#This Row],[Idade]]</f>
        <v>25</v>
      </c>
      <c r="E226" s="182">
        <f>Tabela1[[#This Row],[Peso Kg]]</f>
        <v>85.3</v>
      </c>
      <c r="F226" s="191">
        <f>Tabela1[[#This Row],[Cor da pele]]</f>
        <v>1</v>
      </c>
      <c r="G226" s="192" t="str">
        <f>Tabela1[[#This Row],[ACTN3]]</f>
        <v>XX</v>
      </c>
      <c r="H226" s="85" t="str">
        <f>Tabela1[[#This Row],[AGT]]</f>
        <v>MM</v>
      </c>
      <c r="I226" s="85" t="str">
        <f>Tabela1[[#This Row],[ECA]]</f>
        <v>ID</v>
      </c>
      <c r="J226" s="85" t="str">
        <f>Tabela1[[#This Row],[BDKRB2]]</f>
        <v>(+9,-9)</v>
      </c>
      <c r="K226" s="85">
        <f>Tabela1[[#This Row],[Score Força%]]</f>
        <v>25</v>
      </c>
      <c r="L226" s="193">
        <f>Tabela1[[#This Row],[Score Resistência %]]</f>
        <v>75</v>
      </c>
      <c r="M226" s="192">
        <f>Tabela1[[#This Row],[Pré CK (U/L)]]</f>
        <v>321</v>
      </c>
      <c r="N226" s="85">
        <f>Tabela1[[#This Row],[Pós CK (U/L)]]</f>
        <v>4259</v>
      </c>
      <c r="O226" s="85">
        <f>Tabela1[[#This Row],[Pré CK MB U/L]]</f>
        <v>27</v>
      </c>
      <c r="P226" s="85">
        <f>Tabela1[[#This Row],[Pós CK MB U/L]]</f>
        <v>121</v>
      </c>
      <c r="Q226" s="85">
        <f>Tabela1[[#This Row],[Pré Lactato (mmol/L)]]</f>
        <v>2</v>
      </c>
      <c r="R226" s="85">
        <f>Tabela1[[#This Row],[Pós Lactato (mmol/L)]]</f>
        <v>2.7</v>
      </c>
      <c r="S226" s="85">
        <f>Tabela1[[#This Row],[Pré LDH (U/L)]]</f>
        <v>364</v>
      </c>
      <c r="T226" s="85">
        <f>Tabela1[[#This Row],[Pós LDH (U/L)]]</f>
        <v>891</v>
      </c>
      <c r="U226" s="85">
        <f>Tabela1[[#This Row],[Pré AST (U/L)]]</f>
        <v>61</v>
      </c>
      <c r="V226" s="193">
        <f>Tabela1[[#This Row],[Pós AST (U/L)]]</f>
        <v>191</v>
      </c>
      <c r="W226" s="194">
        <f>Tabela1[[#This Row],[Pré Albumina (g/dL)]]</f>
        <v>4.2</v>
      </c>
      <c r="X226" s="125">
        <f>Tabela1[[#This Row],[Pós Albumina (g/dL)]]</f>
        <v>4.4000000000000004</v>
      </c>
      <c r="Y226" s="85">
        <f>Tabela1[[#This Row],[Pré TGP (g/dL)]]</f>
        <v>79</v>
      </c>
      <c r="Z226" s="85">
        <f>Tabela1[[#This Row],[Pós TGP (g/dL)]]</f>
        <v>149</v>
      </c>
      <c r="AA226" s="85">
        <f>Tabela1[[#This Row],[Pré GGT U/L]]</f>
        <v>86</v>
      </c>
      <c r="AB226" s="193">
        <f>Tabela1[[#This Row],[Pós GGT U/L]]</f>
        <v>84</v>
      </c>
      <c r="AC226" s="194">
        <f>Tabela1[[#This Row],[Pré Ac. Úrico (mg/dL)]]</f>
        <v>3.7</v>
      </c>
      <c r="AD226" s="125">
        <f>Tabela1[[#This Row],[Pós Ac. Úrico (mg/dL)2]]</f>
        <v>6.2</v>
      </c>
      <c r="AE22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22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226" s="85">
        <f>Tabela1[[#This Row],[Pré Ureia mg/dL]]</f>
        <v>78</v>
      </c>
      <c r="AH226" s="85">
        <f>Tabela1[[#This Row],[Pós Ureia mg/dL]]</f>
        <v>50</v>
      </c>
      <c r="AI226" s="125">
        <f>Tabela1[[#This Row],[Pré creatinina mg/dL]]</f>
        <v>0.7</v>
      </c>
      <c r="AJ226" s="125">
        <f>Tabela1[[#This Row],[Pós creatinina mg/dL]]</f>
        <v>0.8</v>
      </c>
      <c r="AK226" s="180">
        <f t="shared" si="12"/>
        <v>0.10000000000000009</v>
      </c>
      <c r="AL226" s="125">
        <f>Tabela1[[#This Row],[Pré Fósforo mg/dL]]</f>
        <v>3.9</v>
      </c>
      <c r="AM226" s="125">
        <f>Tabela1[[#This Row],[Pós Fósforo mg/dL]]</f>
        <v>4.5999999999999996</v>
      </c>
      <c r="AN226" s="125">
        <f>Tabela1[[#This Row],[Pré Proteína Total (g/dL)]]</f>
        <v>6.9</v>
      </c>
      <c r="AO226" s="125">
        <f>Tabela1[[#This Row],[Pós Proteína Total (g/dL)]]</f>
        <v>7.3</v>
      </c>
      <c r="AP226" s="85">
        <f>Tabela1[[#This Row],[Pré FE (ug/dL)]]</f>
        <v>60</v>
      </c>
      <c r="AQ226" s="193">
        <f>Tabela1[[#This Row],[Pós FE (ug/dL)]]</f>
        <v>43</v>
      </c>
      <c r="AR226" s="194">
        <f>Tabela1[[#This Row],[Pré calcio mg/dL]]</f>
        <v>10.1</v>
      </c>
      <c r="AS226" s="125">
        <f>Tabela1[[#This Row],[Pós calcio mg/dL]]</f>
        <v>10.1</v>
      </c>
      <c r="AT226" s="125">
        <f>Tabela1[[#This Row],[Pré Potássio mmol/L]]</f>
        <v>4.5</v>
      </c>
      <c r="AU226" s="125">
        <f>Tabela1[[#This Row],[Pós Potássio mmol/L]]</f>
        <v>4.2</v>
      </c>
      <c r="AV226" s="85">
        <f>Tabela1[[#This Row],[Glicose pré]]</f>
        <v>113</v>
      </c>
      <c r="AW226" s="85">
        <f>Tabela1[[#This Row],[Glicose pós]]</f>
        <v>79</v>
      </c>
      <c r="AX226" s="85">
        <f>Tabela1[[#This Row],[Pré Sódio mmol/L]]</f>
        <v>139</v>
      </c>
      <c r="AY226" s="85">
        <f>Tabela1[[#This Row],[Pós Sódio mmol/L]]</f>
        <v>132</v>
      </c>
      <c r="AZ226" s="125">
        <f>Tabela1[[#This Row],[Pré Magnésio mg/dL]]</f>
        <v>2.1</v>
      </c>
      <c r="BA226" s="125">
        <f>Tabela1[[#This Row],[Pós Magnésio mg/dL]]</f>
        <v>2.2999999999999998</v>
      </c>
      <c r="BB226" s="85">
        <f>Tabela1[[#This Row],[Pré Cloro mmol/L]]</f>
        <v>102</v>
      </c>
      <c r="BC226" s="85">
        <f>Tabela1[[#This Row],[Pós Cloro mmol/L]]</f>
        <v>96</v>
      </c>
      <c r="BD22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301.12944444444446</v>
      </c>
      <c r="BE22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280.71255555555553</v>
      </c>
      <c r="BF226" s="194">
        <f>Tabela1[[#This Row],[Pré RBC 10^6/mm³]]</f>
        <v>4.42</v>
      </c>
      <c r="BG226" s="125">
        <f>Tabela1[[#This Row],[Pós RBC 10^6/mm³]]</f>
        <v>4.12</v>
      </c>
      <c r="BH226" s="125">
        <f>Tabela1[[#This Row],[Pré HGB g/dL]]</f>
        <v>13.6</v>
      </c>
      <c r="BI226" s="125">
        <f>Tabela1[[#This Row],[Pós HGB g/dL]]</f>
        <v>12.6</v>
      </c>
      <c r="BJ226" s="125">
        <f>Tabela1[[#This Row],[Pré HCT %]]</f>
        <v>43.4</v>
      </c>
      <c r="BK226" s="125">
        <f>Tabela1[[#This Row],[Pós HCT %]]</f>
        <v>40.200000000000003</v>
      </c>
      <c r="BL226" s="125">
        <f>Tabela1[[#This Row],[Pré MCV fL]]</f>
        <v>98.2</v>
      </c>
      <c r="BM226" s="125">
        <f>Tabela1[[#This Row],[Pós MCV fL]]</f>
        <v>97.6</v>
      </c>
      <c r="BN226" s="125">
        <f>Tabela1[[#This Row],[Pré MCH pg]]</f>
        <v>30.8</v>
      </c>
      <c r="BO226" s="125">
        <f>Tabela1[[#This Row],[Pós MCH pg]]</f>
        <v>30.6</v>
      </c>
      <c r="BP226" s="125">
        <f>Tabela1[[#This Row],[Pré MCHC g/dL]]</f>
        <v>31.3</v>
      </c>
      <c r="BQ226" s="125">
        <f>Tabela1[[#This Row],[Pós MCHC g/dL]]</f>
        <v>31.3</v>
      </c>
      <c r="BR226" s="85">
        <f>Tabela1[[#This Row],[Pré PLT 10³/mm³]]</f>
        <v>194</v>
      </c>
      <c r="BS226" s="85">
        <f>Tabela1[[#This Row],[Pós PLT 10³/mm³]]</f>
        <v>177</v>
      </c>
      <c r="BT226" s="125">
        <f>Tabela1[[#This Row],[Pré RDW %]]</f>
        <v>13.5</v>
      </c>
      <c r="BU226" s="125">
        <f>Tabela1[[#This Row],[Pós RDW %]]</f>
        <v>13.6</v>
      </c>
      <c r="BV226" s="179">
        <f>Tabela1[[#This Row],[Pré RET %]]</f>
        <v>0.1109</v>
      </c>
      <c r="BW226" s="196">
        <f>Tabela1[[#This Row],[Pós RET %]]</f>
        <v>8.0299999999999996E-2</v>
      </c>
      <c r="BX226" s="197">
        <f>Tabela1[[#This Row],[Pré WBC 10³/mm³]]</f>
        <v>12.9</v>
      </c>
      <c r="BY226" s="179">
        <f>Tabela1[[#This Row],[Pós WBC 10³/mm³]]</f>
        <v>14.56</v>
      </c>
      <c r="BZ226" s="125">
        <f>Tabela1[[#This Row],[Pré NEUT %]]</f>
        <v>75.7</v>
      </c>
      <c r="CA226" s="125">
        <f>Tabela1[[#This Row],[Pós NEUT %]]</f>
        <v>74.2</v>
      </c>
      <c r="CB226" s="125">
        <f>Tabela1[[#This Row],[Pré LINF %]]</f>
        <v>14.4</v>
      </c>
      <c r="CC226" s="125">
        <f>Tabela1[[#This Row],[Pós LINF %]]</f>
        <v>12.4</v>
      </c>
      <c r="CD226" s="125">
        <f>Tabela1[[#This Row],[Pré MONO %]]</f>
        <v>9.1999999999999993</v>
      </c>
      <c r="CE226" s="125">
        <f>Tabela1[[#This Row],[Pós MONO %]]</f>
        <v>13.1</v>
      </c>
      <c r="CF226" s="125">
        <f>Tabela1[[#This Row],[Pré EOS %]]</f>
        <v>0.4</v>
      </c>
      <c r="CG226" s="125">
        <f>Tabela1[[#This Row],[Pós EOS %]]</f>
        <v>0</v>
      </c>
      <c r="CH226" s="125">
        <f>Tabela1[[#This Row],[Pré BASO %]]</f>
        <v>0.3</v>
      </c>
      <c r="CI226" s="198">
        <f>Tabela1[[#This Row],[Pós BASO %]]</f>
        <v>0.3</v>
      </c>
      <c r="CJ226" s="199" t="str">
        <f t="shared" si="13"/>
        <v>NÃO</v>
      </c>
      <c r="CK226" s="200" t="str">
        <f t="shared" si="14"/>
        <v>SIM</v>
      </c>
      <c r="CL226" s="194">
        <f t="shared" si="15"/>
        <v>81.37906000000001</v>
      </c>
      <c r="CM226" s="125">
        <f>Tabela1[[#This Row],[MCT KG]]</f>
        <v>88.9</v>
      </c>
      <c r="CN226" s="85">
        <f>Tabela1[[#This Row],[ESTATURA]]</f>
        <v>184.5</v>
      </c>
      <c r="CO226" s="85">
        <f>Tabela1[[#This Row],[vo2max estimado]]</f>
        <v>49.69</v>
      </c>
      <c r="CP226" s="85">
        <f>Tabela1[[#This Row],[Handgrip     Dominante]]</f>
        <v>54</v>
      </c>
      <c r="CQ226" s="85">
        <f>Tabela1[[#This Row],[Handgrip Contrário]]</f>
        <v>50</v>
      </c>
      <c r="CR226" s="281">
        <f>Tabela1[[#This Row],[% gordura]]</f>
        <v>8.4600000000000009</v>
      </c>
    </row>
    <row r="227" spans="1:96" ht="15.75" customHeight="1">
      <c r="A227" s="279">
        <f>Tabela1[[#This Row],[Ano]]</f>
        <v>2019</v>
      </c>
      <c r="B227" s="181" t="str">
        <f>Tabela1[[#This Row],[Missão]]</f>
        <v>Marambaia</v>
      </c>
      <c r="C227" s="181">
        <f>Tabela1[[#This Row],[Aluno]]</f>
        <v>3205</v>
      </c>
      <c r="D227" s="181">
        <f>Tabela1[[#This Row],[Idade]]</f>
        <v>32</v>
      </c>
      <c r="E227" s="182">
        <f>Tabela1[[#This Row],[Peso Kg]]</f>
        <v>71.400000000000006</v>
      </c>
      <c r="F227" s="191">
        <f>Tabela1[[#This Row],[Cor da pele]]</f>
        <v>1</v>
      </c>
      <c r="G227" s="192" t="str">
        <f>Tabela1[[#This Row],[ACTN3]]</f>
        <v>RR</v>
      </c>
      <c r="H227" s="85" t="str">
        <f>Tabela1[[#This Row],[AGT]]</f>
        <v>-</v>
      </c>
      <c r="I227" s="85" t="str">
        <f>Tabela1[[#This Row],[ECA]]</f>
        <v>ID</v>
      </c>
      <c r="J227" s="85" t="str">
        <f>Tabela1[[#This Row],[BDKRB2]]</f>
        <v>(+9,-9)</v>
      </c>
      <c r="K227" s="85" t="str">
        <f>Tabela1[[#This Row],[Score Força%]]</f>
        <v>-</v>
      </c>
      <c r="L227" s="193" t="str">
        <f>Tabela1[[#This Row],[Score Resistência %]]</f>
        <v>-</v>
      </c>
      <c r="M227" s="192">
        <f>Tabela1[[#This Row],[Pré CK (U/L)]]</f>
        <v>196</v>
      </c>
      <c r="N227" s="85">
        <f>Tabela1[[#This Row],[Pós CK (U/L)]]</f>
        <v>3156</v>
      </c>
      <c r="O227" s="85">
        <f>Tabela1[[#This Row],[Pré CK MB U/L]]</f>
        <v>27</v>
      </c>
      <c r="P227" s="85">
        <f>Tabela1[[#This Row],[Pós CK MB U/L]]</f>
        <v>114</v>
      </c>
      <c r="Q227" s="85">
        <f>Tabela1[[#This Row],[Pré Lactato (mmol/L)]]</f>
        <v>2.5</v>
      </c>
      <c r="R227" s="85">
        <f>Tabela1[[#This Row],[Pós Lactato (mmol/L)]]</f>
        <v>2.9</v>
      </c>
      <c r="S227" s="85">
        <f>Tabela1[[#This Row],[Pré LDH (U/L)]]</f>
        <v>327</v>
      </c>
      <c r="T227" s="85">
        <f>Tabela1[[#This Row],[Pós LDH (U/L)]]</f>
        <v>586</v>
      </c>
      <c r="U227" s="85">
        <f>Tabela1[[#This Row],[Pré AST (U/L)]]</f>
        <v>62</v>
      </c>
      <c r="V227" s="193">
        <f>Tabela1[[#This Row],[Pós AST (U/L)]]</f>
        <v>126</v>
      </c>
      <c r="W227" s="194">
        <f>Tabela1[[#This Row],[Pré Albumina (g/dL)]]</f>
        <v>3.9</v>
      </c>
      <c r="X227" s="125">
        <f>Tabela1[[#This Row],[Pós Albumina (g/dL)]]</f>
        <v>4.7</v>
      </c>
      <c r="Y227" s="85">
        <f>Tabela1[[#This Row],[Pré TGP (g/dL)]]</f>
        <v>80</v>
      </c>
      <c r="Z227" s="85">
        <f>Tabela1[[#This Row],[Pós TGP (g/dL)]]</f>
        <v>76</v>
      </c>
      <c r="AA227" s="85">
        <f>Tabela1[[#This Row],[Pré GGT U/L]]</f>
        <v>32</v>
      </c>
      <c r="AB227" s="193">
        <f>Tabela1[[#This Row],[Pós GGT U/L]]</f>
        <v>37</v>
      </c>
      <c r="AC227" s="194">
        <f>Tabela1[[#This Row],[Pré Ac. Úrico (mg/dL)]]</f>
        <v>5.0999999999999996</v>
      </c>
      <c r="AD227" s="125">
        <f>Tabela1[[#This Row],[Pós Ac. Úrico (mg/dL)2]]</f>
        <v>7.4</v>
      </c>
      <c r="AE22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2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27" s="85">
        <f>Tabela1[[#This Row],[Pré Ureia mg/dL]]</f>
        <v>46</v>
      </c>
      <c r="AH227" s="85">
        <f>Tabela1[[#This Row],[Pós Ureia mg/dL]]</f>
        <v>57</v>
      </c>
      <c r="AI227" s="125">
        <f>Tabela1[[#This Row],[Pré creatinina mg/dL]]</f>
        <v>0.8</v>
      </c>
      <c r="AJ227" s="125">
        <f>Tabela1[[#This Row],[Pós creatinina mg/dL]]</f>
        <v>1</v>
      </c>
      <c r="AK227" s="180">
        <f t="shared" si="12"/>
        <v>0.19999999999999996</v>
      </c>
      <c r="AL227" s="125">
        <f>Tabela1[[#This Row],[Pré Fósforo mg/dL]]</f>
        <v>3.1</v>
      </c>
      <c r="AM227" s="125">
        <f>Tabela1[[#This Row],[Pós Fósforo mg/dL]]</f>
        <v>5.7</v>
      </c>
      <c r="AN227" s="125">
        <f>Tabela1[[#This Row],[Pré Proteína Total (g/dL)]]</f>
        <v>6.3</v>
      </c>
      <c r="AO227" s="125">
        <f>Tabela1[[#This Row],[Pós Proteína Total (g/dL)]]</f>
        <v>7.3</v>
      </c>
      <c r="AP227" s="85">
        <f>Tabela1[[#This Row],[Pré FE (ug/dL)]]</f>
        <v>60</v>
      </c>
      <c r="AQ227" s="193">
        <f>Tabela1[[#This Row],[Pós FE (ug/dL)]]</f>
        <v>52</v>
      </c>
      <c r="AR227" s="194">
        <f>Tabela1[[#This Row],[Pré calcio mg/dL]]</f>
        <v>10</v>
      </c>
      <c r="AS227" s="125">
        <f>Tabela1[[#This Row],[Pós calcio mg/dL]]</f>
        <v>10.3</v>
      </c>
      <c r="AT227" s="125">
        <f>Tabela1[[#This Row],[Pré Potássio mmol/L]]</f>
        <v>4.3</v>
      </c>
      <c r="AU227" s="125">
        <f>Tabela1[[#This Row],[Pós Potássio mmol/L]]</f>
        <v>5.2</v>
      </c>
      <c r="AV227" s="85">
        <f>Tabela1[[#This Row],[Glicose pré]]</f>
        <v>112</v>
      </c>
      <c r="AW227" s="85">
        <f>Tabela1[[#This Row],[Glicose pós]]</f>
        <v>93</v>
      </c>
      <c r="AX227" s="85">
        <f>Tabela1[[#This Row],[Pré Sódio mmol/L]]</f>
        <v>136</v>
      </c>
      <c r="AY227" s="85">
        <f>Tabela1[[#This Row],[Pós Sódio mmol/L]]</f>
        <v>134</v>
      </c>
      <c r="AZ227" s="125">
        <f>Tabela1[[#This Row],[Pré Magnésio mg/dL]]</f>
        <v>1.9</v>
      </c>
      <c r="BA227" s="125">
        <f>Tabela1[[#This Row],[Pós Magnésio mg/dL]]</f>
        <v>2.2000000000000002</v>
      </c>
      <c r="BB227" s="85">
        <f>Tabela1[[#This Row],[Pré Cloro mmol/L]]</f>
        <v>105</v>
      </c>
      <c r="BC227" s="85">
        <f>Tabela1[[#This Row],[Pós Cloro mmol/L]]</f>
        <v>95</v>
      </c>
      <c r="BD22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289.78022222222228</v>
      </c>
      <c r="BE22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288.35366666666664</v>
      </c>
      <c r="BF227" s="194">
        <f>Tabela1[[#This Row],[Pré RBC 10^6/mm³]]</f>
        <v>4.2300000000000004</v>
      </c>
      <c r="BG227" s="125">
        <f>Tabela1[[#This Row],[Pós RBC 10^6/mm³]]</f>
        <v>4.59</v>
      </c>
      <c r="BH227" s="125">
        <f>Tabela1[[#This Row],[Pré HGB g/dL]]</f>
        <v>12.6</v>
      </c>
      <c r="BI227" s="125">
        <f>Tabela1[[#This Row],[Pós HGB g/dL]]</f>
        <v>13.8</v>
      </c>
      <c r="BJ227" s="125">
        <f>Tabela1[[#This Row],[Pré HCT %]]</f>
        <v>38.6</v>
      </c>
      <c r="BK227" s="125">
        <f>Tabela1[[#This Row],[Pós HCT %]]</f>
        <v>41.7</v>
      </c>
      <c r="BL227" s="125">
        <f>Tabela1[[#This Row],[Pré MCV fL]]</f>
        <v>91.3</v>
      </c>
      <c r="BM227" s="125">
        <f>Tabela1[[#This Row],[Pós MCV fL]]</f>
        <v>90.8</v>
      </c>
      <c r="BN227" s="125">
        <f>Tabela1[[#This Row],[Pré MCH pg]]</f>
        <v>29.8</v>
      </c>
      <c r="BO227" s="125">
        <f>Tabela1[[#This Row],[Pós MCH pg]]</f>
        <v>30.1</v>
      </c>
      <c r="BP227" s="125">
        <f>Tabela1[[#This Row],[Pré MCHC g/dL]]</f>
        <v>32.6</v>
      </c>
      <c r="BQ227" s="125">
        <f>Tabela1[[#This Row],[Pós MCHC g/dL]]</f>
        <v>33.1</v>
      </c>
      <c r="BR227" s="85">
        <f>Tabela1[[#This Row],[Pré PLT 10³/mm³]]</f>
        <v>370</v>
      </c>
      <c r="BS227" s="85">
        <f>Tabela1[[#This Row],[Pós PLT 10³/mm³]]</f>
        <v>360</v>
      </c>
      <c r="BT227" s="125">
        <f>Tabela1[[#This Row],[Pré RDW %]]</f>
        <v>13.2</v>
      </c>
      <c r="BU227" s="125">
        <f>Tabela1[[#This Row],[Pós RDW %]]</f>
        <v>13.5</v>
      </c>
      <c r="BV227" s="179">
        <f>Tabela1[[#This Row],[Pré RET %]]</f>
        <v>7.6100000000000001E-2</v>
      </c>
      <c r="BW227" s="196">
        <f>Tabela1[[#This Row],[Pós RET %]]</f>
        <v>8.2600000000000007E-2</v>
      </c>
      <c r="BX227" s="197">
        <f>Tabela1[[#This Row],[Pré WBC 10³/mm³]]</f>
        <v>9.2799999999999994</v>
      </c>
      <c r="BY227" s="179">
        <f>Tabela1[[#This Row],[Pós WBC 10³/mm³]]</f>
        <v>15.92</v>
      </c>
      <c r="BZ227" s="125">
        <f>Tabela1[[#This Row],[Pré NEUT %]]</f>
        <v>70.900000000000006</v>
      </c>
      <c r="CA227" s="125">
        <f>Tabela1[[#This Row],[Pós NEUT %]]</f>
        <v>77.7</v>
      </c>
      <c r="CB227" s="125">
        <f>Tabela1[[#This Row],[Pré LINF %]]</f>
        <v>19.899999999999999</v>
      </c>
      <c r="CC227" s="125">
        <f>Tabela1[[#This Row],[Pós LINF %]]</f>
        <v>10.8</v>
      </c>
      <c r="CD227" s="125">
        <f>Tabela1[[#This Row],[Pré MONO %]]</f>
        <v>6.6</v>
      </c>
      <c r="CE227" s="125">
        <f>Tabela1[[#This Row],[Pós MONO %]]</f>
        <v>10.8</v>
      </c>
      <c r="CF227" s="125">
        <f>Tabela1[[#This Row],[Pré EOS %]]</f>
        <v>1.3</v>
      </c>
      <c r="CG227" s="125">
        <f>Tabela1[[#This Row],[Pós EOS %]]</f>
        <v>0.2</v>
      </c>
      <c r="CH227" s="125">
        <f>Tabela1[[#This Row],[Pré BASO %]]</f>
        <v>1.3</v>
      </c>
      <c r="CI227" s="198">
        <f>Tabela1[[#This Row],[Pós BASO %]]</f>
        <v>0.5</v>
      </c>
      <c r="CJ227" s="199" t="str">
        <f t="shared" si="13"/>
        <v>NÃO</v>
      </c>
      <c r="CK227" s="200" t="str">
        <f t="shared" si="14"/>
        <v>SIM</v>
      </c>
      <c r="CL227" s="194">
        <f t="shared" si="15"/>
        <v>70.381349999999998</v>
      </c>
      <c r="CM227" s="125">
        <f>Tabela1[[#This Row],[MCT KG]]</f>
        <v>79.5</v>
      </c>
      <c r="CN227" s="85">
        <f>Tabela1[[#This Row],[ESTATURA]]</f>
        <v>176.5</v>
      </c>
      <c r="CO227" s="85">
        <f>Tabela1[[#This Row],[vo2max estimado]]</f>
        <v>52.51</v>
      </c>
      <c r="CP227" s="85">
        <f>Tabela1[[#This Row],[Handgrip     Dominante]]</f>
        <v>48</v>
      </c>
      <c r="CQ227" s="85">
        <f>Tabela1[[#This Row],[Handgrip Contrário]]</f>
        <v>52</v>
      </c>
      <c r="CR227" s="281">
        <f>Tabela1[[#This Row],[% gordura]]</f>
        <v>11.47</v>
      </c>
    </row>
    <row r="228" spans="1:96" ht="15.75" customHeight="1">
      <c r="A228" s="279">
        <f>Tabela1[[#This Row],[Ano]]</f>
        <v>2019</v>
      </c>
      <c r="B228" s="181" t="str">
        <f>Tabela1[[#This Row],[Missão]]</f>
        <v>Marambaia</v>
      </c>
      <c r="C228" s="181">
        <f>Tabela1[[#This Row],[Aluno]]</f>
        <v>3213</v>
      </c>
      <c r="D228" s="181">
        <f>Tabela1[[#This Row],[Idade]]</f>
        <v>32</v>
      </c>
      <c r="E228" s="182">
        <f>Tabela1[[#This Row],[Peso Kg]]</f>
        <v>0</v>
      </c>
      <c r="F228" s="191">
        <f>Tabela1[[#This Row],[Cor da pele]]</f>
        <v>1</v>
      </c>
      <c r="G228" s="192" t="str">
        <f>Tabela1[[#This Row],[ACTN3]]</f>
        <v>RR</v>
      </c>
      <c r="H228" s="85" t="str">
        <f>Tabela1[[#This Row],[AGT]]</f>
        <v>MT</v>
      </c>
      <c r="I228" s="85" t="str">
        <f>Tabela1[[#This Row],[ECA]]</f>
        <v>ID</v>
      </c>
      <c r="J228" s="85" t="str">
        <f>Tabela1[[#This Row],[BDKRB2]]</f>
        <v>(-9,-9)</v>
      </c>
      <c r="K228" s="85">
        <f>Tabela1[[#This Row],[Score Força%]]</f>
        <v>37.5</v>
      </c>
      <c r="L228" s="193">
        <f>Tabela1[[#This Row],[Score Resistência %]]</f>
        <v>62.5</v>
      </c>
      <c r="M228" s="192">
        <f>Tabela1[[#This Row],[Pré CK (U/L)]]</f>
        <v>692</v>
      </c>
      <c r="N228" s="85" t="str">
        <f>Tabela1[[#This Row],[Pós CK (U/L)]]</f>
        <v>-</v>
      </c>
      <c r="O228" s="85">
        <f>Tabela1[[#This Row],[Pré CK MB U/L]]</f>
        <v>41</v>
      </c>
      <c r="P228" s="85" t="str">
        <f>Tabela1[[#This Row],[Pós CK MB U/L]]</f>
        <v>-</v>
      </c>
      <c r="Q228" s="85">
        <f>Tabela1[[#This Row],[Pré Lactato (mmol/L)]]</f>
        <v>2.9</v>
      </c>
      <c r="R228" s="85" t="str">
        <f>Tabela1[[#This Row],[Pós Lactato (mmol/L)]]</f>
        <v>-</v>
      </c>
      <c r="S228" s="85">
        <f>Tabela1[[#This Row],[Pré LDH (U/L)]]</f>
        <v>552</v>
      </c>
      <c r="T228" s="85" t="str">
        <f>Tabela1[[#This Row],[Pós LDH (U/L)]]</f>
        <v>-</v>
      </c>
      <c r="U228" s="85">
        <f>Tabela1[[#This Row],[Pré AST (U/L)]]</f>
        <v>77</v>
      </c>
      <c r="V228" s="193" t="str">
        <f>Tabela1[[#This Row],[Pós AST (U/L)]]</f>
        <v>-</v>
      </c>
      <c r="W228" s="194">
        <f>Tabela1[[#This Row],[Pré Albumina (g/dL)]]</f>
        <v>3.9</v>
      </c>
      <c r="X228" s="125" t="str">
        <f>Tabela1[[#This Row],[Pós Albumina (g/dL)]]</f>
        <v>-</v>
      </c>
      <c r="Y228" s="85">
        <f>Tabela1[[#This Row],[Pré TGP (g/dL)]]</f>
        <v>93</v>
      </c>
      <c r="Z228" s="85" t="str">
        <f>Tabela1[[#This Row],[Pós TGP (g/dL)]]</f>
        <v>-</v>
      </c>
      <c r="AA228" s="85">
        <f>Tabela1[[#This Row],[Pré GGT U/L]]</f>
        <v>45</v>
      </c>
      <c r="AB228" s="193" t="str">
        <f>Tabela1[[#This Row],[Pós GGT U/L]]</f>
        <v>-</v>
      </c>
      <c r="AC228" s="194">
        <f>Tabela1[[#This Row],[Pré Ac. Úrico (mg/dL)]]</f>
        <v>4.5</v>
      </c>
      <c r="AD228" s="125" t="str">
        <f>Tabela1[[#This Row],[Pós Ac. Úrico (mg/dL)2]]</f>
        <v>-</v>
      </c>
      <c r="AE22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28" s="180" t="str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Dados Insuficientes</v>
      </c>
      <c r="AG228" s="85">
        <f>Tabela1[[#This Row],[Pré Ureia mg/dL]]</f>
        <v>45</v>
      </c>
      <c r="AH228" s="85" t="str">
        <f>Tabela1[[#This Row],[Pós Ureia mg/dL]]</f>
        <v>-</v>
      </c>
      <c r="AI228" s="125">
        <f>Tabela1[[#This Row],[Pré creatinina mg/dL]]</f>
        <v>1</v>
      </c>
      <c r="AJ228" s="125" t="str">
        <f>Tabela1[[#This Row],[Pós creatinina mg/dL]]</f>
        <v>-</v>
      </c>
      <c r="AK228" s="180" t="str">
        <f t="shared" si="12"/>
        <v>Dados Insuficientes</v>
      </c>
      <c r="AL228" s="125">
        <f>Tabela1[[#This Row],[Pré Fósforo mg/dL]]</f>
        <v>4.0999999999999996</v>
      </c>
      <c r="AM228" s="125" t="str">
        <f>Tabela1[[#This Row],[Pós Fósforo mg/dL]]</f>
        <v>-</v>
      </c>
      <c r="AN228" s="125">
        <f>Tabela1[[#This Row],[Pré Proteína Total (g/dL)]]</f>
        <v>6.5</v>
      </c>
      <c r="AO228" s="125" t="str">
        <f>Tabela1[[#This Row],[Pós Proteína Total (g/dL)]]</f>
        <v>-</v>
      </c>
      <c r="AP228" s="85">
        <f>Tabela1[[#This Row],[Pré FE (ug/dL)]]</f>
        <v>40</v>
      </c>
      <c r="AQ228" s="193" t="str">
        <f>Tabela1[[#This Row],[Pós FE (ug/dL)]]</f>
        <v>-</v>
      </c>
      <c r="AR228" s="194">
        <f>Tabela1[[#This Row],[Pré calcio mg/dL]]</f>
        <v>10.1</v>
      </c>
      <c r="AS228" s="125" t="str">
        <f>Tabela1[[#This Row],[Pós calcio mg/dL]]</f>
        <v>-</v>
      </c>
      <c r="AT228" s="125">
        <f>Tabela1[[#This Row],[Pré Potássio mmol/L]]</f>
        <v>4.5</v>
      </c>
      <c r="AU228" s="125" t="str">
        <f>Tabela1[[#This Row],[Pós Potássio mmol/L]]</f>
        <v>-</v>
      </c>
      <c r="AV228" s="85">
        <f>Tabela1[[#This Row],[Glicose pré]]</f>
        <v>124</v>
      </c>
      <c r="AW228" s="85" t="str">
        <f>Tabela1[[#This Row],[Glicose pós]]</f>
        <v>-</v>
      </c>
      <c r="AX228" s="85">
        <f>Tabela1[[#This Row],[Pré Sódio mmol/L]]</f>
        <v>137</v>
      </c>
      <c r="AY228" s="85" t="str">
        <f>Tabela1[[#This Row],[Pós Sódio mmol/L]]</f>
        <v>-</v>
      </c>
      <c r="AZ228" s="125">
        <f>Tabela1[[#This Row],[Pré Magnésio mg/dL]]</f>
        <v>2</v>
      </c>
      <c r="BA228" s="125" t="str">
        <f>Tabela1[[#This Row],[Pós Magnésio mg/dL]]</f>
        <v>-</v>
      </c>
      <c r="BB228" s="85">
        <f>Tabela1[[#This Row],[Pré Cloro mmol/L]]</f>
        <v>100</v>
      </c>
      <c r="BC228" s="85" t="str">
        <f>Tabela1[[#This Row],[Pós Cloro mmol/L]]</f>
        <v>-</v>
      </c>
      <c r="BD22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292.61222222222221</v>
      </c>
      <c r="BE228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228" s="194">
        <f>Tabela1[[#This Row],[Pré RBC 10^6/mm³]]</f>
        <v>3.93</v>
      </c>
      <c r="BG228" s="125" t="str">
        <f>Tabela1[[#This Row],[Pós RBC 10^6/mm³]]</f>
        <v>-</v>
      </c>
      <c r="BH228" s="125">
        <f>Tabela1[[#This Row],[Pré HGB g/dL]]</f>
        <v>12.4</v>
      </c>
      <c r="BI228" s="125" t="str">
        <f>Tabela1[[#This Row],[Pós HGB g/dL]]</f>
        <v>-</v>
      </c>
      <c r="BJ228" s="125">
        <f>Tabela1[[#This Row],[Pré HCT %]]</f>
        <v>39.200000000000003</v>
      </c>
      <c r="BK228" s="125" t="str">
        <f>Tabela1[[#This Row],[Pós HCT %]]</f>
        <v>-</v>
      </c>
      <c r="BL228" s="125">
        <f>Tabela1[[#This Row],[Pré MCV fL]]</f>
        <v>99.7</v>
      </c>
      <c r="BM228" s="125" t="str">
        <f>Tabela1[[#This Row],[Pós MCV fL]]</f>
        <v>-</v>
      </c>
      <c r="BN228" s="125">
        <f>Tabela1[[#This Row],[Pré MCH pg]]</f>
        <v>31.6</v>
      </c>
      <c r="BO228" s="125" t="str">
        <f>Tabela1[[#This Row],[Pós MCH pg]]</f>
        <v>-</v>
      </c>
      <c r="BP228" s="125">
        <f>Tabela1[[#This Row],[Pré MCHC g/dL]]</f>
        <v>31.6</v>
      </c>
      <c r="BQ228" s="125" t="str">
        <f>Tabela1[[#This Row],[Pós MCHC g/dL]]</f>
        <v>-</v>
      </c>
      <c r="BR228" s="85">
        <f>Tabela1[[#This Row],[Pré PLT 10³/mm³]]</f>
        <v>403</v>
      </c>
      <c r="BS228" s="85" t="str">
        <f>Tabela1[[#This Row],[Pós PLT 10³/mm³]]</f>
        <v>-</v>
      </c>
      <c r="BT228" s="125">
        <f>Tabela1[[#This Row],[Pré RDW %]]</f>
        <v>14.8</v>
      </c>
      <c r="BU228" s="125" t="str">
        <f>Tabela1[[#This Row],[Pós RDW %]]</f>
        <v>-</v>
      </c>
      <c r="BV228" s="179">
        <f>Tabela1[[#This Row],[Pré RET %]]</f>
        <v>0.15409999999999999</v>
      </c>
      <c r="BW228" s="196" t="str">
        <f>Tabela1[[#This Row],[Pós RET %]]</f>
        <v>-</v>
      </c>
      <c r="BX228" s="197">
        <f>Tabela1[[#This Row],[Pré WBC 10³/mm³]]</f>
        <v>14.85</v>
      </c>
      <c r="BY228" s="179" t="str">
        <f>Tabela1[[#This Row],[Pós WBC 10³/mm³]]</f>
        <v>-</v>
      </c>
      <c r="BZ228" s="125">
        <f>Tabela1[[#This Row],[Pré NEUT %]]</f>
        <v>87.3</v>
      </c>
      <c r="CA228" s="125" t="str">
        <f>Tabela1[[#This Row],[Pós NEUT %]]</f>
        <v>-</v>
      </c>
      <c r="CB228" s="125">
        <f>Tabela1[[#This Row],[Pré LINF %]]</f>
        <v>7.1</v>
      </c>
      <c r="CC228" s="125" t="str">
        <f>Tabela1[[#This Row],[Pós LINF %]]</f>
        <v>-</v>
      </c>
      <c r="CD228" s="125">
        <f>Tabela1[[#This Row],[Pré MONO %]]</f>
        <v>5.4</v>
      </c>
      <c r="CE228" s="125" t="str">
        <f>Tabela1[[#This Row],[Pós MONO %]]</f>
        <v>-</v>
      </c>
      <c r="CF228" s="125">
        <f>Tabela1[[#This Row],[Pré EOS %]]</f>
        <v>0.1</v>
      </c>
      <c r="CG228" s="125" t="str">
        <f>Tabela1[[#This Row],[Pós EOS %]]</f>
        <v>-</v>
      </c>
      <c r="CH228" s="125">
        <f>Tabela1[[#This Row],[Pré BASO %]]</f>
        <v>0.1</v>
      </c>
      <c r="CI228" s="198" t="str">
        <f>Tabela1[[#This Row],[Pós BASO %]]</f>
        <v>-</v>
      </c>
      <c r="CJ228" s="199" t="str">
        <f t="shared" si="13"/>
        <v>Dados insuficientes</v>
      </c>
      <c r="CK228" s="200" t="str">
        <f t="shared" si="14"/>
        <v>SIM</v>
      </c>
      <c r="CL228" s="194">
        <f t="shared" si="15"/>
        <v>71.386020000000002</v>
      </c>
      <c r="CM228" s="125">
        <f>Tabela1[[#This Row],[MCT KG]]</f>
        <v>77.400000000000006</v>
      </c>
      <c r="CN228" s="85">
        <f>Tabela1[[#This Row],[ESTATURA]]</f>
        <v>175</v>
      </c>
      <c r="CO228" s="85">
        <f>Tabela1[[#This Row],[vo2max estimado]]</f>
        <v>53.39</v>
      </c>
      <c r="CP228" s="85">
        <f>Tabela1[[#This Row],[Handgrip     Dominante]]</f>
        <v>48</v>
      </c>
      <c r="CQ228" s="85">
        <f>Tabela1[[#This Row],[Handgrip Contrário]]</f>
        <v>44</v>
      </c>
      <c r="CR228" s="281">
        <f>Tabela1[[#This Row],[% gordura]]</f>
        <v>7.77</v>
      </c>
    </row>
    <row r="229" spans="1:96" ht="15.75" customHeight="1">
      <c r="A229" s="279">
        <f>Tabela1[[#This Row],[Ano]]</f>
        <v>2019</v>
      </c>
      <c r="B229" s="181" t="str">
        <f>Tabela1[[#This Row],[Missão]]</f>
        <v>Marambaia</v>
      </c>
      <c r="C229" s="181">
        <f>Tabela1[[#This Row],[Aluno]]</f>
        <v>3214</v>
      </c>
      <c r="D229" s="181">
        <f>Tabela1[[#This Row],[Idade]]</f>
        <v>31</v>
      </c>
      <c r="E229" s="182">
        <f>Tabela1[[#This Row],[Peso Kg]]</f>
        <v>76.400000000000006</v>
      </c>
      <c r="F229" s="191">
        <f>Tabela1[[#This Row],[Cor da pele]]</f>
        <v>1</v>
      </c>
      <c r="G229" s="192" t="str">
        <f>Tabela1[[#This Row],[ACTN3]]</f>
        <v>RX</v>
      </c>
      <c r="H229" s="85" t="str">
        <f>Tabela1[[#This Row],[AGT]]</f>
        <v>MM</v>
      </c>
      <c r="I229" s="85" t="str">
        <f>Tabela1[[#This Row],[ECA]]</f>
        <v>II</v>
      </c>
      <c r="J229" s="85" t="str">
        <f>Tabela1[[#This Row],[BDKRB2]]</f>
        <v>(+9,+9)</v>
      </c>
      <c r="K229" s="85">
        <f>Tabela1[[#This Row],[Score Força%]]</f>
        <v>25</v>
      </c>
      <c r="L229" s="193">
        <f>Tabela1[[#This Row],[Score Resistência %]]</f>
        <v>75</v>
      </c>
      <c r="M229" s="192">
        <f>Tabela1[[#This Row],[Pré CK (U/L)]]</f>
        <v>349</v>
      </c>
      <c r="N229" s="85">
        <f>Tabela1[[#This Row],[Pós CK (U/L)]]</f>
        <v>1080</v>
      </c>
      <c r="O229" s="85">
        <f>Tabela1[[#This Row],[Pré CK MB U/L]]</f>
        <v>27</v>
      </c>
      <c r="P229" s="85">
        <f>Tabela1[[#This Row],[Pós CK MB U/L]]</f>
        <v>31</v>
      </c>
      <c r="Q229" s="85">
        <f>Tabela1[[#This Row],[Pré Lactato (mmol/L)]]</f>
        <v>3.2</v>
      </c>
      <c r="R229" s="85">
        <f>Tabela1[[#This Row],[Pós Lactato (mmol/L)]]</f>
        <v>2.9</v>
      </c>
      <c r="S229" s="85">
        <f>Tabela1[[#This Row],[Pré LDH (U/L)]]</f>
        <v>305</v>
      </c>
      <c r="T229" s="85">
        <f>Tabela1[[#This Row],[Pós LDH (U/L)]]</f>
        <v>608</v>
      </c>
      <c r="U229" s="85">
        <f>Tabela1[[#This Row],[Pré AST (U/L)]]</f>
        <v>55</v>
      </c>
      <c r="V229" s="193">
        <f>Tabela1[[#This Row],[Pós AST (U/L)]]</f>
        <v>78</v>
      </c>
      <c r="W229" s="194">
        <f>Tabela1[[#This Row],[Pré Albumina (g/dL)]]</f>
        <v>4</v>
      </c>
      <c r="X229" s="125">
        <f>Tabela1[[#This Row],[Pós Albumina (g/dL)]]</f>
        <v>4.0999999999999996</v>
      </c>
      <c r="Y229" s="85">
        <f>Tabela1[[#This Row],[Pré TGP (g/dL)]]</f>
        <v>57</v>
      </c>
      <c r="Z229" s="85">
        <f>Tabela1[[#This Row],[Pós TGP (g/dL)]]</f>
        <v>71</v>
      </c>
      <c r="AA229" s="85">
        <f>Tabela1[[#This Row],[Pré GGT U/L]]</f>
        <v>53</v>
      </c>
      <c r="AB229" s="193">
        <f>Tabela1[[#This Row],[Pós GGT U/L]]</f>
        <v>101</v>
      </c>
      <c r="AC229" s="194">
        <f>Tabela1[[#This Row],[Pré Ac. Úrico (mg/dL)]]</f>
        <v>5.3</v>
      </c>
      <c r="AD229" s="125">
        <f>Tabela1[[#This Row],[Pós Ac. Úrico (mg/dL)2]]</f>
        <v>7.1</v>
      </c>
      <c r="AE22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2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229" s="85">
        <f>Tabela1[[#This Row],[Pré Ureia mg/dL]]</f>
        <v>40</v>
      </c>
      <c r="AH229" s="85">
        <f>Tabela1[[#This Row],[Pós Ureia mg/dL]]</f>
        <v>49</v>
      </c>
      <c r="AI229" s="125">
        <f>Tabela1[[#This Row],[Pré creatinina mg/dL]]</f>
        <v>0.8</v>
      </c>
      <c r="AJ229" s="125">
        <f>Tabela1[[#This Row],[Pós creatinina mg/dL]]</f>
        <v>0.8</v>
      </c>
      <c r="AK229" s="180">
        <f t="shared" si="12"/>
        <v>0</v>
      </c>
      <c r="AL229" s="125">
        <f>Tabela1[[#This Row],[Pré Fósforo mg/dL]]</f>
        <v>3.2</v>
      </c>
      <c r="AM229" s="125">
        <f>Tabela1[[#This Row],[Pós Fósforo mg/dL]]</f>
        <v>5.4</v>
      </c>
      <c r="AN229" s="125">
        <f>Tabela1[[#This Row],[Pré Proteína Total (g/dL)]]</f>
        <v>6.8</v>
      </c>
      <c r="AO229" s="125">
        <f>Tabela1[[#This Row],[Pós Proteína Total (g/dL)]]</f>
        <v>7.1</v>
      </c>
      <c r="AP229" s="85">
        <f>Tabela1[[#This Row],[Pré FE (ug/dL)]]</f>
        <v>54</v>
      </c>
      <c r="AQ229" s="193">
        <f>Tabela1[[#This Row],[Pós FE (ug/dL)]]</f>
        <v>46</v>
      </c>
      <c r="AR229" s="194">
        <f>Tabela1[[#This Row],[Pré calcio mg/dL]]</f>
        <v>9.6999999999999993</v>
      </c>
      <c r="AS229" s="125">
        <f>Tabela1[[#This Row],[Pós calcio mg/dL]]</f>
        <v>9.6999999999999993</v>
      </c>
      <c r="AT229" s="125">
        <f>Tabela1[[#This Row],[Pré Potássio mmol/L]]</f>
        <v>4.5999999999999996</v>
      </c>
      <c r="AU229" s="125">
        <f>Tabela1[[#This Row],[Pós Potássio mmol/L]]</f>
        <v>4.8</v>
      </c>
      <c r="AV229" s="85">
        <f>Tabela1[[#This Row],[Glicose pré]]</f>
        <v>95</v>
      </c>
      <c r="AW229" s="85">
        <f>Tabela1[[#This Row],[Glicose pós]]</f>
        <v>86</v>
      </c>
      <c r="AX229" s="85">
        <f>Tabela1[[#This Row],[Pré Sódio mmol/L]]</f>
        <v>137</v>
      </c>
      <c r="AY229" s="85">
        <f>Tabela1[[#This Row],[Pós Sódio mmol/L]]</f>
        <v>136</v>
      </c>
      <c r="AZ229" s="125">
        <f>Tabela1[[#This Row],[Pré Magnésio mg/dL]]</f>
        <v>2</v>
      </c>
      <c r="BA229" s="125">
        <f>Tabela1[[#This Row],[Pós Magnésio mg/dL]]</f>
        <v>2.2999999999999998</v>
      </c>
      <c r="BB229" s="85">
        <f>Tabela1[[#This Row],[Pré Cloro mmol/L]]</f>
        <v>99</v>
      </c>
      <c r="BC229" s="85">
        <f>Tabela1[[#This Row],[Pós Cloro mmol/L]]</f>
        <v>97</v>
      </c>
      <c r="BD22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290.11211111111112</v>
      </c>
      <c r="BE22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289.54911111111119</v>
      </c>
      <c r="BF229" s="194">
        <f>Tabela1[[#This Row],[Pré RBC 10^6/mm³]]</f>
        <v>4.3899999999999997</v>
      </c>
      <c r="BG229" s="125">
        <f>Tabela1[[#This Row],[Pós RBC 10^6/mm³]]</f>
        <v>4.1500000000000004</v>
      </c>
      <c r="BH229" s="125">
        <f>Tabela1[[#This Row],[Pré HGB g/dL]]</f>
        <v>12.5</v>
      </c>
      <c r="BI229" s="125">
        <f>Tabela1[[#This Row],[Pós HGB g/dL]]</f>
        <v>11.9</v>
      </c>
      <c r="BJ229" s="125">
        <f>Tabela1[[#This Row],[Pré HCT %]]</f>
        <v>39.299999999999997</v>
      </c>
      <c r="BK229" s="125">
        <f>Tabela1[[#This Row],[Pós HCT %]]</f>
        <v>37.299999999999997</v>
      </c>
      <c r="BL229" s="125">
        <f>Tabela1[[#This Row],[Pré MCV fL]]</f>
        <v>89.5</v>
      </c>
      <c r="BM229" s="125">
        <f>Tabela1[[#This Row],[Pós MCV fL]]</f>
        <v>89.9</v>
      </c>
      <c r="BN229" s="125">
        <f>Tabela1[[#This Row],[Pré MCH pg]]</f>
        <v>28.5</v>
      </c>
      <c r="BO229" s="125">
        <f>Tabela1[[#This Row],[Pós MCH pg]]</f>
        <v>28.7</v>
      </c>
      <c r="BP229" s="125">
        <f>Tabela1[[#This Row],[Pré MCHC g/dL]]</f>
        <v>31.8</v>
      </c>
      <c r="BQ229" s="125">
        <f>Tabela1[[#This Row],[Pós MCHC g/dL]]</f>
        <v>31.9</v>
      </c>
      <c r="BR229" s="85">
        <f>Tabela1[[#This Row],[Pré PLT 10³/mm³]]</f>
        <v>317</v>
      </c>
      <c r="BS229" s="85">
        <f>Tabela1[[#This Row],[Pós PLT 10³/mm³]]</f>
        <v>328</v>
      </c>
      <c r="BT229" s="125">
        <f>Tabela1[[#This Row],[Pré RDW %]]</f>
        <v>13</v>
      </c>
      <c r="BU229" s="125">
        <f>Tabela1[[#This Row],[Pós RDW %]]</f>
        <v>13.6</v>
      </c>
      <c r="BV229" s="179">
        <f>Tabela1[[#This Row],[Pré RET %]]</f>
        <v>9.2200000000000004E-2</v>
      </c>
      <c r="BW229" s="196">
        <f>Tabela1[[#This Row],[Pós RET %]]</f>
        <v>0.1038</v>
      </c>
      <c r="BX229" s="197">
        <f>Tabela1[[#This Row],[Pré WBC 10³/mm³]]</f>
        <v>8.84</v>
      </c>
      <c r="BY229" s="179">
        <f>Tabela1[[#This Row],[Pós WBC 10³/mm³]]</f>
        <v>12.35</v>
      </c>
      <c r="BZ229" s="125">
        <f>Tabela1[[#This Row],[Pré NEUT %]]</f>
        <v>81.7</v>
      </c>
      <c r="CA229" s="125">
        <f>Tabela1[[#This Row],[Pós NEUT %]]</f>
        <v>77.900000000000006</v>
      </c>
      <c r="CB229" s="125">
        <f>Tabela1[[#This Row],[Pré LINF %]]</f>
        <v>10.6</v>
      </c>
      <c r="CC229" s="125">
        <f>Tabela1[[#This Row],[Pós LINF %]]</f>
        <v>13.6</v>
      </c>
      <c r="CD229" s="125">
        <f>Tabela1[[#This Row],[Pré MONO %]]</f>
        <v>6.8</v>
      </c>
      <c r="CE229" s="125">
        <f>Tabela1[[#This Row],[Pós MONO %]]</f>
        <v>8.3000000000000007</v>
      </c>
      <c r="CF229" s="125">
        <f>Tabela1[[#This Row],[Pré EOS %]]</f>
        <v>0.6</v>
      </c>
      <c r="CG229" s="125">
        <f>Tabela1[[#This Row],[Pós EOS %]]</f>
        <v>0</v>
      </c>
      <c r="CH229" s="125">
        <f>Tabela1[[#This Row],[Pré BASO %]]</f>
        <v>0.3</v>
      </c>
      <c r="CI229" s="198">
        <f>Tabela1[[#This Row],[Pós BASO %]]</f>
        <v>0.2</v>
      </c>
      <c r="CJ229" s="199" t="str">
        <f t="shared" si="13"/>
        <v>NÃO</v>
      </c>
      <c r="CK229" s="200" t="str">
        <f t="shared" si="14"/>
        <v>SIM</v>
      </c>
      <c r="CL229" s="194">
        <f t="shared" si="15"/>
        <v>70.427400000000006</v>
      </c>
      <c r="CM229" s="125">
        <f>Tabela1[[#This Row],[MCT KG]]</f>
        <v>80.25</v>
      </c>
      <c r="CN229" s="85">
        <f>Tabela1[[#This Row],[ESTATURA]]</f>
        <v>178</v>
      </c>
      <c r="CO229" s="85">
        <f>Tabela1[[#This Row],[vo2max estimado]]</f>
        <v>51.39</v>
      </c>
      <c r="CP229" s="85">
        <f>Tabela1[[#This Row],[Handgrip     Dominante]]</f>
        <v>48</v>
      </c>
      <c r="CQ229" s="85">
        <f>Tabela1[[#This Row],[Handgrip Contrário]]</f>
        <v>47</v>
      </c>
      <c r="CR229" s="281">
        <f>Tabela1[[#This Row],[% gordura]]</f>
        <v>12.24</v>
      </c>
    </row>
    <row r="230" spans="1:96" ht="15.75" customHeight="1">
      <c r="A230" s="279">
        <f>Tabela1[[#This Row],[Ano]]</f>
        <v>2019</v>
      </c>
      <c r="B230" s="181" t="str">
        <f>Tabela1[[#This Row],[Missão]]</f>
        <v>Marambaia</v>
      </c>
      <c r="C230" s="181">
        <f>Tabela1[[#This Row],[Aluno]]</f>
        <v>3215</v>
      </c>
      <c r="D230" s="181">
        <f>Tabela1[[#This Row],[Idade]]</f>
        <v>33</v>
      </c>
      <c r="E230" s="182">
        <f>Tabela1[[#This Row],[Peso Kg]]</f>
        <v>71</v>
      </c>
      <c r="F230" s="191">
        <f>Tabela1[[#This Row],[Cor da pele]]</f>
        <v>1</v>
      </c>
      <c r="G230" s="192" t="str">
        <f>Tabela1[[#This Row],[ACTN3]]</f>
        <v>XX</v>
      </c>
      <c r="H230" s="85" t="str">
        <f>Tabela1[[#This Row],[AGT]]</f>
        <v>MM</v>
      </c>
      <c r="I230" s="85" t="str">
        <f>Tabela1[[#This Row],[ECA]]</f>
        <v>ID</v>
      </c>
      <c r="J230" s="85" t="str">
        <f>Tabela1[[#This Row],[BDKRB2]]</f>
        <v>(+9,-9)</v>
      </c>
      <c r="K230" s="85">
        <f>Tabela1[[#This Row],[Score Força%]]</f>
        <v>25</v>
      </c>
      <c r="L230" s="193">
        <f>Tabela1[[#This Row],[Score Resistência %]]</f>
        <v>75</v>
      </c>
      <c r="M230" s="192">
        <f>Tabela1[[#This Row],[Pré CK (U/L)]]</f>
        <v>721</v>
      </c>
      <c r="N230" s="85">
        <f>Tabela1[[#This Row],[Pós CK (U/L)]]</f>
        <v>971</v>
      </c>
      <c r="O230" s="85">
        <f>Tabela1[[#This Row],[Pré CK MB U/L]]</f>
        <v>46</v>
      </c>
      <c r="P230" s="85">
        <f>Tabela1[[#This Row],[Pós CK MB U/L]]</f>
        <v>54</v>
      </c>
      <c r="Q230" s="85">
        <f>Tabela1[[#This Row],[Pré Lactato (mmol/L)]]</f>
        <v>2.5</v>
      </c>
      <c r="R230" s="85">
        <f>Tabela1[[#This Row],[Pós Lactato (mmol/L)]]</f>
        <v>2.1</v>
      </c>
      <c r="S230" s="85">
        <f>Tabela1[[#This Row],[Pré LDH (U/L)]]</f>
        <v>396</v>
      </c>
      <c r="T230" s="85">
        <f>Tabela1[[#This Row],[Pós LDH (U/L)]]</f>
        <v>521</v>
      </c>
      <c r="U230" s="85">
        <f>Tabela1[[#This Row],[Pré AST (U/L)]]</f>
        <v>99</v>
      </c>
      <c r="V230" s="193">
        <f>Tabela1[[#This Row],[Pós AST (U/L)]]</f>
        <v>96</v>
      </c>
      <c r="W230" s="194">
        <f>Tabela1[[#This Row],[Pré Albumina (g/dL)]]</f>
        <v>3.7</v>
      </c>
      <c r="X230" s="125">
        <f>Tabela1[[#This Row],[Pós Albumina (g/dL)]]</f>
        <v>4.2</v>
      </c>
      <c r="Y230" s="85">
        <f>Tabela1[[#This Row],[Pré TGP (g/dL)]]</f>
        <v>73</v>
      </c>
      <c r="Z230" s="85">
        <f>Tabela1[[#This Row],[Pós TGP (g/dL)]]</f>
        <v>78</v>
      </c>
      <c r="AA230" s="85">
        <f>Tabela1[[#This Row],[Pré GGT U/L]]</f>
        <v>41</v>
      </c>
      <c r="AB230" s="193">
        <f>Tabela1[[#This Row],[Pós GGT U/L]]</f>
        <v>65</v>
      </c>
      <c r="AC230" s="194">
        <f>Tabela1[[#This Row],[Pré Ac. Úrico (mg/dL)]]</f>
        <v>3.6</v>
      </c>
      <c r="AD230" s="125">
        <f>Tabela1[[#This Row],[Pós Ac. Úrico (mg/dL)2]]</f>
        <v>4</v>
      </c>
      <c r="AE23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3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30" s="85">
        <f>Tabela1[[#This Row],[Pré Ureia mg/dL]]</f>
        <v>47</v>
      </c>
      <c r="AH230" s="85">
        <f>Tabela1[[#This Row],[Pós Ureia mg/dL]]</f>
        <v>48</v>
      </c>
      <c r="AI230" s="125">
        <f>Tabela1[[#This Row],[Pré creatinina mg/dL]]</f>
        <v>0.9</v>
      </c>
      <c r="AJ230" s="125">
        <f>Tabela1[[#This Row],[Pós creatinina mg/dL]]</f>
        <v>0.9</v>
      </c>
      <c r="AK230" s="180">
        <f t="shared" si="12"/>
        <v>0</v>
      </c>
      <c r="AL230" s="125">
        <f>Tabela1[[#This Row],[Pré Fósforo mg/dL]]</f>
        <v>2.7</v>
      </c>
      <c r="AM230" s="125">
        <f>Tabela1[[#This Row],[Pós Fósforo mg/dL]]</f>
        <v>4.5</v>
      </c>
      <c r="AN230" s="125">
        <f>Tabela1[[#This Row],[Pré Proteína Total (g/dL)]]</f>
        <v>6.5</v>
      </c>
      <c r="AO230" s="125">
        <f>Tabela1[[#This Row],[Pós Proteína Total (g/dL)]]</f>
        <v>7.4</v>
      </c>
      <c r="AP230" s="85">
        <f>Tabela1[[#This Row],[Pré FE (ug/dL)]]</f>
        <v>46</v>
      </c>
      <c r="AQ230" s="193">
        <f>Tabela1[[#This Row],[Pós FE (ug/dL)]]</f>
        <v>60</v>
      </c>
      <c r="AR230" s="194">
        <f>Tabela1[[#This Row],[Pré calcio mg/dL]]</f>
        <v>9.3000000000000007</v>
      </c>
      <c r="AS230" s="125">
        <f>Tabela1[[#This Row],[Pós calcio mg/dL]]</f>
        <v>9.6999999999999993</v>
      </c>
      <c r="AT230" s="125">
        <f>Tabela1[[#This Row],[Pré Potássio mmol/L]]</f>
        <v>3.8</v>
      </c>
      <c r="AU230" s="125">
        <f>Tabela1[[#This Row],[Pós Potássio mmol/L]]</f>
        <v>4.2</v>
      </c>
      <c r="AV230" s="85">
        <f>Tabela1[[#This Row],[Glicose pré]]</f>
        <v>98</v>
      </c>
      <c r="AW230" s="85">
        <f>Tabela1[[#This Row],[Glicose pós]]</f>
        <v>84</v>
      </c>
      <c r="AX230" s="85">
        <f>Tabela1[[#This Row],[Pré Sódio mmol/L]]</f>
        <v>140</v>
      </c>
      <c r="AY230" s="85">
        <f>Tabela1[[#This Row],[Pós Sódio mmol/L]]</f>
        <v>135</v>
      </c>
      <c r="AZ230" s="125">
        <f>Tabela1[[#This Row],[Pré Magnésio mg/dL]]</f>
        <v>2.1</v>
      </c>
      <c r="BA230" s="125">
        <f>Tabela1[[#This Row],[Pós Magnésio mg/dL]]</f>
        <v>2.2000000000000002</v>
      </c>
      <c r="BB230" s="85">
        <f>Tabela1[[#This Row],[Pré Cloro mmol/L]]</f>
        <v>102</v>
      </c>
      <c r="BC230" s="85">
        <f>Tabela1[[#This Row],[Pós Cloro mmol/L]]</f>
        <v>96</v>
      </c>
      <c r="BD23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295.56244444444445</v>
      </c>
      <c r="BE23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286.27866666666665</v>
      </c>
      <c r="BF230" s="194">
        <f>Tabela1[[#This Row],[Pré RBC 10^6/mm³]]</f>
        <v>4.2300000000000004</v>
      </c>
      <c r="BG230" s="125">
        <f>Tabela1[[#This Row],[Pós RBC 10^6/mm³]]</f>
        <v>4.29</v>
      </c>
      <c r="BH230" s="125">
        <f>Tabela1[[#This Row],[Pré HGB g/dL]]</f>
        <v>12.3</v>
      </c>
      <c r="BI230" s="125">
        <f>Tabela1[[#This Row],[Pós HGB g/dL]]</f>
        <v>12.4</v>
      </c>
      <c r="BJ230" s="125">
        <f>Tabela1[[#This Row],[Pré HCT %]]</f>
        <v>38.799999999999997</v>
      </c>
      <c r="BK230" s="125">
        <f>Tabela1[[#This Row],[Pós HCT %]]</f>
        <v>39.6</v>
      </c>
      <c r="BL230" s="125">
        <f>Tabela1[[#This Row],[Pré MCV fL]]</f>
        <v>91.7</v>
      </c>
      <c r="BM230" s="125">
        <f>Tabela1[[#This Row],[Pós MCV fL]]</f>
        <v>92.3</v>
      </c>
      <c r="BN230" s="125">
        <f>Tabela1[[#This Row],[Pré MCH pg]]</f>
        <v>29.1</v>
      </c>
      <c r="BO230" s="125">
        <f>Tabela1[[#This Row],[Pós MCH pg]]</f>
        <v>28.9</v>
      </c>
      <c r="BP230" s="125">
        <f>Tabela1[[#This Row],[Pré MCHC g/dL]]</f>
        <v>31.7</v>
      </c>
      <c r="BQ230" s="125">
        <f>Tabela1[[#This Row],[Pós MCHC g/dL]]</f>
        <v>31.3</v>
      </c>
      <c r="BR230" s="85">
        <f>Tabela1[[#This Row],[Pré PLT 10³/mm³]]</f>
        <v>312</v>
      </c>
      <c r="BS230" s="85">
        <f>Tabela1[[#This Row],[Pós PLT 10³/mm³]]</f>
        <v>341</v>
      </c>
      <c r="BT230" s="125">
        <f>Tabela1[[#This Row],[Pré RDW %]]</f>
        <v>13.9</v>
      </c>
      <c r="BU230" s="125">
        <f>Tabela1[[#This Row],[Pós RDW %]]</f>
        <v>14.5</v>
      </c>
      <c r="BV230" s="179">
        <f>Tabela1[[#This Row],[Pré RET %]]</f>
        <v>7.5300000000000006E-2</v>
      </c>
      <c r="BW230" s="196">
        <f>Tabela1[[#This Row],[Pós RET %]]</f>
        <v>0.1021</v>
      </c>
      <c r="BX230" s="197">
        <f>Tabela1[[#This Row],[Pré WBC 10³/mm³]]</f>
        <v>9</v>
      </c>
      <c r="BY230" s="179">
        <f>Tabela1[[#This Row],[Pós WBC 10³/mm³]]</f>
        <v>8.82</v>
      </c>
      <c r="BZ230" s="125">
        <f>Tabela1[[#This Row],[Pré NEUT %]]</f>
        <v>84</v>
      </c>
      <c r="CA230" s="125">
        <f>Tabela1[[#This Row],[Pós NEUT %]]</f>
        <v>77.7</v>
      </c>
      <c r="CB230" s="125">
        <f>Tabela1[[#This Row],[Pré LINF %]]</f>
        <v>8.1</v>
      </c>
      <c r="CC230" s="125">
        <f>Tabela1[[#This Row],[Pós LINF %]]</f>
        <v>11.3</v>
      </c>
      <c r="CD230" s="125">
        <f>Tabela1[[#This Row],[Pré MONO %]]</f>
        <v>6.7</v>
      </c>
      <c r="CE230" s="125">
        <f>Tabela1[[#This Row],[Pós MONO %]]</f>
        <v>10.7</v>
      </c>
      <c r="CF230" s="125">
        <f>Tabela1[[#This Row],[Pré EOS %]]</f>
        <v>0.9</v>
      </c>
      <c r="CG230" s="125">
        <f>Tabela1[[#This Row],[Pós EOS %]]</f>
        <v>0.1</v>
      </c>
      <c r="CH230" s="125">
        <f>Tabela1[[#This Row],[Pré BASO %]]</f>
        <v>0.3</v>
      </c>
      <c r="CI230" s="198">
        <f>Tabela1[[#This Row],[Pós BASO %]]</f>
        <v>0.2</v>
      </c>
      <c r="CJ230" s="199" t="str">
        <f t="shared" si="13"/>
        <v>NÃO</v>
      </c>
      <c r="CK230" s="200" t="str">
        <f t="shared" si="14"/>
        <v>NÃO</v>
      </c>
      <c r="CL230" s="194">
        <f t="shared" si="15"/>
        <v>66.237339999999989</v>
      </c>
      <c r="CM230" s="125">
        <f>Tabela1[[#This Row],[MCT KG]]</f>
        <v>74.599999999999994</v>
      </c>
      <c r="CN230" s="85">
        <f>Tabela1[[#This Row],[ESTATURA]]</f>
        <v>178.5</v>
      </c>
      <c r="CO230" s="85">
        <f>Tabela1[[#This Row],[vo2max estimado]]</f>
        <v>50</v>
      </c>
      <c r="CP230" s="85">
        <f>Tabela1[[#This Row],[Handgrip     Dominante]]</f>
        <v>62</v>
      </c>
      <c r="CQ230" s="85">
        <f>Tabela1[[#This Row],[Handgrip Contrário]]</f>
        <v>58</v>
      </c>
      <c r="CR230" s="281">
        <f>Tabela1[[#This Row],[% gordura]]</f>
        <v>11.21</v>
      </c>
    </row>
    <row r="231" spans="1:96" ht="15.75" customHeight="1">
      <c r="A231" s="279">
        <f>Tabela1[[#This Row],[Ano]]</f>
        <v>2019</v>
      </c>
      <c r="B231" s="181" t="str">
        <f>Tabela1[[#This Row],[Missão]]</f>
        <v>Marambaia</v>
      </c>
      <c r="C231" s="181">
        <f>Tabela1[[#This Row],[Aluno]]</f>
        <v>3216</v>
      </c>
      <c r="D231" s="181">
        <f>Tabela1[[#This Row],[Idade]]</f>
        <v>31</v>
      </c>
      <c r="E231" s="182">
        <f>Tabela1[[#This Row],[Peso Kg]]</f>
        <v>69.3</v>
      </c>
      <c r="F231" s="191">
        <f>Tabela1[[#This Row],[Cor da pele]]</f>
        <v>1</v>
      </c>
      <c r="G231" s="192" t="str">
        <f>Tabela1[[#This Row],[ACTN3]]</f>
        <v>RR</v>
      </c>
      <c r="H231" s="85" t="str">
        <f>Tabela1[[#This Row],[AGT]]</f>
        <v>MM</v>
      </c>
      <c r="I231" s="85" t="str">
        <f>Tabela1[[#This Row],[ECA]]</f>
        <v>ID</v>
      </c>
      <c r="J231" s="85" t="str">
        <f>Tabela1[[#This Row],[BDKRB2]]</f>
        <v>(+9,-9)</v>
      </c>
      <c r="K231" s="85">
        <f>Tabela1[[#This Row],[Score Força%]]</f>
        <v>50</v>
      </c>
      <c r="L231" s="193">
        <f>Tabela1[[#This Row],[Score Resistência %]]</f>
        <v>50</v>
      </c>
      <c r="M231" s="192">
        <f>Tabela1[[#This Row],[Pré CK (U/L)]]</f>
        <v>535</v>
      </c>
      <c r="N231" s="85">
        <f>Tabela1[[#This Row],[Pós CK (U/L)]]</f>
        <v>2513</v>
      </c>
      <c r="O231" s="85">
        <f>Tabela1[[#This Row],[Pré CK MB U/L]]</f>
        <v>36</v>
      </c>
      <c r="P231" s="85">
        <f>Tabela1[[#This Row],[Pós CK MB U/L]]</f>
        <v>70</v>
      </c>
      <c r="Q231" s="85">
        <f>Tabela1[[#This Row],[Pré Lactato (mmol/L)]]</f>
        <v>3</v>
      </c>
      <c r="R231" s="85">
        <f>Tabela1[[#This Row],[Pós Lactato (mmol/L)]]</f>
        <v>2.4</v>
      </c>
      <c r="S231" s="85">
        <f>Tabela1[[#This Row],[Pré LDH (U/L)]]</f>
        <v>422</v>
      </c>
      <c r="T231" s="85">
        <f>Tabela1[[#This Row],[Pós LDH (U/L)]]</f>
        <v>740</v>
      </c>
      <c r="U231" s="85">
        <f>Tabela1[[#This Row],[Pré AST (U/L)]]</f>
        <v>80</v>
      </c>
      <c r="V231" s="193">
        <f>Tabela1[[#This Row],[Pós AST (U/L)]]</f>
        <v>116</v>
      </c>
      <c r="W231" s="194">
        <f>Tabela1[[#This Row],[Pré Albumina (g/dL)]]</f>
        <v>3.6</v>
      </c>
      <c r="X231" s="125">
        <f>Tabela1[[#This Row],[Pós Albumina (g/dL)]]</f>
        <v>3.9</v>
      </c>
      <c r="Y231" s="85">
        <f>Tabela1[[#This Row],[Pré TGP (g/dL)]]</f>
        <v>75</v>
      </c>
      <c r="Z231" s="85">
        <f>Tabela1[[#This Row],[Pós TGP (g/dL)]]</f>
        <v>83</v>
      </c>
      <c r="AA231" s="85">
        <f>Tabela1[[#This Row],[Pré GGT U/L]]</f>
        <v>32</v>
      </c>
      <c r="AB231" s="193">
        <f>Tabela1[[#This Row],[Pós GGT U/L]]</f>
        <v>40</v>
      </c>
      <c r="AC231" s="194">
        <f>Tabela1[[#This Row],[Pré Ac. Úrico (mg/dL)]]</f>
        <v>4.5</v>
      </c>
      <c r="AD231" s="125">
        <f>Tabela1[[#This Row],[Pós Ac. Úrico (mg/dL)2]]</f>
        <v>5.7</v>
      </c>
      <c r="AE23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23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128.71280700150223</v>
      </c>
      <c r="AG231" s="85">
        <f>Tabela1[[#This Row],[Pré Ureia mg/dL]]</f>
        <v>39</v>
      </c>
      <c r="AH231" s="85">
        <f>Tabela1[[#This Row],[Pós Ureia mg/dL]]</f>
        <v>46</v>
      </c>
      <c r="AI231" s="125">
        <f>Tabela1[[#This Row],[Pré creatinina mg/dL]]</f>
        <v>0.7</v>
      </c>
      <c r="AJ231" s="125">
        <f>Tabela1[[#This Row],[Pós creatinina mg/dL]]</f>
        <v>0.7</v>
      </c>
      <c r="AK231" s="180">
        <f t="shared" si="12"/>
        <v>0</v>
      </c>
      <c r="AL231" s="125">
        <f>Tabela1[[#This Row],[Pré Fósforo mg/dL]]</f>
        <v>2.4</v>
      </c>
      <c r="AM231" s="125">
        <f>Tabela1[[#This Row],[Pós Fósforo mg/dL]]</f>
        <v>4.4000000000000004</v>
      </c>
      <c r="AN231" s="125">
        <f>Tabela1[[#This Row],[Pré Proteína Total (g/dL)]]</f>
        <v>6.3</v>
      </c>
      <c r="AO231" s="125">
        <f>Tabela1[[#This Row],[Pós Proteína Total (g/dL)]]</f>
        <v>6.9</v>
      </c>
      <c r="AP231" s="85">
        <f>Tabela1[[#This Row],[Pré FE (ug/dL)]]</f>
        <v>28</v>
      </c>
      <c r="AQ231" s="193">
        <f>Tabela1[[#This Row],[Pós FE (ug/dL)]]</f>
        <v>87</v>
      </c>
      <c r="AR231" s="194">
        <f>Tabela1[[#This Row],[Pré calcio mg/dL]]</f>
        <v>9.5</v>
      </c>
      <c r="AS231" s="125">
        <f>Tabela1[[#This Row],[Pós calcio mg/dL]]</f>
        <v>9.6</v>
      </c>
      <c r="AT231" s="125">
        <f>Tabela1[[#This Row],[Pré Potássio mmol/L]]</f>
        <v>3.7</v>
      </c>
      <c r="AU231" s="125">
        <f>Tabela1[[#This Row],[Pós Potássio mmol/L]]</f>
        <v>4.2</v>
      </c>
      <c r="AV231" s="85">
        <f>Tabela1[[#This Row],[Glicose pré]]</f>
        <v>119</v>
      </c>
      <c r="AW231" s="85">
        <f>Tabela1[[#This Row],[Glicose pós]]</f>
        <v>123</v>
      </c>
      <c r="AX231" s="85">
        <f>Tabela1[[#This Row],[Pré Sódio mmol/L]]</f>
        <v>139</v>
      </c>
      <c r="AY231" s="85">
        <f>Tabela1[[#This Row],[Pós Sódio mmol/L]]</f>
        <v>136</v>
      </c>
      <c r="AZ231" s="125">
        <f>Tabela1[[#This Row],[Pré Magnésio mg/dL]]</f>
        <v>2.1</v>
      </c>
      <c r="BA231" s="125">
        <f>Tabela1[[#This Row],[Pós Magnésio mg/dL]]</f>
        <v>2.2999999999999998</v>
      </c>
      <c r="BB231" s="85">
        <f>Tabela1[[#This Row],[Pré Cloro mmol/L]]</f>
        <v>102</v>
      </c>
      <c r="BC231" s="85">
        <f>Tabela1[[#This Row],[Pós Cloro mmol/L]]</f>
        <v>96</v>
      </c>
      <c r="BD23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293.52477777777773</v>
      </c>
      <c r="BE23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290.29700000000003</v>
      </c>
      <c r="BF231" s="194">
        <f>Tabela1[[#This Row],[Pré RBC 10^6/mm³]]</f>
        <v>4.51</v>
      </c>
      <c r="BG231" s="125">
        <f>Tabela1[[#This Row],[Pós RBC 10^6/mm³]]</f>
        <v>4.25</v>
      </c>
      <c r="BH231" s="125">
        <f>Tabela1[[#This Row],[Pré HGB g/dL]]</f>
        <v>13.7</v>
      </c>
      <c r="BI231" s="125">
        <f>Tabela1[[#This Row],[Pós HGB g/dL]]</f>
        <v>12.8</v>
      </c>
      <c r="BJ231" s="125">
        <f>Tabela1[[#This Row],[Pré HCT %]]</f>
        <v>43</v>
      </c>
      <c r="BK231" s="125">
        <f>Tabela1[[#This Row],[Pós HCT %]]</f>
        <v>41</v>
      </c>
      <c r="BL231" s="125">
        <f>Tabela1[[#This Row],[Pré MCV fL]]</f>
        <v>95.3</v>
      </c>
      <c r="BM231" s="125">
        <f>Tabela1[[#This Row],[Pós MCV fL]]</f>
        <v>96.5</v>
      </c>
      <c r="BN231" s="125">
        <f>Tabela1[[#This Row],[Pré MCH pg]]</f>
        <v>30.4</v>
      </c>
      <c r="BO231" s="125">
        <f>Tabela1[[#This Row],[Pós MCH pg]]</f>
        <v>30.1</v>
      </c>
      <c r="BP231" s="125">
        <f>Tabela1[[#This Row],[Pré MCHC g/dL]]</f>
        <v>31.9</v>
      </c>
      <c r="BQ231" s="125">
        <f>Tabela1[[#This Row],[Pós MCHC g/dL]]</f>
        <v>31.2</v>
      </c>
      <c r="BR231" s="85">
        <f>Tabela1[[#This Row],[Pré PLT 10³/mm³]]</f>
        <v>270</v>
      </c>
      <c r="BS231" s="85">
        <f>Tabela1[[#This Row],[Pós PLT 10³/mm³]]</f>
        <v>316</v>
      </c>
      <c r="BT231" s="125">
        <f>Tabela1[[#This Row],[Pré RDW %]]</f>
        <v>12.2</v>
      </c>
      <c r="BU231" s="125">
        <f>Tabela1[[#This Row],[Pós RDW %]]</f>
        <v>12.7</v>
      </c>
      <c r="BV231" s="179">
        <f>Tabela1[[#This Row],[Pré RET %]]</f>
        <v>8.6099999999999996E-2</v>
      </c>
      <c r="BW231" s="196">
        <f>Tabela1[[#This Row],[Pós RET %]]</f>
        <v>8.2900000000000001E-2</v>
      </c>
      <c r="BX231" s="197">
        <f>Tabela1[[#This Row],[Pré WBC 10³/mm³]]</f>
        <v>12.03</v>
      </c>
      <c r="BY231" s="179">
        <f>Tabela1[[#This Row],[Pós WBC 10³/mm³]]</f>
        <v>11.36</v>
      </c>
      <c r="BZ231" s="125">
        <f>Tabela1[[#This Row],[Pré NEUT %]]</f>
        <v>84.6</v>
      </c>
      <c r="CA231" s="125">
        <f>Tabela1[[#This Row],[Pós NEUT %]]</f>
        <v>78</v>
      </c>
      <c r="CB231" s="125">
        <f>Tabela1[[#This Row],[Pré LINF %]]</f>
        <v>8.8000000000000007</v>
      </c>
      <c r="CC231" s="125">
        <f>Tabela1[[#This Row],[Pós LINF %]]</f>
        <v>12.4</v>
      </c>
      <c r="CD231" s="125">
        <f>Tabela1[[#This Row],[Pré MONO %]]</f>
        <v>5.7</v>
      </c>
      <c r="CE231" s="125">
        <f>Tabela1[[#This Row],[Pós MONO %]]</f>
        <v>9.1</v>
      </c>
      <c r="CF231" s="125">
        <f>Tabela1[[#This Row],[Pré EOS %]]</f>
        <v>0.7</v>
      </c>
      <c r="CG231" s="125">
        <f>Tabela1[[#This Row],[Pós EOS %]]</f>
        <v>0.3</v>
      </c>
      <c r="CH231" s="125">
        <f>Tabela1[[#This Row],[Pré BASO %]]</f>
        <v>0.2</v>
      </c>
      <c r="CI231" s="198">
        <f>Tabela1[[#This Row],[Pós BASO %]]</f>
        <v>0.2</v>
      </c>
      <c r="CJ231" s="199" t="str">
        <f t="shared" si="13"/>
        <v>NÃO</v>
      </c>
      <c r="CK231" s="200" t="str">
        <f t="shared" si="14"/>
        <v>SIM</v>
      </c>
      <c r="CL231" s="194">
        <f t="shared" si="15"/>
        <v>65.387150000000005</v>
      </c>
      <c r="CM231" s="125">
        <f>Tabela1[[#This Row],[MCT KG]]</f>
        <v>70.75</v>
      </c>
      <c r="CN231" s="85">
        <f>Tabela1[[#This Row],[ESTATURA]]</f>
        <v>181.5</v>
      </c>
      <c r="CO231" s="85">
        <f>Tabela1[[#This Row],[vo2max estimado]]</f>
        <v>54.55</v>
      </c>
      <c r="CP231" s="85">
        <f>Tabela1[[#This Row],[Handgrip     Dominante]]</f>
        <v>50</v>
      </c>
      <c r="CQ231" s="85">
        <f>Tabela1[[#This Row],[Handgrip Contrário]]</f>
        <v>42</v>
      </c>
      <c r="CR231" s="281">
        <f>Tabela1[[#This Row],[% gordura]]</f>
        <v>7.58</v>
      </c>
    </row>
    <row r="232" spans="1:96" ht="15.75" customHeight="1">
      <c r="A232" s="279">
        <f>Tabela1[[#This Row],[Ano]]</f>
        <v>2019</v>
      </c>
      <c r="B232" s="181" t="str">
        <f>Tabela1[[#This Row],[Missão]]</f>
        <v>Marambaia</v>
      </c>
      <c r="C232" s="181">
        <f>Tabela1[[#This Row],[Aluno]]</f>
        <v>3222</v>
      </c>
      <c r="D232" s="181">
        <f>Tabela1[[#This Row],[Idade]]</f>
        <v>28</v>
      </c>
      <c r="E232" s="182">
        <f>Tabela1[[#This Row],[Peso Kg]]</f>
        <v>59</v>
      </c>
      <c r="F232" s="191">
        <f>Tabela1[[#This Row],[Cor da pele]]</f>
        <v>1</v>
      </c>
      <c r="G232" s="192" t="str">
        <f>Tabela1[[#This Row],[ACTN3]]</f>
        <v>RR</v>
      </c>
      <c r="H232" s="85" t="str">
        <f>Tabela1[[#This Row],[AGT]]</f>
        <v>MT</v>
      </c>
      <c r="I232" s="85" t="str">
        <f>Tabela1[[#This Row],[ECA]]</f>
        <v>ID</v>
      </c>
      <c r="J232" s="85" t="str">
        <f>Tabela1[[#This Row],[BDKRB2]]</f>
        <v>(-9,-9)</v>
      </c>
      <c r="K232" s="85">
        <f>Tabela1[[#This Row],[Score Força%]]</f>
        <v>50</v>
      </c>
      <c r="L232" s="193">
        <f>Tabela1[[#This Row],[Score Resistência %]]</f>
        <v>50</v>
      </c>
      <c r="M232" s="192">
        <f>Tabela1[[#This Row],[Pré CK (U/L)]]</f>
        <v>1345</v>
      </c>
      <c r="N232" s="85">
        <f>Tabela1[[#This Row],[Pós CK (U/L)]]</f>
        <v>2397</v>
      </c>
      <c r="O232" s="85">
        <f>Tabela1[[#This Row],[Pré CK MB U/L]]</f>
        <v>61</v>
      </c>
      <c r="P232" s="85">
        <f>Tabela1[[#This Row],[Pós CK MB U/L]]</f>
        <v>68</v>
      </c>
      <c r="Q232" s="85">
        <f>Tabela1[[#This Row],[Pré Lactato (mmol/L)]]</f>
        <v>2.5</v>
      </c>
      <c r="R232" s="85">
        <f>Tabela1[[#This Row],[Pós Lactato (mmol/L)]]</f>
        <v>2.4</v>
      </c>
      <c r="S232" s="85">
        <f>Tabela1[[#This Row],[Pré LDH (U/L)]]</f>
        <v>463</v>
      </c>
      <c r="T232" s="85">
        <f>Tabela1[[#This Row],[Pós LDH (U/L)]]</f>
        <v>757</v>
      </c>
      <c r="U232" s="85">
        <f>Tabela1[[#This Row],[Pré AST (U/L)]]</f>
        <v>129</v>
      </c>
      <c r="V232" s="193">
        <f>Tabela1[[#This Row],[Pós AST (U/L)]]</f>
        <v>127</v>
      </c>
      <c r="W232" s="194">
        <f>Tabela1[[#This Row],[Pré Albumina (g/dL)]]</f>
        <v>4.0999999999999996</v>
      </c>
      <c r="X232" s="125">
        <f>Tabela1[[#This Row],[Pós Albumina (g/dL)]]</f>
        <v>4.5</v>
      </c>
      <c r="Y232" s="85">
        <f>Tabela1[[#This Row],[Pré TGP (g/dL)]]</f>
        <v>87</v>
      </c>
      <c r="Z232" s="85">
        <f>Tabela1[[#This Row],[Pós TGP (g/dL)]]</f>
        <v>76</v>
      </c>
      <c r="AA232" s="85">
        <f>Tabela1[[#This Row],[Pré GGT U/L]]</f>
        <v>23</v>
      </c>
      <c r="AB232" s="193">
        <f>Tabela1[[#This Row],[Pós GGT U/L]]</f>
        <v>25</v>
      </c>
      <c r="AC232" s="194">
        <f>Tabela1[[#This Row],[Pré Ac. Úrico (mg/dL)]]</f>
        <v>3.7</v>
      </c>
      <c r="AD232" s="125">
        <f>Tabela1[[#This Row],[Pós Ac. Úrico (mg/dL)2]]</f>
        <v>5.9</v>
      </c>
      <c r="AE23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3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32" s="85">
        <f>Tabela1[[#This Row],[Pré Ureia mg/dL]]</f>
        <v>53</v>
      </c>
      <c r="AH232" s="85">
        <f>Tabela1[[#This Row],[Pós Ureia mg/dL]]</f>
        <v>65</v>
      </c>
      <c r="AI232" s="125">
        <f>Tabela1[[#This Row],[Pré creatinina mg/dL]]</f>
        <v>0.8</v>
      </c>
      <c r="AJ232" s="125">
        <f>Tabela1[[#This Row],[Pós creatinina mg/dL]]</f>
        <v>0.9</v>
      </c>
      <c r="AK232" s="180">
        <f t="shared" si="12"/>
        <v>9.9999999999999978E-2</v>
      </c>
      <c r="AL232" s="125">
        <f>Tabela1[[#This Row],[Pré Fósforo mg/dL]]</f>
        <v>2.9</v>
      </c>
      <c r="AM232" s="125">
        <f>Tabela1[[#This Row],[Pós Fósforo mg/dL]]</f>
        <v>5.0999999999999996</v>
      </c>
      <c r="AN232" s="125">
        <f>Tabela1[[#This Row],[Pré Proteína Total (g/dL)]]</f>
        <v>6.4</v>
      </c>
      <c r="AO232" s="125">
        <f>Tabela1[[#This Row],[Pós Proteína Total (g/dL)]]</f>
        <v>7.4</v>
      </c>
      <c r="AP232" s="85">
        <f>Tabela1[[#This Row],[Pré FE (ug/dL)]]</f>
        <v>55</v>
      </c>
      <c r="AQ232" s="193">
        <f>Tabela1[[#This Row],[Pós FE (ug/dL)]]</f>
        <v>62</v>
      </c>
      <c r="AR232" s="194">
        <f>Tabela1[[#This Row],[Pré calcio mg/dL]]</f>
        <v>9.6999999999999993</v>
      </c>
      <c r="AS232" s="125">
        <f>Tabela1[[#This Row],[Pós calcio mg/dL]]</f>
        <v>10.1</v>
      </c>
      <c r="AT232" s="125">
        <f>Tabela1[[#This Row],[Pré Potássio mmol/L]]</f>
        <v>3.8</v>
      </c>
      <c r="AU232" s="125">
        <f>Tabela1[[#This Row],[Pós Potássio mmol/L]]</f>
        <v>4.7</v>
      </c>
      <c r="AV232" s="85">
        <f>Tabela1[[#This Row],[Glicose pré]]</f>
        <v>78</v>
      </c>
      <c r="AW232" s="85">
        <f>Tabela1[[#This Row],[Glicose pós]]</f>
        <v>101</v>
      </c>
      <c r="AX232" s="85">
        <f>Tabela1[[#This Row],[Pré Sódio mmol/L]]</f>
        <v>137</v>
      </c>
      <c r="AY232" s="85">
        <f>Tabela1[[#This Row],[Pós Sódio mmol/L]]</f>
        <v>136</v>
      </c>
      <c r="AZ232" s="125">
        <f>Tabela1[[#This Row],[Pré Magnésio mg/dL]]</f>
        <v>2</v>
      </c>
      <c r="BA232" s="125">
        <f>Tabela1[[#This Row],[Pós Magnésio mg/dL]]</f>
        <v>2.2000000000000002</v>
      </c>
      <c r="BB232" s="85">
        <f>Tabela1[[#This Row],[Pré Cloro mmol/L]]</f>
        <v>100</v>
      </c>
      <c r="BC232" s="85">
        <f>Tabela1[[#This Row],[Pós Cloro mmol/L]]</f>
        <v>96</v>
      </c>
      <c r="BD23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289.7046666666667</v>
      </c>
      <c r="BE23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292.9881111111111</v>
      </c>
      <c r="BF232" s="194">
        <f>Tabela1[[#This Row],[Pré RBC 10^6/mm³]]</f>
        <v>4.3899999999999997</v>
      </c>
      <c r="BG232" s="125">
        <f>Tabela1[[#This Row],[Pós RBC 10^6/mm³]]</f>
        <v>4.0599999999999996</v>
      </c>
      <c r="BH232" s="125">
        <f>Tabela1[[#This Row],[Pré HGB g/dL]]</f>
        <v>12.7</v>
      </c>
      <c r="BI232" s="125">
        <f>Tabela1[[#This Row],[Pós HGB g/dL]]</f>
        <v>11.9</v>
      </c>
      <c r="BJ232" s="125">
        <f>Tabela1[[#This Row],[Pré HCT %]]</f>
        <v>39.4</v>
      </c>
      <c r="BK232" s="125">
        <f>Tabela1[[#This Row],[Pós HCT %]]</f>
        <v>36.6</v>
      </c>
      <c r="BL232" s="125">
        <f>Tabela1[[#This Row],[Pré MCV fL]]</f>
        <v>89.7</v>
      </c>
      <c r="BM232" s="125">
        <f>Tabela1[[#This Row],[Pós MCV fL]]</f>
        <v>90.1</v>
      </c>
      <c r="BN232" s="125">
        <f>Tabela1[[#This Row],[Pré MCH pg]]</f>
        <v>28.9</v>
      </c>
      <c r="BO232" s="125">
        <f>Tabela1[[#This Row],[Pós MCH pg]]</f>
        <v>29.3</v>
      </c>
      <c r="BP232" s="125">
        <f>Tabela1[[#This Row],[Pré MCHC g/dL]]</f>
        <v>32.200000000000003</v>
      </c>
      <c r="BQ232" s="125">
        <f>Tabela1[[#This Row],[Pós MCHC g/dL]]</f>
        <v>32.5</v>
      </c>
      <c r="BR232" s="85">
        <f>Tabela1[[#This Row],[Pré PLT 10³/mm³]]</f>
        <v>338</v>
      </c>
      <c r="BS232" s="85">
        <f>Tabela1[[#This Row],[Pós PLT 10³/mm³]]</f>
        <v>362</v>
      </c>
      <c r="BT232" s="125">
        <f>Tabela1[[#This Row],[Pré RDW %]]</f>
        <v>13.8</v>
      </c>
      <c r="BU232" s="125">
        <f>Tabela1[[#This Row],[Pós RDW %]]</f>
        <v>14.2</v>
      </c>
      <c r="BV232" s="179">
        <f>Tabela1[[#This Row],[Pré RET %]]</f>
        <v>6.9400000000000003E-2</v>
      </c>
      <c r="BW232" s="196">
        <f>Tabela1[[#This Row],[Pós RET %]]</f>
        <v>6.0100000000000001E-2</v>
      </c>
      <c r="BX232" s="197">
        <f>Tabela1[[#This Row],[Pré WBC 10³/mm³]]</f>
        <v>6.21</v>
      </c>
      <c r="BY232" s="179">
        <f>Tabela1[[#This Row],[Pós WBC 10³/mm³]]</f>
        <v>10.210000000000001</v>
      </c>
      <c r="BZ232" s="125">
        <f>Tabela1[[#This Row],[Pré NEUT %]]</f>
        <v>76.900000000000006</v>
      </c>
      <c r="CA232" s="125">
        <f>Tabela1[[#This Row],[Pós NEUT %]]</f>
        <v>87.5</v>
      </c>
      <c r="CB232" s="125">
        <f>Tabela1[[#This Row],[Pré LINF %]]</f>
        <v>14.2</v>
      </c>
      <c r="CC232" s="125">
        <f>Tabela1[[#This Row],[Pós LINF %]]</f>
        <v>5.4</v>
      </c>
      <c r="CD232" s="125">
        <f>Tabela1[[#This Row],[Pré MONO %]]</f>
        <v>8.1999999999999993</v>
      </c>
      <c r="CE232" s="125">
        <f>Tabela1[[#This Row],[Pós MONO %]]</f>
        <v>7</v>
      </c>
      <c r="CF232" s="125">
        <f>Tabela1[[#This Row],[Pré EOS %]]</f>
        <v>0.5</v>
      </c>
      <c r="CG232" s="125">
        <f>Tabela1[[#This Row],[Pós EOS %]]</f>
        <v>0</v>
      </c>
      <c r="CH232" s="125">
        <f>Tabela1[[#This Row],[Pré BASO %]]</f>
        <v>0.2</v>
      </c>
      <c r="CI232" s="198">
        <f>Tabela1[[#This Row],[Pós BASO %]]</f>
        <v>0.1</v>
      </c>
      <c r="CJ232" s="199" t="str">
        <f t="shared" si="13"/>
        <v>NÃO</v>
      </c>
      <c r="CK232" s="200" t="str">
        <f t="shared" si="14"/>
        <v>SIM</v>
      </c>
      <c r="CL232" s="194">
        <f t="shared" si="15"/>
        <v>63.753039999999999</v>
      </c>
      <c r="CM232" s="125">
        <f>Tabela1[[#This Row],[MCT KG]]</f>
        <v>76.7</v>
      </c>
      <c r="CN232" s="85">
        <f>Tabela1[[#This Row],[ESTATURA]]</f>
        <v>165</v>
      </c>
      <c r="CO232" s="85">
        <f>Tabela1[[#This Row],[vo2max estimado]]</f>
        <v>49.68</v>
      </c>
      <c r="CP232" s="85">
        <f>Tabela1[[#This Row],[Handgrip     Dominante]]</f>
        <v>52</v>
      </c>
      <c r="CQ232" s="85">
        <f>Tabela1[[#This Row],[Handgrip Contrário]]</f>
        <v>52</v>
      </c>
      <c r="CR232" s="281">
        <f>Tabela1[[#This Row],[% gordura]]</f>
        <v>16.88</v>
      </c>
    </row>
    <row r="233" spans="1:96" ht="15.75" customHeight="1">
      <c r="A233" s="279">
        <f>Tabela1[[#This Row],[Ano]]</f>
        <v>2019</v>
      </c>
      <c r="B233" s="181" t="str">
        <f>Tabela1[[#This Row],[Missão]]</f>
        <v>Marambaia</v>
      </c>
      <c r="C233" s="181">
        <f>Tabela1[[#This Row],[Aluno]]</f>
        <v>3235</v>
      </c>
      <c r="D233" s="181">
        <f>Tabela1[[#This Row],[Idade]]</f>
        <v>27</v>
      </c>
      <c r="E233" s="182">
        <f>Tabela1[[#This Row],[Peso Kg]]</f>
        <v>79.7</v>
      </c>
      <c r="F233" s="191">
        <f>Tabela1[[#This Row],[Cor da pele]]</f>
        <v>1</v>
      </c>
      <c r="G233" s="192" t="str">
        <f>Tabela1[[#This Row],[ACTN3]]</f>
        <v>XX</v>
      </c>
      <c r="H233" s="85" t="str">
        <f>Tabela1[[#This Row],[AGT]]</f>
        <v>TT</v>
      </c>
      <c r="I233" s="85" t="str">
        <f>Tabela1[[#This Row],[ECA]]</f>
        <v>DD</v>
      </c>
      <c r="J233" s="85" t="str">
        <f>Tabela1[[#This Row],[BDKRB2]]</f>
        <v>(+9,-9)</v>
      </c>
      <c r="K233" s="85">
        <f>Tabela1[[#This Row],[Score Força%]]</f>
        <v>62.5</v>
      </c>
      <c r="L233" s="193">
        <f>Tabela1[[#This Row],[Score Resistência %]]</f>
        <v>37.5</v>
      </c>
      <c r="M233" s="192">
        <f>Tabela1[[#This Row],[Pré CK (U/L)]]</f>
        <v>349</v>
      </c>
      <c r="N233" s="85">
        <f>Tabela1[[#This Row],[Pós CK (U/L)]]</f>
        <v>4804</v>
      </c>
      <c r="O233" s="85">
        <f>Tabela1[[#This Row],[Pré CK MB U/L]]</f>
        <v>52</v>
      </c>
      <c r="P233" s="85">
        <f>Tabela1[[#This Row],[Pós CK MB U/L]]</f>
        <v>134</v>
      </c>
      <c r="Q233" s="85">
        <f>Tabela1[[#This Row],[Pré Lactato (mmol/L)]]</f>
        <v>2.7</v>
      </c>
      <c r="R233" s="85">
        <f>Tabela1[[#This Row],[Pós Lactato (mmol/L)]]</f>
        <v>2.5</v>
      </c>
      <c r="S233" s="85">
        <f>Tabela1[[#This Row],[Pré LDH (U/L)]]</f>
        <v>395</v>
      </c>
      <c r="T233" s="85">
        <f>Tabela1[[#This Row],[Pós LDH (U/L)]]</f>
        <v>1025</v>
      </c>
      <c r="U233" s="85">
        <f>Tabela1[[#This Row],[Pré AST (U/L)]]</f>
        <v>90</v>
      </c>
      <c r="V233" s="193">
        <f>Tabela1[[#This Row],[Pós AST (U/L)]]</f>
        <v>238</v>
      </c>
      <c r="W233" s="194">
        <f>Tabela1[[#This Row],[Pré Albumina (g/dL)]]</f>
        <v>3.7</v>
      </c>
      <c r="X233" s="125">
        <f>Tabela1[[#This Row],[Pós Albumina (g/dL)]]</f>
        <v>4.0999999999999996</v>
      </c>
      <c r="Y233" s="85">
        <f>Tabela1[[#This Row],[Pré TGP (g/dL)]]</f>
        <v>96</v>
      </c>
      <c r="Z233" s="85">
        <f>Tabela1[[#This Row],[Pós TGP (g/dL)]]</f>
        <v>152</v>
      </c>
      <c r="AA233" s="85">
        <f>Tabela1[[#This Row],[Pré GGT U/L]]</f>
        <v>24</v>
      </c>
      <c r="AB233" s="193">
        <f>Tabela1[[#This Row],[Pós GGT U/L]]</f>
        <v>28</v>
      </c>
      <c r="AC233" s="194">
        <f>Tabela1[[#This Row],[Pré Ac. Úrico (mg/dL)]]</f>
        <v>6</v>
      </c>
      <c r="AD233" s="125">
        <f>Tabela1[[#This Row],[Pós Ac. Úrico (mg/dL)2]]</f>
        <v>8.1999999999999993</v>
      </c>
      <c r="AE23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3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33" s="85">
        <f>Tabela1[[#This Row],[Pré Ureia mg/dL]]</f>
        <v>46</v>
      </c>
      <c r="AH233" s="85">
        <f>Tabela1[[#This Row],[Pós Ureia mg/dL]]</f>
        <v>53</v>
      </c>
      <c r="AI233" s="125">
        <f>Tabela1[[#This Row],[Pré creatinina mg/dL]]</f>
        <v>0.9</v>
      </c>
      <c r="AJ233" s="125">
        <f>Tabela1[[#This Row],[Pós creatinina mg/dL]]</f>
        <v>1</v>
      </c>
      <c r="AK233" s="180">
        <f t="shared" si="12"/>
        <v>9.9999999999999978E-2</v>
      </c>
      <c r="AL233" s="125">
        <f>Tabela1[[#This Row],[Pré Fósforo mg/dL]]</f>
        <v>3</v>
      </c>
      <c r="AM233" s="125">
        <f>Tabela1[[#This Row],[Pós Fósforo mg/dL]]</f>
        <v>6.1</v>
      </c>
      <c r="AN233" s="125">
        <f>Tabela1[[#This Row],[Pré Proteína Total (g/dL)]]</f>
        <v>6.8</v>
      </c>
      <c r="AO233" s="125">
        <f>Tabela1[[#This Row],[Pós Proteína Total (g/dL)]]</f>
        <v>7.8</v>
      </c>
      <c r="AP233" s="85">
        <f>Tabela1[[#This Row],[Pré FE (ug/dL)]]</f>
        <v>53</v>
      </c>
      <c r="AQ233" s="193">
        <f>Tabela1[[#This Row],[Pós FE (ug/dL)]]</f>
        <v>69</v>
      </c>
      <c r="AR233" s="194">
        <f>Tabela1[[#This Row],[Pré calcio mg/dL]]</f>
        <v>9.5</v>
      </c>
      <c r="AS233" s="125">
        <f>Tabela1[[#This Row],[Pós calcio mg/dL]]</f>
        <v>9.6999999999999993</v>
      </c>
      <c r="AT233" s="125">
        <f>Tabela1[[#This Row],[Pré Potássio mmol/L]]</f>
        <v>4.0999999999999996</v>
      </c>
      <c r="AU233" s="125">
        <f>Tabela1[[#This Row],[Pós Potássio mmol/L]]</f>
        <v>5.0999999999999996</v>
      </c>
      <c r="AV233" s="85">
        <f>Tabela1[[#This Row],[Glicose pré]]</f>
        <v>125</v>
      </c>
      <c r="AW233" s="85">
        <f>Tabela1[[#This Row],[Glicose pós]]</f>
        <v>95</v>
      </c>
      <c r="AX233" s="85">
        <f>Tabela1[[#This Row],[Pré Sódio mmol/L]]</f>
        <v>139</v>
      </c>
      <c r="AY233" s="85">
        <f>Tabela1[[#This Row],[Pós Sódio mmol/L]]</f>
        <v>138</v>
      </c>
      <c r="AZ233" s="125">
        <f>Tabela1[[#This Row],[Pré Magnésio mg/dL]]</f>
        <v>2</v>
      </c>
      <c r="BA233" s="125">
        <f>Tabela1[[#This Row],[Pós Magnésio mg/dL]]</f>
        <v>2.2999999999999998</v>
      </c>
      <c r="BB233" s="85">
        <f>Tabela1[[#This Row],[Pré Cloro mmol/L]]</f>
        <v>100</v>
      </c>
      <c r="BC233" s="85">
        <f>Tabela1[[#This Row],[Pós Cloro mmol/L]]</f>
        <v>96</v>
      </c>
      <c r="BD23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295.81877777777777</v>
      </c>
      <c r="BE23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295.06877777777777</v>
      </c>
      <c r="BF233" s="194">
        <f>Tabela1[[#This Row],[Pré RBC 10^6/mm³]]</f>
        <v>4.7300000000000004</v>
      </c>
      <c r="BG233" s="125">
        <f>Tabela1[[#This Row],[Pós RBC 10^6/mm³]]</f>
        <v>4.42</v>
      </c>
      <c r="BH233" s="125">
        <f>Tabela1[[#This Row],[Pré HGB g/dL]]</f>
        <v>13.7</v>
      </c>
      <c r="BI233" s="125">
        <f>Tabela1[[#This Row],[Pós HGB g/dL]]</f>
        <v>12.7</v>
      </c>
      <c r="BJ233" s="125">
        <f>Tabela1[[#This Row],[Pré HCT %]]</f>
        <v>41.2</v>
      </c>
      <c r="BK233" s="125">
        <f>Tabela1[[#This Row],[Pós HCT %]]</f>
        <v>38.6</v>
      </c>
      <c r="BL233" s="125">
        <f>Tabela1[[#This Row],[Pré MCV fL]]</f>
        <v>87.1</v>
      </c>
      <c r="BM233" s="125">
        <f>Tabela1[[#This Row],[Pós MCV fL]]</f>
        <v>87.3</v>
      </c>
      <c r="BN233" s="125">
        <f>Tabela1[[#This Row],[Pré MCH pg]]</f>
        <v>29</v>
      </c>
      <c r="BO233" s="125">
        <f>Tabela1[[#This Row],[Pós MCH pg]]</f>
        <v>28.7</v>
      </c>
      <c r="BP233" s="125">
        <f>Tabela1[[#This Row],[Pré MCHC g/dL]]</f>
        <v>33.299999999999997</v>
      </c>
      <c r="BQ233" s="125">
        <f>Tabela1[[#This Row],[Pós MCHC g/dL]]</f>
        <v>32.9</v>
      </c>
      <c r="BR233" s="85">
        <f>Tabela1[[#This Row],[Pré PLT 10³/mm³]]</f>
        <v>315</v>
      </c>
      <c r="BS233" s="85">
        <f>Tabela1[[#This Row],[Pós PLT 10³/mm³]]</f>
        <v>259</v>
      </c>
      <c r="BT233" s="125">
        <f>Tabela1[[#This Row],[Pré RDW %]]</f>
        <v>13.7</v>
      </c>
      <c r="BU233" s="125">
        <f>Tabela1[[#This Row],[Pós RDW %]]</f>
        <v>13.8</v>
      </c>
      <c r="BV233" s="179">
        <f>Tabela1[[#This Row],[Pré RET %]]</f>
        <v>9.4600000000000004E-2</v>
      </c>
      <c r="BW233" s="196">
        <f>Tabela1[[#This Row],[Pós RET %]]</f>
        <v>8.0399999999999999E-2</v>
      </c>
      <c r="BX233" s="197">
        <f>Tabela1[[#This Row],[Pré WBC 10³/mm³]]</f>
        <v>7.14</v>
      </c>
      <c r="BY233" s="179">
        <f>Tabela1[[#This Row],[Pós WBC 10³/mm³]]</f>
        <v>8.3800000000000008</v>
      </c>
      <c r="BZ233" s="125">
        <f>Tabela1[[#This Row],[Pré NEUT %]]</f>
        <v>76.8</v>
      </c>
      <c r="CA233" s="125">
        <f>Tabela1[[#This Row],[Pós NEUT %]]</f>
        <v>79</v>
      </c>
      <c r="CB233" s="125">
        <f>Tabela1[[#This Row],[Pré LINF %]]</f>
        <v>15</v>
      </c>
      <c r="CC233" s="125">
        <f>Tabela1[[#This Row],[Pós LINF %]]</f>
        <v>13.6</v>
      </c>
      <c r="CD233" s="125">
        <f>Tabela1[[#This Row],[Pré MONO %]]</f>
        <v>5.9</v>
      </c>
      <c r="CE233" s="125">
        <f>Tabela1[[#This Row],[Pós MONO %]]</f>
        <v>7.2</v>
      </c>
      <c r="CF233" s="125">
        <f>Tabela1[[#This Row],[Pré EOS %]]</f>
        <v>1.7</v>
      </c>
      <c r="CG233" s="125">
        <f>Tabela1[[#This Row],[Pós EOS %]]</f>
        <v>0</v>
      </c>
      <c r="CH233" s="125">
        <f>Tabela1[[#This Row],[Pré BASO %]]</f>
        <v>0.6</v>
      </c>
      <c r="CI233" s="198">
        <f>Tabela1[[#This Row],[Pós BASO %]]</f>
        <v>0.2</v>
      </c>
      <c r="CJ233" s="199" t="str">
        <f t="shared" si="13"/>
        <v>NÃO</v>
      </c>
      <c r="CK233" s="200" t="str">
        <f t="shared" si="14"/>
        <v>SIM</v>
      </c>
      <c r="CL233" s="194">
        <f t="shared" si="15"/>
        <v>76.552520000000001</v>
      </c>
      <c r="CM233" s="125">
        <f>Tabela1[[#This Row],[MCT KG]]</f>
        <v>83.6</v>
      </c>
      <c r="CN233" s="85">
        <f>Tabela1[[#This Row],[ESTATURA]]</f>
        <v>175</v>
      </c>
      <c r="CO233" s="85">
        <f>Tabela1[[#This Row],[vo2max estimado]]</f>
        <v>50.56</v>
      </c>
      <c r="CP233" s="85">
        <f>Tabela1[[#This Row],[Handgrip     Dominante]]</f>
        <v>54</v>
      </c>
      <c r="CQ233" s="85">
        <f>Tabela1[[#This Row],[Handgrip Contrário]]</f>
        <v>42</v>
      </c>
      <c r="CR233" s="281">
        <f>Tabela1[[#This Row],[% gordura]]</f>
        <v>8.43</v>
      </c>
    </row>
    <row r="234" spans="1:96" ht="15.75" customHeight="1">
      <c r="A234" s="279">
        <f>Tabela1[[#This Row],[Ano]]</f>
        <v>2019</v>
      </c>
      <c r="B234" s="181" t="str">
        <f>Tabela1[[#This Row],[Missão]]</f>
        <v>Itatiaia</v>
      </c>
      <c r="C234" s="181">
        <f>Tabela1[[#This Row],[Aluno]]</f>
        <v>3197</v>
      </c>
      <c r="D234" s="181">
        <f>Tabela1[[#This Row],[Idade]]</f>
        <v>27</v>
      </c>
      <c r="E234" s="182">
        <f>Tabela1[[#This Row],[Peso Kg]]</f>
        <v>83</v>
      </c>
      <c r="F234" s="191">
        <f>Tabela1[[#This Row],[Cor da pele]]</f>
        <v>1</v>
      </c>
      <c r="G234" s="192" t="str">
        <f>Tabela1[[#This Row],[ACTN3]]</f>
        <v>RR</v>
      </c>
      <c r="H234" s="85" t="str">
        <f>Tabela1[[#This Row],[AGT]]</f>
        <v>MM</v>
      </c>
      <c r="I234" s="85" t="str">
        <f>Tabela1[[#This Row],[ECA]]</f>
        <v>DD</v>
      </c>
      <c r="J234" s="85" t="str">
        <f>Tabela1[[#This Row],[BDKRB2]]</f>
        <v>(-9,-9)</v>
      </c>
      <c r="K234" s="85">
        <f>Tabela1[[#This Row],[Score Força%]]</f>
        <v>50</v>
      </c>
      <c r="L234" s="193">
        <f>Tabela1[[#This Row],[Score Resistência %]]</f>
        <v>50</v>
      </c>
      <c r="M234" s="192">
        <f>Tabela1[[#This Row],[Pré CK (U/L)]]</f>
        <v>859</v>
      </c>
      <c r="N234" s="85">
        <f>Tabela1[[#This Row],[Pós CK (U/L)]]</f>
        <v>3637</v>
      </c>
      <c r="O234" s="85">
        <f>Tabela1[[#This Row],[Pré CK MB U/L]]</f>
        <v>46</v>
      </c>
      <c r="P234" s="85">
        <f>Tabela1[[#This Row],[Pós CK MB U/L]]</f>
        <v>128</v>
      </c>
      <c r="Q234" s="85">
        <f>Tabela1[[#This Row],[Pré Lactato (mmol/L)]]</f>
        <v>1.7</v>
      </c>
      <c r="R234" s="85">
        <f>Tabela1[[#This Row],[Pós Lactato (mmol/L)]]</f>
        <v>1.3</v>
      </c>
      <c r="S234" s="85">
        <f>Tabela1[[#This Row],[Pré LDH (U/L)]]</f>
        <v>292</v>
      </c>
      <c r="T234" s="85">
        <f>Tabela1[[#This Row],[Pós LDH (U/L)]]</f>
        <v>393</v>
      </c>
      <c r="U234" s="85">
        <f>Tabela1[[#This Row],[Pré AST (U/L)]]</f>
        <v>52</v>
      </c>
      <c r="V234" s="193">
        <f>Tabela1[[#This Row],[Pós AST (U/L)]]</f>
        <v>154</v>
      </c>
      <c r="W234" s="194">
        <f>Tabela1[[#This Row],[Pré Albumina (g/dL)]]</f>
        <v>4</v>
      </c>
      <c r="X234" s="125">
        <f>Tabela1[[#This Row],[Pós Albumina (g/dL)]]</f>
        <v>3.9</v>
      </c>
      <c r="Y234" s="85">
        <f>Tabela1[[#This Row],[Pré TGP (g/dL)]]</f>
        <v>33</v>
      </c>
      <c r="Z234" s="85">
        <f>Tabela1[[#This Row],[Pós TGP (g/dL)]]</f>
        <v>106</v>
      </c>
      <c r="AA234" s="85">
        <f>Tabela1[[#This Row],[Pré GGT U/L]]</f>
        <v>18</v>
      </c>
      <c r="AB234" s="193">
        <f>Tabela1[[#This Row],[Pós GGT U/L]]</f>
        <v>16</v>
      </c>
      <c r="AC234" s="194">
        <f>Tabela1[[#This Row],[Pré Ac. Úrico (mg/dL)]]</f>
        <v>6.3</v>
      </c>
      <c r="AD234" s="125">
        <f>Tabela1[[#This Row],[Pós Ac. Úrico (mg/dL)2]]</f>
        <v>5.7</v>
      </c>
      <c r="AE23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3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34" s="85">
        <f>Tabela1[[#This Row],[Pré Ureia mg/dL]]</f>
        <v>33</v>
      </c>
      <c r="AH234" s="85">
        <f>Tabela1[[#This Row],[Pós Ureia mg/dL]]</f>
        <v>38</v>
      </c>
      <c r="AI234" s="125">
        <f>Tabela1[[#This Row],[Pré creatinina mg/dL]]</f>
        <v>0.9</v>
      </c>
      <c r="AJ234" s="125">
        <f>Tabela1[[#This Row],[Pós creatinina mg/dL]]</f>
        <v>0.9</v>
      </c>
      <c r="AK234" s="180">
        <f t="shared" si="12"/>
        <v>0</v>
      </c>
      <c r="AL234" s="125">
        <f>Tabela1[[#This Row],[Pré Fósforo mg/dL]]</f>
        <v>4.4000000000000004</v>
      </c>
      <c r="AM234" s="125">
        <f>Tabela1[[#This Row],[Pós Fósforo mg/dL]]</f>
        <v>4.9000000000000004</v>
      </c>
      <c r="AN234" s="125">
        <f>Tabela1[[#This Row],[Pré Proteína Total (g/dL)]]</f>
        <v>6.7</v>
      </c>
      <c r="AO234" s="125">
        <f>Tabela1[[#This Row],[Pós Proteína Total (g/dL)]]</f>
        <v>6.5</v>
      </c>
      <c r="AP234" s="85">
        <f>Tabela1[[#This Row],[Pré FE (ug/dL)]]</f>
        <v>40</v>
      </c>
      <c r="AQ234" s="193">
        <f>Tabela1[[#This Row],[Pós FE (ug/dL)]]</f>
        <v>66</v>
      </c>
      <c r="AR234" s="194">
        <f>Tabela1[[#This Row],[Pré calcio mg/dL]]</f>
        <v>9.1</v>
      </c>
      <c r="AS234" s="125">
        <f>Tabela1[[#This Row],[Pós calcio mg/dL]]</f>
        <v>9.1999999999999993</v>
      </c>
      <c r="AT234" s="125">
        <f>Tabela1[[#This Row],[Pré Potássio mmol/L]]</f>
        <v>4.7</v>
      </c>
      <c r="AU234" s="125">
        <f>Tabela1[[#This Row],[Pós Potássio mmol/L]]</f>
        <v>4.4000000000000004</v>
      </c>
      <c r="AV234" s="85">
        <f>Tabela1[[#This Row],[Glicose pré]]</f>
        <v>82</v>
      </c>
      <c r="AW234" s="85">
        <f>Tabela1[[#This Row],[Glicose pós]]</f>
        <v>90</v>
      </c>
      <c r="AX234" s="85">
        <f>Tabela1[[#This Row],[Pré Sódio mmol/L]]</f>
        <v>133</v>
      </c>
      <c r="AY234" s="85">
        <f>Tabela1[[#This Row],[Pós Sódio mmol/L]]</f>
        <v>134</v>
      </c>
      <c r="AZ234" s="125">
        <f>Tabela1[[#This Row],[Pré Magnésio mg/dL]]</f>
        <v>2.1</v>
      </c>
      <c r="BA234" s="125">
        <f>Tabela1[[#This Row],[Pós Magnésio mg/dL]]</f>
        <v>1.9</v>
      </c>
      <c r="BB234" s="85">
        <f>Tabela1[[#This Row],[Pré Cloro mmol/L]]</f>
        <v>106</v>
      </c>
      <c r="BC234" s="85">
        <f>Tabela1[[#This Row],[Pós Cloro mmol/L]]</f>
        <v>104</v>
      </c>
      <c r="BD23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280.86088888888889</v>
      </c>
      <c r="BE23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283.50733333333335</v>
      </c>
      <c r="BF234" s="194">
        <f>Tabela1[[#This Row],[Pré RBC 10^6/mm³]]</f>
        <v>4.68</v>
      </c>
      <c r="BG234" s="125">
        <f>Tabela1[[#This Row],[Pós RBC 10^6/mm³]]</f>
        <v>4.57</v>
      </c>
      <c r="BH234" s="125">
        <f>Tabela1[[#This Row],[Pré HGB g/dL]]</f>
        <v>13.8</v>
      </c>
      <c r="BI234" s="125">
        <f>Tabela1[[#This Row],[Pós HGB g/dL]]</f>
        <v>13.6</v>
      </c>
      <c r="BJ234" s="125">
        <f>Tabela1[[#This Row],[Pré HCT %]]</f>
        <v>42.2</v>
      </c>
      <c r="BK234" s="125">
        <f>Tabela1[[#This Row],[Pós HCT %]]</f>
        <v>42.1</v>
      </c>
      <c r="BL234" s="125">
        <f>Tabela1[[#This Row],[Pré MCV fL]]</f>
        <v>90.2</v>
      </c>
      <c r="BM234" s="125">
        <f>Tabela1[[#This Row],[Pós MCV fL]]</f>
        <v>92.1</v>
      </c>
      <c r="BN234" s="125">
        <f>Tabela1[[#This Row],[Pré MCH pg]]</f>
        <v>29.5</v>
      </c>
      <c r="BO234" s="125">
        <f>Tabela1[[#This Row],[Pós MCH pg]]</f>
        <v>29.8</v>
      </c>
      <c r="BP234" s="125">
        <f>Tabela1[[#This Row],[Pré MCHC g/dL]]</f>
        <v>32.700000000000003</v>
      </c>
      <c r="BQ234" s="125">
        <f>Tabela1[[#This Row],[Pós MCHC g/dL]]</f>
        <v>32.299999999999997</v>
      </c>
      <c r="BR234" s="85">
        <f>Tabela1[[#This Row],[Pré PLT 10³/mm³]]</f>
        <v>390</v>
      </c>
      <c r="BS234" s="85">
        <f>Tabela1[[#This Row],[Pós PLT 10³/mm³]]</f>
        <v>383</v>
      </c>
      <c r="BT234" s="125">
        <f>Tabela1[[#This Row],[Pré RDW %]]</f>
        <v>12.3</v>
      </c>
      <c r="BU234" s="125">
        <f>Tabela1[[#This Row],[Pós RDW %]]</f>
        <v>12.2</v>
      </c>
      <c r="BV234" s="179">
        <f>Tabela1[[#This Row],[Pré RET %]]</f>
        <v>33.5</v>
      </c>
      <c r="BW234" s="196">
        <f>Tabela1[[#This Row],[Pós RET %]]</f>
        <v>33.6</v>
      </c>
      <c r="BX234" s="197">
        <f>Tabela1[[#This Row],[Pré WBC 10³/mm³]]</f>
        <v>7.2</v>
      </c>
      <c r="BY234" s="179">
        <f>Tabela1[[#This Row],[Pós WBC 10³/mm³]]</f>
        <v>6.42</v>
      </c>
      <c r="BZ234" s="125">
        <f>Tabela1[[#This Row],[Pré NEUT %]]</f>
        <v>58.7</v>
      </c>
      <c r="CA234" s="125">
        <f>Tabela1[[#This Row],[Pós NEUT %]]</f>
        <v>42.8</v>
      </c>
      <c r="CB234" s="125">
        <f>Tabela1[[#This Row],[Pré LINF %]]</f>
        <v>28.055555555555554</v>
      </c>
      <c r="CC234" s="125">
        <f>Tabela1[[#This Row],[Pós LINF %]]</f>
        <v>46.1</v>
      </c>
      <c r="CD234" s="125">
        <f>Tabela1[[#This Row],[Pré MONO %]]</f>
        <v>10.694444444444445</v>
      </c>
      <c r="CE234" s="125">
        <f>Tabela1[[#This Row],[Pós MONO %]]</f>
        <v>7.3</v>
      </c>
      <c r="CF234" s="125">
        <f>Tabela1[[#This Row],[Pré EOS %]]</f>
        <v>2.3611111111111112</v>
      </c>
      <c r="CG234" s="125">
        <f>Tabela1[[#This Row],[Pós EOS %]]</f>
        <v>3.3</v>
      </c>
      <c r="CH234" s="125">
        <f>Tabela1[[#This Row],[Pré BASO %]]</f>
        <v>0.1388888888888889</v>
      </c>
      <c r="CI234" s="198">
        <f>Tabela1[[#This Row],[Pós BASO %]]</f>
        <v>0.5</v>
      </c>
      <c r="CJ234" s="199" t="str">
        <f t="shared" si="13"/>
        <v>NÃO</v>
      </c>
      <c r="CK234" s="200" t="str">
        <f t="shared" si="14"/>
        <v>SIM</v>
      </c>
      <c r="CL234" s="194">
        <f t="shared" si="15"/>
        <v>76.297020000000003</v>
      </c>
      <c r="CM234" s="125">
        <f>Tabela1[[#This Row],[MCT KG]]</f>
        <v>85.65</v>
      </c>
      <c r="CN234" s="85">
        <f>Tabela1[[#This Row],[ESTATURA]]</f>
        <v>177</v>
      </c>
      <c r="CO234" s="85">
        <f>Tabela1[[#This Row],[vo2max estimado]]</f>
        <v>51.46</v>
      </c>
      <c r="CP234" s="85">
        <f>Tabela1[[#This Row],[Handgrip     Dominante]]</f>
        <v>48</v>
      </c>
      <c r="CQ234" s="85">
        <f>Tabela1[[#This Row],[Handgrip Contrário]]</f>
        <v>52</v>
      </c>
      <c r="CR234" s="281">
        <f>Tabela1[[#This Row],[% gordura]]</f>
        <v>10.92</v>
      </c>
    </row>
    <row r="235" spans="1:96" ht="15.75" customHeight="1">
      <c r="A235" s="279">
        <f>Tabela1[[#This Row],[Ano]]</f>
        <v>2019</v>
      </c>
      <c r="B235" s="181" t="str">
        <f>Tabela1[[#This Row],[Missão]]</f>
        <v>Itatiaia</v>
      </c>
      <c r="C235" s="181">
        <f>Tabela1[[#This Row],[Aluno]]</f>
        <v>3200</v>
      </c>
      <c r="D235" s="181">
        <f>Tabela1[[#This Row],[Idade]]</f>
        <v>25</v>
      </c>
      <c r="E235" s="182">
        <f>Tabela1[[#This Row],[Peso Kg]]</f>
        <v>79.900000000000006</v>
      </c>
      <c r="F235" s="191">
        <f>Tabela1[[#This Row],[Cor da pele]]</f>
        <v>1</v>
      </c>
      <c r="G235" s="192" t="str">
        <f>Tabela1[[#This Row],[ACTN3]]</f>
        <v>XX</v>
      </c>
      <c r="H235" s="85" t="str">
        <f>Tabela1[[#This Row],[AGT]]</f>
        <v>TT</v>
      </c>
      <c r="I235" s="85" t="str">
        <f>Tabela1[[#This Row],[ECA]]</f>
        <v>ID</v>
      </c>
      <c r="J235" s="85" t="str">
        <f>Tabela1[[#This Row],[BDKRB2]]</f>
        <v>(-9,-9)</v>
      </c>
      <c r="K235" s="85">
        <f>Tabela1[[#This Row],[Score Força%]]</f>
        <v>37.5</v>
      </c>
      <c r="L235" s="193">
        <f>Tabela1[[#This Row],[Score Resistência %]]</f>
        <v>62.5</v>
      </c>
      <c r="M235" s="192">
        <f>Tabela1[[#This Row],[Pré CK (U/L)]]</f>
        <v>1016</v>
      </c>
      <c r="N235" s="85">
        <f>Tabela1[[#This Row],[Pós CK (U/L)]]</f>
        <v>338</v>
      </c>
      <c r="O235" s="85">
        <f>Tabela1[[#This Row],[Pré CK MB U/L]]</f>
        <v>49</v>
      </c>
      <c r="P235" s="85">
        <f>Tabela1[[#This Row],[Pós CK MB U/L]]</f>
        <v>17</v>
      </c>
      <c r="Q235" s="85">
        <f>Tabela1[[#This Row],[Pré Lactato (mmol/L)]]</f>
        <v>1.4</v>
      </c>
      <c r="R235" s="85">
        <f>Tabela1[[#This Row],[Pós Lactato (mmol/L)]]</f>
        <v>1.3</v>
      </c>
      <c r="S235" s="85">
        <f>Tabela1[[#This Row],[Pré LDH (U/L)]]</f>
        <v>396</v>
      </c>
      <c r="T235" s="85">
        <f>Tabela1[[#This Row],[Pós LDH (U/L)]]</f>
        <v>298</v>
      </c>
      <c r="U235" s="85">
        <f>Tabela1[[#This Row],[Pré AST (U/L)]]</f>
        <v>63</v>
      </c>
      <c r="V235" s="193">
        <f>Tabela1[[#This Row],[Pós AST (U/L)]]</f>
        <v>37</v>
      </c>
      <c r="W235" s="194">
        <f>Tabela1[[#This Row],[Pré Albumina (g/dL)]]</f>
        <v>4.4000000000000004</v>
      </c>
      <c r="X235" s="125">
        <f>Tabela1[[#This Row],[Pós Albumina (g/dL)]]</f>
        <v>4.2</v>
      </c>
      <c r="Y235" s="85">
        <f>Tabela1[[#This Row],[Pré TGP (g/dL)]]</f>
        <v>37</v>
      </c>
      <c r="Z235" s="85">
        <f>Tabela1[[#This Row],[Pós TGP (g/dL)]]</f>
        <v>39</v>
      </c>
      <c r="AA235" s="85">
        <f>Tabela1[[#This Row],[Pré GGT U/L]]</f>
        <v>32</v>
      </c>
      <c r="AB235" s="193">
        <f>Tabela1[[#This Row],[Pós GGT U/L]]</f>
        <v>23</v>
      </c>
      <c r="AC235" s="194">
        <f>Tabela1[[#This Row],[Pré Ac. Úrico (mg/dL)]]</f>
        <v>5.3</v>
      </c>
      <c r="AD235" s="125">
        <f>Tabela1[[#This Row],[Pós Ac. Úrico (mg/dL)2]]</f>
        <v>4</v>
      </c>
      <c r="AE23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3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235" s="85">
        <f>Tabela1[[#This Row],[Pré Ureia mg/dL]]</f>
        <v>42</v>
      </c>
      <c r="AH235" s="85">
        <f>Tabela1[[#This Row],[Pós Ureia mg/dL]]</f>
        <v>46</v>
      </c>
      <c r="AI235" s="125">
        <f>Tabela1[[#This Row],[Pré creatinina mg/dL]]</f>
        <v>0.9</v>
      </c>
      <c r="AJ235" s="125">
        <f>Tabela1[[#This Row],[Pós creatinina mg/dL]]</f>
        <v>0.8</v>
      </c>
      <c r="AK235" s="180">
        <f t="shared" si="12"/>
        <v>0</v>
      </c>
      <c r="AL235" s="125">
        <f>Tabela1[[#This Row],[Pré Fósforo mg/dL]]</f>
        <v>4.3</v>
      </c>
      <c r="AM235" s="125">
        <f>Tabela1[[#This Row],[Pós Fósforo mg/dL]]</f>
        <v>4.3</v>
      </c>
      <c r="AN235" s="125">
        <f>Tabela1[[#This Row],[Pré Proteína Total (g/dL)]]</f>
        <v>7</v>
      </c>
      <c r="AO235" s="125">
        <f>Tabela1[[#This Row],[Pós Proteína Total (g/dL)]]</f>
        <v>6.7</v>
      </c>
      <c r="AP235" s="85">
        <f>Tabela1[[#This Row],[Pré FE (ug/dL)]]</f>
        <v>40</v>
      </c>
      <c r="AQ235" s="193">
        <f>Tabela1[[#This Row],[Pós FE (ug/dL)]]</f>
        <v>68</v>
      </c>
      <c r="AR235" s="194">
        <f>Tabela1[[#This Row],[Pré calcio mg/dL]]</f>
        <v>9.5</v>
      </c>
      <c r="AS235" s="125">
        <f>Tabela1[[#This Row],[Pós calcio mg/dL]]</f>
        <v>9.1999999999999993</v>
      </c>
      <c r="AT235" s="125">
        <f>Tabela1[[#This Row],[Pré Potássio mmol/L]]</f>
        <v>4.5</v>
      </c>
      <c r="AU235" s="125">
        <f>Tabela1[[#This Row],[Pós Potássio mmol/L]]</f>
        <v>4.3</v>
      </c>
      <c r="AV235" s="85">
        <f>Tabela1[[#This Row],[Glicose pré]]</f>
        <v>99</v>
      </c>
      <c r="AW235" s="85">
        <f>Tabela1[[#This Row],[Glicose pós]]</f>
        <v>100</v>
      </c>
      <c r="AX235" s="85">
        <f>Tabela1[[#This Row],[Pré Sódio mmol/L]]</f>
        <v>135</v>
      </c>
      <c r="AY235" s="85">
        <f>Tabela1[[#This Row],[Pós Sódio mmol/L]]</f>
        <v>135</v>
      </c>
      <c r="AZ235" s="125">
        <f>Tabela1[[#This Row],[Pré Magnésio mg/dL]]</f>
        <v>2</v>
      </c>
      <c r="BA235" s="125">
        <f>Tabela1[[#This Row],[Pós Magnésio mg/dL]]</f>
        <v>1.9</v>
      </c>
      <c r="BB235" s="85">
        <f>Tabela1[[#This Row],[Pré Cloro mmol/L]]</f>
        <v>106</v>
      </c>
      <c r="BC235" s="85">
        <f>Tabela1[[#This Row],[Pós Cloro mmol/L]]</f>
        <v>100</v>
      </c>
      <c r="BD23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286.79500000000002</v>
      </c>
      <c r="BE23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287.15355555555561</v>
      </c>
      <c r="BF235" s="194">
        <f>Tabela1[[#This Row],[Pré RBC 10^6/mm³]]</f>
        <v>4.3600000000000003</v>
      </c>
      <c r="BG235" s="125">
        <f>Tabela1[[#This Row],[Pós RBC 10^6/mm³]]</f>
        <v>4.2300000000000004</v>
      </c>
      <c r="BH235" s="125">
        <f>Tabela1[[#This Row],[Pré HGB g/dL]]</f>
        <v>12.7</v>
      </c>
      <c r="BI235" s="125">
        <f>Tabela1[[#This Row],[Pós HGB g/dL]]</f>
        <v>12.3</v>
      </c>
      <c r="BJ235" s="125">
        <f>Tabela1[[#This Row],[Pré HCT %]]</f>
        <v>39.700000000000003</v>
      </c>
      <c r="BK235" s="125">
        <f>Tabela1[[#This Row],[Pós HCT %]]</f>
        <v>40</v>
      </c>
      <c r="BL235" s="125">
        <f>Tabela1[[#This Row],[Pré MCV fL]]</f>
        <v>91.1</v>
      </c>
      <c r="BM235" s="125">
        <f>Tabela1[[#This Row],[Pós MCV fL]]</f>
        <v>94.6</v>
      </c>
      <c r="BN235" s="125">
        <f>Tabela1[[#This Row],[Pré MCH pg]]</f>
        <v>29.1</v>
      </c>
      <c r="BO235" s="125">
        <f>Tabela1[[#This Row],[Pós MCH pg]]</f>
        <v>29.1</v>
      </c>
      <c r="BP235" s="125">
        <f>Tabela1[[#This Row],[Pré MCHC g/dL]]</f>
        <v>32</v>
      </c>
      <c r="BQ235" s="125">
        <f>Tabela1[[#This Row],[Pós MCHC g/dL]]</f>
        <v>30.8</v>
      </c>
      <c r="BR235" s="85">
        <f>Tabela1[[#This Row],[Pré PLT 10³/mm³]]</f>
        <v>295</v>
      </c>
      <c r="BS235" s="85">
        <f>Tabela1[[#This Row],[Pós PLT 10³/mm³]]</f>
        <v>282</v>
      </c>
      <c r="BT235" s="125">
        <f>Tabela1[[#This Row],[Pré RDW %]]</f>
        <v>12.8</v>
      </c>
      <c r="BU235" s="125">
        <f>Tabela1[[#This Row],[Pós RDW %]]</f>
        <v>12.8</v>
      </c>
      <c r="BV235" s="179">
        <f>Tabela1[[#This Row],[Pré RET %]]</f>
        <v>33.4</v>
      </c>
      <c r="BW235" s="196">
        <f>Tabela1[[#This Row],[Pós RET %]]</f>
        <v>33.4</v>
      </c>
      <c r="BX235" s="197">
        <f>Tabela1[[#This Row],[Pré WBC 10³/mm³]]</f>
        <v>6.44</v>
      </c>
      <c r="BY235" s="179">
        <f>Tabela1[[#This Row],[Pós WBC 10³/mm³]]</f>
        <v>4.8600000000000003</v>
      </c>
      <c r="BZ235" s="125">
        <f>Tabela1[[#This Row],[Pré NEUT %]]</f>
        <v>55.900621118012417</v>
      </c>
      <c r="CA235" s="125">
        <f>Tabela1[[#This Row],[Pós NEUT %]]</f>
        <v>37.799999999999997</v>
      </c>
      <c r="CB235" s="125">
        <f>Tabela1[[#This Row],[Pré LINF %]]</f>
        <v>27.329192546583851</v>
      </c>
      <c r="CC235" s="125">
        <f>Tabela1[[#This Row],[Pós LINF %]]</f>
        <v>45.9</v>
      </c>
      <c r="CD235" s="125">
        <f>Tabela1[[#This Row],[Pré MONO %]]</f>
        <v>15.838509316770185</v>
      </c>
      <c r="CE235" s="125">
        <f>Tabela1[[#This Row],[Pós MONO %]]</f>
        <v>13</v>
      </c>
      <c r="CF235" s="125">
        <f>Tabela1[[#This Row],[Pré EOS %]]</f>
        <v>0.77639751552795022</v>
      </c>
      <c r="CG235" s="125">
        <f>Tabela1[[#This Row],[Pós EOS %]]</f>
        <v>3.1</v>
      </c>
      <c r="CH235" s="125">
        <f>Tabela1[[#This Row],[Pré BASO %]]</f>
        <v>0.15527950310559005</v>
      </c>
      <c r="CI235" s="198">
        <f>Tabela1[[#This Row],[Pós BASO %]]</f>
        <v>0.2</v>
      </c>
      <c r="CJ235" s="199" t="str">
        <f t="shared" si="13"/>
        <v>NÃO</v>
      </c>
      <c r="CK235" s="200" t="str">
        <f t="shared" si="14"/>
        <v>SIM</v>
      </c>
      <c r="CL235" s="194">
        <f t="shared" si="15"/>
        <v>73.936000000000007</v>
      </c>
      <c r="CM235" s="125">
        <f>Tabela1[[#This Row],[MCT KG]]</f>
        <v>80</v>
      </c>
      <c r="CN235" s="85">
        <f>Tabela1[[#This Row],[ESTATURA]]</f>
        <v>177.5</v>
      </c>
      <c r="CO235" s="85">
        <f>Tabela1[[#This Row],[vo2max estimado]]</f>
        <v>0</v>
      </c>
      <c r="CP235" s="85">
        <f>Tabela1[[#This Row],[Handgrip     Dominante]]</f>
        <v>42</v>
      </c>
      <c r="CQ235" s="85">
        <f>Tabela1[[#This Row],[Handgrip Contrário]]</f>
        <v>42</v>
      </c>
      <c r="CR235" s="281">
        <f>Tabela1[[#This Row],[% gordura]]</f>
        <v>7.58</v>
      </c>
    </row>
    <row r="236" spans="1:96" ht="15.75" customHeight="1">
      <c r="A236" s="279">
        <f>Tabela1[[#This Row],[Ano]]</f>
        <v>2019</v>
      </c>
      <c r="B236" s="181" t="str">
        <f>Tabela1[[#This Row],[Missão]]</f>
        <v>Itatiaia</v>
      </c>
      <c r="C236" s="181">
        <f>Tabela1[[#This Row],[Aluno]]</f>
        <v>3202</v>
      </c>
      <c r="D236" s="181">
        <f>Tabela1[[#This Row],[Idade]]</f>
        <v>26</v>
      </c>
      <c r="E236" s="182">
        <f>Tabela1[[#This Row],[Peso Kg]]</f>
        <v>86</v>
      </c>
      <c r="F236" s="191">
        <f>Tabela1[[#This Row],[Cor da pele]]</f>
        <v>1</v>
      </c>
      <c r="G236" s="192" t="str">
        <f>Tabela1[[#This Row],[ACTN3]]</f>
        <v>XX</v>
      </c>
      <c r="H236" s="85" t="str">
        <f>Tabela1[[#This Row],[AGT]]</f>
        <v>MM</v>
      </c>
      <c r="I236" s="85" t="str">
        <f>Tabela1[[#This Row],[ECA]]</f>
        <v>ID</v>
      </c>
      <c r="J236" s="85" t="str">
        <f>Tabela1[[#This Row],[BDKRB2]]</f>
        <v>(+9,-9)</v>
      </c>
      <c r="K236" s="85">
        <f>Tabela1[[#This Row],[Score Força%]]</f>
        <v>25</v>
      </c>
      <c r="L236" s="193">
        <f>Tabela1[[#This Row],[Score Resistência %]]</f>
        <v>75</v>
      </c>
      <c r="M236" s="192">
        <f>Tabela1[[#This Row],[Pré CK (U/L)]]</f>
        <v>594</v>
      </c>
      <c r="N236" s="85">
        <f>Tabela1[[#This Row],[Pós CK (U/L)]]</f>
        <v>849</v>
      </c>
      <c r="O236" s="85">
        <f>Tabela1[[#This Row],[Pré CK MB U/L]]</f>
        <v>36</v>
      </c>
      <c r="P236" s="85">
        <f>Tabela1[[#This Row],[Pós CK MB U/L]]</f>
        <v>46</v>
      </c>
      <c r="Q236" s="85">
        <f>Tabela1[[#This Row],[Pré Lactato (mmol/L)]]</f>
        <v>1.5</v>
      </c>
      <c r="R236" s="85">
        <f>Tabela1[[#This Row],[Pós Lactato (mmol/L)]]</f>
        <v>1.3</v>
      </c>
      <c r="S236" s="85">
        <f>Tabela1[[#This Row],[Pré LDH (U/L)]]</f>
        <v>296</v>
      </c>
      <c r="T236" s="85">
        <f>Tabela1[[#This Row],[Pós LDH (U/L)]]</f>
        <v>463</v>
      </c>
      <c r="U236" s="85">
        <f>Tabela1[[#This Row],[Pré AST (U/L)]]</f>
        <v>52</v>
      </c>
      <c r="V236" s="193">
        <f>Tabela1[[#This Row],[Pós AST (U/L)]]</f>
        <v>63</v>
      </c>
      <c r="W236" s="194">
        <f>Tabela1[[#This Row],[Pré Albumina (g/dL)]]</f>
        <v>4.5</v>
      </c>
      <c r="X236" s="125">
        <f>Tabela1[[#This Row],[Pós Albumina (g/dL)]]</f>
        <v>4</v>
      </c>
      <c r="Y236" s="85">
        <f>Tabela1[[#This Row],[Pré TGP (g/dL)]]</f>
        <v>30</v>
      </c>
      <c r="Z236" s="85">
        <f>Tabela1[[#This Row],[Pós TGP (g/dL)]]</f>
        <v>40</v>
      </c>
      <c r="AA236" s="85">
        <f>Tabela1[[#This Row],[Pré GGT U/L]]</f>
        <v>26</v>
      </c>
      <c r="AB236" s="193">
        <f>Tabela1[[#This Row],[Pós GGT U/L]]</f>
        <v>29</v>
      </c>
      <c r="AC236" s="194">
        <f>Tabela1[[#This Row],[Pré Ac. Úrico (mg/dL)]]</f>
        <v>5.4</v>
      </c>
      <c r="AD236" s="125">
        <f>Tabela1[[#This Row],[Pós Ac. Úrico (mg/dL)2]]</f>
        <v>3.6</v>
      </c>
      <c r="AE23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3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128.71280700150223</v>
      </c>
      <c r="AG236" s="85">
        <f>Tabela1[[#This Row],[Pré Ureia mg/dL]]</f>
        <v>30</v>
      </c>
      <c r="AH236" s="85">
        <f>Tabela1[[#This Row],[Pós Ureia mg/dL]]</f>
        <v>39</v>
      </c>
      <c r="AI236" s="125">
        <f>Tabela1[[#This Row],[Pré creatinina mg/dL]]</f>
        <v>0.8</v>
      </c>
      <c r="AJ236" s="125">
        <f>Tabela1[[#This Row],[Pós creatinina mg/dL]]</f>
        <v>0.7</v>
      </c>
      <c r="AK236" s="180">
        <f t="shared" si="12"/>
        <v>0</v>
      </c>
      <c r="AL236" s="125">
        <f>Tabela1[[#This Row],[Pré Fósforo mg/dL]]</f>
        <v>4.4000000000000004</v>
      </c>
      <c r="AM236" s="125">
        <f>Tabela1[[#This Row],[Pós Fósforo mg/dL]]</f>
        <v>4</v>
      </c>
      <c r="AN236" s="125">
        <f>Tabela1[[#This Row],[Pré Proteína Total (g/dL)]]</f>
        <v>7</v>
      </c>
      <c r="AO236" s="125">
        <f>Tabela1[[#This Row],[Pós Proteína Total (g/dL)]]</f>
        <v>6.4</v>
      </c>
      <c r="AP236" s="85">
        <f>Tabela1[[#This Row],[Pré FE (ug/dL)]]</f>
        <v>55</v>
      </c>
      <c r="AQ236" s="193">
        <f>Tabela1[[#This Row],[Pós FE (ug/dL)]]</f>
        <v>69</v>
      </c>
      <c r="AR236" s="194">
        <f>Tabela1[[#This Row],[Pré calcio mg/dL]]</f>
        <v>9.3000000000000007</v>
      </c>
      <c r="AS236" s="125">
        <f>Tabela1[[#This Row],[Pós calcio mg/dL]]</f>
        <v>8.9</v>
      </c>
      <c r="AT236" s="125">
        <f>Tabela1[[#This Row],[Pré Potássio mmol/L]]</f>
        <v>4.3</v>
      </c>
      <c r="AU236" s="125">
        <f>Tabela1[[#This Row],[Pós Potássio mmol/L]]</f>
        <v>4.3</v>
      </c>
      <c r="AV236" s="85">
        <f>Tabela1[[#This Row],[Glicose pré]]</f>
        <v>95</v>
      </c>
      <c r="AW236" s="85">
        <f>Tabela1[[#This Row],[Glicose pós]]</f>
        <v>95</v>
      </c>
      <c r="AX236" s="85">
        <f>Tabela1[[#This Row],[Pré Sódio mmol/L]]</f>
        <v>138</v>
      </c>
      <c r="AY236" s="85">
        <f>Tabela1[[#This Row],[Pós Sódio mmol/L]]</f>
        <v>136</v>
      </c>
      <c r="AZ236" s="125">
        <f>Tabela1[[#This Row],[Pré Magnésio mg/dL]]</f>
        <v>2.2999999999999998</v>
      </c>
      <c r="BA236" s="125">
        <f>Tabela1[[#This Row],[Pós Magnésio mg/dL]]</f>
        <v>1.9</v>
      </c>
      <c r="BB236" s="85">
        <f>Tabela1[[#This Row],[Pré Cloro mmol/L]]</f>
        <v>112</v>
      </c>
      <c r="BC236" s="85">
        <f>Tabela1[[#This Row],[Pós Cloro mmol/L]]</f>
        <v>101</v>
      </c>
      <c r="BD23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289.74744444444451</v>
      </c>
      <c r="BE23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287.52744444444448</v>
      </c>
      <c r="BF236" s="194">
        <f>Tabela1[[#This Row],[Pré RBC 10^6/mm³]]</f>
        <v>4.1399999999999997</v>
      </c>
      <c r="BG236" s="125">
        <f>Tabela1[[#This Row],[Pós RBC 10^6/mm³]]</f>
        <v>3.89</v>
      </c>
      <c r="BH236" s="125">
        <f>Tabela1[[#This Row],[Pré HGB g/dL]]</f>
        <v>12.6</v>
      </c>
      <c r="BI236" s="125">
        <f>Tabela1[[#This Row],[Pós HGB g/dL]]</f>
        <v>12.1</v>
      </c>
      <c r="BJ236" s="125">
        <f>Tabela1[[#This Row],[Pré HCT %]]</f>
        <v>39.5</v>
      </c>
      <c r="BK236" s="125">
        <f>Tabela1[[#This Row],[Pós HCT %]]</f>
        <v>38.6</v>
      </c>
      <c r="BL236" s="125">
        <f>Tabela1[[#This Row],[Pré MCV fL]]</f>
        <v>95.4</v>
      </c>
      <c r="BM236" s="125">
        <f>Tabela1[[#This Row],[Pós MCV fL]]</f>
        <v>99.2</v>
      </c>
      <c r="BN236" s="125">
        <f>Tabela1[[#This Row],[Pré MCH pg]]</f>
        <v>30.4</v>
      </c>
      <c r="BO236" s="125">
        <f>Tabela1[[#This Row],[Pós MCH pg]]</f>
        <v>31.1</v>
      </c>
      <c r="BP236" s="125">
        <f>Tabela1[[#This Row],[Pré MCHC g/dL]]</f>
        <v>31.9</v>
      </c>
      <c r="BQ236" s="125">
        <f>Tabela1[[#This Row],[Pós MCHC g/dL]]</f>
        <v>31.3</v>
      </c>
      <c r="BR236" s="85">
        <f>Tabela1[[#This Row],[Pré PLT 10³/mm³]]</f>
        <v>128</v>
      </c>
      <c r="BS236" s="85">
        <f>Tabela1[[#This Row],[Pós PLT 10³/mm³]]</f>
        <v>110</v>
      </c>
      <c r="BT236" s="125">
        <f>Tabela1[[#This Row],[Pré RDW %]]</f>
        <v>12.7</v>
      </c>
      <c r="BU236" s="125">
        <f>Tabela1[[#This Row],[Pós RDW %]]</f>
        <v>12.8</v>
      </c>
      <c r="BV236" s="179">
        <f>Tabela1[[#This Row],[Pré RET %]]</f>
        <v>35.6</v>
      </c>
      <c r="BW236" s="196">
        <f>Tabela1[[#This Row],[Pós RET %]]</f>
        <v>35.299999999999997</v>
      </c>
      <c r="BX236" s="197">
        <f>Tabela1[[#This Row],[Pré WBC 10³/mm³]]</f>
        <v>7.59</v>
      </c>
      <c r="BY236" s="179">
        <f>Tabela1[[#This Row],[Pós WBC 10³/mm³]]</f>
        <v>5.46</v>
      </c>
      <c r="BZ236" s="125">
        <f>Tabela1[[#This Row],[Pré NEUT %]]</f>
        <v>60.342555994729906</v>
      </c>
      <c r="CA236" s="125">
        <f>Tabela1[[#This Row],[Pós NEUT %]]</f>
        <v>44.8</v>
      </c>
      <c r="CB236" s="125">
        <f>Tabela1[[#This Row],[Pré LINF %]]</f>
        <v>24.901185770750988</v>
      </c>
      <c r="CC236" s="125">
        <f>Tabela1[[#This Row],[Pós LINF %]]</f>
        <v>43.8</v>
      </c>
      <c r="CD236" s="125">
        <f>Tabela1[[#This Row],[Pré MONO %]]</f>
        <v>13.570487483530963</v>
      </c>
      <c r="CE236" s="125">
        <f>Tabela1[[#This Row],[Pós MONO %]]</f>
        <v>9.6999999999999993</v>
      </c>
      <c r="CF236" s="125">
        <f>Tabela1[[#This Row],[Pré EOS %]]</f>
        <v>0.79051383399209485</v>
      </c>
      <c r="CG236" s="125">
        <f>Tabela1[[#This Row],[Pós EOS %]]</f>
        <v>1.3</v>
      </c>
      <c r="CH236" s="125">
        <f>Tabela1[[#This Row],[Pré BASO %]]</f>
        <v>0.39525691699604742</v>
      </c>
      <c r="CI236" s="198">
        <f>Tabela1[[#This Row],[Pós BASO %]]</f>
        <v>0.4</v>
      </c>
      <c r="CJ236" s="199" t="str">
        <f t="shared" si="13"/>
        <v>NÃO</v>
      </c>
      <c r="CK236" s="200" t="str">
        <f t="shared" si="14"/>
        <v>NÃO</v>
      </c>
      <c r="CL236" s="194">
        <f t="shared" si="15"/>
        <v>81.37906000000001</v>
      </c>
      <c r="CM236" s="125">
        <f>Tabela1[[#This Row],[MCT KG]]</f>
        <v>88.9</v>
      </c>
      <c r="CN236" s="85">
        <f>Tabela1[[#This Row],[ESTATURA]]</f>
        <v>184.5</v>
      </c>
      <c r="CO236" s="85">
        <f>Tabela1[[#This Row],[vo2max estimado]]</f>
        <v>49.69</v>
      </c>
      <c r="CP236" s="85">
        <f>Tabela1[[#This Row],[Handgrip     Dominante]]</f>
        <v>54</v>
      </c>
      <c r="CQ236" s="85">
        <f>Tabela1[[#This Row],[Handgrip Contrário]]</f>
        <v>50</v>
      </c>
      <c r="CR236" s="281">
        <f>Tabela1[[#This Row],[% gordura]]</f>
        <v>8.4600000000000009</v>
      </c>
    </row>
    <row r="237" spans="1:96" ht="15.75" customHeight="1">
      <c r="A237" s="279">
        <f>Tabela1[[#This Row],[Ano]]</f>
        <v>2019</v>
      </c>
      <c r="B237" s="181" t="str">
        <f>Tabela1[[#This Row],[Missão]]</f>
        <v>Itatiaia</v>
      </c>
      <c r="C237" s="181">
        <f>Tabela1[[#This Row],[Aluno]]</f>
        <v>3205</v>
      </c>
      <c r="D237" s="181">
        <f>Tabela1[[#This Row],[Idade]]</f>
        <v>32</v>
      </c>
      <c r="E237" s="182">
        <f>Tabela1[[#This Row],[Peso Kg]]</f>
        <v>74.900000000000006</v>
      </c>
      <c r="F237" s="191">
        <f>Tabela1[[#This Row],[Cor da pele]]</f>
        <v>1</v>
      </c>
      <c r="G237" s="192" t="str">
        <f>Tabela1[[#This Row],[ACTN3]]</f>
        <v>RR</v>
      </c>
      <c r="H237" s="85" t="str">
        <f>Tabela1[[#This Row],[AGT]]</f>
        <v>-</v>
      </c>
      <c r="I237" s="85" t="str">
        <f>Tabela1[[#This Row],[ECA]]</f>
        <v>ID</v>
      </c>
      <c r="J237" s="85" t="str">
        <f>Tabela1[[#This Row],[BDKRB2]]</f>
        <v>(+9,-9)</v>
      </c>
      <c r="K237" s="85" t="str">
        <f>Tabela1[[#This Row],[Score Força%]]</f>
        <v>-</v>
      </c>
      <c r="L237" s="193" t="str">
        <f>Tabela1[[#This Row],[Score Resistência %]]</f>
        <v>-</v>
      </c>
      <c r="M237" s="192">
        <f>Tabela1[[#This Row],[Pré CK (U/L)]]</f>
        <v>1146</v>
      </c>
      <c r="N237" s="85">
        <f>Tabela1[[#This Row],[Pós CK (U/L)]]</f>
        <v>1058</v>
      </c>
      <c r="O237" s="85">
        <f>Tabela1[[#This Row],[Pré CK MB U/L]]</f>
        <v>63</v>
      </c>
      <c r="P237" s="85">
        <f>Tabela1[[#This Row],[Pós CK MB U/L]]</f>
        <v>56</v>
      </c>
      <c r="Q237" s="85">
        <f>Tabela1[[#This Row],[Pré Lactato (mmol/L)]]</f>
        <v>1.4</v>
      </c>
      <c r="R237" s="85">
        <f>Tabela1[[#This Row],[Pós Lactato (mmol/L)]]</f>
        <v>1.3</v>
      </c>
      <c r="S237" s="85">
        <f>Tabela1[[#This Row],[Pré LDH (U/L)]]</f>
        <v>599</v>
      </c>
      <c r="T237" s="85">
        <f>Tabela1[[#This Row],[Pós LDH (U/L)]]</f>
        <v>635</v>
      </c>
      <c r="U237" s="85">
        <f>Tabela1[[#This Row],[Pré AST (U/L)]]</f>
        <v>77</v>
      </c>
      <c r="V237" s="193">
        <f>Tabela1[[#This Row],[Pós AST (U/L)]]</f>
        <v>70</v>
      </c>
      <c r="W237" s="194">
        <f>Tabela1[[#This Row],[Pré Albumina (g/dL)]]</f>
        <v>4.8</v>
      </c>
      <c r="X237" s="125">
        <f>Tabela1[[#This Row],[Pós Albumina (g/dL)]]</f>
        <v>4.0999999999999996</v>
      </c>
      <c r="Y237" s="85">
        <f>Tabela1[[#This Row],[Pré TGP (g/dL)]]</f>
        <v>42</v>
      </c>
      <c r="Z237" s="85">
        <f>Tabela1[[#This Row],[Pós TGP (g/dL)]]</f>
        <v>55</v>
      </c>
      <c r="AA237" s="85">
        <f>Tabela1[[#This Row],[Pré GGT U/L]]</f>
        <v>46</v>
      </c>
      <c r="AB237" s="193">
        <f>Tabela1[[#This Row],[Pós GGT U/L]]</f>
        <v>32</v>
      </c>
      <c r="AC237" s="194">
        <f>Tabela1[[#This Row],[Pré Ac. Úrico (mg/dL)]]</f>
        <v>6.8</v>
      </c>
      <c r="AD237" s="125">
        <f>Tabela1[[#This Row],[Pós Ac. Úrico (mg/dL)2]]</f>
        <v>5</v>
      </c>
      <c r="AE23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3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237" s="85">
        <f>Tabela1[[#This Row],[Pré Ureia mg/dL]]</f>
        <v>43</v>
      </c>
      <c r="AH237" s="85">
        <f>Tabela1[[#This Row],[Pós Ureia mg/dL]]</f>
        <v>48</v>
      </c>
      <c r="AI237" s="125">
        <f>Tabela1[[#This Row],[Pré creatinina mg/dL]]</f>
        <v>1</v>
      </c>
      <c r="AJ237" s="125">
        <f>Tabela1[[#This Row],[Pós creatinina mg/dL]]</f>
        <v>0.8</v>
      </c>
      <c r="AK237" s="180">
        <f t="shared" si="12"/>
        <v>0</v>
      </c>
      <c r="AL237" s="125">
        <f>Tabela1[[#This Row],[Pré Fósforo mg/dL]]</f>
        <v>4.8</v>
      </c>
      <c r="AM237" s="125">
        <f>Tabela1[[#This Row],[Pós Fósforo mg/dL]]</f>
        <v>3.8</v>
      </c>
      <c r="AN237" s="125">
        <f>Tabela1[[#This Row],[Pré Proteína Total (g/dL)]]</f>
        <v>7.4</v>
      </c>
      <c r="AO237" s="125">
        <f>Tabela1[[#This Row],[Pós Proteína Total (g/dL)]]</f>
        <v>6.1</v>
      </c>
      <c r="AP237" s="85">
        <f>Tabela1[[#This Row],[Pré FE (ug/dL)]]</f>
        <v>44</v>
      </c>
      <c r="AQ237" s="193">
        <f>Tabela1[[#This Row],[Pós FE (ug/dL)]]</f>
        <v>56</v>
      </c>
      <c r="AR237" s="194">
        <f>Tabela1[[#This Row],[Pré calcio mg/dL]]</f>
        <v>10</v>
      </c>
      <c r="AS237" s="125">
        <f>Tabela1[[#This Row],[Pós calcio mg/dL]]</f>
        <v>9</v>
      </c>
      <c r="AT237" s="125">
        <f>Tabela1[[#This Row],[Pré Potássio mmol/L]]</f>
        <v>4.7</v>
      </c>
      <c r="AU237" s="125">
        <f>Tabela1[[#This Row],[Pós Potássio mmol/L]]</f>
        <v>4.3</v>
      </c>
      <c r="AV237" s="85">
        <f>Tabela1[[#This Row],[Glicose pré]]</f>
        <v>107</v>
      </c>
      <c r="AW237" s="85">
        <f>Tabela1[[#This Row],[Glicose pós]]</f>
        <v>96</v>
      </c>
      <c r="AX237" s="85">
        <f>Tabela1[[#This Row],[Pré Sódio mmol/L]]</f>
        <v>144</v>
      </c>
      <c r="AY237" s="85">
        <f>Tabela1[[#This Row],[Pós Sódio mmol/L]]</f>
        <v>135</v>
      </c>
      <c r="AZ237" s="125">
        <f>Tabela1[[#This Row],[Pré Magnésio mg/dL]]</f>
        <v>2.2999999999999998</v>
      </c>
      <c r="BA237" s="125">
        <f>Tabela1[[#This Row],[Pós Magnésio mg/dL]]</f>
        <v>1.9</v>
      </c>
      <c r="BB237" s="85">
        <f>Tabela1[[#This Row],[Pré Cloro mmol/L]]</f>
        <v>116</v>
      </c>
      <c r="BC237" s="85">
        <f>Tabela1[[#This Row],[Pós Cloro mmol/L]]</f>
        <v>104</v>
      </c>
      <c r="BD23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304.58477777777779</v>
      </c>
      <c r="BE23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287.23133333333334</v>
      </c>
      <c r="BF237" s="194">
        <f>Tabela1[[#This Row],[Pré RBC 10^6/mm³]]</f>
        <v>4.1500000000000004</v>
      </c>
      <c r="BG237" s="125">
        <f>Tabela1[[#This Row],[Pós RBC 10^6/mm³]]</f>
        <v>3.93</v>
      </c>
      <c r="BH237" s="125">
        <f>Tabela1[[#This Row],[Pré HGB g/dL]]</f>
        <v>12</v>
      </c>
      <c r="BI237" s="125">
        <f>Tabela1[[#This Row],[Pós HGB g/dL]]</f>
        <v>11.5</v>
      </c>
      <c r="BJ237" s="125">
        <f>Tabela1[[#This Row],[Pré HCT %]]</f>
        <v>36.9</v>
      </c>
      <c r="BK237" s="125">
        <f>Tabela1[[#This Row],[Pós HCT %]]</f>
        <v>36.5</v>
      </c>
      <c r="BL237" s="125">
        <f>Tabela1[[#This Row],[Pré MCV fL]]</f>
        <v>88.9</v>
      </c>
      <c r="BM237" s="125">
        <f>Tabela1[[#This Row],[Pós MCV fL]]</f>
        <v>92.9</v>
      </c>
      <c r="BN237" s="125">
        <f>Tabela1[[#This Row],[Pré MCH pg]]</f>
        <v>28.9</v>
      </c>
      <c r="BO237" s="125">
        <f>Tabela1[[#This Row],[Pós MCH pg]]</f>
        <v>29.3</v>
      </c>
      <c r="BP237" s="125">
        <f>Tabela1[[#This Row],[Pré MCHC g/dL]]</f>
        <v>32.5</v>
      </c>
      <c r="BQ237" s="125">
        <f>Tabela1[[#This Row],[Pós MCHC g/dL]]</f>
        <v>31.5</v>
      </c>
      <c r="BR237" s="85">
        <f>Tabela1[[#This Row],[Pré PLT 10³/mm³]]</f>
        <v>250</v>
      </c>
      <c r="BS237" s="85">
        <f>Tabela1[[#This Row],[Pós PLT 10³/mm³]]</f>
        <v>198</v>
      </c>
      <c r="BT237" s="125">
        <f>Tabela1[[#This Row],[Pré RDW %]]</f>
        <v>13.1</v>
      </c>
      <c r="BU237" s="125">
        <f>Tabela1[[#This Row],[Pós RDW %]]</f>
        <v>13.5</v>
      </c>
      <c r="BV237" s="179">
        <f>Tabela1[[#This Row],[Pré RET %]]</f>
        <v>33.5</v>
      </c>
      <c r="BW237" s="196">
        <f>Tabela1[[#This Row],[Pós RET %]]</f>
        <v>34.1</v>
      </c>
      <c r="BX237" s="197">
        <f>Tabela1[[#This Row],[Pré WBC 10³/mm³]]</f>
        <v>8.9600000000000009</v>
      </c>
      <c r="BY237" s="179">
        <f>Tabela1[[#This Row],[Pós WBC 10³/mm³]]</f>
        <v>6.11</v>
      </c>
      <c r="BZ237" s="125">
        <f>Tabela1[[#This Row],[Pré NEUT %]]</f>
        <v>52.34375</v>
      </c>
      <c r="CA237" s="125">
        <f>Tabela1[[#This Row],[Pós NEUT %]]</f>
        <v>43.4</v>
      </c>
      <c r="CB237" s="125">
        <f>Tabela1[[#This Row],[Pré LINF %]]</f>
        <v>30.803571428571427</v>
      </c>
      <c r="CC237" s="125">
        <f>Tabela1[[#This Row],[Pós LINF %]]</f>
        <v>42.2</v>
      </c>
      <c r="CD237" s="125">
        <f>Tabela1[[#This Row],[Pré MONO %]]</f>
        <v>13.281249999999998</v>
      </c>
      <c r="CE237" s="125">
        <f>Tabela1[[#This Row],[Pós MONO %]]</f>
        <v>8.6999999999999993</v>
      </c>
      <c r="CF237" s="125">
        <f>Tabela1[[#This Row],[Pré EOS %]]</f>
        <v>2.6785714285714284</v>
      </c>
      <c r="CG237" s="125">
        <f>Tabela1[[#This Row],[Pós EOS %]]</f>
        <v>4.7</v>
      </c>
      <c r="CH237" s="125">
        <f>Tabela1[[#This Row],[Pré BASO %]]</f>
        <v>0.89285714285714279</v>
      </c>
      <c r="CI237" s="198">
        <f>Tabela1[[#This Row],[Pós BASO %]]</f>
        <v>1</v>
      </c>
      <c r="CJ237" s="199" t="str">
        <f t="shared" si="13"/>
        <v>NÃO</v>
      </c>
      <c r="CK237" s="200" t="str">
        <f t="shared" si="14"/>
        <v>SIM</v>
      </c>
      <c r="CL237" s="194">
        <f t="shared" si="15"/>
        <v>70.381349999999998</v>
      </c>
      <c r="CM237" s="125">
        <f>Tabela1[[#This Row],[MCT KG]]</f>
        <v>79.5</v>
      </c>
      <c r="CN237" s="85">
        <f>Tabela1[[#This Row],[ESTATURA]]</f>
        <v>176.5</v>
      </c>
      <c r="CO237" s="85">
        <f>Tabela1[[#This Row],[vo2max estimado]]</f>
        <v>52.51</v>
      </c>
      <c r="CP237" s="85">
        <f>Tabela1[[#This Row],[Handgrip     Dominante]]</f>
        <v>48</v>
      </c>
      <c r="CQ237" s="85">
        <f>Tabela1[[#This Row],[Handgrip Contrário]]</f>
        <v>52</v>
      </c>
      <c r="CR237" s="281">
        <f>Tabela1[[#This Row],[% gordura]]</f>
        <v>11.47</v>
      </c>
    </row>
    <row r="238" spans="1:96" ht="15.75" customHeight="1">
      <c r="A238" s="279">
        <f>Tabela1[[#This Row],[Ano]]</f>
        <v>2019</v>
      </c>
      <c r="B238" s="181" t="str">
        <f>Tabela1[[#This Row],[Missão]]</f>
        <v>Itatiaia</v>
      </c>
      <c r="C238" s="181">
        <f>Tabela1[[#This Row],[Aluno]]</f>
        <v>3214</v>
      </c>
      <c r="D238" s="181">
        <f>Tabela1[[#This Row],[Idade]]</f>
        <v>32</v>
      </c>
      <c r="E238" s="182">
        <f>Tabela1[[#This Row],[Peso Kg]]</f>
        <v>81</v>
      </c>
      <c r="F238" s="191">
        <f>Tabela1[[#This Row],[Cor da pele]]</f>
        <v>1</v>
      </c>
      <c r="G238" s="192" t="str">
        <f>Tabela1[[#This Row],[ACTN3]]</f>
        <v>RX</v>
      </c>
      <c r="H238" s="85" t="str">
        <f>Tabela1[[#This Row],[AGT]]</f>
        <v>MM</v>
      </c>
      <c r="I238" s="85" t="str">
        <f>Tabela1[[#This Row],[ECA]]</f>
        <v>II</v>
      </c>
      <c r="J238" s="85" t="str">
        <f>Tabela1[[#This Row],[BDKRB2]]</f>
        <v>(+9,+9)</v>
      </c>
      <c r="K238" s="85">
        <f>Tabela1[[#This Row],[Score Força%]]</f>
        <v>25</v>
      </c>
      <c r="L238" s="193">
        <f>Tabela1[[#This Row],[Score Resistência %]]</f>
        <v>75</v>
      </c>
      <c r="M238" s="192">
        <f>Tabela1[[#This Row],[Pré CK (U/L)]]</f>
        <v>376</v>
      </c>
      <c r="N238" s="85">
        <f>Tabela1[[#This Row],[Pós CK (U/L)]]</f>
        <v>1953</v>
      </c>
      <c r="O238" s="85">
        <f>Tabela1[[#This Row],[Pré CK MB U/L]]</f>
        <v>24</v>
      </c>
      <c r="P238" s="85">
        <f>Tabela1[[#This Row],[Pós CK MB U/L]]</f>
        <v>71</v>
      </c>
      <c r="Q238" s="85">
        <f>Tabela1[[#This Row],[Pré Lactato (mmol/L)]]</f>
        <v>1.5</v>
      </c>
      <c r="R238" s="85">
        <f>Tabela1[[#This Row],[Pós Lactato (mmol/L)]]</f>
        <v>1.7</v>
      </c>
      <c r="S238" s="85">
        <f>Tabela1[[#This Row],[Pré LDH (U/L)]]</f>
        <v>352</v>
      </c>
      <c r="T238" s="85">
        <f>Tabela1[[#This Row],[Pós LDH (U/L)]]</f>
        <v>811</v>
      </c>
      <c r="U238" s="85">
        <f>Tabela1[[#This Row],[Pré AST (U/L)]]</f>
        <v>43</v>
      </c>
      <c r="V238" s="193">
        <f>Tabela1[[#This Row],[Pós AST (U/L)]]</f>
        <v>97</v>
      </c>
      <c r="W238" s="194">
        <f>Tabela1[[#This Row],[Pré Albumina (g/dL)]]</f>
        <v>4.5999999999999996</v>
      </c>
      <c r="X238" s="125">
        <f>Tabela1[[#This Row],[Pós Albumina (g/dL)]]</f>
        <v>3.7</v>
      </c>
      <c r="Y238" s="85">
        <f>Tabela1[[#This Row],[Pré TGP (g/dL)]]</f>
        <v>25</v>
      </c>
      <c r="Z238" s="85">
        <f>Tabela1[[#This Row],[Pós TGP (g/dL)]]</f>
        <v>50</v>
      </c>
      <c r="AA238" s="85">
        <f>Tabela1[[#This Row],[Pré GGT U/L]]</f>
        <v>30</v>
      </c>
      <c r="AB238" s="193">
        <f>Tabela1[[#This Row],[Pós GGT U/L]]</f>
        <v>23</v>
      </c>
      <c r="AC238" s="194">
        <f>Tabela1[[#This Row],[Pré Ac. Úrico (mg/dL)]]</f>
        <v>6.1</v>
      </c>
      <c r="AD238" s="125">
        <f>Tabela1[[#This Row],[Pós Ac. Úrico (mg/dL)2]]</f>
        <v>4.5</v>
      </c>
      <c r="AE23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3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128.71280700150223</v>
      </c>
      <c r="AG238" s="85">
        <f>Tabela1[[#This Row],[Pré Ureia mg/dL]]</f>
        <v>40</v>
      </c>
      <c r="AH238" s="85">
        <f>Tabela1[[#This Row],[Pós Ureia mg/dL]]</f>
        <v>36</v>
      </c>
      <c r="AI238" s="125">
        <f>Tabela1[[#This Row],[Pré creatinina mg/dL]]</f>
        <v>0.9</v>
      </c>
      <c r="AJ238" s="125">
        <f>Tabela1[[#This Row],[Pós creatinina mg/dL]]</f>
        <v>0.7</v>
      </c>
      <c r="AK238" s="180">
        <f t="shared" si="12"/>
        <v>0</v>
      </c>
      <c r="AL238" s="125">
        <f>Tabela1[[#This Row],[Pré Fósforo mg/dL]]</f>
        <v>4.5999999999999996</v>
      </c>
      <c r="AM238" s="125">
        <f>Tabela1[[#This Row],[Pós Fósforo mg/dL]]</f>
        <v>4.3</v>
      </c>
      <c r="AN238" s="125">
        <f>Tabela1[[#This Row],[Pré Proteína Total (g/dL)]]</f>
        <v>7.2</v>
      </c>
      <c r="AO238" s="125">
        <f>Tabela1[[#This Row],[Pós Proteína Total (g/dL)]]</f>
        <v>5.9</v>
      </c>
      <c r="AP238" s="85">
        <f>Tabela1[[#This Row],[Pré FE (ug/dL)]]</f>
        <v>46</v>
      </c>
      <c r="AQ238" s="193">
        <f>Tabela1[[#This Row],[Pós FE (ug/dL)]]</f>
        <v>43</v>
      </c>
      <c r="AR238" s="194">
        <f>Tabela1[[#This Row],[Pré calcio mg/dL]]</f>
        <v>9.6</v>
      </c>
      <c r="AS238" s="125">
        <f>Tabela1[[#This Row],[Pós calcio mg/dL]]</f>
        <v>8.4</v>
      </c>
      <c r="AT238" s="125">
        <f>Tabela1[[#This Row],[Pré Potássio mmol/L]]</f>
        <v>4.5999999999999996</v>
      </c>
      <c r="AU238" s="125">
        <f>Tabela1[[#This Row],[Pós Potássio mmol/L]]</f>
        <v>4.2</v>
      </c>
      <c r="AV238" s="85">
        <f>Tabela1[[#This Row],[Glicose pré]]</f>
        <v>108</v>
      </c>
      <c r="AW238" s="85">
        <f>Tabela1[[#This Row],[Glicose pós]]</f>
        <v>101</v>
      </c>
      <c r="AX238" s="85">
        <f>Tabela1[[#This Row],[Pré Sódio mmol/L]]</f>
        <v>140</v>
      </c>
      <c r="AY238" s="85">
        <f>Tabela1[[#This Row],[Pós Sódio mmol/L]]</f>
        <v>135</v>
      </c>
      <c r="AZ238" s="125">
        <f>Tabela1[[#This Row],[Pré Magnésio mg/dL]]</f>
        <v>2.1</v>
      </c>
      <c r="BA238" s="125">
        <f>Tabela1[[#This Row],[Pós Magnésio mg/dL]]</f>
        <v>1.6</v>
      </c>
      <c r="BB238" s="85">
        <f>Tabela1[[#This Row],[Pré Cloro mmol/L]]</f>
        <v>112</v>
      </c>
      <c r="BC238" s="85">
        <f>Tabela1[[#This Row],[Pós Cloro mmol/L]]</f>
        <v>103</v>
      </c>
      <c r="BD23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296.52266666666668</v>
      </c>
      <c r="BE23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285.36477777777776</v>
      </c>
      <c r="BF238" s="194">
        <f>Tabela1[[#This Row],[Pré RBC 10^6/mm³]]</f>
        <v>4.45</v>
      </c>
      <c r="BG238" s="125">
        <f>Tabela1[[#This Row],[Pós RBC 10^6/mm³]]</f>
        <v>3.77</v>
      </c>
      <c r="BH238" s="125">
        <f>Tabela1[[#This Row],[Pré HGB g/dL]]</f>
        <v>12.6</v>
      </c>
      <c r="BI238" s="125">
        <f>Tabela1[[#This Row],[Pós HGB g/dL]]</f>
        <v>10.6</v>
      </c>
      <c r="BJ238" s="125">
        <f>Tabela1[[#This Row],[Pré HCT %]]</f>
        <v>38.700000000000003</v>
      </c>
      <c r="BK238" s="125">
        <f>Tabela1[[#This Row],[Pós HCT %]]</f>
        <v>34.299999999999997</v>
      </c>
      <c r="BL238" s="125">
        <f>Tabela1[[#This Row],[Pré MCV fL]]</f>
        <v>87</v>
      </c>
      <c r="BM238" s="125">
        <f>Tabela1[[#This Row],[Pós MCV fL]]</f>
        <v>91</v>
      </c>
      <c r="BN238" s="125">
        <f>Tabela1[[#This Row],[Pré MCH pg]]</f>
        <v>28.3</v>
      </c>
      <c r="BO238" s="125">
        <f>Tabela1[[#This Row],[Pós MCH pg]]</f>
        <v>28.1</v>
      </c>
      <c r="BP238" s="125">
        <f>Tabela1[[#This Row],[Pré MCHC g/dL]]</f>
        <v>32.6</v>
      </c>
      <c r="BQ238" s="125">
        <f>Tabela1[[#This Row],[Pós MCHC g/dL]]</f>
        <v>30.9</v>
      </c>
      <c r="BR238" s="85">
        <f>Tabela1[[#This Row],[Pré PLT 10³/mm³]]</f>
        <v>252</v>
      </c>
      <c r="BS238" s="85">
        <f>Tabela1[[#This Row],[Pós PLT 10³/mm³]]</f>
        <v>209</v>
      </c>
      <c r="BT238" s="125">
        <f>Tabela1[[#This Row],[Pré RDW %]]</f>
        <v>12.4</v>
      </c>
      <c r="BU238" s="125">
        <f>Tabela1[[#This Row],[Pós RDW %]]</f>
        <v>12.6</v>
      </c>
      <c r="BV238" s="179">
        <f>Tabela1[[#This Row],[Pré RET %]]</f>
        <v>32.9</v>
      </c>
      <c r="BW238" s="196">
        <f>Tabela1[[#This Row],[Pós RET %]]</f>
        <v>32.299999999999997</v>
      </c>
      <c r="BX238" s="197">
        <f>Tabela1[[#This Row],[Pré WBC 10³/mm³]]</f>
        <v>9.51</v>
      </c>
      <c r="BY238" s="179">
        <f>Tabela1[[#This Row],[Pós WBC 10³/mm³]]</f>
        <v>5.92</v>
      </c>
      <c r="BZ238" s="125">
        <f>Tabela1[[#This Row],[Pré NEUT %]]</f>
        <v>65.099999999999994</v>
      </c>
      <c r="CA238" s="125">
        <f>Tabela1[[#This Row],[Pós NEUT %]]</f>
        <v>52.6</v>
      </c>
      <c r="CB238" s="125">
        <f>Tabela1[[#This Row],[Pré LINF %]]</f>
        <v>25</v>
      </c>
      <c r="CC238" s="125">
        <f>Tabela1[[#This Row],[Pós LINF %]]</f>
        <v>33.1</v>
      </c>
      <c r="CD238" s="125">
        <f>Tabela1[[#This Row],[Pré MONO %]]</f>
        <v>9.1</v>
      </c>
      <c r="CE238" s="125">
        <f>Tabela1[[#This Row],[Pós MONO %]]</f>
        <v>11.5</v>
      </c>
      <c r="CF238" s="125">
        <f>Tabela1[[#This Row],[Pré EOS %]]</f>
        <v>0.6</v>
      </c>
      <c r="CG238" s="125">
        <f>Tabela1[[#This Row],[Pós EOS %]]</f>
        <v>2.5</v>
      </c>
      <c r="CH238" s="125">
        <f>Tabela1[[#This Row],[Pré BASO %]]</f>
        <v>0.2</v>
      </c>
      <c r="CI238" s="198">
        <f>Tabela1[[#This Row],[Pós BASO %]]</f>
        <v>0.3</v>
      </c>
      <c r="CJ238" s="199" t="str">
        <f t="shared" si="13"/>
        <v>NÃO</v>
      </c>
      <c r="CK238" s="200" t="str">
        <f t="shared" si="14"/>
        <v>SIM</v>
      </c>
      <c r="CL238" s="194">
        <f t="shared" si="15"/>
        <v>70.427400000000006</v>
      </c>
      <c r="CM238" s="125">
        <f>Tabela1[[#This Row],[MCT KG]]</f>
        <v>80.25</v>
      </c>
      <c r="CN238" s="85">
        <f>Tabela1[[#This Row],[ESTATURA]]</f>
        <v>178</v>
      </c>
      <c r="CO238" s="85">
        <f>Tabela1[[#This Row],[vo2max estimado]]</f>
        <v>51.39</v>
      </c>
      <c r="CP238" s="85">
        <f>Tabela1[[#This Row],[Handgrip     Dominante]]</f>
        <v>48</v>
      </c>
      <c r="CQ238" s="85">
        <f>Tabela1[[#This Row],[Handgrip Contrário]]</f>
        <v>47</v>
      </c>
      <c r="CR238" s="281">
        <f>Tabela1[[#This Row],[% gordura]]</f>
        <v>12.24</v>
      </c>
    </row>
    <row r="239" spans="1:96" ht="15.75" customHeight="1">
      <c r="A239" s="279">
        <f>Tabela1[[#This Row],[Ano]]</f>
        <v>2019</v>
      </c>
      <c r="B239" s="181" t="str">
        <f>Tabela1[[#This Row],[Missão]]</f>
        <v>Itatiaia</v>
      </c>
      <c r="C239" s="181">
        <f>Tabela1[[#This Row],[Aluno]]</f>
        <v>3215</v>
      </c>
      <c r="D239" s="181">
        <f>Tabela1[[#This Row],[Idade]]</f>
        <v>33</v>
      </c>
      <c r="E239" s="182">
        <f>Tabela1[[#This Row],[Peso Kg]]</f>
        <v>75.099999999999994</v>
      </c>
      <c r="F239" s="191">
        <f>Tabela1[[#This Row],[Cor da pele]]</f>
        <v>1</v>
      </c>
      <c r="G239" s="192" t="str">
        <f>Tabela1[[#This Row],[ACTN3]]</f>
        <v>XX</v>
      </c>
      <c r="H239" s="85" t="str">
        <f>Tabela1[[#This Row],[AGT]]</f>
        <v>MM</v>
      </c>
      <c r="I239" s="85" t="str">
        <f>Tabela1[[#This Row],[ECA]]</f>
        <v>ID</v>
      </c>
      <c r="J239" s="85" t="str">
        <f>Tabela1[[#This Row],[BDKRB2]]</f>
        <v>(+9,-9)</v>
      </c>
      <c r="K239" s="85">
        <f>Tabela1[[#This Row],[Score Força%]]</f>
        <v>25</v>
      </c>
      <c r="L239" s="193">
        <f>Tabela1[[#This Row],[Score Resistência %]]</f>
        <v>75</v>
      </c>
      <c r="M239" s="192">
        <f>Tabela1[[#This Row],[Pré CK (U/L)]]</f>
        <v>1023</v>
      </c>
      <c r="N239" s="85">
        <f>Tabela1[[#This Row],[Pós CK (U/L)]]</f>
        <v>585</v>
      </c>
      <c r="O239" s="85">
        <f>Tabela1[[#This Row],[Pré CK MB U/L]]</f>
        <v>67</v>
      </c>
      <c r="P239" s="85">
        <f>Tabela1[[#This Row],[Pós CK MB U/L]]</f>
        <v>38</v>
      </c>
      <c r="Q239" s="85">
        <f>Tabela1[[#This Row],[Pré Lactato (mmol/L)]]</f>
        <v>2</v>
      </c>
      <c r="R239" s="85">
        <f>Tabela1[[#This Row],[Pós Lactato (mmol/L)]]</f>
        <v>1.2</v>
      </c>
      <c r="S239" s="85">
        <f>Tabela1[[#This Row],[Pré LDH (U/L)]]</f>
        <v>695</v>
      </c>
      <c r="T239" s="85">
        <f>Tabela1[[#This Row],[Pós LDH (U/L)]]</f>
        <v>683</v>
      </c>
      <c r="U239" s="85">
        <f>Tabela1[[#This Row],[Pré AST (U/L)]]</f>
        <v>89</v>
      </c>
      <c r="V239" s="193">
        <f>Tabela1[[#This Row],[Pós AST (U/L)]]</f>
        <v>65</v>
      </c>
      <c r="W239" s="194">
        <f>Tabela1[[#This Row],[Pré Albumina (g/dL)]]</f>
        <v>5.5</v>
      </c>
      <c r="X239" s="125">
        <f>Tabela1[[#This Row],[Pós Albumina (g/dL)]]</f>
        <v>4.2</v>
      </c>
      <c r="Y239" s="85">
        <f>Tabela1[[#This Row],[Pré TGP (g/dL)]]</f>
        <v>50</v>
      </c>
      <c r="Z239" s="85">
        <f>Tabela1[[#This Row],[Pós TGP (g/dL)]]</f>
        <v>52</v>
      </c>
      <c r="AA239" s="85">
        <f>Tabela1[[#This Row],[Pré GGT U/L]]</f>
        <v>25</v>
      </c>
      <c r="AB239" s="193">
        <f>Tabela1[[#This Row],[Pós GGT U/L]]</f>
        <v>21</v>
      </c>
      <c r="AC239" s="194">
        <f>Tabela1[[#This Row],[Pré Ac. Úrico (mg/dL)]]</f>
        <v>5.3</v>
      </c>
      <c r="AD239" s="125">
        <f>Tabela1[[#This Row],[Pós Ac. Úrico (mg/dL)2]]</f>
        <v>3.4</v>
      </c>
      <c r="AE23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23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39" s="85">
        <f>Tabela1[[#This Row],[Pré Ureia mg/dL]]</f>
        <v>56</v>
      </c>
      <c r="AH239" s="85">
        <f>Tabela1[[#This Row],[Pós Ureia mg/dL]]</f>
        <v>46</v>
      </c>
      <c r="AI239" s="125">
        <f>Tabela1[[#This Row],[Pré creatinina mg/dL]]</f>
        <v>1.2</v>
      </c>
      <c r="AJ239" s="125">
        <f>Tabela1[[#This Row],[Pós creatinina mg/dL]]</f>
        <v>0.9</v>
      </c>
      <c r="AK239" s="180">
        <f t="shared" si="12"/>
        <v>0</v>
      </c>
      <c r="AL239" s="125">
        <f>Tabela1[[#This Row],[Pré Fósforo mg/dL]]</f>
        <v>5</v>
      </c>
      <c r="AM239" s="125">
        <f>Tabela1[[#This Row],[Pós Fósforo mg/dL]]</f>
        <v>3.7</v>
      </c>
      <c r="AN239" s="125">
        <f>Tabela1[[#This Row],[Pré Proteína Total (g/dL)]]</f>
        <v>8.9</v>
      </c>
      <c r="AO239" s="125">
        <f>Tabela1[[#This Row],[Pós Proteína Total (g/dL)]]</f>
        <v>6.8</v>
      </c>
      <c r="AP239" s="85">
        <f>Tabela1[[#This Row],[Pré FE (ug/dL)]]</f>
        <v>79</v>
      </c>
      <c r="AQ239" s="193">
        <f>Tabela1[[#This Row],[Pós FE (ug/dL)]]</f>
        <v>85</v>
      </c>
      <c r="AR239" s="194">
        <f>Tabela1[[#This Row],[Pré calcio mg/dL]]</f>
        <v>11.1</v>
      </c>
      <c r="AS239" s="125">
        <f>Tabela1[[#This Row],[Pós calcio mg/dL]]</f>
        <v>8.9</v>
      </c>
      <c r="AT239" s="125">
        <f>Tabela1[[#This Row],[Pré Potássio mmol/L]]</f>
        <v>5</v>
      </c>
      <c r="AU239" s="125">
        <f>Tabela1[[#This Row],[Pós Potássio mmol/L]]</f>
        <v>4</v>
      </c>
      <c r="AV239" s="85">
        <f>Tabela1[[#This Row],[Glicose pré]]</f>
        <v>112</v>
      </c>
      <c r="AW239" s="85">
        <f>Tabela1[[#This Row],[Glicose pós]]</f>
        <v>98</v>
      </c>
      <c r="AX239" s="85">
        <f>Tabela1[[#This Row],[Pré Sódio mmol/L]]</f>
        <v>159</v>
      </c>
      <c r="AY239" s="85">
        <f>Tabela1[[#This Row],[Pós Sódio mmol/L]]</f>
        <v>134</v>
      </c>
      <c r="AZ239" s="125">
        <f>Tabela1[[#This Row],[Pré Magnésio mg/dL]]</f>
        <v>2.5</v>
      </c>
      <c r="BA239" s="125">
        <f>Tabela1[[#This Row],[Pós Magnésio mg/dL]]</f>
        <v>1.9</v>
      </c>
      <c r="BB239" s="85">
        <f>Tabela1[[#This Row],[Pré Cloro mmol/L]]</f>
        <v>132</v>
      </c>
      <c r="BC239" s="85">
        <f>Tabela1[[#This Row],[Pós Cloro mmol/L]]</f>
        <v>102</v>
      </c>
      <c r="BD23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335.5288888888889</v>
      </c>
      <c r="BE23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284.60777777777781</v>
      </c>
      <c r="BF239" s="194">
        <f>Tabela1[[#This Row],[Pré RBC 10^6/mm³]]</f>
        <v>4.3600000000000003</v>
      </c>
      <c r="BG239" s="125">
        <f>Tabela1[[#This Row],[Pós RBC 10^6/mm³]]</f>
        <v>4.1500000000000004</v>
      </c>
      <c r="BH239" s="125">
        <f>Tabela1[[#This Row],[Pré HGB g/dL]]</f>
        <v>12.5</v>
      </c>
      <c r="BI239" s="125">
        <f>Tabela1[[#This Row],[Pós HGB g/dL]]</f>
        <v>11.8</v>
      </c>
      <c r="BJ239" s="125">
        <f>Tabela1[[#This Row],[Pré HCT %]]</f>
        <v>38.6</v>
      </c>
      <c r="BK239" s="125">
        <f>Tabela1[[#This Row],[Pós HCT %]]</f>
        <v>38.700000000000003</v>
      </c>
      <c r="BL239" s="125">
        <f>Tabela1[[#This Row],[Pré MCV fL]]</f>
        <v>88.5</v>
      </c>
      <c r="BM239" s="125">
        <f>Tabela1[[#This Row],[Pós MCV fL]]</f>
        <v>93.3</v>
      </c>
      <c r="BN239" s="125">
        <f>Tabela1[[#This Row],[Pré MCH pg]]</f>
        <v>28.7</v>
      </c>
      <c r="BO239" s="125">
        <f>Tabela1[[#This Row],[Pós MCH pg]]</f>
        <v>28.4</v>
      </c>
      <c r="BP239" s="125">
        <f>Tabela1[[#This Row],[Pré MCHC g/dL]]</f>
        <v>32.4</v>
      </c>
      <c r="BQ239" s="125">
        <f>Tabela1[[#This Row],[Pós MCHC g/dL]]</f>
        <v>30.5</v>
      </c>
      <c r="BR239" s="85">
        <f>Tabela1[[#This Row],[Pré PLT 10³/mm³]]</f>
        <v>250</v>
      </c>
      <c r="BS239" s="85">
        <f>Tabela1[[#This Row],[Pós PLT 10³/mm³]]</f>
        <v>289</v>
      </c>
      <c r="BT239" s="125">
        <f>Tabela1[[#This Row],[Pré RDW %]]</f>
        <v>13</v>
      </c>
      <c r="BU239" s="125">
        <f>Tabela1[[#This Row],[Pós RDW %]]</f>
        <v>13.5</v>
      </c>
      <c r="BV239" s="179">
        <f>Tabela1[[#This Row],[Pré RET %]]</f>
        <v>33.299999999999997</v>
      </c>
      <c r="BW239" s="196">
        <f>Tabela1[[#This Row],[Pós RET %]]</f>
        <v>34.200000000000003</v>
      </c>
      <c r="BX239" s="197">
        <f>Tabela1[[#This Row],[Pré WBC 10³/mm³]]</f>
        <v>6.79</v>
      </c>
      <c r="BY239" s="179">
        <f>Tabela1[[#This Row],[Pós WBC 10³/mm³]]</f>
        <v>6.56</v>
      </c>
      <c r="BZ239" s="125">
        <f>Tabela1[[#This Row],[Pré NEUT %]]</f>
        <v>55.37555228276878</v>
      </c>
      <c r="CA239" s="125">
        <f>Tabela1[[#This Row],[Pós NEUT %]]</f>
        <v>55.6</v>
      </c>
      <c r="CB239" s="125">
        <f>Tabela1[[#This Row],[Pré LINF %]]</f>
        <v>27.39322533136966</v>
      </c>
      <c r="CC239" s="125">
        <f>Tabela1[[#This Row],[Pós LINF %]]</f>
        <v>32.299999999999997</v>
      </c>
      <c r="CD239" s="125">
        <f>Tabela1[[#This Row],[Pré MONO %]]</f>
        <v>13.991163475699558</v>
      </c>
      <c r="CE239" s="125">
        <f>Tabela1[[#This Row],[Pós MONO %]]</f>
        <v>8.1999999999999993</v>
      </c>
      <c r="CF239" s="125">
        <f>Tabela1[[#This Row],[Pré EOS %]]</f>
        <v>2.9455081001472756</v>
      </c>
      <c r="CG239" s="125">
        <f>Tabela1[[#This Row],[Pós EOS %]]</f>
        <v>3.4</v>
      </c>
      <c r="CH239" s="125">
        <f>Tabela1[[#This Row],[Pré BASO %]]</f>
        <v>0.29455081001472755</v>
      </c>
      <c r="CI239" s="198">
        <f>Tabela1[[#This Row],[Pós BASO %]]</f>
        <v>0.5</v>
      </c>
      <c r="CJ239" s="199" t="str">
        <f t="shared" si="13"/>
        <v>NÃO</v>
      </c>
      <c r="CK239" s="200" t="str">
        <f t="shared" si="14"/>
        <v>SIM</v>
      </c>
      <c r="CL239" s="194">
        <f t="shared" si="15"/>
        <v>66.237339999999989</v>
      </c>
      <c r="CM239" s="125">
        <f>Tabela1[[#This Row],[MCT KG]]</f>
        <v>74.599999999999994</v>
      </c>
      <c r="CN239" s="85">
        <f>Tabela1[[#This Row],[ESTATURA]]</f>
        <v>178.5</v>
      </c>
      <c r="CO239" s="85">
        <f>Tabela1[[#This Row],[vo2max estimado]]</f>
        <v>50</v>
      </c>
      <c r="CP239" s="85">
        <f>Tabela1[[#This Row],[Handgrip     Dominante]]</f>
        <v>62</v>
      </c>
      <c r="CQ239" s="85">
        <f>Tabela1[[#This Row],[Handgrip Contrário]]</f>
        <v>58</v>
      </c>
      <c r="CR239" s="281">
        <f>Tabela1[[#This Row],[% gordura]]</f>
        <v>11.21</v>
      </c>
    </row>
    <row r="240" spans="1:96" ht="15.75" customHeight="1">
      <c r="A240" s="279">
        <f>Tabela1[[#This Row],[Ano]]</f>
        <v>2019</v>
      </c>
      <c r="B240" s="181" t="str">
        <f>Tabela1[[#This Row],[Missão]]</f>
        <v>Itatiaia</v>
      </c>
      <c r="C240" s="181">
        <f>Tabela1[[#This Row],[Aluno]]</f>
        <v>3216</v>
      </c>
      <c r="D240" s="181">
        <f>Tabela1[[#This Row],[Idade]]</f>
        <v>32</v>
      </c>
      <c r="E240" s="182">
        <f>Tabela1[[#This Row],[Peso Kg]]</f>
        <v>72.3</v>
      </c>
      <c r="F240" s="191">
        <f>Tabela1[[#This Row],[Cor da pele]]</f>
        <v>1</v>
      </c>
      <c r="G240" s="192" t="str">
        <f>Tabela1[[#This Row],[ACTN3]]</f>
        <v>RR</v>
      </c>
      <c r="H240" s="85" t="str">
        <f>Tabela1[[#This Row],[AGT]]</f>
        <v>MM</v>
      </c>
      <c r="I240" s="85" t="str">
        <f>Tabela1[[#This Row],[ECA]]</f>
        <v>ID</v>
      </c>
      <c r="J240" s="85" t="str">
        <f>Tabela1[[#This Row],[BDKRB2]]</f>
        <v>(+9,-9)</v>
      </c>
      <c r="K240" s="85">
        <f>Tabela1[[#This Row],[Score Força%]]</f>
        <v>50</v>
      </c>
      <c r="L240" s="193">
        <f>Tabela1[[#This Row],[Score Resistência %]]</f>
        <v>50</v>
      </c>
      <c r="M240" s="192">
        <f>Tabela1[[#This Row],[Pré CK (U/L)]]</f>
        <v>1106</v>
      </c>
      <c r="N240" s="85">
        <f>Tabela1[[#This Row],[Pós CK (U/L)]]</f>
        <v>1216</v>
      </c>
      <c r="O240" s="85">
        <f>Tabela1[[#This Row],[Pré CK MB U/L]]</f>
        <v>58</v>
      </c>
      <c r="P240" s="85">
        <f>Tabela1[[#This Row],[Pós CK MB U/L]]</f>
        <v>63</v>
      </c>
      <c r="Q240" s="85">
        <f>Tabela1[[#This Row],[Pré Lactato (mmol/L)]]</f>
        <v>1.4</v>
      </c>
      <c r="R240" s="85">
        <f>Tabela1[[#This Row],[Pós Lactato (mmol/L)]]</f>
        <v>1.7</v>
      </c>
      <c r="S240" s="85">
        <f>Tabela1[[#This Row],[Pré LDH (U/L)]]</f>
        <v>501</v>
      </c>
      <c r="T240" s="85">
        <f>Tabela1[[#This Row],[Pós LDH (U/L)]]</f>
        <v>548</v>
      </c>
      <c r="U240" s="85">
        <f>Tabela1[[#This Row],[Pré AST (U/L)]]</f>
        <v>68</v>
      </c>
      <c r="V240" s="193">
        <f>Tabela1[[#This Row],[Pós AST (U/L)]]</f>
        <v>70</v>
      </c>
      <c r="W240" s="194">
        <f>Tabela1[[#This Row],[Pré Albumina (g/dL)]]</f>
        <v>4.4000000000000004</v>
      </c>
      <c r="X240" s="125">
        <f>Tabela1[[#This Row],[Pós Albumina (g/dL)]]</f>
        <v>4.2</v>
      </c>
      <c r="Y240" s="85">
        <f>Tabela1[[#This Row],[Pré TGP (g/dL)]]</f>
        <v>43</v>
      </c>
      <c r="Z240" s="85">
        <f>Tabela1[[#This Row],[Pós TGP (g/dL)]]</f>
        <v>51</v>
      </c>
      <c r="AA240" s="85">
        <f>Tabela1[[#This Row],[Pré GGT U/L]]</f>
        <v>34</v>
      </c>
      <c r="AB240" s="193">
        <f>Tabela1[[#This Row],[Pós GGT U/L]]</f>
        <v>28</v>
      </c>
      <c r="AC240" s="194">
        <f>Tabela1[[#This Row],[Pré Ac. Úrico (mg/dL)]]</f>
        <v>6</v>
      </c>
      <c r="AD240" s="125">
        <f>Tabela1[[#This Row],[Pós Ac. Úrico (mg/dL)2]]</f>
        <v>4.9000000000000004</v>
      </c>
      <c r="AE24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4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128.71280700150223</v>
      </c>
      <c r="AG240" s="85">
        <f>Tabela1[[#This Row],[Pré Ureia mg/dL]]</f>
        <v>42</v>
      </c>
      <c r="AH240" s="85">
        <f>Tabela1[[#This Row],[Pós Ureia mg/dL]]</f>
        <v>40</v>
      </c>
      <c r="AI240" s="125">
        <f>Tabela1[[#This Row],[Pré creatinina mg/dL]]</f>
        <v>0.9</v>
      </c>
      <c r="AJ240" s="125">
        <f>Tabela1[[#This Row],[Pós creatinina mg/dL]]</f>
        <v>0.7</v>
      </c>
      <c r="AK240" s="180">
        <f t="shared" si="12"/>
        <v>0</v>
      </c>
      <c r="AL240" s="125">
        <f>Tabela1[[#This Row],[Pré Fósforo mg/dL]]</f>
        <v>3.7</v>
      </c>
      <c r="AM240" s="125">
        <f>Tabela1[[#This Row],[Pós Fósforo mg/dL]]</f>
        <v>3.6</v>
      </c>
      <c r="AN240" s="125">
        <f>Tabela1[[#This Row],[Pré Proteína Total (g/dL)]]</f>
        <v>6.9</v>
      </c>
      <c r="AO240" s="125">
        <f>Tabela1[[#This Row],[Pós Proteína Total (g/dL)]]</f>
        <v>6.6</v>
      </c>
      <c r="AP240" s="85">
        <f>Tabela1[[#This Row],[Pré FE (ug/dL)]]</f>
        <v>65</v>
      </c>
      <c r="AQ240" s="193">
        <f>Tabela1[[#This Row],[Pós FE (ug/dL)]]</f>
        <v>75</v>
      </c>
      <c r="AR240" s="194">
        <f>Tabela1[[#This Row],[Pré calcio mg/dL]]</f>
        <v>9.4</v>
      </c>
      <c r="AS240" s="125">
        <f>Tabela1[[#This Row],[Pós calcio mg/dL]]</f>
        <v>9.1999999999999993</v>
      </c>
      <c r="AT240" s="125">
        <f>Tabela1[[#This Row],[Pré Potássio mmol/L]]</f>
        <v>4.2</v>
      </c>
      <c r="AU240" s="125">
        <f>Tabela1[[#This Row],[Pós Potássio mmol/L]]</f>
        <v>4.2</v>
      </c>
      <c r="AV240" s="85">
        <f>Tabela1[[#This Row],[Glicose pré]]</f>
        <v>101</v>
      </c>
      <c r="AW240" s="85">
        <f>Tabela1[[#This Row],[Glicose pós]]</f>
        <v>92</v>
      </c>
      <c r="AX240" s="85">
        <f>Tabela1[[#This Row],[Pré Sódio mmol/L]]</f>
        <v>140</v>
      </c>
      <c r="AY240" s="85">
        <f>Tabela1[[#This Row],[Pós Sódio mmol/L]]</f>
        <v>136</v>
      </c>
      <c r="AZ240" s="125">
        <f>Tabela1[[#This Row],[Pré Magnésio mg/dL]]</f>
        <v>2.4</v>
      </c>
      <c r="BA240" s="125">
        <f>Tabela1[[#This Row],[Pós Magnésio mg/dL]]</f>
        <v>2.1</v>
      </c>
      <c r="BB240" s="85">
        <f>Tabela1[[#This Row],[Pré Cloro mmol/L]]</f>
        <v>113</v>
      </c>
      <c r="BC240" s="85">
        <f>Tabela1[[#This Row],[Pós Cloro mmol/L]]</f>
        <v>103</v>
      </c>
      <c r="BD24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295.66477777777777</v>
      </c>
      <c r="BE24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287.31644444444447</v>
      </c>
      <c r="BF240" s="194">
        <f>Tabela1[[#This Row],[Pré RBC 10^6/mm³]]</f>
        <v>4.46</v>
      </c>
      <c r="BG240" s="125">
        <f>Tabela1[[#This Row],[Pós RBC 10^6/mm³]]</f>
        <v>4.6900000000000004</v>
      </c>
      <c r="BH240" s="125">
        <f>Tabela1[[#This Row],[Pré HGB g/dL]]</f>
        <v>13.6</v>
      </c>
      <c r="BI240" s="125">
        <f>Tabela1[[#This Row],[Pós HGB g/dL]]</f>
        <v>14.4</v>
      </c>
      <c r="BJ240" s="125">
        <f>Tabela1[[#This Row],[Pré HCT %]]</f>
        <v>42.7</v>
      </c>
      <c r="BK240" s="125">
        <f>Tabela1[[#This Row],[Pós HCT %]]</f>
        <v>46.4</v>
      </c>
      <c r="BL240" s="125">
        <f>Tabela1[[#This Row],[Pré MCV fL]]</f>
        <v>95.7</v>
      </c>
      <c r="BM240" s="125">
        <f>Tabela1[[#This Row],[Pós MCV fL]]</f>
        <v>99.1</v>
      </c>
      <c r="BN240" s="125">
        <f>Tabela1[[#This Row],[Pré MCH pg]]</f>
        <v>30.5</v>
      </c>
      <c r="BO240" s="125">
        <f>Tabela1[[#This Row],[Pós MCH pg]]</f>
        <v>30.7</v>
      </c>
      <c r="BP240" s="125">
        <f>Tabela1[[#This Row],[Pré MCHC g/dL]]</f>
        <v>31.9</v>
      </c>
      <c r="BQ240" s="125">
        <f>Tabela1[[#This Row],[Pós MCHC g/dL]]</f>
        <v>31</v>
      </c>
      <c r="BR240" s="85">
        <f>Tabela1[[#This Row],[Pré PLT 10³/mm³]]</f>
        <v>202</v>
      </c>
      <c r="BS240" s="85">
        <f>Tabela1[[#This Row],[Pós PLT 10³/mm³]]</f>
        <v>202</v>
      </c>
      <c r="BT240" s="125">
        <f>Tabela1[[#This Row],[Pré RDW %]]</f>
        <v>12.1</v>
      </c>
      <c r="BU240" s="125">
        <f>Tabela1[[#This Row],[Pós RDW %]]</f>
        <v>12.5</v>
      </c>
      <c r="BV240" s="179">
        <f>Tabela1[[#This Row],[Pré RET %]]</f>
        <v>35.700000000000003</v>
      </c>
      <c r="BW240" s="196">
        <f>Tabela1[[#This Row],[Pós RET %]]</f>
        <v>34.9</v>
      </c>
      <c r="BX240" s="197">
        <f>Tabela1[[#This Row],[Pré WBC 10³/mm³]]</f>
        <v>8.17</v>
      </c>
      <c r="BY240" s="179">
        <f>Tabela1[[#This Row],[Pós WBC 10³/mm³]]</f>
        <v>5.7</v>
      </c>
      <c r="BZ240" s="125">
        <f>Tabela1[[#This Row],[Pré NEUT %]]</f>
        <v>72.215422276621794</v>
      </c>
      <c r="CA240" s="125">
        <f>Tabela1[[#This Row],[Pós NEUT %]]</f>
        <v>50.5</v>
      </c>
      <c r="CB240" s="125">
        <f>Tabela1[[#This Row],[Pré LINF %]]</f>
        <v>17.625458996328028</v>
      </c>
      <c r="CC240" s="125">
        <f>Tabela1[[#This Row],[Pós LINF %]]</f>
        <v>35.1</v>
      </c>
      <c r="CD240" s="125">
        <f>Tabela1[[#This Row],[Pré MONO %]]</f>
        <v>7.466340269277846</v>
      </c>
      <c r="CE240" s="125">
        <f>Tabela1[[#This Row],[Pós MONO %]]</f>
        <v>8.4</v>
      </c>
      <c r="CF240" s="125">
        <f>Tabela1[[#This Row],[Pré EOS %]]</f>
        <v>2.4479804161566707</v>
      </c>
      <c r="CG240" s="125">
        <f>Tabela1[[#This Row],[Pós EOS %]]</f>
        <v>5.0999999999999996</v>
      </c>
      <c r="CH240" s="125">
        <f>Tabela1[[#This Row],[Pré BASO %]]</f>
        <v>0.24479804161566707</v>
      </c>
      <c r="CI240" s="198">
        <f>Tabela1[[#This Row],[Pós BASO %]]</f>
        <v>0.9</v>
      </c>
      <c r="CJ240" s="199" t="str">
        <f t="shared" si="13"/>
        <v>NÃO</v>
      </c>
      <c r="CK240" s="200" t="str">
        <f t="shared" si="14"/>
        <v>SIM</v>
      </c>
      <c r="CL240" s="194">
        <f t="shared" si="15"/>
        <v>65.387150000000005</v>
      </c>
      <c r="CM240" s="125">
        <f>Tabela1[[#This Row],[MCT KG]]</f>
        <v>70.75</v>
      </c>
      <c r="CN240" s="85">
        <f>Tabela1[[#This Row],[ESTATURA]]</f>
        <v>181.5</v>
      </c>
      <c r="CO240" s="85">
        <f>Tabela1[[#This Row],[vo2max estimado]]</f>
        <v>54.55</v>
      </c>
      <c r="CP240" s="85">
        <f>Tabela1[[#This Row],[Handgrip     Dominante]]</f>
        <v>50</v>
      </c>
      <c r="CQ240" s="85">
        <f>Tabela1[[#This Row],[Handgrip Contrário]]</f>
        <v>42</v>
      </c>
      <c r="CR240" s="281">
        <f>Tabela1[[#This Row],[% gordura]]</f>
        <v>7.58</v>
      </c>
    </row>
    <row r="241" spans="1:96" ht="15.75" customHeight="1">
      <c r="A241" s="279">
        <f>Tabela1[[#This Row],[Ano]]</f>
        <v>2019</v>
      </c>
      <c r="B241" s="181" t="str">
        <f>Tabela1[[#This Row],[Missão]]</f>
        <v>Itatiaia</v>
      </c>
      <c r="C241" s="181">
        <f>Tabela1[[#This Row],[Aluno]]</f>
        <v>3222</v>
      </c>
      <c r="D241" s="181">
        <f>Tabela1[[#This Row],[Idade]]</f>
        <v>28</v>
      </c>
      <c r="E241" s="182">
        <f>Tabela1[[#This Row],[Peso Kg]]</f>
        <v>62</v>
      </c>
      <c r="F241" s="191">
        <f>Tabela1[[#This Row],[Cor da pele]]</f>
        <v>1</v>
      </c>
      <c r="G241" s="192" t="str">
        <f>Tabela1[[#This Row],[ACTN3]]</f>
        <v>RR</v>
      </c>
      <c r="H241" s="85" t="str">
        <f>Tabela1[[#This Row],[AGT]]</f>
        <v>MT</v>
      </c>
      <c r="I241" s="85" t="str">
        <f>Tabela1[[#This Row],[ECA]]</f>
        <v>ID</v>
      </c>
      <c r="J241" s="85" t="str">
        <f>Tabela1[[#This Row],[BDKRB2]]</f>
        <v>(-9,-9)</v>
      </c>
      <c r="K241" s="85">
        <f>Tabela1[[#This Row],[Score Força%]]</f>
        <v>50</v>
      </c>
      <c r="L241" s="193">
        <f>Tabela1[[#This Row],[Score Resistência %]]</f>
        <v>50</v>
      </c>
      <c r="M241" s="192">
        <f>Tabela1[[#This Row],[Pré CK (U/L)]]</f>
        <v>465</v>
      </c>
      <c r="N241" s="85">
        <f>Tabela1[[#This Row],[Pós CK (U/L)]]</f>
        <v>660</v>
      </c>
      <c r="O241" s="85">
        <f>Tabela1[[#This Row],[Pré CK MB U/L]]</f>
        <v>36</v>
      </c>
      <c r="P241" s="85">
        <f>Tabela1[[#This Row],[Pós CK MB U/L]]</f>
        <v>38</v>
      </c>
      <c r="Q241" s="85">
        <f>Tabela1[[#This Row],[Pré Lactato (mmol/L)]]</f>
        <v>2.1</v>
      </c>
      <c r="R241" s="85">
        <f>Tabela1[[#This Row],[Pós Lactato (mmol/L)]]</f>
        <v>1.5</v>
      </c>
      <c r="S241" s="85">
        <f>Tabela1[[#This Row],[Pré LDH (U/L)]]</f>
        <v>412</v>
      </c>
      <c r="T241" s="85">
        <f>Tabela1[[#This Row],[Pós LDH (U/L)]]</f>
        <v>375</v>
      </c>
      <c r="U241" s="85">
        <f>Tabela1[[#This Row],[Pré AST (U/L)]]</f>
        <v>52</v>
      </c>
      <c r="V241" s="193">
        <f>Tabela1[[#This Row],[Pós AST (U/L)]]</f>
        <v>60</v>
      </c>
      <c r="W241" s="194">
        <f>Tabela1[[#This Row],[Pré Albumina (g/dL)]]</f>
        <v>5.5</v>
      </c>
      <c r="X241" s="125">
        <f>Tabela1[[#This Row],[Pós Albumina (g/dL)]]</f>
        <v>4.5999999999999996</v>
      </c>
      <c r="Y241" s="85">
        <f>Tabela1[[#This Row],[Pré TGP (g/dL)]]</f>
        <v>33</v>
      </c>
      <c r="Z241" s="85">
        <f>Tabela1[[#This Row],[Pós TGP (g/dL)]]</f>
        <v>38</v>
      </c>
      <c r="AA241" s="85">
        <f>Tabela1[[#This Row],[Pré GGT U/L]]</f>
        <v>24</v>
      </c>
      <c r="AB241" s="193">
        <f>Tabela1[[#This Row],[Pós GGT U/L]]</f>
        <v>16</v>
      </c>
      <c r="AC241" s="194">
        <f>Tabela1[[#This Row],[Pré Ac. Úrico (mg/dL)]]</f>
        <v>5.7</v>
      </c>
      <c r="AD241" s="125">
        <f>Tabela1[[#This Row],[Pós Ac. Úrico (mg/dL)2]]</f>
        <v>3.5</v>
      </c>
      <c r="AE24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4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241" s="85">
        <f>Tabela1[[#This Row],[Pré Ureia mg/dL]]</f>
        <v>44</v>
      </c>
      <c r="AH241" s="85">
        <f>Tabela1[[#This Row],[Pós Ureia mg/dL]]</f>
        <v>42</v>
      </c>
      <c r="AI241" s="125">
        <f>Tabela1[[#This Row],[Pré creatinina mg/dL]]</f>
        <v>1</v>
      </c>
      <c r="AJ241" s="125">
        <f>Tabela1[[#This Row],[Pós creatinina mg/dL]]</f>
        <v>0.8</v>
      </c>
      <c r="AK241" s="180">
        <f t="shared" si="12"/>
        <v>0</v>
      </c>
      <c r="AL241" s="125">
        <f>Tabela1[[#This Row],[Pré Fósforo mg/dL]]</f>
        <v>4.8</v>
      </c>
      <c r="AM241" s="125">
        <f>Tabela1[[#This Row],[Pós Fósforo mg/dL]]</f>
        <v>3.8</v>
      </c>
      <c r="AN241" s="125">
        <f>Tabela1[[#This Row],[Pré Proteína Total (g/dL)]]</f>
        <v>8.3000000000000007</v>
      </c>
      <c r="AO241" s="125">
        <f>Tabela1[[#This Row],[Pós Proteína Total (g/dL)]]</f>
        <v>6.9</v>
      </c>
      <c r="AP241" s="85">
        <f>Tabela1[[#This Row],[Pré FE (ug/dL)]]</f>
        <v>65</v>
      </c>
      <c r="AQ241" s="193">
        <f>Tabela1[[#This Row],[Pós FE (ug/dL)]]</f>
        <v>58</v>
      </c>
      <c r="AR241" s="194">
        <f>Tabela1[[#This Row],[Pré calcio mg/dL]]</f>
        <v>10.4</v>
      </c>
      <c r="AS241" s="125">
        <f>Tabela1[[#This Row],[Pós calcio mg/dL]]</f>
        <v>9.1999999999999993</v>
      </c>
      <c r="AT241" s="125">
        <f>Tabela1[[#This Row],[Pré Potássio mmol/L]]</f>
        <v>4.5</v>
      </c>
      <c r="AU241" s="125">
        <f>Tabela1[[#This Row],[Pós Potássio mmol/L]]</f>
        <v>4</v>
      </c>
      <c r="AV241" s="85">
        <f>Tabela1[[#This Row],[Glicose pré]]</f>
        <v>111</v>
      </c>
      <c r="AW241" s="85">
        <f>Tabela1[[#This Row],[Glicose pós]]</f>
        <v>95</v>
      </c>
      <c r="AX241" s="85">
        <f>Tabela1[[#This Row],[Pré Sódio mmol/L]]</f>
        <v>145</v>
      </c>
      <c r="AY241" s="85">
        <f>Tabela1[[#This Row],[Pós Sódio mmol/L]]</f>
        <v>134</v>
      </c>
      <c r="AZ241" s="125">
        <f>Tabela1[[#This Row],[Pré Magnésio mg/dL]]</f>
        <v>2.2999999999999998</v>
      </c>
      <c r="BA241" s="125">
        <f>Tabela1[[#This Row],[Pós Magnésio mg/dL]]</f>
        <v>2</v>
      </c>
      <c r="BB241" s="85">
        <f>Tabela1[[#This Row],[Pré Cloro mmol/L]]</f>
        <v>115</v>
      </c>
      <c r="BC241" s="85">
        <f>Tabela1[[#This Row],[Pós Cloro mmol/L]]</f>
        <v>100</v>
      </c>
      <c r="BD24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306.49499999999995</v>
      </c>
      <c r="BE24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283.74944444444446</v>
      </c>
      <c r="BF241" s="194">
        <f>Tabela1[[#This Row],[Pré RBC 10^6/mm³]]</f>
        <v>4.6900000000000004</v>
      </c>
      <c r="BG241" s="125">
        <f>Tabela1[[#This Row],[Pós RBC 10^6/mm³]]</f>
        <v>4.4400000000000004</v>
      </c>
      <c r="BH241" s="125">
        <f>Tabela1[[#This Row],[Pré HGB g/dL]]</f>
        <v>13.5</v>
      </c>
      <c r="BI241" s="125">
        <f>Tabela1[[#This Row],[Pós HGB g/dL]]</f>
        <v>12.7</v>
      </c>
      <c r="BJ241" s="125">
        <f>Tabela1[[#This Row],[Pré HCT %]]</f>
        <v>41.3</v>
      </c>
      <c r="BK241" s="125">
        <f>Tabela1[[#This Row],[Pós HCT %]]</f>
        <v>41.2</v>
      </c>
      <c r="BL241" s="125">
        <f>Tabela1[[#This Row],[Pré MCV fL]]</f>
        <v>88.1</v>
      </c>
      <c r="BM241" s="125">
        <f>Tabela1[[#This Row],[Pós MCV fL]]</f>
        <v>92.8</v>
      </c>
      <c r="BN241" s="125">
        <f>Tabela1[[#This Row],[Pré MCH pg]]</f>
        <v>28.8</v>
      </c>
      <c r="BO241" s="125">
        <f>Tabela1[[#This Row],[Pós MCH pg]]</f>
        <v>28.6</v>
      </c>
      <c r="BP241" s="125">
        <f>Tabela1[[#This Row],[Pré MCHC g/dL]]</f>
        <v>32.700000000000003</v>
      </c>
      <c r="BQ241" s="125">
        <f>Tabela1[[#This Row],[Pós MCHC g/dL]]</f>
        <v>30.8</v>
      </c>
      <c r="BR241" s="85">
        <f>Tabela1[[#This Row],[Pré PLT 10³/mm³]]</f>
        <v>304</v>
      </c>
      <c r="BS241" s="85">
        <f>Tabela1[[#This Row],[Pós PLT 10³/mm³]]</f>
        <v>279</v>
      </c>
      <c r="BT241" s="125">
        <f>Tabela1[[#This Row],[Pré RDW %]]</f>
        <v>12.7</v>
      </c>
      <c r="BU241" s="125">
        <f>Tabela1[[#This Row],[Pós RDW %]]</f>
        <v>12.5</v>
      </c>
      <c r="BV241" s="179">
        <f>Tabela1[[#This Row],[Pré RET %]]</f>
        <v>34.200000000000003</v>
      </c>
      <c r="BW241" s="196">
        <f>Tabela1[[#This Row],[Pós RET %]]</f>
        <v>32.5</v>
      </c>
      <c r="BX241" s="197">
        <f>Tabela1[[#This Row],[Pré WBC 10³/mm³]]</f>
        <v>6.74</v>
      </c>
      <c r="BY241" s="179">
        <f>Tabela1[[#This Row],[Pós WBC 10³/mm³]]</f>
        <v>5.52</v>
      </c>
      <c r="BZ241" s="125">
        <f>Tabela1[[#This Row],[Pré NEUT %]]</f>
        <v>62.166172106824931</v>
      </c>
      <c r="CA241" s="125">
        <f>Tabela1[[#This Row],[Pós NEUT %]]</f>
        <v>61.1</v>
      </c>
      <c r="CB241" s="125">
        <f>Tabela1[[#This Row],[Pré LINF %]]</f>
        <v>28.63501483679525</v>
      </c>
      <c r="CC241" s="125">
        <f>Tabela1[[#This Row],[Pós LINF %]]</f>
        <v>28.1</v>
      </c>
      <c r="CD241" s="125">
        <f>Tabela1[[#This Row],[Pré MONO %]]</f>
        <v>8.4569732937685451</v>
      </c>
      <c r="CE241" s="125">
        <f>Tabela1[[#This Row],[Pós MONO %]]</f>
        <v>8.6999999999999993</v>
      </c>
      <c r="CF241" s="125">
        <f>Tabela1[[#This Row],[Pré EOS %]]</f>
        <v>0.59347181008902072</v>
      </c>
      <c r="CG241" s="125">
        <f>Tabela1[[#This Row],[Pós EOS %]]</f>
        <v>1.6</v>
      </c>
      <c r="CH241" s="125">
        <f>Tabela1[[#This Row],[Pré BASO %]]</f>
        <v>0.14836795252225518</v>
      </c>
      <c r="CI241" s="198">
        <f>Tabela1[[#This Row],[Pós BASO %]]</f>
        <v>0.5</v>
      </c>
      <c r="CJ241" s="199" t="str">
        <f t="shared" si="13"/>
        <v>NÃO</v>
      </c>
      <c r="CK241" s="200" t="str">
        <f t="shared" si="14"/>
        <v>NÃO</v>
      </c>
      <c r="CL241" s="194">
        <f t="shared" si="15"/>
        <v>56.283344999999997</v>
      </c>
      <c r="CM241" s="125">
        <f>Tabela1[[#This Row],[MCT KG]]</f>
        <v>62.35</v>
      </c>
      <c r="CN241" s="85">
        <f>Tabela1[[#This Row],[ESTATURA]]</f>
        <v>169</v>
      </c>
      <c r="CO241" s="85">
        <f>Tabela1[[#This Row],[vo2max estimado]]</f>
        <v>52.58</v>
      </c>
      <c r="CP241" s="85">
        <f>Tabela1[[#This Row],[Handgrip     Dominante]]</f>
        <v>44</v>
      </c>
      <c r="CQ241" s="85">
        <f>Tabela1[[#This Row],[Handgrip Contrário]]</f>
        <v>38</v>
      </c>
      <c r="CR241" s="281">
        <f>Tabela1[[#This Row],[% gordura]]</f>
        <v>9.73</v>
      </c>
    </row>
    <row r="242" spans="1:96" ht="15.75" customHeight="1">
      <c r="A242" s="279">
        <f>Tabela1[[#This Row],[Ano]]</f>
        <v>2019</v>
      </c>
      <c r="B242" s="181" t="str">
        <f>Tabela1[[#This Row],[Missão]]</f>
        <v>Itatiaia</v>
      </c>
      <c r="C242" s="181">
        <f>Tabela1[[#This Row],[Aluno]]</f>
        <v>3235</v>
      </c>
      <c r="D242" s="181">
        <f>Tabela1[[#This Row],[Idade]]</f>
        <v>28</v>
      </c>
      <c r="E242" s="182">
        <f>Tabela1[[#This Row],[Peso Kg]]</f>
        <v>89</v>
      </c>
      <c r="F242" s="191">
        <f>Tabela1[[#This Row],[Cor da pele]]</f>
        <v>1</v>
      </c>
      <c r="G242" s="192" t="str">
        <f>Tabela1[[#This Row],[ACTN3]]</f>
        <v>XX</v>
      </c>
      <c r="H242" s="85" t="str">
        <f>Tabela1[[#This Row],[AGT]]</f>
        <v>TT</v>
      </c>
      <c r="I242" s="85" t="str">
        <f>Tabela1[[#This Row],[ECA]]</f>
        <v>DD</v>
      </c>
      <c r="J242" s="85" t="str">
        <f>Tabela1[[#This Row],[BDKRB2]]</f>
        <v>(+9,-9)</v>
      </c>
      <c r="K242" s="85">
        <f>Tabela1[[#This Row],[Score Força%]]</f>
        <v>62.5</v>
      </c>
      <c r="L242" s="193">
        <f>Tabela1[[#This Row],[Score Resistência %]]</f>
        <v>37.5</v>
      </c>
      <c r="M242" s="192">
        <f>Tabela1[[#This Row],[Pré CK (U/L)]]</f>
        <v>1308</v>
      </c>
      <c r="N242" s="85">
        <f>Tabela1[[#This Row],[Pós CK (U/L)]]</f>
        <v>1224</v>
      </c>
      <c r="O242" s="85">
        <f>Tabela1[[#This Row],[Pré CK MB U/L]]</f>
        <v>84</v>
      </c>
      <c r="P242" s="85">
        <f>Tabela1[[#This Row],[Pós CK MB U/L]]</f>
        <v>66</v>
      </c>
      <c r="Q242" s="85">
        <f>Tabela1[[#This Row],[Pré Lactato (mmol/L)]]</f>
        <v>1.5</v>
      </c>
      <c r="R242" s="85">
        <f>Tabela1[[#This Row],[Pós Lactato (mmol/L)]]</f>
        <v>1.5</v>
      </c>
      <c r="S242" s="85">
        <f>Tabela1[[#This Row],[Pré LDH (U/L)]]</f>
        <v>696</v>
      </c>
      <c r="T242" s="85">
        <f>Tabela1[[#This Row],[Pós LDH (U/L)]]</f>
        <v>507</v>
      </c>
      <c r="U242" s="85">
        <f>Tabela1[[#This Row],[Pré AST (U/L)]]</f>
        <v>142</v>
      </c>
      <c r="V242" s="193">
        <f>Tabela1[[#This Row],[Pós AST (U/L)]]</f>
        <v>98</v>
      </c>
      <c r="W242" s="194">
        <f>Tabela1[[#This Row],[Pré Albumina (g/dL)]]</f>
        <v>4.5</v>
      </c>
      <c r="X242" s="125">
        <f>Tabela1[[#This Row],[Pós Albumina (g/dL)]]</f>
        <v>3.8</v>
      </c>
      <c r="Y242" s="85">
        <f>Tabela1[[#This Row],[Pré TGP (g/dL)]]</f>
        <v>76</v>
      </c>
      <c r="Z242" s="85">
        <f>Tabela1[[#This Row],[Pós TGP (g/dL)]]</f>
        <v>75</v>
      </c>
      <c r="AA242" s="85">
        <f>Tabela1[[#This Row],[Pré GGT U/L]]</f>
        <v>20</v>
      </c>
      <c r="AB242" s="193">
        <f>Tabela1[[#This Row],[Pós GGT U/L]]</f>
        <v>16</v>
      </c>
      <c r="AC242" s="194">
        <f>Tabela1[[#This Row],[Pré Ac. Úrico (mg/dL)]]</f>
        <v>6.9</v>
      </c>
      <c r="AD242" s="125">
        <f>Tabela1[[#This Row],[Pós Ac. Úrico (mg/dL)2]]</f>
        <v>5.8</v>
      </c>
      <c r="AE24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76.739527424440993</v>
      </c>
      <c r="AF24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42" s="85">
        <f>Tabela1[[#This Row],[Pré Ureia mg/dL]]</f>
        <v>47</v>
      </c>
      <c r="AH242" s="85">
        <f>Tabela1[[#This Row],[Pós Ureia mg/dL]]</f>
        <v>43</v>
      </c>
      <c r="AI242" s="125">
        <f>Tabela1[[#This Row],[Pré creatinina mg/dL]]</f>
        <v>1.3</v>
      </c>
      <c r="AJ242" s="125">
        <f>Tabela1[[#This Row],[Pós creatinina mg/dL]]</f>
        <v>1</v>
      </c>
      <c r="AK242" s="180">
        <f t="shared" si="12"/>
        <v>0</v>
      </c>
      <c r="AL242" s="125">
        <f>Tabela1[[#This Row],[Pré Fósforo mg/dL]]</f>
        <v>5.0999999999999996</v>
      </c>
      <c r="AM242" s="125">
        <f>Tabela1[[#This Row],[Pós Fósforo mg/dL]]</f>
        <v>4.4000000000000004</v>
      </c>
      <c r="AN242" s="125">
        <f>Tabela1[[#This Row],[Pré Proteína Total (g/dL)]]</f>
        <v>7.5</v>
      </c>
      <c r="AO242" s="125">
        <f>Tabela1[[#This Row],[Pós Proteína Total (g/dL)]]</f>
        <v>6.7</v>
      </c>
      <c r="AP242" s="85">
        <f>Tabela1[[#This Row],[Pré FE (ug/dL)]]</f>
        <v>46</v>
      </c>
      <c r="AQ242" s="193">
        <f>Tabela1[[#This Row],[Pós FE (ug/dL)]]</f>
        <v>112</v>
      </c>
      <c r="AR242" s="194">
        <f>Tabela1[[#This Row],[Pré calcio mg/dL]]</f>
        <v>9.6999999999999993</v>
      </c>
      <c r="AS242" s="125">
        <f>Tabela1[[#This Row],[Pós calcio mg/dL]]</f>
        <v>8.6999999999999993</v>
      </c>
      <c r="AT242" s="125">
        <f>Tabela1[[#This Row],[Pré Potássio mmol/L]]</f>
        <v>4.7</v>
      </c>
      <c r="AU242" s="125">
        <f>Tabela1[[#This Row],[Pós Potássio mmol/L]]</f>
        <v>4.3</v>
      </c>
      <c r="AV242" s="85">
        <f>Tabela1[[#This Row],[Glicose pré]]</f>
        <v>111</v>
      </c>
      <c r="AW242" s="85">
        <f>Tabela1[[#This Row],[Glicose pós]]</f>
        <v>95</v>
      </c>
      <c r="AX242" s="85">
        <f>Tabela1[[#This Row],[Pré Sódio mmol/L]]</f>
        <v>144</v>
      </c>
      <c r="AY242" s="85">
        <f>Tabela1[[#This Row],[Pós Sódio mmol/L]]</f>
        <v>134</v>
      </c>
      <c r="AZ242" s="125">
        <f>Tabela1[[#This Row],[Pré Magnésio mg/dL]]</f>
        <v>2.1</v>
      </c>
      <c r="BA242" s="125">
        <f>Tabela1[[#This Row],[Pós Magnésio mg/dL]]</f>
        <v>1.8</v>
      </c>
      <c r="BB242" s="85">
        <f>Tabela1[[#This Row],[Pré Cloro mmol/L]]</f>
        <v>116</v>
      </c>
      <c r="BC242" s="85">
        <f>Tabela1[[#This Row],[Pós Cloro mmol/L]]</f>
        <v>101</v>
      </c>
      <c r="BD24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305.50699999999995</v>
      </c>
      <c r="BE24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284.4741111111112</v>
      </c>
      <c r="BF242" s="194">
        <f>Tabela1[[#This Row],[Pré RBC 10^6/mm³]]</f>
        <v>4.4800000000000004</v>
      </c>
      <c r="BG242" s="125">
        <f>Tabela1[[#This Row],[Pós RBC 10^6/mm³]]</f>
        <v>4.6399999999999997</v>
      </c>
      <c r="BH242" s="125">
        <f>Tabela1[[#This Row],[Pré HGB g/dL]]</f>
        <v>13</v>
      </c>
      <c r="BI242" s="125">
        <f>Tabela1[[#This Row],[Pós HGB g/dL]]</f>
        <v>13.4</v>
      </c>
      <c r="BJ242" s="125">
        <f>Tabela1[[#This Row],[Pré HCT %]]</f>
        <v>38.6</v>
      </c>
      <c r="BK242" s="125">
        <f>Tabela1[[#This Row],[Pós HCT %]]</f>
        <v>41.5</v>
      </c>
      <c r="BL242" s="125">
        <f>Tabela1[[#This Row],[Pré MCV fL]]</f>
        <v>86.2</v>
      </c>
      <c r="BM242" s="125">
        <f>Tabela1[[#This Row],[Pós MCV fL]]</f>
        <v>89.4</v>
      </c>
      <c r="BN242" s="125">
        <f>Tabela1[[#This Row],[Pré MCH pg]]</f>
        <v>29</v>
      </c>
      <c r="BO242" s="125">
        <f>Tabela1[[#This Row],[Pós MCH pg]]</f>
        <v>28.9</v>
      </c>
      <c r="BP242" s="125">
        <f>Tabela1[[#This Row],[Pré MCHC g/dL]]</f>
        <v>33.700000000000003</v>
      </c>
      <c r="BQ242" s="125">
        <f>Tabela1[[#This Row],[Pós MCHC g/dL]]</f>
        <v>32.299999999999997</v>
      </c>
      <c r="BR242" s="85">
        <f>Tabela1[[#This Row],[Pré PLT 10³/mm³]]</f>
        <v>217</v>
      </c>
      <c r="BS242" s="85">
        <f>Tabela1[[#This Row],[Pós PLT 10³/mm³]]</f>
        <v>219</v>
      </c>
      <c r="BT242" s="125">
        <f>Tabela1[[#This Row],[Pré RDW %]]</f>
        <v>13.1</v>
      </c>
      <c r="BU242" s="125">
        <f>Tabela1[[#This Row],[Pós RDW %]]</f>
        <v>13.1</v>
      </c>
      <c r="BV242" s="179">
        <f>Tabela1[[#This Row],[Pré RET %]]</f>
        <v>32.6</v>
      </c>
      <c r="BW242" s="196">
        <f>Tabela1[[#This Row],[Pós RET %]]</f>
        <v>32.9</v>
      </c>
      <c r="BX242" s="197">
        <f>Tabela1[[#This Row],[Pré WBC 10³/mm³]]</f>
        <v>6.08</v>
      </c>
      <c r="BY242" s="179">
        <f>Tabela1[[#This Row],[Pós WBC 10³/mm³]]</f>
        <v>5.67</v>
      </c>
      <c r="BZ242" s="125">
        <f>Tabela1[[#This Row],[Pré NEUT %]]</f>
        <v>60.19736842105263</v>
      </c>
      <c r="CA242" s="125">
        <f>Tabela1[[#This Row],[Pós NEUT %]]</f>
        <v>49.6</v>
      </c>
      <c r="CB242" s="125">
        <f>Tabela1[[#This Row],[Pré LINF %]]</f>
        <v>27.302631578947366</v>
      </c>
      <c r="CC242" s="125">
        <f>Tabela1[[#This Row],[Pós LINF %]]</f>
        <v>38.6</v>
      </c>
      <c r="CD242" s="125">
        <f>Tabela1[[#This Row],[Pré MONO %]]</f>
        <v>9.2105263157894743</v>
      </c>
      <c r="CE242" s="125">
        <f>Tabela1[[#This Row],[Pós MONO %]]</f>
        <v>7.4</v>
      </c>
      <c r="CF242" s="125">
        <f>Tabela1[[#This Row],[Pré EOS %]]</f>
        <v>2.7960526315789473</v>
      </c>
      <c r="CG242" s="125">
        <f>Tabela1[[#This Row],[Pós EOS %]]</f>
        <v>3.7</v>
      </c>
      <c r="CH242" s="125">
        <f>Tabela1[[#This Row],[Pré BASO %]]</f>
        <v>0.49342105263157893</v>
      </c>
      <c r="CI242" s="198">
        <f>Tabela1[[#This Row],[Pós BASO %]]</f>
        <v>0.7</v>
      </c>
      <c r="CJ242" s="199" t="str">
        <f t="shared" si="13"/>
        <v>NÃO</v>
      </c>
      <c r="CK242" s="200" t="str">
        <f t="shared" si="14"/>
        <v>SIM</v>
      </c>
      <c r="CL242" s="194">
        <f t="shared" si="15"/>
        <v>76.552520000000001</v>
      </c>
      <c r="CM242" s="125">
        <f>Tabela1[[#This Row],[MCT KG]]</f>
        <v>83.6</v>
      </c>
      <c r="CN242" s="85">
        <f>Tabela1[[#This Row],[ESTATURA]]</f>
        <v>175</v>
      </c>
      <c r="CO242" s="85">
        <f>Tabela1[[#This Row],[vo2max estimado]]</f>
        <v>50.56</v>
      </c>
      <c r="CP242" s="85">
        <f>Tabela1[[#This Row],[Handgrip     Dominante]]</f>
        <v>54</v>
      </c>
      <c r="CQ242" s="85">
        <f>Tabela1[[#This Row],[Handgrip Contrário]]</f>
        <v>42</v>
      </c>
      <c r="CR242" s="281">
        <f>Tabela1[[#This Row],[% gordura]]</f>
        <v>8.43</v>
      </c>
    </row>
    <row r="243" spans="1:96" ht="15.75" customHeight="1">
      <c r="A243" s="279">
        <f>Tabela1[[#This Row],[Ano]]</f>
        <v>2019</v>
      </c>
      <c r="B243" s="181" t="str">
        <f>Tabela1[[#This Row],[Missão]]</f>
        <v>Manaus</v>
      </c>
      <c r="C243" s="181">
        <f>Tabela1[[#This Row],[Aluno]]</f>
        <v>3197</v>
      </c>
      <c r="D243" s="181">
        <f>Tabela1[[#This Row],[Idade]]</f>
        <v>27</v>
      </c>
      <c r="E243" s="182">
        <f>Tabela1[[#This Row],[Peso Kg]]</f>
        <v>0</v>
      </c>
      <c r="F243" s="191">
        <f>Tabela1[[#This Row],[Cor da pele]]</f>
        <v>1</v>
      </c>
      <c r="G243" s="192" t="str">
        <f>Tabela1[[#This Row],[ACTN3]]</f>
        <v>RR</v>
      </c>
      <c r="H243" s="85" t="str">
        <f>Tabela1[[#This Row],[AGT]]</f>
        <v>MM</v>
      </c>
      <c r="I243" s="85" t="str">
        <f>Tabela1[[#This Row],[ECA]]</f>
        <v>DD</v>
      </c>
      <c r="J243" s="85" t="str">
        <f>Tabela1[[#This Row],[BDKRB2]]</f>
        <v>(-9,-9)</v>
      </c>
      <c r="K243" s="85">
        <f>Tabela1[[#This Row],[Score Força%]]</f>
        <v>50</v>
      </c>
      <c r="L243" s="193">
        <f>Tabela1[[#This Row],[Score Resistência %]]</f>
        <v>50</v>
      </c>
      <c r="M243" s="192">
        <f>Tabela1[[#This Row],[Pré CK (U/L)]]</f>
        <v>172</v>
      </c>
      <c r="N243" s="85">
        <f>Tabela1[[#This Row],[Pós CK (U/L)]]</f>
        <v>225</v>
      </c>
      <c r="O243" s="85" t="str">
        <f>Tabela1[[#This Row],[Pré CK MB U/L]]</f>
        <v>-</v>
      </c>
      <c r="P243" s="85">
        <f>Tabela1[[#This Row],[Pós CK MB U/L]]</f>
        <v>11</v>
      </c>
      <c r="Q243" s="85" t="str">
        <f>Tabela1[[#This Row],[Pré Lactato (mmol/L)]]</f>
        <v>-</v>
      </c>
      <c r="R243" s="85">
        <f>Tabela1[[#This Row],[Pós Lactato (mmol/L)]]</f>
        <v>2.1</v>
      </c>
      <c r="S243" s="85" t="str">
        <f>Tabela1[[#This Row],[Pré LDH (U/L)]]</f>
        <v>-</v>
      </c>
      <c r="T243" s="85">
        <f>Tabela1[[#This Row],[Pós LDH (U/L)]]</f>
        <v>130</v>
      </c>
      <c r="U243" s="85" t="str">
        <f>Tabela1[[#This Row],[Pré AST (U/L)]]</f>
        <v>-</v>
      </c>
      <c r="V243" s="193">
        <f>Tabela1[[#This Row],[Pós AST (U/L)]]</f>
        <v>22</v>
      </c>
      <c r="W243" s="194">
        <f>Tabela1[[#This Row],[Pré Albumina (g/dL)]]</f>
        <v>4.7</v>
      </c>
      <c r="X243" s="125">
        <f>Tabela1[[#This Row],[Pós Albumina (g/dL)]]</f>
        <v>3.4</v>
      </c>
      <c r="Y243" s="85" t="str">
        <f>Tabela1[[#This Row],[Pré TGP (g/dL)]]</f>
        <v>-</v>
      </c>
      <c r="Z243" s="85">
        <f>Tabela1[[#This Row],[Pós TGP (g/dL)]]</f>
        <v>15</v>
      </c>
      <c r="AA243" s="85" t="str">
        <f>Tabela1[[#This Row],[Pré GGT U/L]]</f>
        <v>-</v>
      </c>
      <c r="AB243" s="193">
        <f>Tabela1[[#This Row],[Pós GGT U/L]]</f>
        <v>12</v>
      </c>
      <c r="AC243" s="194">
        <f>Tabela1[[#This Row],[Pré Ac. Úrico (mg/dL)]]</f>
        <v>5.3</v>
      </c>
      <c r="AD243" s="125">
        <f>Tabela1[[#This Row],[Pós Ac. Úrico (mg/dL)2]]</f>
        <v>6.5</v>
      </c>
      <c r="AE24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24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43" s="85">
        <f>Tabela1[[#This Row],[Pré Ureia mg/dL]]</f>
        <v>26</v>
      </c>
      <c r="AH243" s="85">
        <f>Tabela1[[#This Row],[Pós Ureia mg/dL]]</f>
        <v>30</v>
      </c>
      <c r="AI243" s="125">
        <f>Tabela1[[#This Row],[Pré creatinina mg/dL]]</f>
        <v>1.2</v>
      </c>
      <c r="AJ243" s="125">
        <f>Tabela1[[#This Row],[Pós creatinina mg/dL]]</f>
        <v>0.9</v>
      </c>
      <c r="AK243" s="180">
        <f t="shared" si="12"/>
        <v>0</v>
      </c>
      <c r="AL243" s="125">
        <f>Tabela1[[#This Row],[Pré Fósforo mg/dL]]</f>
        <v>4.0999999999999996</v>
      </c>
      <c r="AM243" s="125">
        <f>Tabela1[[#This Row],[Pós Fósforo mg/dL]]</f>
        <v>3.7</v>
      </c>
      <c r="AN243" s="125" t="str">
        <f>Tabela1[[#This Row],[Pré Proteína Total (g/dL)]]</f>
        <v>-</v>
      </c>
      <c r="AO243" s="125">
        <f>Tabela1[[#This Row],[Pós Proteína Total (g/dL)]]</f>
        <v>6</v>
      </c>
      <c r="AP243" s="85" t="str">
        <f>Tabela1[[#This Row],[Pré FE (ug/dL)]]</f>
        <v>-</v>
      </c>
      <c r="AQ243" s="193">
        <f>Tabela1[[#This Row],[Pós FE (ug/dL)]]</f>
        <v>39</v>
      </c>
      <c r="AR243" s="194">
        <f>Tabela1[[#This Row],[Pré calcio mg/dL]]</f>
        <v>9.6</v>
      </c>
      <c r="AS243" s="125">
        <f>Tabela1[[#This Row],[Pós calcio mg/dL]]</f>
        <v>8.6</v>
      </c>
      <c r="AT243" s="125">
        <f>Tabela1[[#This Row],[Pré Potássio mmol/L]]</f>
        <v>4.5</v>
      </c>
      <c r="AU243" s="125">
        <f>Tabela1[[#This Row],[Pós Potássio mmol/L]]</f>
        <v>4.4000000000000004</v>
      </c>
      <c r="AV243" s="85" t="str">
        <f>Tabela1[[#This Row],[Glicose pré]]</f>
        <v>-</v>
      </c>
      <c r="AW243" s="85">
        <f>Tabela1[[#This Row],[Glicose pós]]</f>
        <v>74</v>
      </c>
      <c r="AX243" s="85" t="str">
        <f>Tabela1[[#This Row],[Pré Sódio mmol/L]]</f>
        <v>-</v>
      </c>
      <c r="AY243" s="85">
        <f>Tabela1[[#This Row],[Pós Sódio mmol/L]]</f>
        <v>134</v>
      </c>
      <c r="AZ243" s="125" t="str">
        <f>Tabela1[[#This Row],[Pré Magnésio mg/dL]]</f>
        <v>-</v>
      </c>
      <c r="BA243" s="125">
        <f>Tabela1[[#This Row],[Pós Magnésio mg/dL]]</f>
        <v>2</v>
      </c>
      <c r="BB243" s="85" t="str">
        <f>Tabela1[[#This Row],[Pré Cloro mmol/L]]</f>
        <v>-</v>
      </c>
      <c r="BC243" s="85">
        <f>Tabela1[[#This Row],[Pós Cloro mmol/L]]</f>
        <v>100</v>
      </c>
      <c r="BD243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24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281.1517777777778</v>
      </c>
      <c r="BF243" s="194">
        <f>Tabela1[[#This Row],[Pré RBC 10^6/mm³]]</f>
        <v>5</v>
      </c>
      <c r="BG243" s="125">
        <f>Tabela1[[#This Row],[Pós RBC 10^6/mm³]]</f>
        <v>4.57</v>
      </c>
      <c r="BH243" s="125">
        <f>Tabela1[[#This Row],[Pré HGB g/dL]]</f>
        <v>15</v>
      </c>
      <c r="BI243" s="125">
        <f>Tabela1[[#This Row],[Pós HGB g/dL]]</f>
        <v>13.8</v>
      </c>
      <c r="BJ243" s="125">
        <f>Tabela1[[#This Row],[Pré HCT %]]</f>
        <v>44.3</v>
      </c>
      <c r="BK243" s="125">
        <f>Tabela1[[#This Row],[Pós HCT %]]</f>
        <v>40.5</v>
      </c>
      <c r="BL243" s="125">
        <f>Tabela1[[#This Row],[Pré MCV fL]]</f>
        <v>88.4</v>
      </c>
      <c r="BM243" s="125">
        <f>Tabela1[[#This Row],[Pós MCV fL]]</f>
        <v>88.6</v>
      </c>
      <c r="BN243" s="125">
        <f>Tabela1[[#This Row],[Pré MCH pg]]</f>
        <v>29.9</v>
      </c>
      <c r="BO243" s="125">
        <f>Tabela1[[#This Row],[Pós MCH pg]]</f>
        <v>30.2</v>
      </c>
      <c r="BP243" s="125">
        <f>Tabela1[[#This Row],[Pré MCHC g/dL]]</f>
        <v>33.9</v>
      </c>
      <c r="BQ243" s="125">
        <f>Tabela1[[#This Row],[Pós MCHC g/dL]]</f>
        <v>34.1</v>
      </c>
      <c r="BR243" s="85">
        <f>Tabela1[[#This Row],[Pré PLT 10³/mm³]]</f>
        <v>414</v>
      </c>
      <c r="BS243" s="85">
        <f>Tabela1[[#This Row],[Pós PLT 10³/mm³]]</f>
        <v>354</v>
      </c>
      <c r="BT243" s="125">
        <f>Tabela1[[#This Row],[Pré RDW %]]</f>
        <v>12.9</v>
      </c>
      <c r="BU243" s="125">
        <f>Tabela1[[#This Row],[Pós RDW %]]</f>
        <v>12.9</v>
      </c>
      <c r="BV243" s="179" t="str">
        <f>Tabela1[[#This Row],[Pré RET %]]</f>
        <v>-</v>
      </c>
      <c r="BW243" s="196" t="str">
        <f>Tabela1[[#This Row],[Pós RET %]]</f>
        <v>-</v>
      </c>
      <c r="BX243" s="197">
        <f>Tabela1[[#This Row],[Pré WBC 10³/mm³]]</f>
        <v>11.7</v>
      </c>
      <c r="BY243" s="179">
        <f>Tabela1[[#This Row],[Pós WBC 10³/mm³]]</f>
        <v>11.56</v>
      </c>
      <c r="BZ243" s="125">
        <f>Tabela1[[#This Row],[Pré NEUT %]]</f>
        <v>71</v>
      </c>
      <c r="CA243" s="125">
        <f>Tabela1[[#This Row],[Pós NEUT %]]</f>
        <v>71.900000000000006</v>
      </c>
      <c r="CB243" s="125">
        <f>Tabela1[[#This Row],[Pré LINF %]]</f>
        <v>21</v>
      </c>
      <c r="CC243" s="125">
        <f>Tabela1[[#This Row],[Pós LINF %]]</f>
        <v>17.7</v>
      </c>
      <c r="CD243" s="125">
        <f>Tabela1[[#This Row],[Pré MONO %]]</f>
        <v>8</v>
      </c>
      <c r="CE243" s="125">
        <f>Tabela1[[#This Row],[Pós MONO %]]</f>
        <v>7.2</v>
      </c>
      <c r="CF243" s="125">
        <f>Tabela1[[#This Row],[Pré EOS %]]</f>
        <v>0</v>
      </c>
      <c r="CG243" s="125">
        <f>Tabela1[[#This Row],[Pós EOS %]]</f>
        <v>2.9</v>
      </c>
      <c r="CH243" s="125">
        <f>Tabela1[[#This Row],[Pré BASO %]]</f>
        <v>0</v>
      </c>
      <c r="CI243" s="198">
        <f>Tabela1[[#This Row],[Pós BASO %]]</f>
        <v>0.3</v>
      </c>
      <c r="CJ243" s="199" t="str">
        <f t="shared" si="13"/>
        <v>NÃO</v>
      </c>
      <c r="CK243" s="200" t="str">
        <f t="shared" si="14"/>
        <v>NÃO</v>
      </c>
      <c r="CL243" s="194">
        <f t="shared" si="15"/>
        <v>76.297020000000003</v>
      </c>
      <c r="CM243" s="125">
        <f>Tabela1[[#This Row],[MCT KG]]</f>
        <v>85.65</v>
      </c>
      <c r="CN243" s="85">
        <f>Tabela1[[#This Row],[ESTATURA]]</f>
        <v>177</v>
      </c>
      <c r="CO243" s="85">
        <f>Tabela1[[#This Row],[vo2max estimado]]</f>
        <v>51.46</v>
      </c>
      <c r="CP243" s="85">
        <f>Tabela1[[#This Row],[Handgrip     Dominante]]</f>
        <v>48</v>
      </c>
      <c r="CQ243" s="85">
        <f>Tabela1[[#This Row],[Handgrip Contrário]]</f>
        <v>52</v>
      </c>
      <c r="CR243" s="281">
        <f>Tabela1[[#This Row],[% gordura]]</f>
        <v>10.92</v>
      </c>
    </row>
    <row r="244" spans="1:96" ht="15.75" customHeight="1">
      <c r="A244" s="279">
        <f>Tabela1[[#This Row],[Ano]]</f>
        <v>2019</v>
      </c>
      <c r="B244" s="181" t="str">
        <f>Tabela1[[#This Row],[Missão]]</f>
        <v>Manaus</v>
      </c>
      <c r="C244" s="181">
        <f>Tabela1[[#This Row],[Aluno]]</f>
        <v>3200</v>
      </c>
      <c r="D244" s="181">
        <f>Tabela1[[#This Row],[Idade]]</f>
        <v>28</v>
      </c>
      <c r="E244" s="182">
        <f>Tabela1[[#This Row],[Peso Kg]]</f>
        <v>0</v>
      </c>
      <c r="F244" s="191">
        <f>Tabela1[[#This Row],[Cor da pele]]</f>
        <v>1</v>
      </c>
      <c r="G244" s="192" t="str">
        <f>Tabela1[[#This Row],[ACTN3]]</f>
        <v>XX</v>
      </c>
      <c r="H244" s="85" t="str">
        <f>Tabela1[[#This Row],[AGT]]</f>
        <v>TT</v>
      </c>
      <c r="I244" s="85" t="str">
        <f>Tabela1[[#This Row],[ECA]]</f>
        <v>ID</v>
      </c>
      <c r="J244" s="85" t="str">
        <f>Tabela1[[#This Row],[BDKRB2]]</f>
        <v>(-9,-9)</v>
      </c>
      <c r="K244" s="85">
        <f>Tabela1[[#This Row],[Score Força%]]</f>
        <v>37.5</v>
      </c>
      <c r="L244" s="193">
        <f>Tabela1[[#This Row],[Score Resistência %]]</f>
        <v>62.5</v>
      </c>
      <c r="M244" s="192">
        <f>Tabela1[[#This Row],[Pré CK (U/L)]]</f>
        <v>169</v>
      </c>
      <c r="N244" s="85">
        <f>Tabela1[[#This Row],[Pós CK (U/L)]]</f>
        <v>572</v>
      </c>
      <c r="O244" s="85" t="str">
        <f>Tabela1[[#This Row],[Pré CK MB U/L]]</f>
        <v>-</v>
      </c>
      <c r="P244" s="85">
        <f>Tabela1[[#This Row],[Pós CK MB U/L]]</f>
        <v>28</v>
      </c>
      <c r="Q244" s="85" t="str">
        <f>Tabela1[[#This Row],[Pré Lactato (mmol/L)]]</f>
        <v>-</v>
      </c>
      <c r="R244" s="85">
        <f>Tabela1[[#This Row],[Pós Lactato (mmol/L)]]</f>
        <v>1.3</v>
      </c>
      <c r="S244" s="85" t="str">
        <f>Tabela1[[#This Row],[Pré LDH (U/L)]]</f>
        <v>-</v>
      </c>
      <c r="T244" s="85">
        <f>Tabela1[[#This Row],[Pós LDH (U/L)]]</f>
        <v>185</v>
      </c>
      <c r="U244" s="85" t="str">
        <f>Tabela1[[#This Row],[Pré AST (U/L)]]</f>
        <v>-</v>
      </c>
      <c r="V244" s="193">
        <f>Tabela1[[#This Row],[Pós AST (U/L)]]</f>
        <v>50</v>
      </c>
      <c r="W244" s="194">
        <f>Tabela1[[#This Row],[Pré Albumina (g/dL)]]</f>
        <v>4.8</v>
      </c>
      <c r="X244" s="125">
        <f>Tabela1[[#This Row],[Pós Albumina (g/dL)]]</f>
        <v>4</v>
      </c>
      <c r="Y244" s="85" t="str">
        <f>Tabela1[[#This Row],[Pré TGP (g/dL)]]</f>
        <v>-</v>
      </c>
      <c r="Z244" s="85">
        <f>Tabela1[[#This Row],[Pós TGP (g/dL)]]</f>
        <v>20</v>
      </c>
      <c r="AA244" s="85" t="str">
        <f>Tabela1[[#This Row],[Pré GGT U/L]]</f>
        <v>-</v>
      </c>
      <c r="AB244" s="193">
        <f>Tabela1[[#This Row],[Pós GGT U/L]]</f>
        <v>23</v>
      </c>
      <c r="AC244" s="194">
        <f>Tabela1[[#This Row],[Pré Ac. Úrico (mg/dL)]]</f>
        <v>4.9000000000000004</v>
      </c>
      <c r="AD244" s="125">
        <f>Tabela1[[#This Row],[Pós Ac. Úrico (mg/dL)2]]</f>
        <v>5.4</v>
      </c>
      <c r="AE24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24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44" s="85">
        <f>Tabela1[[#This Row],[Pré Ureia mg/dL]]</f>
        <v>40</v>
      </c>
      <c r="AH244" s="85">
        <f>Tabela1[[#This Row],[Pós Ureia mg/dL]]</f>
        <v>38</v>
      </c>
      <c r="AI244" s="125">
        <f>Tabela1[[#This Row],[Pré creatinina mg/dL]]</f>
        <v>1.1000000000000001</v>
      </c>
      <c r="AJ244" s="125">
        <f>Tabela1[[#This Row],[Pós creatinina mg/dL]]</f>
        <v>0.9</v>
      </c>
      <c r="AK244" s="180">
        <f t="shared" si="12"/>
        <v>0</v>
      </c>
      <c r="AL244" s="125">
        <f>Tabela1[[#This Row],[Pré Fósforo mg/dL]]</f>
        <v>4.8</v>
      </c>
      <c r="AM244" s="125">
        <f>Tabela1[[#This Row],[Pós Fósforo mg/dL]]</f>
        <v>3.8</v>
      </c>
      <c r="AN244" s="125" t="str">
        <f>Tabela1[[#This Row],[Pré Proteína Total (g/dL)]]</f>
        <v>-</v>
      </c>
      <c r="AO244" s="125">
        <f>Tabela1[[#This Row],[Pós Proteína Total (g/dL)]]</f>
        <v>6.9</v>
      </c>
      <c r="AP244" s="85" t="str">
        <f>Tabela1[[#This Row],[Pré FE (ug/dL)]]</f>
        <v>-</v>
      </c>
      <c r="AQ244" s="193">
        <f>Tabela1[[#This Row],[Pós FE (ug/dL)]]</f>
        <v>57</v>
      </c>
      <c r="AR244" s="194">
        <f>Tabela1[[#This Row],[Pré calcio mg/dL]]</f>
        <v>8.5</v>
      </c>
      <c r="AS244" s="125">
        <f>Tabela1[[#This Row],[Pós calcio mg/dL]]</f>
        <v>9.3000000000000007</v>
      </c>
      <c r="AT244" s="125">
        <f>Tabela1[[#This Row],[Pré Potássio mmol/L]]</f>
        <v>4.5999999999999996</v>
      </c>
      <c r="AU244" s="125">
        <f>Tabela1[[#This Row],[Pós Potássio mmol/L]]</f>
        <v>3.8</v>
      </c>
      <c r="AV244" s="85" t="str">
        <f>Tabela1[[#This Row],[Glicose pré]]</f>
        <v>-</v>
      </c>
      <c r="AW244" s="85">
        <f>Tabela1[[#This Row],[Glicose pós]]</f>
        <v>95</v>
      </c>
      <c r="AX244" s="85" t="str">
        <f>Tabela1[[#This Row],[Pré Sódio mmol/L]]</f>
        <v>-</v>
      </c>
      <c r="AY244" s="85">
        <f>Tabela1[[#This Row],[Pós Sódio mmol/L]]</f>
        <v>140</v>
      </c>
      <c r="AZ244" s="125" t="str">
        <f>Tabela1[[#This Row],[Pré Magnésio mg/dL]]</f>
        <v>-</v>
      </c>
      <c r="BA244" s="125">
        <f>Tabela1[[#This Row],[Pós Magnésio mg/dL]]</f>
        <v>2.1</v>
      </c>
      <c r="BB244" s="85" t="str">
        <f>Tabela1[[#This Row],[Pré Cloro mmol/L]]</f>
        <v>-</v>
      </c>
      <c r="BC244" s="85">
        <f>Tabela1[[#This Row],[Pós Cloro mmol/L]]</f>
        <v>104</v>
      </c>
      <c r="BD244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24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293.87077777777779</v>
      </c>
      <c r="BF244" s="194">
        <f>Tabela1[[#This Row],[Pré RBC 10^6/mm³]]</f>
        <v>4.7</v>
      </c>
      <c r="BG244" s="125">
        <f>Tabela1[[#This Row],[Pós RBC 10^6/mm³]]</f>
        <v>4.8</v>
      </c>
      <c r="BH244" s="125">
        <f>Tabela1[[#This Row],[Pré HGB g/dL]]</f>
        <v>13.9</v>
      </c>
      <c r="BI244" s="125">
        <f>Tabela1[[#This Row],[Pós HGB g/dL]]</f>
        <v>14.3</v>
      </c>
      <c r="BJ244" s="125">
        <f>Tabela1[[#This Row],[Pré HCT %]]</f>
        <v>42.4</v>
      </c>
      <c r="BK244" s="125">
        <f>Tabela1[[#This Row],[Pós HCT %]]</f>
        <v>42.7</v>
      </c>
      <c r="BL244" s="125">
        <f>Tabela1[[#This Row],[Pré MCV fL]]</f>
        <v>90.4</v>
      </c>
      <c r="BM244" s="125">
        <f>Tabela1[[#This Row],[Pós MCV fL]]</f>
        <v>89</v>
      </c>
      <c r="BN244" s="125">
        <f>Tabela1[[#This Row],[Pré MCH pg]]</f>
        <v>29.6</v>
      </c>
      <c r="BO244" s="125">
        <f>Tabela1[[#This Row],[Pós MCH pg]]</f>
        <v>29.8</v>
      </c>
      <c r="BP244" s="125">
        <f>Tabela1[[#This Row],[Pré MCHC g/dL]]</f>
        <v>32.799999999999997</v>
      </c>
      <c r="BQ244" s="125">
        <f>Tabela1[[#This Row],[Pós MCHC g/dL]]</f>
        <v>33.5</v>
      </c>
      <c r="BR244" s="85">
        <f>Tabela1[[#This Row],[Pré PLT 10³/mm³]]</f>
        <v>292</v>
      </c>
      <c r="BS244" s="85">
        <f>Tabela1[[#This Row],[Pós PLT 10³/mm³]]</f>
        <v>272</v>
      </c>
      <c r="BT244" s="125">
        <f>Tabela1[[#This Row],[Pré RDW %]]</f>
        <v>13.5</v>
      </c>
      <c r="BU244" s="125">
        <f>Tabela1[[#This Row],[Pós RDW %]]</f>
        <v>13.2</v>
      </c>
      <c r="BV244" s="179" t="str">
        <f>Tabela1[[#This Row],[Pré RET %]]</f>
        <v>-</v>
      </c>
      <c r="BW244" s="196" t="str">
        <f>Tabela1[[#This Row],[Pós RET %]]</f>
        <v>-</v>
      </c>
      <c r="BX244" s="197">
        <f>Tabela1[[#This Row],[Pré WBC 10³/mm³]]</f>
        <v>6.23</v>
      </c>
      <c r="BY244" s="179">
        <f>Tabela1[[#This Row],[Pós WBC 10³/mm³]]</f>
        <v>13</v>
      </c>
      <c r="BZ244" s="125">
        <f>Tabela1[[#This Row],[Pré NEUT %]]</f>
        <v>59</v>
      </c>
      <c r="CA244" s="125">
        <f>Tabela1[[#This Row],[Pós NEUT %]]</f>
        <v>79.599999999999994</v>
      </c>
      <c r="CB244" s="125">
        <f>Tabela1[[#This Row],[Pré LINF %]]</f>
        <v>22</v>
      </c>
      <c r="CC244" s="125">
        <f>Tabela1[[#This Row],[Pós LINF %]]</f>
        <v>8.9</v>
      </c>
      <c r="CD244" s="125">
        <f>Tabela1[[#This Row],[Pré MONO %]]</f>
        <v>12</v>
      </c>
      <c r="CE244" s="125">
        <f>Tabela1[[#This Row],[Pós MONO %]]</f>
        <v>8.9</v>
      </c>
      <c r="CF244" s="125">
        <f>Tabela1[[#This Row],[Pré EOS %]]</f>
        <v>6</v>
      </c>
      <c r="CG244" s="125">
        <f>Tabela1[[#This Row],[Pós EOS %]]</f>
        <v>2.2000000000000002</v>
      </c>
      <c r="CH244" s="125">
        <f>Tabela1[[#This Row],[Pré BASO %]]</f>
        <v>1</v>
      </c>
      <c r="CI244" s="198">
        <f>Tabela1[[#This Row],[Pós BASO %]]</f>
        <v>0.4</v>
      </c>
      <c r="CJ244" s="199" t="str">
        <f t="shared" si="13"/>
        <v>NÃO</v>
      </c>
      <c r="CK244" s="200" t="str">
        <f t="shared" si="14"/>
        <v>NÃO</v>
      </c>
      <c r="CL244" s="194">
        <f t="shared" si="15"/>
        <v>73.936000000000007</v>
      </c>
      <c r="CM244" s="125">
        <f>Tabela1[[#This Row],[MCT KG]]</f>
        <v>80</v>
      </c>
      <c r="CN244" s="85">
        <f>Tabela1[[#This Row],[ESTATURA]]</f>
        <v>177.5</v>
      </c>
      <c r="CO244" s="85">
        <f>Tabela1[[#This Row],[vo2max estimado]]</f>
        <v>0</v>
      </c>
      <c r="CP244" s="85">
        <f>Tabela1[[#This Row],[Handgrip     Dominante]]</f>
        <v>42</v>
      </c>
      <c r="CQ244" s="85">
        <f>Tabela1[[#This Row],[Handgrip Contrário]]</f>
        <v>42</v>
      </c>
      <c r="CR244" s="281">
        <f>Tabela1[[#This Row],[% gordura]]</f>
        <v>7.58</v>
      </c>
    </row>
    <row r="245" spans="1:96" ht="15.75" customHeight="1">
      <c r="A245" s="279">
        <f>Tabela1[[#This Row],[Ano]]</f>
        <v>2019</v>
      </c>
      <c r="B245" s="181" t="str">
        <f>Tabela1[[#This Row],[Missão]]</f>
        <v>Manaus</v>
      </c>
      <c r="C245" s="181">
        <f>Tabela1[[#This Row],[Aluno]]</f>
        <v>3202</v>
      </c>
      <c r="D245" s="181">
        <f>Tabela1[[#This Row],[Idade]]</f>
        <v>26</v>
      </c>
      <c r="E245" s="182">
        <f>Tabela1[[#This Row],[Peso Kg]]</f>
        <v>0</v>
      </c>
      <c r="F245" s="191">
        <f>Tabela1[[#This Row],[Cor da pele]]</f>
        <v>1</v>
      </c>
      <c r="G245" s="192" t="str">
        <f>Tabela1[[#This Row],[ACTN3]]</f>
        <v>XX</v>
      </c>
      <c r="H245" s="85" t="str">
        <f>Tabela1[[#This Row],[AGT]]</f>
        <v>MM</v>
      </c>
      <c r="I245" s="85" t="str">
        <f>Tabela1[[#This Row],[ECA]]</f>
        <v>ID</v>
      </c>
      <c r="J245" s="85" t="str">
        <f>Tabela1[[#This Row],[BDKRB2]]</f>
        <v>(+9,-9)</v>
      </c>
      <c r="K245" s="85">
        <f>Tabela1[[#This Row],[Score Força%]]</f>
        <v>25</v>
      </c>
      <c r="L245" s="193">
        <f>Tabela1[[#This Row],[Score Resistência %]]</f>
        <v>75</v>
      </c>
      <c r="M245" s="192">
        <f>Tabela1[[#This Row],[Pré CK (U/L)]]</f>
        <v>166</v>
      </c>
      <c r="N245" s="85">
        <f>Tabela1[[#This Row],[Pós CK (U/L)]]</f>
        <v>187</v>
      </c>
      <c r="O245" s="85" t="str">
        <f>Tabela1[[#This Row],[Pré CK MB U/L]]</f>
        <v>-</v>
      </c>
      <c r="P245" s="85">
        <f>Tabela1[[#This Row],[Pós CK MB U/L]]</f>
        <v>9</v>
      </c>
      <c r="Q245" s="85" t="str">
        <f>Tabela1[[#This Row],[Pré Lactato (mmol/L)]]</f>
        <v>-</v>
      </c>
      <c r="R245" s="85">
        <f>Tabela1[[#This Row],[Pós Lactato (mmol/L)]]</f>
        <v>1.7</v>
      </c>
      <c r="S245" s="85" t="str">
        <f>Tabela1[[#This Row],[Pré LDH (U/L)]]</f>
        <v>-</v>
      </c>
      <c r="T245" s="85">
        <f>Tabela1[[#This Row],[Pós LDH (U/L)]]</f>
        <v>183</v>
      </c>
      <c r="U245" s="85" t="str">
        <f>Tabela1[[#This Row],[Pré AST (U/L)]]</f>
        <v>-</v>
      </c>
      <c r="V245" s="193">
        <f>Tabela1[[#This Row],[Pós AST (U/L)]]</f>
        <v>26</v>
      </c>
      <c r="W245" s="194">
        <f>Tabela1[[#This Row],[Pré Albumina (g/dL)]]</f>
        <v>4.7</v>
      </c>
      <c r="X245" s="125">
        <f>Tabela1[[#This Row],[Pós Albumina (g/dL)]]</f>
        <v>3.6</v>
      </c>
      <c r="Y245" s="85" t="str">
        <f>Tabela1[[#This Row],[Pré TGP (g/dL)]]</f>
        <v>-</v>
      </c>
      <c r="Z245" s="85">
        <f>Tabela1[[#This Row],[Pós TGP (g/dL)]]</f>
        <v>17</v>
      </c>
      <c r="AA245" s="85" t="str">
        <f>Tabela1[[#This Row],[Pré GGT U/L]]</f>
        <v>-</v>
      </c>
      <c r="AB245" s="193">
        <f>Tabela1[[#This Row],[Pós GGT U/L]]</f>
        <v>34</v>
      </c>
      <c r="AC245" s="194">
        <f>Tabela1[[#This Row],[Pré Ac. Úrico (mg/dL)]]</f>
        <v>3.8</v>
      </c>
      <c r="AD245" s="125">
        <f>Tabela1[[#This Row],[Pós Ac. Úrico (mg/dL)2]]</f>
        <v>4.7</v>
      </c>
      <c r="AE24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4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245" s="85">
        <f>Tabela1[[#This Row],[Pré Ureia mg/dL]]</f>
        <v>35</v>
      </c>
      <c r="AH245" s="85">
        <f>Tabela1[[#This Row],[Pós Ureia mg/dL]]</f>
        <v>33</v>
      </c>
      <c r="AI245" s="125">
        <f>Tabela1[[#This Row],[Pré creatinina mg/dL]]</f>
        <v>0.9</v>
      </c>
      <c r="AJ245" s="125">
        <f>Tabela1[[#This Row],[Pós creatinina mg/dL]]</f>
        <v>0.8</v>
      </c>
      <c r="AK245" s="180">
        <f t="shared" si="12"/>
        <v>0</v>
      </c>
      <c r="AL245" s="125">
        <f>Tabela1[[#This Row],[Pré Fósforo mg/dL]]</f>
        <v>4.5999999999999996</v>
      </c>
      <c r="AM245" s="125">
        <f>Tabela1[[#This Row],[Pós Fósforo mg/dL]]</f>
        <v>3.3</v>
      </c>
      <c r="AN245" s="125" t="str">
        <f>Tabela1[[#This Row],[Pré Proteína Total (g/dL)]]</f>
        <v>-</v>
      </c>
      <c r="AO245" s="125">
        <f>Tabela1[[#This Row],[Pós Proteína Total (g/dL)]]</f>
        <v>6.4</v>
      </c>
      <c r="AP245" s="85" t="str">
        <f>Tabela1[[#This Row],[Pré FE (ug/dL)]]</f>
        <v>-</v>
      </c>
      <c r="AQ245" s="193">
        <f>Tabela1[[#This Row],[Pós FE (ug/dL)]]</f>
        <v>60</v>
      </c>
      <c r="AR245" s="194">
        <f>Tabela1[[#This Row],[Pré calcio mg/dL]]</f>
        <v>9.6</v>
      </c>
      <c r="AS245" s="125">
        <f>Tabela1[[#This Row],[Pós calcio mg/dL]]</f>
        <v>8.5</v>
      </c>
      <c r="AT245" s="125">
        <f>Tabela1[[#This Row],[Pré Potássio mmol/L]]</f>
        <v>4.3</v>
      </c>
      <c r="AU245" s="125">
        <f>Tabela1[[#This Row],[Pós Potássio mmol/L]]</f>
        <v>4</v>
      </c>
      <c r="AV245" s="85" t="str">
        <f>Tabela1[[#This Row],[Glicose pré]]</f>
        <v>-</v>
      </c>
      <c r="AW245" s="85">
        <f>Tabela1[[#This Row],[Glicose pós]]</f>
        <v>93</v>
      </c>
      <c r="AX245" s="85" t="str">
        <f>Tabela1[[#This Row],[Pré Sódio mmol/L]]</f>
        <v>-</v>
      </c>
      <c r="AY245" s="85">
        <f>Tabela1[[#This Row],[Pós Sódio mmol/L]]</f>
        <v>133</v>
      </c>
      <c r="AZ245" s="125" t="str">
        <f>Tabela1[[#This Row],[Pré Magnésio mg/dL]]</f>
        <v>-</v>
      </c>
      <c r="BA245" s="125">
        <f>Tabela1[[#This Row],[Pós Magnésio mg/dL]]</f>
        <v>2.1</v>
      </c>
      <c r="BB245" s="85" t="str">
        <f>Tabela1[[#This Row],[Pré Cloro mmol/L]]</f>
        <v>-</v>
      </c>
      <c r="BC245" s="85">
        <f>Tabela1[[#This Row],[Pós Cloro mmol/L]]</f>
        <v>107</v>
      </c>
      <c r="BD245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24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280.26166666666671</v>
      </c>
      <c r="BF245" s="194">
        <f>Tabela1[[#This Row],[Pré RBC 10^6/mm³]]</f>
        <v>4.4000000000000004</v>
      </c>
      <c r="BG245" s="125">
        <f>Tabela1[[#This Row],[Pós RBC 10^6/mm³]]</f>
        <v>4.3099999999999996</v>
      </c>
      <c r="BH245" s="125">
        <f>Tabela1[[#This Row],[Pré HGB g/dL]]</f>
        <v>13.6</v>
      </c>
      <c r="BI245" s="125">
        <f>Tabela1[[#This Row],[Pós HGB g/dL]]</f>
        <v>3.4</v>
      </c>
      <c r="BJ245" s="125">
        <f>Tabela1[[#This Row],[Pré HCT %]]</f>
        <v>42.1</v>
      </c>
      <c r="BK245" s="125">
        <f>Tabela1[[#This Row],[Pós HCT %]]</f>
        <v>40.6</v>
      </c>
      <c r="BL245" s="125">
        <f>Tabela1[[#This Row],[Pré MCV fL]]</f>
        <v>95.5</v>
      </c>
      <c r="BM245" s="125">
        <f>Tabela1[[#This Row],[Pós MCV fL]]</f>
        <v>90.2</v>
      </c>
      <c r="BN245" s="125">
        <f>Tabela1[[#This Row],[Pré MCH pg]]</f>
        <v>30.8</v>
      </c>
      <c r="BO245" s="125">
        <f>Tabela1[[#This Row],[Pós MCH pg]]</f>
        <v>31.1</v>
      </c>
      <c r="BP245" s="125">
        <f>Tabela1[[#This Row],[Pré MCHC g/dL]]</f>
        <v>32.299999999999997</v>
      </c>
      <c r="BQ245" s="125">
        <f>Tabela1[[#This Row],[Pós MCHC g/dL]]</f>
        <v>33</v>
      </c>
      <c r="BR245" s="85">
        <f>Tabela1[[#This Row],[Pré PLT 10³/mm³]]</f>
        <v>156</v>
      </c>
      <c r="BS245" s="85">
        <f>Tabela1[[#This Row],[Pós PLT 10³/mm³]]</f>
        <v>155</v>
      </c>
      <c r="BT245" s="125">
        <f>Tabela1[[#This Row],[Pré RDW %]]</f>
        <v>13.1</v>
      </c>
      <c r="BU245" s="125">
        <f>Tabela1[[#This Row],[Pós RDW %]]</f>
        <v>12.7</v>
      </c>
      <c r="BV245" s="179" t="str">
        <f>Tabela1[[#This Row],[Pré RET %]]</f>
        <v>-</v>
      </c>
      <c r="BW245" s="196" t="str">
        <f>Tabela1[[#This Row],[Pós RET %]]</f>
        <v>-</v>
      </c>
      <c r="BX245" s="197">
        <f>Tabela1[[#This Row],[Pré WBC 10³/mm³]]</f>
        <v>14.5</v>
      </c>
      <c r="BY245" s="179">
        <f>Tabela1[[#This Row],[Pós WBC 10³/mm³]]</f>
        <v>10.039999999999999</v>
      </c>
      <c r="BZ245" s="125">
        <f>Tabela1[[#This Row],[Pré NEUT %]]</f>
        <v>74</v>
      </c>
      <c r="CA245" s="125">
        <f>Tabela1[[#This Row],[Pós NEUT %]]</f>
        <v>69.400000000000006</v>
      </c>
      <c r="CB245" s="125">
        <f>Tabela1[[#This Row],[Pré LINF %]]</f>
        <v>14</v>
      </c>
      <c r="CC245" s="125">
        <f>Tabela1[[#This Row],[Pós LINF %]]</f>
        <v>17.100000000000001</v>
      </c>
      <c r="CD245" s="125">
        <f>Tabela1[[#This Row],[Pré MONO %]]</f>
        <v>11</v>
      </c>
      <c r="CE245" s="125">
        <f>Tabela1[[#This Row],[Pós MONO %]]</f>
        <v>10.9</v>
      </c>
      <c r="CF245" s="125">
        <f>Tabela1[[#This Row],[Pré EOS %]]</f>
        <v>1</v>
      </c>
      <c r="CG245" s="125">
        <f>Tabela1[[#This Row],[Pós EOS %]]</f>
        <v>2.1</v>
      </c>
      <c r="CH245" s="125">
        <f>Tabela1[[#This Row],[Pré BASO %]]</f>
        <v>0</v>
      </c>
      <c r="CI245" s="198">
        <f>Tabela1[[#This Row],[Pós BASO %]]</f>
        <v>0.5</v>
      </c>
      <c r="CJ245" s="199" t="str">
        <f t="shared" si="13"/>
        <v>NÃO</v>
      </c>
      <c r="CK245" s="200" t="str">
        <f t="shared" si="14"/>
        <v>NÃO</v>
      </c>
      <c r="CL245" s="194">
        <f t="shared" si="15"/>
        <v>81.37906000000001</v>
      </c>
      <c r="CM245" s="125">
        <f>Tabela1[[#This Row],[MCT KG]]</f>
        <v>88.9</v>
      </c>
      <c r="CN245" s="85">
        <f>Tabela1[[#This Row],[ESTATURA]]</f>
        <v>184.5</v>
      </c>
      <c r="CO245" s="85">
        <f>Tabela1[[#This Row],[vo2max estimado]]</f>
        <v>49.69</v>
      </c>
      <c r="CP245" s="85">
        <f>Tabela1[[#This Row],[Handgrip     Dominante]]</f>
        <v>54</v>
      </c>
      <c r="CQ245" s="85">
        <f>Tabela1[[#This Row],[Handgrip Contrário]]</f>
        <v>50</v>
      </c>
      <c r="CR245" s="281">
        <f>Tabela1[[#This Row],[% gordura]]</f>
        <v>8.4600000000000009</v>
      </c>
    </row>
    <row r="246" spans="1:96" ht="15.75" customHeight="1">
      <c r="A246" s="279">
        <f>Tabela1[[#This Row],[Ano]]</f>
        <v>2019</v>
      </c>
      <c r="B246" s="181" t="str">
        <f>Tabela1[[#This Row],[Missão]]</f>
        <v>Manaus</v>
      </c>
      <c r="C246" s="181">
        <f>Tabela1[[#This Row],[Aluno]]</f>
        <v>3205</v>
      </c>
      <c r="D246" s="181">
        <f>Tabela1[[#This Row],[Idade]]</f>
        <v>32</v>
      </c>
      <c r="E246" s="182">
        <f>Tabela1[[#This Row],[Peso Kg]]</f>
        <v>0</v>
      </c>
      <c r="F246" s="191">
        <f>Tabela1[[#This Row],[Cor da pele]]</f>
        <v>1</v>
      </c>
      <c r="G246" s="192" t="str">
        <f>Tabela1[[#This Row],[ACTN3]]</f>
        <v>RR</v>
      </c>
      <c r="H246" s="85" t="str">
        <f>Tabela1[[#This Row],[AGT]]</f>
        <v>-</v>
      </c>
      <c r="I246" s="85" t="str">
        <f>Tabela1[[#This Row],[ECA]]</f>
        <v>ID</v>
      </c>
      <c r="J246" s="85" t="str">
        <f>Tabela1[[#This Row],[BDKRB2]]</f>
        <v>(+9,-9)</v>
      </c>
      <c r="K246" s="85" t="str">
        <f>Tabela1[[#This Row],[Score Força%]]</f>
        <v>-</v>
      </c>
      <c r="L246" s="193" t="str">
        <f>Tabela1[[#This Row],[Score Resistência %]]</f>
        <v>-</v>
      </c>
      <c r="M246" s="192">
        <f>Tabela1[[#This Row],[Pré CK (U/L)]]</f>
        <v>211</v>
      </c>
      <c r="N246" s="85">
        <f>Tabela1[[#This Row],[Pós CK (U/L)]]</f>
        <v>262</v>
      </c>
      <c r="O246" s="85" t="str">
        <f>Tabela1[[#This Row],[Pré CK MB U/L]]</f>
        <v>-</v>
      </c>
      <c r="P246" s="85">
        <f>Tabela1[[#This Row],[Pós CK MB U/L]]</f>
        <v>21</v>
      </c>
      <c r="Q246" s="85" t="str">
        <f>Tabela1[[#This Row],[Pré Lactato (mmol/L)]]</f>
        <v>-</v>
      </c>
      <c r="R246" s="85">
        <f>Tabela1[[#This Row],[Pós Lactato (mmol/L)]]</f>
        <v>1.5</v>
      </c>
      <c r="S246" s="85" t="str">
        <f>Tabela1[[#This Row],[Pré LDH (U/L)]]</f>
        <v>-</v>
      </c>
      <c r="T246" s="85">
        <f>Tabela1[[#This Row],[Pós LDH (U/L)]]</f>
        <v>250</v>
      </c>
      <c r="U246" s="85" t="str">
        <f>Tabela1[[#This Row],[Pré AST (U/L)]]</f>
        <v>-</v>
      </c>
      <c r="V246" s="193">
        <f>Tabela1[[#This Row],[Pós AST (U/L)]]</f>
        <v>31</v>
      </c>
      <c r="W246" s="194">
        <f>Tabela1[[#This Row],[Pré Albumina (g/dL)]]</f>
        <v>4.9000000000000004</v>
      </c>
      <c r="X246" s="125">
        <f>Tabela1[[#This Row],[Pós Albumina (g/dL)]]</f>
        <v>4.2</v>
      </c>
      <c r="Y246" s="85" t="str">
        <f>Tabela1[[#This Row],[Pré TGP (g/dL)]]</f>
        <v>-</v>
      </c>
      <c r="Z246" s="85">
        <f>Tabela1[[#This Row],[Pós TGP (g/dL)]]</f>
        <v>23</v>
      </c>
      <c r="AA246" s="85" t="str">
        <f>Tabela1[[#This Row],[Pré GGT U/L]]</f>
        <v>-</v>
      </c>
      <c r="AB246" s="193">
        <f>Tabela1[[#This Row],[Pós GGT U/L]]</f>
        <v>32</v>
      </c>
      <c r="AC246" s="194">
        <f>Tabela1[[#This Row],[Pré Ac. Úrico (mg/dL)]]</f>
        <v>5.4</v>
      </c>
      <c r="AD246" s="125">
        <f>Tabela1[[#This Row],[Pós Ac. Úrico (mg/dL)2]]</f>
        <v>6.2</v>
      </c>
      <c r="AE24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24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46" s="85">
        <f>Tabela1[[#This Row],[Pré Ureia mg/dL]]</f>
        <v>42</v>
      </c>
      <c r="AH246" s="85">
        <f>Tabela1[[#This Row],[Pós Ureia mg/dL]]</f>
        <v>41</v>
      </c>
      <c r="AI246" s="125">
        <f>Tabela1[[#This Row],[Pré creatinina mg/dL]]</f>
        <v>1.1000000000000001</v>
      </c>
      <c r="AJ246" s="125">
        <f>Tabela1[[#This Row],[Pós creatinina mg/dL]]</f>
        <v>0.9</v>
      </c>
      <c r="AK246" s="180">
        <f t="shared" si="12"/>
        <v>0</v>
      </c>
      <c r="AL246" s="125">
        <f>Tabela1[[#This Row],[Pré Fósforo mg/dL]]</f>
        <v>5.4</v>
      </c>
      <c r="AM246" s="125">
        <f>Tabela1[[#This Row],[Pós Fósforo mg/dL]]</f>
        <v>3.6</v>
      </c>
      <c r="AN246" s="125" t="str">
        <f>Tabela1[[#This Row],[Pré Proteína Total (g/dL)]]</f>
        <v>-</v>
      </c>
      <c r="AO246" s="125">
        <f>Tabela1[[#This Row],[Pós Proteína Total (g/dL)]]</f>
        <v>6.8</v>
      </c>
      <c r="AP246" s="85" t="str">
        <f>Tabela1[[#This Row],[Pré FE (ug/dL)]]</f>
        <v>-</v>
      </c>
      <c r="AQ246" s="193">
        <f>Tabela1[[#This Row],[Pós FE (ug/dL)]]</f>
        <v>89</v>
      </c>
      <c r="AR246" s="194">
        <f>Tabela1[[#This Row],[Pré calcio mg/dL]]</f>
        <v>9.9</v>
      </c>
      <c r="AS246" s="125">
        <f>Tabela1[[#This Row],[Pós calcio mg/dL]]</f>
        <v>9.1</v>
      </c>
      <c r="AT246" s="125">
        <f>Tabela1[[#This Row],[Pré Potássio mmol/L]]</f>
        <v>5.7</v>
      </c>
      <c r="AU246" s="125">
        <f>Tabela1[[#This Row],[Pós Potássio mmol/L]]</f>
        <v>4.2</v>
      </c>
      <c r="AV246" s="85" t="str">
        <f>Tabela1[[#This Row],[Glicose pré]]</f>
        <v>-</v>
      </c>
      <c r="AW246" s="85">
        <f>Tabela1[[#This Row],[Glicose pós]]</f>
        <v>119</v>
      </c>
      <c r="AX246" s="85" t="str">
        <f>Tabela1[[#This Row],[Pré Sódio mmol/L]]</f>
        <v>-</v>
      </c>
      <c r="AY246" s="85">
        <f>Tabela1[[#This Row],[Pós Sódio mmol/L]]</f>
        <v>138</v>
      </c>
      <c r="AZ246" s="125" t="str">
        <f>Tabela1[[#This Row],[Pré Magnésio mg/dL]]</f>
        <v>-</v>
      </c>
      <c r="BA246" s="125">
        <f>Tabela1[[#This Row],[Pós Magnésio mg/dL]]</f>
        <v>2.2000000000000002</v>
      </c>
      <c r="BB246" s="85" t="str">
        <f>Tabela1[[#This Row],[Pré Cloro mmol/L]]</f>
        <v>-</v>
      </c>
      <c r="BC246" s="85">
        <f>Tabela1[[#This Row],[Pós Cloro mmol/L]]</f>
        <v>102</v>
      </c>
      <c r="BD246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24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292.92811111111109</v>
      </c>
      <c r="BF246" s="194">
        <f>Tabela1[[#This Row],[Pré RBC 10^6/mm³]]</f>
        <v>4.8</v>
      </c>
      <c r="BG246" s="125">
        <f>Tabela1[[#This Row],[Pós RBC 10^6/mm³]]</f>
        <v>4.63</v>
      </c>
      <c r="BH246" s="125">
        <f>Tabela1[[#This Row],[Pré HGB g/dL]]</f>
        <v>14.1</v>
      </c>
      <c r="BI246" s="125">
        <f>Tabela1[[#This Row],[Pós HGB g/dL]]</f>
        <v>3.8</v>
      </c>
      <c r="BJ246" s="125">
        <f>Tabela1[[#This Row],[Pré HCT %]]</f>
        <v>43</v>
      </c>
      <c r="BK246" s="125">
        <f>Tabela1[[#This Row],[Pós HCT %]]</f>
        <v>41.3</v>
      </c>
      <c r="BL246" s="125">
        <f>Tabela1[[#This Row],[Pré MCV fL]]</f>
        <v>90.5</v>
      </c>
      <c r="BM246" s="125">
        <f>Tabela1[[#This Row],[Pós MCV fL]]</f>
        <v>89.2</v>
      </c>
      <c r="BN246" s="125">
        <f>Tabela1[[#This Row],[Pré MCH pg]]</f>
        <v>29.7</v>
      </c>
      <c r="BO246" s="125">
        <f>Tabela1[[#This Row],[Pós MCH pg]]</f>
        <v>29.8</v>
      </c>
      <c r="BP246" s="125">
        <f>Tabela1[[#This Row],[Pré MCHC g/dL]]</f>
        <v>32.799999999999997</v>
      </c>
      <c r="BQ246" s="125">
        <f>Tabela1[[#This Row],[Pós MCHC g/dL]]</f>
        <v>33.4</v>
      </c>
      <c r="BR246" s="85">
        <f>Tabela1[[#This Row],[Pré PLT 10³/mm³]]</f>
        <v>282</v>
      </c>
      <c r="BS246" s="85">
        <f>Tabela1[[#This Row],[Pós PLT 10³/mm³]]</f>
        <v>251</v>
      </c>
      <c r="BT246" s="125">
        <f>Tabela1[[#This Row],[Pré RDW %]]</f>
        <v>14.5</v>
      </c>
      <c r="BU246" s="125">
        <f>Tabela1[[#This Row],[Pós RDW %]]</f>
        <v>13.8</v>
      </c>
      <c r="BV246" s="179" t="str">
        <f>Tabela1[[#This Row],[Pré RET %]]</f>
        <v>-</v>
      </c>
      <c r="BW246" s="196" t="str">
        <f>Tabela1[[#This Row],[Pós RET %]]</f>
        <v>-</v>
      </c>
      <c r="BX246" s="197">
        <f>Tabela1[[#This Row],[Pré WBC 10³/mm³]]</f>
        <v>10.5</v>
      </c>
      <c r="BY246" s="179">
        <f>Tabela1[[#This Row],[Pós WBC 10³/mm³]]</f>
        <v>15.24</v>
      </c>
      <c r="BZ246" s="125">
        <f>Tabela1[[#This Row],[Pré NEUT %]]</f>
        <v>58</v>
      </c>
      <c r="CA246" s="125">
        <f>Tabela1[[#This Row],[Pós NEUT %]]</f>
        <v>74.099999999999994</v>
      </c>
      <c r="CB246" s="125">
        <f>Tabela1[[#This Row],[Pré LINF %]]</f>
        <v>27</v>
      </c>
      <c r="CC246" s="125">
        <f>Tabela1[[#This Row],[Pós LINF %]]</f>
        <v>16.5</v>
      </c>
      <c r="CD246" s="125">
        <f>Tabela1[[#This Row],[Pré MONO %]]</f>
        <v>9</v>
      </c>
      <c r="CE246" s="125">
        <f>Tabela1[[#This Row],[Pós MONO %]]</f>
        <v>5</v>
      </c>
      <c r="CF246" s="125">
        <f>Tabela1[[#This Row],[Pré EOS %]]</f>
        <v>4</v>
      </c>
      <c r="CG246" s="125">
        <f>Tabela1[[#This Row],[Pós EOS %]]</f>
        <v>3.5</v>
      </c>
      <c r="CH246" s="125">
        <f>Tabela1[[#This Row],[Pré BASO %]]</f>
        <v>2</v>
      </c>
      <c r="CI246" s="198">
        <f>Tabela1[[#This Row],[Pós BASO %]]</f>
        <v>0.9</v>
      </c>
      <c r="CJ246" s="199" t="str">
        <f t="shared" si="13"/>
        <v>NÃO</v>
      </c>
      <c r="CK246" s="200" t="str">
        <f t="shared" si="14"/>
        <v>NÃO</v>
      </c>
      <c r="CL246" s="194">
        <f t="shared" si="15"/>
        <v>70.381349999999998</v>
      </c>
      <c r="CM246" s="125">
        <f>Tabela1[[#This Row],[MCT KG]]</f>
        <v>79.5</v>
      </c>
      <c r="CN246" s="85">
        <f>Tabela1[[#This Row],[ESTATURA]]</f>
        <v>176.5</v>
      </c>
      <c r="CO246" s="85">
        <f>Tabela1[[#This Row],[vo2max estimado]]</f>
        <v>52.51</v>
      </c>
      <c r="CP246" s="85">
        <f>Tabela1[[#This Row],[Handgrip     Dominante]]</f>
        <v>48</v>
      </c>
      <c r="CQ246" s="85">
        <f>Tabela1[[#This Row],[Handgrip Contrário]]</f>
        <v>52</v>
      </c>
      <c r="CR246" s="281">
        <f>Tabela1[[#This Row],[% gordura]]</f>
        <v>11.47</v>
      </c>
    </row>
    <row r="247" spans="1:96" ht="15.75" customHeight="1">
      <c r="A247" s="279">
        <f>Tabela1[[#This Row],[Ano]]</f>
        <v>2019</v>
      </c>
      <c r="B247" s="181" t="str">
        <f>Tabela1[[#This Row],[Missão]]</f>
        <v>Manaus</v>
      </c>
      <c r="C247" s="181">
        <f>Tabela1[[#This Row],[Aluno]]</f>
        <v>3214</v>
      </c>
      <c r="D247" s="181">
        <f>Tabela1[[#This Row],[Idade]]</f>
        <v>32</v>
      </c>
      <c r="E247" s="182">
        <f>Tabela1[[#This Row],[Peso Kg]]</f>
        <v>0</v>
      </c>
      <c r="F247" s="191">
        <f>Tabela1[[#This Row],[Cor da pele]]</f>
        <v>1</v>
      </c>
      <c r="G247" s="192" t="str">
        <f>Tabela1[[#This Row],[ACTN3]]</f>
        <v>RX</v>
      </c>
      <c r="H247" s="85" t="str">
        <f>Tabela1[[#This Row],[AGT]]</f>
        <v>MM</v>
      </c>
      <c r="I247" s="85" t="str">
        <f>Tabela1[[#This Row],[ECA]]</f>
        <v>II</v>
      </c>
      <c r="J247" s="85" t="str">
        <f>Tabela1[[#This Row],[BDKRB2]]</f>
        <v>(+9,+9)</v>
      </c>
      <c r="K247" s="85">
        <f>Tabela1[[#This Row],[Score Força%]]</f>
        <v>25</v>
      </c>
      <c r="L247" s="193">
        <f>Tabela1[[#This Row],[Score Resistência %]]</f>
        <v>75</v>
      </c>
      <c r="M247" s="192">
        <f>Tabela1[[#This Row],[Pré CK (U/L)]]</f>
        <v>125</v>
      </c>
      <c r="N247" s="85">
        <f>Tabela1[[#This Row],[Pós CK (U/L)]]</f>
        <v>98</v>
      </c>
      <c r="O247" s="85" t="str">
        <f>Tabela1[[#This Row],[Pré CK MB U/L]]</f>
        <v>-</v>
      </c>
      <c r="P247" s="85">
        <f>Tabela1[[#This Row],[Pós CK MB U/L]]</f>
        <v>5</v>
      </c>
      <c r="Q247" s="85" t="str">
        <f>Tabela1[[#This Row],[Pré Lactato (mmol/L)]]</f>
        <v>-</v>
      </c>
      <c r="R247" s="85">
        <f>Tabela1[[#This Row],[Pós Lactato (mmol/L)]]</f>
        <v>2.5</v>
      </c>
      <c r="S247" s="85" t="str">
        <f>Tabela1[[#This Row],[Pré LDH (U/L)]]</f>
        <v>-</v>
      </c>
      <c r="T247" s="85">
        <f>Tabela1[[#This Row],[Pós LDH (U/L)]]</f>
        <v>181</v>
      </c>
      <c r="U247" s="85" t="str">
        <f>Tabela1[[#This Row],[Pré AST (U/L)]]</f>
        <v>-</v>
      </c>
      <c r="V247" s="193">
        <f>Tabela1[[#This Row],[Pós AST (U/L)]]</f>
        <v>21</v>
      </c>
      <c r="W247" s="194">
        <f>Tabela1[[#This Row],[Pré Albumina (g/dL)]]</f>
        <v>4.7</v>
      </c>
      <c r="X247" s="125">
        <f>Tabela1[[#This Row],[Pós Albumina (g/dL)]]</f>
        <v>3.7</v>
      </c>
      <c r="Y247" s="85" t="str">
        <f>Tabela1[[#This Row],[Pré TGP (g/dL)]]</f>
        <v>-</v>
      </c>
      <c r="Z247" s="85">
        <f>Tabela1[[#This Row],[Pós TGP (g/dL)]]</f>
        <v>17</v>
      </c>
      <c r="AA247" s="85" t="str">
        <f>Tabela1[[#This Row],[Pré GGT U/L]]</f>
        <v>-</v>
      </c>
      <c r="AB247" s="193">
        <f>Tabela1[[#This Row],[Pós GGT U/L]]</f>
        <v>35</v>
      </c>
      <c r="AC247" s="194">
        <f>Tabela1[[#This Row],[Pré Ac. Úrico (mg/dL)]]</f>
        <v>5.0999999999999996</v>
      </c>
      <c r="AD247" s="125">
        <f>Tabela1[[#This Row],[Pós Ac. Úrico (mg/dL)2]]</f>
        <v>6.2</v>
      </c>
      <c r="AE24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4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70.209761921634552</v>
      </c>
      <c r="AG247" s="85">
        <f>Tabela1[[#This Row],[Pré Ureia mg/dL]]</f>
        <v>36</v>
      </c>
      <c r="AH247" s="85">
        <f>Tabela1[[#This Row],[Pós Ureia mg/dL]]</f>
        <v>41</v>
      </c>
      <c r="AI247" s="125">
        <f>Tabela1[[#This Row],[Pré creatinina mg/dL]]</f>
        <v>1</v>
      </c>
      <c r="AJ247" s="125">
        <f>Tabela1[[#This Row],[Pós creatinina mg/dL]]</f>
        <v>1.4</v>
      </c>
      <c r="AK247" s="180">
        <f t="shared" si="12"/>
        <v>0.39999999999999991</v>
      </c>
      <c r="AL247" s="125">
        <f>Tabela1[[#This Row],[Pré Fósforo mg/dL]]</f>
        <v>4.2</v>
      </c>
      <c r="AM247" s="125">
        <f>Tabela1[[#This Row],[Pós Fósforo mg/dL]]</f>
        <v>3.9</v>
      </c>
      <c r="AN247" s="125" t="str">
        <f>Tabela1[[#This Row],[Pré Proteína Total (g/dL)]]</f>
        <v>-</v>
      </c>
      <c r="AO247" s="125">
        <f>Tabela1[[#This Row],[Pós Proteína Total (g/dL)]]</f>
        <v>6.3</v>
      </c>
      <c r="AP247" s="85" t="str">
        <f>Tabela1[[#This Row],[Pré FE (ug/dL)]]</f>
        <v>-</v>
      </c>
      <c r="AQ247" s="193">
        <f>Tabela1[[#This Row],[Pós FE (ug/dL)]]</f>
        <v>15</v>
      </c>
      <c r="AR247" s="194">
        <f>Tabela1[[#This Row],[Pré calcio mg/dL]]</f>
        <v>9.3000000000000007</v>
      </c>
      <c r="AS247" s="125">
        <f>Tabela1[[#This Row],[Pós calcio mg/dL]]</f>
        <v>8.5</v>
      </c>
      <c r="AT247" s="125">
        <f>Tabela1[[#This Row],[Pré Potássio mmol/L]]</f>
        <v>4.7</v>
      </c>
      <c r="AU247" s="125">
        <f>Tabela1[[#This Row],[Pós Potássio mmol/L]]</f>
        <v>4.3</v>
      </c>
      <c r="AV247" s="85" t="str">
        <f>Tabela1[[#This Row],[Glicose pré]]</f>
        <v>-</v>
      </c>
      <c r="AW247" s="85">
        <f>Tabela1[[#This Row],[Glicose pós]]</f>
        <v>85</v>
      </c>
      <c r="AX247" s="85" t="str">
        <f>Tabela1[[#This Row],[Pré Sódio mmol/L]]</f>
        <v>-</v>
      </c>
      <c r="AY247" s="85">
        <f>Tabela1[[#This Row],[Pós Sódio mmol/L]]</f>
        <v>135</v>
      </c>
      <c r="AZ247" s="125" t="str">
        <f>Tabela1[[#This Row],[Pré Magnésio mg/dL]]</f>
        <v>-</v>
      </c>
      <c r="BA247" s="125">
        <f>Tabela1[[#This Row],[Pós Magnésio mg/dL]]</f>
        <v>2.2000000000000002</v>
      </c>
      <c r="BB247" s="85" t="str">
        <f>Tabela1[[#This Row],[Pré Cloro mmol/L]]</f>
        <v>-</v>
      </c>
      <c r="BC247" s="85">
        <f>Tabela1[[#This Row],[Pós Cloro mmol/L]]</f>
        <v>100</v>
      </c>
      <c r="BD247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24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285.36188888888887</v>
      </c>
      <c r="BF247" s="194">
        <f>Tabela1[[#This Row],[Pré RBC 10^6/mm³]]</f>
        <v>4.5</v>
      </c>
      <c r="BG247" s="125">
        <f>Tabela1[[#This Row],[Pós RBC 10^6/mm³]]</f>
        <v>4.5999999999999996</v>
      </c>
      <c r="BH247" s="125">
        <f>Tabela1[[#This Row],[Pré HGB g/dL]]</f>
        <v>13</v>
      </c>
      <c r="BI247" s="125">
        <f>Tabela1[[#This Row],[Pós HGB g/dL]]</f>
        <v>13.5</v>
      </c>
      <c r="BJ247" s="125">
        <f>Tabela1[[#This Row],[Pré HCT %]]</f>
        <v>39.9</v>
      </c>
      <c r="BK247" s="125">
        <f>Tabela1[[#This Row],[Pós HCT %]]</f>
        <v>40.299999999999997</v>
      </c>
      <c r="BL247" s="125">
        <f>Tabela1[[#This Row],[Pré MCV fL]]</f>
        <v>88.9</v>
      </c>
      <c r="BM247" s="125">
        <f>Tabela1[[#This Row],[Pós MCV fL]]</f>
        <v>87.6</v>
      </c>
      <c r="BN247" s="125">
        <f>Tabela1[[#This Row],[Pré MCH pg]]</f>
        <v>29</v>
      </c>
      <c r="BO247" s="125">
        <f>Tabela1[[#This Row],[Pós MCH pg]]</f>
        <v>29.3</v>
      </c>
      <c r="BP247" s="125">
        <f>Tabela1[[#This Row],[Pré MCHC g/dL]]</f>
        <v>32.6</v>
      </c>
      <c r="BQ247" s="125">
        <f>Tabela1[[#This Row],[Pós MCHC g/dL]]</f>
        <v>33.5</v>
      </c>
      <c r="BR247" s="85">
        <f>Tabela1[[#This Row],[Pré PLT 10³/mm³]]</f>
        <v>277</v>
      </c>
      <c r="BS247" s="85">
        <f>Tabela1[[#This Row],[Pós PLT 10³/mm³]]</f>
        <v>243</v>
      </c>
      <c r="BT247" s="125">
        <f>Tabela1[[#This Row],[Pré RDW %]]</f>
        <v>13.9</v>
      </c>
      <c r="BU247" s="125">
        <f>Tabela1[[#This Row],[Pós RDW %]]</f>
        <v>13.5</v>
      </c>
      <c r="BV247" s="179" t="str">
        <f>Tabela1[[#This Row],[Pré RET %]]</f>
        <v>-</v>
      </c>
      <c r="BW247" s="196" t="str">
        <f>Tabela1[[#This Row],[Pós RET %]]</f>
        <v>-</v>
      </c>
      <c r="BX247" s="197">
        <f>Tabela1[[#This Row],[Pré WBC 10³/mm³]]</f>
        <v>9.15</v>
      </c>
      <c r="BY247" s="179">
        <f>Tabela1[[#This Row],[Pós WBC 10³/mm³]]</f>
        <v>13.42</v>
      </c>
      <c r="BZ247" s="125">
        <f>Tabela1[[#This Row],[Pré NEUT %]]</f>
        <v>70</v>
      </c>
      <c r="CA247" s="125">
        <f>Tabela1[[#This Row],[Pós NEUT %]]</f>
        <v>75.099999999999994</v>
      </c>
      <c r="CB247" s="125">
        <f>Tabela1[[#This Row],[Pré LINF %]]</f>
        <v>19</v>
      </c>
      <c r="CC247" s="125">
        <f>Tabela1[[#This Row],[Pós LINF %]]</f>
        <v>15.4</v>
      </c>
      <c r="CD247" s="125">
        <f>Tabela1[[#This Row],[Pré MONO %]]</f>
        <v>9</v>
      </c>
      <c r="CE247" s="125">
        <f>Tabela1[[#This Row],[Pós MONO %]]</f>
        <v>7.4</v>
      </c>
      <c r="CF247" s="125">
        <f>Tabela1[[#This Row],[Pré EOS %]]</f>
        <v>2</v>
      </c>
      <c r="CG247" s="125">
        <f>Tabela1[[#This Row],[Pós EOS %]]</f>
        <v>1.9</v>
      </c>
      <c r="CH247" s="125">
        <f>Tabela1[[#This Row],[Pré BASO %]]</f>
        <v>0</v>
      </c>
      <c r="CI247" s="198">
        <f>Tabela1[[#This Row],[Pós BASO %]]</f>
        <v>0.2</v>
      </c>
      <c r="CJ247" s="199" t="str">
        <f t="shared" si="13"/>
        <v>SIM</v>
      </c>
      <c r="CK247" s="200" t="str">
        <f t="shared" si="14"/>
        <v>NÃO</v>
      </c>
      <c r="CL247" s="194">
        <f t="shared" si="15"/>
        <v>70.427400000000006</v>
      </c>
      <c r="CM247" s="125">
        <f>Tabela1[[#This Row],[MCT KG]]</f>
        <v>80.25</v>
      </c>
      <c r="CN247" s="85">
        <f>Tabela1[[#This Row],[ESTATURA]]</f>
        <v>178</v>
      </c>
      <c r="CO247" s="85">
        <f>Tabela1[[#This Row],[vo2max estimado]]</f>
        <v>51.39</v>
      </c>
      <c r="CP247" s="85">
        <f>Tabela1[[#This Row],[Handgrip     Dominante]]</f>
        <v>48</v>
      </c>
      <c r="CQ247" s="85">
        <f>Tabela1[[#This Row],[Handgrip Contrário]]</f>
        <v>47</v>
      </c>
      <c r="CR247" s="281">
        <f>Tabela1[[#This Row],[% gordura]]</f>
        <v>12.24</v>
      </c>
    </row>
    <row r="248" spans="1:96" ht="15.75" customHeight="1">
      <c r="A248" s="279">
        <f>Tabela1[[#This Row],[Ano]]</f>
        <v>2019</v>
      </c>
      <c r="B248" s="181" t="str">
        <f>Tabela1[[#This Row],[Missão]]</f>
        <v>Manaus</v>
      </c>
      <c r="C248" s="181">
        <f>Tabela1[[#This Row],[Aluno]]</f>
        <v>3215</v>
      </c>
      <c r="D248" s="181">
        <f>Tabela1[[#This Row],[Idade]]</f>
        <v>33</v>
      </c>
      <c r="E248" s="182">
        <f>Tabela1[[#This Row],[Peso Kg]]</f>
        <v>0</v>
      </c>
      <c r="F248" s="191">
        <f>Tabela1[[#This Row],[Cor da pele]]</f>
        <v>1</v>
      </c>
      <c r="G248" s="192" t="str">
        <f>Tabela1[[#This Row],[ACTN3]]</f>
        <v>XX</v>
      </c>
      <c r="H248" s="85" t="str">
        <f>Tabela1[[#This Row],[AGT]]</f>
        <v>MM</v>
      </c>
      <c r="I248" s="85" t="str">
        <f>Tabela1[[#This Row],[ECA]]</f>
        <v>ID</v>
      </c>
      <c r="J248" s="85" t="str">
        <f>Tabela1[[#This Row],[BDKRB2]]</f>
        <v>(+9,-9)</v>
      </c>
      <c r="K248" s="85">
        <f>Tabela1[[#This Row],[Score Força%]]</f>
        <v>25</v>
      </c>
      <c r="L248" s="193">
        <f>Tabela1[[#This Row],[Score Resistência %]]</f>
        <v>75</v>
      </c>
      <c r="M248" s="192">
        <f>Tabela1[[#This Row],[Pré CK (U/L)]]</f>
        <v>120</v>
      </c>
      <c r="N248" s="85">
        <f>Tabela1[[#This Row],[Pós CK (U/L)]]</f>
        <v>151</v>
      </c>
      <c r="O248" s="85" t="str">
        <f>Tabela1[[#This Row],[Pré CK MB U/L]]</f>
        <v>-</v>
      </c>
      <c r="P248" s="85">
        <f>Tabela1[[#This Row],[Pós CK MB U/L]]</f>
        <v>11</v>
      </c>
      <c r="Q248" s="85" t="str">
        <f>Tabela1[[#This Row],[Pré Lactato (mmol/L)]]</f>
        <v>-</v>
      </c>
      <c r="R248" s="85">
        <f>Tabela1[[#This Row],[Pós Lactato (mmol/L)]]</f>
        <v>1.4</v>
      </c>
      <c r="S248" s="85" t="str">
        <f>Tabela1[[#This Row],[Pré LDH (U/L)]]</f>
        <v>-</v>
      </c>
      <c r="T248" s="85">
        <f>Tabela1[[#This Row],[Pós LDH (U/L)]]</f>
        <v>183</v>
      </c>
      <c r="U248" s="85" t="str">
        <f>Tabela1[[#This Row],[Pré AST (U/L)]]</f>
        <v>-</v>
      </c>
      <c r="V248" s="193">
        <f>Tabela1[[#This Row],[Pós AST (U/L)]]</f>
        <v>27</v>
      </c>
      <c r="W248" s="194">
        <f>Tabela1[[#This Row],[Pré Albumina (g/dL)]]</f>
        <v>4.5999999999999996</v>
      </c>
      <c r="X248" s="125">
        <f>Tabela1[[#This Row],[Pós Albumina (g/dL)]]</f>
        <v>3.6</v>
      </c>
      <c r="Y248" s="85" t="str">
        <f>Tabela1[[#This Row],[Pré TGP (g/dL)]]</f>
        <v>-</v>
      </c>
      <c r="Z248" s="85">
        <f>Tabela1[[#This Row],[Pós TGP (g/dL)]]</f>
        <v>20</v>
      </c>
      <c r="AA248" s="85" t="str">
        <f>Tabela1[[#This Row],[Pré GGT U/L]]</f>
        <v>-</v>
      </c>
      <c r="AB248" s="193">
        <f>Tabela1[[#This Row],[Pós GGT U/L]]</f>
        <v>26</v>
      </c>
      <c r="AC248" s="194">
        <f>Tabela1[[#This Row],[Pré Ac. Úrico (mg/dL)]]</f>
        <v>2.6</v>
      </c>
      <c r="AD248" s="125">
        <f>Tabela1[[#This Row],[Pós Ac. Úrico (mg/dL)2]]</f>
        <v>3.8</v>
      </c>
      <c r="AE24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24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48" s="85">
        <f>Tabela1[[#This Row],[Pré Ureia mg/dL]]</f>
        <v>56</v>
      </c>
      <c r="AH248" s="85">
        <f>Tabela1[[#This Row],[Pós Ureia mg/dL]]</f>
        <v>35</v>
      </c>
      <c r="AI248" s="125">
        <f>Tabela1[[#This Row],[Pré creatinina mg/dL]]</f>
        <v>1.1000000000000001</v>
      </c>
      <c r="AJ248" s="125">
        <f>Tabela1[[#This Row],[Pós creatinina mg/dL]]</f>
        <v>0.9</v>
      </c>
      <c r="AK248" s="180">
        <f t="shared" si="12"/>
        <v>0</v>
      </c>
      <c r="AL248" s="125">
        <f>Tabela1[[#This Row],[Pré Fósforo mg/dL]]</f>
        <v>4.3</v>
      </c>
      <c r="AM248" s="125">
        <f>Tabela1[[#This Row],[Pós Fósforo mg/dL]]</f>
        <v>3.7</v>
      </c>
      <c r="AN248" s="125" t="str">
        <f>Tabela1[[#This Row],[Pré Proteína Total (g/dL)]]</f>
        <v>-</v>
      </c>
      <c r="AO248" s="125">
        <f>Tabela1[[#This Row],[Pós Proteína Total (g/dL)]]</f>
        <v>6.3</v>
      </c>
      <c r="AP248" s="85" t="str">
        <f>Tabela1[[#This Row],[Pré FE (ug/dL)]]</f>
        <v>-</v>
      </c>
      <c r="AQ248" s="193">
        <f>Tabela1[[#This Row],[Pós FE (ug/dL)]]</f>
        <v>55</v>
      </c>
      <c r="AR248" s="194">
        <f>Tabela1[[#This Row],[Pré calcio mg/dL]]</f>
        <v>9.3000000000000007</v>
      </c>
      <c r="AS248" s="125">
        <f>Tabela1[[#This Row],[Pós calcio mg/dL]]</f>
        <v>8.1</v>
      </c>
      <c r="AT248" s="125">
        <f>Tabela1[[#This Row],[Pré Potássio mmol/L]]</f>
        <v>4.2</v>
      </c>
      <c r="AU248" s="125">
        <f>Tabela1[[#This Row],[Pós Potássio mmol/L]]</f>
        <v>4</v>
      </c>
      <c r="AV248" s="85" t="str">
        <f>Tabela1[[#This Row],[Glicose pré]]</f>
        <v>-</v>
      </c>
      <c r="AW248" s="85">
        <f>Tabela1[[#This Row],[Glicose pós]]</f>
        <v>77</v>
      </c>
      <c r="AX248" s="85" t="str">
        <f>Tabela1[[#This Row],[Pré Sódio mmol/L]]</f>
        <v>-</v>
      </c>
      <c r="AY248" s="85">
        <f>Tabela1[[#This Row],[Pós Sódio mmol/L]]</f>
        <v>129</v>
      </c>
      <c r="AZ248" s="125" t="str">
        <f>Tabela1[[#This Row],[Pré Magnésio mg/dL]]</f>
        <v>-</v>
      </c>
      <c r="BA248" s="125">
        <f>Tabela1[[#This Row],[Pós Magnésio mg/dL]]</f>
        <v>2</v>
      </c>
      <c r="BB248" s="85" t="str">
        <f>Tabela1[[#This Row],[Pré Cloro mmol/L]]</f>
        <v>-</v>
      </c>
      <c r="BC248" s="85">
        <f>Tabela1[[#This Row],[Pós Cloro mmol/L]]</f>
        <v>93</v>
      </c>
      <c r="BD248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24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272.13277777777779</v>
      </c>
      <c r="BF248" s="194">
        <f>Tabela1[[#This Row],[Pré RBC 10^6/mm³]]</f>
        <v>4.5999999999999996</v>
      </c>
      <c r="BG248" s="125">
        <f>Tabela1[[#This Row],[Pós RBC 10^6/mm³]]</f>
        <v>4.83</v>
      </c>
      <c r="BH248" s="125">
        <f>Tabela1[[#This Row],[Pré HGB g/dL]]</f>
        <v>13.4</v>
      </c>
      <c r="BI248" s="125">
        <f>Tabela1[[#This Row],[Pós HGB g/dL]]</f>
        <v>14.2</v>
      </c>
      <c r="BJ248" s="125">
        <f>Tabela1[[#This Row],[Pré HCT %]]</f>
        <v>41.7</v>
      </c>
      <c r="BK248" s="125">
        <f>Tabela1[[#This Row],[Pós HCT %]]</f>
        <v>42.8</v>
      </c>
      <c r="BL248" s="125">
        <f>Tabela1[[#This Row],[Pré MCV fL]]</f>
        <v>91.2</v>
      </c>
      <c r="BM248" s="125">
        <f>Tabela1[[#This Row],[Pós MCV fL]]</f>
        <v>88</v>
      </c>
      <c r="BN248" s="125">
        <f>Tabela1[[#This Row],[Pré MCH pg]]</f>
        <v>29.3</v>
      </c>
      <c r="BO248" s="125">
        <f>Tabela1[[#This Row],[Pós MCH pg]]</f>
        <v>29.4</v>
      </c>
      <c r="BP248" s="125">
        <f>Tabela1[[#This Row],[Pré MCHC g/dL]]</f>
        <v>32.1</v>
      </c>
      <c r="BQ248" s="125">
        <f>Tabela1[[#This Row],[Pós MCHC g/dL]]</f>
        <v>33.200000000000003</v>
      </c>
      <c r="BR248" s="85">
        <f>Tabela1[[#This Row],[Pré PLT 10³/mm³]]</f>
        <v>244</v>
      </c>
      <c r="BS248" s="85">
        <f>Tabela1[[#This Row],[Pós PLT 10³/mm³]]</f>
        <v>258</v>
      </c>
      <c r="BT248" s="125">
        <f>Tabela1[[#This Row],[Pré RDW %]]</f>
        <v>14.9</v>
      </c>
      <c r="BU248" s="125">
        <f>Tabela1[[#This Row],[Pós RDW %]]</f>
        <v>14.2</v>
      </c>
      <c r="BV248" s="179" t="str">
        <f>Tabela1[[#This Row],[Pré RET %]]</f>
        <v>-</v>
      </c>
      <c r="BW248" s="196" t="str">
        <f>Tabela1[[#This Row],[Pós RET %]]</f>
        <v>-</v>
      </c>
      <c r="BX248" s="197">
        <f>Tabela1[[#This Row],[Pré WBC 10³/mm³]]</f>
        <v>10.19</v>
      </c>
      <c r="BY248" s="179">
        <f>Tabela1[[#This Row],[Pós WBC 10³/mm³]]</f>
        <v>9.6</v>
      </c>
      <c r="BZ248" s="125">
        <f>Tabela1[[#This Row],[Pré NEUT %]]</f>
        <v>73</v>
      </c>
      <c r="CA248" s="125">
        <f>Tabela1[[#This Row],[Pós NEUT %]]</f>
        <v>68.8</v>
      </c>
      <c r="CB248" s="125">
        <f>Tabela1[[#This Row],[Pré LINF %]]</f>
        <v>15</v>
      </c>
      <c r="CC248" s="125">
        <f>Tabela1[[#This Row],[Pós LINF %]]</f>
        <v>18.600000000000001</v>
      </c>
      <c r="CD248" s="125">
        <f>Tabela1[[#This Row],[Pré MONO %]]</f>
        <v>9</v>
      </c>
      <c r="CE248" s="125">
        <f>Tabela1[[#This Row],[Pós MONO %]]</f>
        <v>9.3000000000000007</v>
      </c>
      <c r="CF248" s="125">
        <f>Tabela1[[#This Row],[Pré EOS %]]</f>
        <v>3</v>
      </c>
      <c r="CG248" s="125">
        <f>Tabela1[[#This Row],[Pós EOS %]]</f>
        <v>2.8</v>
      </c>
      <c r="CH248" s="125">
        <f>Tabela1[[#This Row],[Pré BASO %]]</f>
        <v>0</v>
      </c>
      <c r="CI248" s="198">
        <f>Tabela1[[#This Row],[Pós BASO %]]</f>
        <v>0.5</v>
      </c>
      <c r="CJ248" s="199" t="str">
        <f t="shared" si="13"/>
        <v>NÃO</v>
      </c>
      <c r="CK248" s="200" t="str">
        <f t="shared" si="14"/>
        <v>NÃO</v>
      </c>
      <c r="CL248" s="194">
        <f t="shared" si="15"/>
        <v>66.237339999999989</v>
      </c>
      <c r="CM248" s="125">
        <f>Tabela1[[#This Row],[MCT KG]]</f>
        <v>74.599999999999994</v>
      </c>
      <c r="CN248" s="85">
        <f>Tabela1[[#This Row],[ESTATURA]]</f>
        <v>178.5</v>
      </c>
      <c r="CO248" s="85">
        <f>Tabela1[[#This Row],[vo2max estimado]]</f>
        <v>50</v>
      </c>
      <c r="CP248" s="85">
        <f>Tabela1[[#This Row],[Handgrip     Dominante]]</f>
        <v>62</v>
      </c>
      <c r="CQ248" s="85">
        <f>Tabela1[[#This Row],[Handgrip Contrário]]</f>
        <v>58</v>
      </c>
      <c r="CR248" s="281">
        <f>Tabela1[[#This Row],[% gordura]]</f>
        <v>11.21</v>
      </c>
    </row>
    <row r="249" spans="1:96" ht="15.75" customHeight="1">
      <c r="A249" s="279">
        <f>Tabela1[[#This Row],[Ano]]</f>
        <v>2019</v>
      </c>
      <c r="B249" s="181" t="str">
        <f>Tabela1[[#This Row],[Missão]]</f>
        <v>Manaus</v>
      </c>
      <c r="C249" s="181">
        <f>Tabela1[[#This Row],[Aluno]]</f>
        <v>3216</v>
      </c>
      <c r="D249" s="181">
        <f>Tabela1[[#This Row],[Idade]]</f>
        <v>32</v>
      </c>
      <c r="E249" s="182">
        <f>Tabela1[[#This Row],[Peso Kg]]</f>
        <v>0</v>
      </c>
      <c r="F249" s="191">
        <f>Tabela1[[#This Row],[Cor da pele]]</f>
        <v>1</v>
      </c>
      <c r="G249" s="192" t="str">
        <f>Tabela1[[#This Row],[ACTN3]]</f>
        <v>RR</v>
      </c>
      <c r="H249" s="85" t="str">
        <f>Tabela1[[#This Row],[AGT]]</f>
        <v>MM</v>
      </c>
      <c r="I249" s="85" t="str">
        <f>Tabela1[[#This Row],[ECA]]</f>
        <v>ID</v>
      </c>
      <c r="J249" s="85" t="str">
        <f>Tabela1[[#This Row],[BDKRB2]]</f>
        <v>(+9,-9)</v>
      </c>
      <c r="K249" s="85">
        <f>Tabela1[[#This Row],[Score Força%]]</f>
        <v>50</v>
      </c>
      <c r="L249" s="193">
        <f>Tabela1[[#This Row],[Score Resistência %]]</f>
        <v>50</v>
      </c>
      <c r="M249" s="192">
        <f>Tabela1[[#This Row],[Pré CK (U/L)]]</f>
        <v>155</v>
      </c>
      <c r="N249" s="85">
        <f>Tabela1[[#This Row],[Pós CK (U/L)]]</f>
        <v>359</v>
      </c>
      <c r="O249" s="85" t="str">
        <f>Tabela1[[#This Row],[Pré CK MB U/L]]</f>
        <v>-</v>
      </c>
      <c r="P249" s="85">
        <f>Tabela1[[#This Row],[Pós CK MB U/L]]</f>
        <v>24</v>
      </c>
      <c r="Q249" s="85" t="str">
        <f>Tabela1[[#This Row],[Pré Lactato (mmol/L)]]</f>
        <v>-</v>
      </c>
      <c r="R249" s="85">
        <f>Tabela1[[#This Row],[Pós Lactato (mmol/L)]]</f>
        <v>2</v>
      </c>
      <c r="S249" s="85" t="str">
        <f>Tabela1[[#This Row],[Pré LDH (U/L)]]</f>
        <v>-</v>
      </c>
      <c r="T249" s="85">
        <f>Tabela1[[#This Row],[Pós LDH (U/L)]]</f>
        <v>244</v>
      </c>
      <c r="U249" s="85" t="str">
        <f>Tabela1[[#This Row],[Pré AST (U/L)]]</f>
        <v>-</v>
      </c>
      <c r="V249" s="193">
        <f>Tabela1[[#This Row],[Pós AST (U/L)]]</f>
        <v>35</v>
      </c>
      <c r="W249" s="194">
        <f>Tabela1[[#This Row],[Pré Albumina (g/dL)]]</f>
        <v>4.5999999999999996</v>
      </c>
      <c r="X249" s="125">
        <f>Tabela1[[#This Row],[Pós Albumina (g/dL)]]</f>
        <v>4</v>
      </c>
      <c r="Y249" s="85" t="str">
        <f>Tabela1[[#This Row],[Pré TGP (g/dL)]]</f>
        <v>-</v>
      </c>
      <c r="Z249" s="85">
        <f>Tabela1[[#This Row],[Pós TGP (g/dL)]]</f>
        <v>23</v>
      </c>
      <c r="AA249" s="85" t="str">
        <f>Tabela1[[#This Row],[Pré GGT U/L]]</f>
        <v>-</v>
      </c>
      <c r="AB249" s="193">
        <f>Tabela1[[#This Row],[Pós GGT U/L]]</f>
        <v>28</v>
      </c>
      <c r="AC249" s="194">
        <f>Tabela1[[#This Row],[Pré Ac. Úrico (mg/dL)]]</f>
        <v>5.2</v>
      </c>
      <c r="AD249" s="125">
        <f>Tabela1[[#This Row],[Pós Ac. Úrico (mg/dL)2]]</f>
        <v>6.3</v>
      </c>
      <c r="AE24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4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249" s="85">
        <f>Tabela1[[#This Row],[Pré Ureia mg/dL]]</f>
        <v>44</v>
      </c>
      <c r="AH249" s="85">
        <f>Tabela1[[#This Row],[Pós Ureia mg/dL]]</f>
        <v>37</v>
      </c>
      <c r="AI249" s="125">
        <f>Tabela1[[#This Row],[Pré creatinina mg/dL]]</f>
        <v>1</v>
      </c>
      <c r="AJ249" s="125">
        <f>Tabela1[[#This Row],[Pós creatinina mg/dL]]</f>
        <v>0.8</v>
      </c>
      <c r="AK249" s="180">
        <f t="shared" si="12"/>
        <v>0</v>
      </c>
      <c r="AL249" s="125">
        <f>Tabela1[[#This Row],[Pré Fósforo mg/dL]]</f>
        <v>3.4</v>
      </c>
      <c r="AM249" s="125">
        <f>Tabela1[[#This Row],[Pós Fósforo mg/dL]]</f>
        <v>3.1</v>
      </c>
      <c r="AN249" s="125" t="str">
        <f>Tabela1[[#This Row],[Pré Proteína Total (g/dL)]]</f>
        <v>-</v>
      </c>
      <c r="AO249" s="125">
        <f>Tabela1[[#This Row],[Pós Proteína Total (g/dL)]]</f>
        <v>6.9</v>
      </c>
      <c r="AP249" s="85" t="str">
        <f>Tabela1[[#This Row],[Pré FE (ug/dL)]]</f>
        <v>-</v>
      </c>
      <c r="AQ249" s="193">
        <f>Tabela1[[#This Row],[Pós FE (ug/dL)]]</f>
        <v>75</v>
      </c>
      <c r="AR249" s="194">
        <f>Tabela1[[#This Row],[Pré calcio mg/dL]]</f>
        <v>9.6</v>
      </c>
      <c r="AS249" s="125">
        <f>Tabela1[[#This Row],[Pós calcio mg/dL]]</f>
        <v>9.1</v>
      </c>
      <c r="AT249" s="125">
        <f>Tabela1[[#This Row],[Pré Potássio mmol/L]]</f>
        <v>5.0999999999999996</v>
      </c>
      <c r="AU249" s="125">
        <f>Tabela1[[#This Row],[Pós Potássio mmol/L]]</f>
        <v>4</v>
      </c>
      <c r="AV249" s="85" t="str">
        <f>Tabela1[[#This Row],[Glicose pré]]</f>
        <v>-</v>
      </c>
      <c r="AW249" s="85">
        <f>Tabela1[[#This Row],[Glicose pós]]</f>
        <v>114</v>
      </c>
      <c r="AX249" s="85" t="str">
        <f>Tabela1[[#This Row],[Pré Sódio mmol/L]]</f>
        <v>-</v>
      </c>
      <c r="AY249" s="85">
        <f>Tabela1[[#This Row],[Pós Sódio mmol/L]]</f>
        <v>140</v>
      </c>
      <c r="AZ249" s="125" t="str">
        <f>Tabela1[[#This Row],[Pré Magnésio mg/dL]]</f>
        <v>-</v>
      </c>
      <c r="BA249" s="125">
        <f>Tabela1[[#This Row],[Pós Magnésio mg/dL]]</f>
        <v>2.2000000000000002</v>
      </c>
      <c r="BB249" s="85" t="str">
        <f>Tabela1[[#This Row],[Pré Cloro mmol/L]]</f>
        <v>-</v>
      </c>
      <c r="BC249" s="85">
        <f>Tabela1[[#This Row],[Pós Cloro mmol/L]]</f>
        <v>103</v>
      </c>
      <c r="BD249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24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295.29000000000008</v>
      </c>
      <c r="BF249" s="194">
        <f>Tabela1[[#This Row],[Pré RBC 10^6/mm³]]</f>
        <v>4.8899999999999997</v>
      </c>
      <c r="BG249" s="125">
        <f>Tabela1[[#This Row],[Pós RBC 10^6/mm³]]</f>
        <v>4.8899999999999997</v>
      </c>
      <c r="BH249" s="125">
        <f>Tabela1[[#This Row],[Pré HGB g/dL]]</f>
        <v>15.1</v>
      </c>
      <c r="BI249" s="125">
        <f>Tabela1[[#This Row],[Pós HGB g/dL]]</f>
        <v>15.1</v>
      </c>
      <c r="BJ249" s="125">
        <f>Tabela1[[#This Row],[Pré HCT %]]</f>
        <v>46.1</v>
      </c>
      <c r="BK249" s="125">
        <f>Tabela1[[#This Row],[Pós HCT %]]</f>
        <v>45.2</v>
      </c>
      <c r="BL249" s="125">
        <f>Tabela1[[#This Row],[Pré MCV fL]]</f>
        <v>94.3</v>
      </c>
      <c r="BM249" s="125">
        <f>Tabela1[[#This Row],[Pós MCV fL]]</f>
        <v>92.4</v>
      </c>
      <c r="BN249" s="125">
        <f>Tabela1[[#This Row],[Pré MCH pg]]</f>
        <v>30.9</v>
      </c>
      <c r="BO249" s="125">
        <f>Tabela1[[#This Row],[Pós MCH pg]]</f>
        <v>30.9</v>
      </c>
      <c r="BP249" s="125">
        <f>Tabela1[[#This Row],[Pré MCHC g/dL]]</f>
        <v>32.799999999999997</v>
      </c>
      <c r="BQ249" s="125">
        <f>Tabela1[[#This Row],[Pós MCHC g/dL]]</f>
        <v>33.4</v>
      </c>
      <c r="BR249" s="85">
        <f>Tabela1[[#This Row],[Pré PLT 10³/mm³]]</f>
        <v>205</v>
      </c>
      <c r="BS249" s="85">
        <f>Tabela1[[#This Row],[Pós PLT 10³/mm³]]</f>
        <v>205</v>
      </c>
      <c r="BT249" s="125">
        <f>Tabela1[[#This Row],[Pré RDW %]]</f>
        <v>12.5</v>
      </c>
      <c r="BU249" s="125">
        <f>Tabela1[[#This Row],[Pós RDW %]]</f>
        <v>12.5</v>
      </c>
      <c r="BV249" s="179" t="str">
        <f>Tabela1[[#This Row],[Pré RET %]]</f>
        <v>-</v>
      </c>
      <c r="BW249" s="196" t="str">
        <f>Tabela1[[#This Row],[Pós RET %]]</f>
        <v>-</v>
      </c>
      <c r="BX249" s="197">
        <f>Tabela1[[#This Row],[Pré WBC 10³/mm³]]</f>
        <v>8.61</v>
      </c>
      <c r="BY249" s="179">
        <f>Tabela1[[#This Row],[Pós WBC 10³/mm³]]</f>
        <v>9.85</v>
      </c>
      <c r="BZ249" s="125">
        <f>Tabela1[[#This Row],[Pré NEUT %]]</f>
        <v>74.599999999999994</v>
      </c>
      <c r="CA249" s="125">
        <f>Tabela1[[#This Row],[Pós NEUT %]]</f>
        <v>71.7</v>
      </c>
      <c r="CB249" s="125">
        <f>Tabela1[[#This Row],[Pré LINF %]]</f>
        <v>14.2</v>
      </c>
      <c r="CC249" s="125">
        <f>Tabela1[[#This Row],[Pós LINF %]]</f>
        <v>17.3</v>
      </c>
      <c r="CD249" s="125">
        <f>Tabela1[[#This Row],[Pré MONO %]]</f>
        <v>5.7</v>
      </c>
      <c r="CE249" s="125">
        <f>Tabela1[[#This Row],[Pós MONO %]]</f>
        <v>5.8</v>
      </c>
      <c r="CF249" s="125">
        <f>Tabela1[[#This Row],[Pré EOS %]]</f>
        <v>4.9000000000000004</v>
      </c>
      <c r="CG249" s="125">
        <f>Tabela1[[#This Row],[Pós EOS %]]</f>
        <v>5</v>
      </c>
      <c r="CH249" s="125">
        <f>Tabela1[[#This Row],[Pré BASO %]]</f>
        <v>0.6</v>
      </c>
      <c r="CI249" s="198">
        <f>Tabela1[[#This Row],[Pós BASO %]]</f>
        <v>0.2</v>
      </c>
      <c r="CJ249" s="199" t="str">
        <f t="shared" si="13"/>
        <v>NÃO</v>
      </c>
      <c r="CK249" s="200" t="str">
        <f t="shared" si="14"/>
        <v>NÃO</v>
      </c>
      <c r="CL249" s="194">
        <f t="shared" si="15"/>
        <v>65.387150000000005</v>
      </c>
      <c r="CM249" s="125">
        <f>Tabela1[[#This Row],[MCT KG]]</f>
        <v>70.75</v>
      </c>
      <c r="CN249" s="85">
        <f>Tabela1[[#This Row],[ESTATURA]]</f>
        <v>181.5</v>
      </c>
      <c r="CO249" s="85">
        <f>Tabela1[[#This Row],[vo2max estimado]]</f>
        <v>54.55</v>
      </c>
      <c r="CP249" s="85">
        <f>Tabela1[[#This Row],[Handgrip     Dominante]]</f>
        <v>50</v>
      </c>
      <c r="CQ249" s="85">
        <f>Tabela1[[#This Row],[Handgrip Contrário]]</f>
        <v>42</v>
      </c>
      <c r="CR249" s="281">
        <f>Tabela1[[#This Row],[% gordura]]</f>
        <v>7.58</v>
      </c>
    </row>
    <row r="250" spans="1:96" ht="15.75" customHeight="1">
      <c r="A250" s="279">
        <f>Tabela1[[#This Row],[Ano]]</f>
        <v>2019</v>
      </c>
      <c r="B250" s="181" t="str">
        <f>Tabela1[[#This Row],[Missão]]</f>
        <v>Manaus</v>
      </c>
      <c r="C250" s="181">
        <f>Tabela1[[#This Row],[Aluno]]</f>
        <v>3222</v>
      </c>
      <c r="D250" s="181">
        <f>Tabela1[[#This Row],[Idade]]</f>
        <v>28</v>
      </c>
      <c r="E250" s="182">
        <f>Tabela1[[#This Row],[Peso Kg]]</f>
        <v>0</v>
      </c>
      <c r="F250" s="191">
        <f>Tabela1[[#This Row],[Cor da pele]]</f>
        <v>1</v>
      </c>
      <c r="G250" s="192" t="str">
        <f>Tabela1[[#This Row],[ACTN3]]</f>
        <v>RR</v>
      </c>
      <c r="H250" s="85" t="str">
        <f>Tabela1[[#This Row],[AGT]]</f>
        <v>MT</v>
      </c>
      <c r="I250" s="85" t="str">
        <f>Tabela1[[#This Row],[ECA]]</f>
        <v>ID</v>
      </c>
      <c r="J250" s="85" t="str">
        <f>Tabela1[[#This Row],[BDKRB2]]</f>
        <v>(-9,-9)</v>
      </c>
      <c r="K250" s="85">
        <f>Tabela1[[#This Row],[Score Força%]]</f>
        <v>50</v>
      </c>
      <c r="L250" s="193">
        <f>Tabela1[[#This Row],[Score Resistência %]]</f>
        <v>50</v>
      </c>
      <c r="M250" s="192">
        <f>Tabela1[[#This Row],[Pré CK (U/L)]]</f>
        <v>121</v>
      </c>
      <c r="N250" s="85">
        <f>Tabela1[[#This Row],[Pós CK (U/L)]]</f>
        <v>86</v>
      </c>
      <c r="O250" s="85" t="str">
        <f>Tabela1[[#This Row],[Pré CK MB U/L]]</f>
        <v>-</v>
      </c>
      <c r="P250" s="85">
        <f>Tabela1[[#This Row],[Pós CK MB U/L]]</f>
        <v>4</v>
      </c>
      <c r="Q250" s="85" t="str">
        <f>Tabela1[[#This Row],[Pré Lactato (mmol/L)]]</f>
        <v>-</v>
      </c>
      <c r="R250" s="85">
        <f>Tabela1[[#This Row],[Pós Lactato (mmol/L)]]</f>
        <v>2.7</v>
      </c>
      <c r="S250" s="85" t="str">
        <f>Tabela1[[#This Row],[Pré LDH (U/L)]]</f>
        <v>-</v>
      </c>
      <c r="T250" s="85">
        <f>Tabela1[[#This Row],[Pós LDH (U/L)]]</f>
        <v>227</v>
      </c>
      <c r="U250" s="85" t="str">
        <f>Tabela1[[#This Row],[Pré AST (U/L)]]</f>
        <v>-</v>
      </c>
      <c r="V250" s="193">
        <f>Tabela1[[#This Row],[Pós AST (U/L)]]</f>
        <v>23</v>
      </c>
      <c r="W250" s="194">
        <f>Tabela1[[#This Row],[Pré Albumina (g/dL)]]</f>
        <v>4.5999999999999996</v>
      </c>
      <c r="X250" s="125">
        <f>Tabela1[[#This Row],[Pós Albumina (g/dL)]]</f>
        <v>4</v>
      </c>
      <c r="Y250" s="85" t="str">
        <f>Tabela1[[#This Row],[Pré TGP (g/dL)]]</f>
        <v>-</v>
      </c>
      <c r="Z250" s="85">
        <f>Tabela1[[#This Row],[Pós TGP (g/dL)]]</f>
        <v>15</v>
      </c>
      <c r="AA250" s="85" t="str">
        <f>Tabela1[[#This Row],[Pré GGT U/L]]</f>
        <v>-</v>
      </c>
      <c r="AB250" s="193">
        <f>Tabela1[[#This Row],[Pós GGT U/L]]</f>
        <v>16</v>
      </c>
      <c r="AC250" s="194">
        <f>Tabela1[[#This Row],[Pré Ac. Úrico (mg/dL)]]</f>
        <v>4.4000000000000004</v>
      </c>
      <c r="AD250" s="125">
        <f>Tabela1[[#This Row],[Pós Ac. Úrico (mg/dL)2]]</f>
        <v>5</v>
      </c>
      <c r="AE25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25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50" s="85">
        <f>Tabela1[[#This Row],[Pré Ureia mg/dL]]</f>
        <v>39</v>
      </c>
      <c r="AH250" s="85">
        <f>Tabela1[[#This Row],[Pós Ureia mg/dL]]</f>
        <v>39</v>
      </c>
      <c r="AI250" s="125">
        <f>Tabela1[[#This Row],[Pré creatinina mg/dL]]</f>
        <v>1.1000000000000001</v>
      </c>
      <c r="AJ250" s="125">
        <f>Tabela1[[#This Row],[Pós creatinina mg/dL]]</f>
        <v>0.9</v>
      </c>
      <c r="AK250" s="180">
        <f t="shared" si="12"/>
        <v>0</v>
      </c>
      <c r="AL250" s="125">
        <f>Tabela1[[#This Row],[Pré Fósforo mg/dL]]</f>
        <v>4.5</v>
      </c>
      <c r="AM250" s="125">
        <f>Tabela1[[#This Row],[Pós Fósforo mg/dL]]</f>
        <v>2.9</v>
      </c>
      <c r="AN250" s="125" t="str">
        <f>Tabela1[[#This Row],[Pré Proteína Total (g/dL)]]</f>
        <v>-</v>
      </c>
      <c r="AO250" s="125">
        <f>Tabela1[[#This Row],[Pós Proteína Total (g/dL)]]</f>
        <v>6.7</v>
      </c>
      <c r="AP250" s="85" t="str">
        <f>Tabela1[[#This Row],[Pré FE (ug/dL)]]</f>
        <v>-</v>
      </c>
      <c r="AQ250" s="193">
        <f>Tabela1[[#This Row],[Pós FE (ug/dL)]]</f>
        <v>10</v>
      </c>
      <c r="AR250" s="194">
        <f>Tabela1[[#This Row],[Pré calcio mg/dL]]</f>
        <v>8.8000000000000007</v>
      </c>
      <c r="AS250" s="125">
        <f>Tabela1[[#This Row],[Pós calcio mg/dL]]</f>
        <v>8.8000000000000007</v>
      </c>
      <c r="AT250" s="125">
        <f>Tabela1[[#This Row],[Pré Potássio mmol/L]]</f>
        <v>4.5</v>
      </c>
      <c r="AU250" s="125">
        <f>Tabela1[[#This Row],[Pós Potássio mmol/L]]</f>
        <v>4.3</v>
      </c>
      <c r="AV250" s="85" t="str">
        <f>Tabela1[[#This Row],[Glicose pré]]</f>
        <v>-</v>
      </c>
      <c r="AW250" s="85">
        <f>Tabela1[[#This Row],[Glicose pós]]</f>
        <v>117</v>
      </c>
      <c r="AX250" s="85" t="str">
        <f>Tabela1[[#This Row],[Pré Sódio mmol/L]]</f>
        <v>-</v>
      </c>
      <c r="AY250" s="85">
        <f>Tabela1[[#This Row],[Pós Sódio mmol/L]]</f>
        <v>138</v>
      </c>
      <c r="AZ250" s="125" t="str">
        <f>Tabela1[[#This Row],[Pré Magnésio mg/dL]]</f>
        <v>-</v>
      </c>
      <c r="BA250" s="125">
        <f>Tabela1[[#This Row],[Pós Magnésio mg/dL]]</f>
        <v>2.2999999999999998</v>
      </c>
      <c r="BB250" s="85" t="str">
        <f>Tabela1[[#This Row],[Pré Cloro mmol/L]]</f>
        <v>-</v>
      </c>
      <c r="BC250" s="85">
        <f>Tabela1[[#This Row],[Pós Cloro mmol/L]]</f>
        <v>102</v>
      </c>
      <c r="BD250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25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292.65300000000008</v>
      </c>
      <c r="BF250" s="194">
        <f>Tabela1[[#This Row],[Pré RBC 10^6/mm³]]</f>
        <v>4.3600000000000003</v>
      </c>
      <c r="BG250" s="125">
        <f>Tabela1[[#This Row],[Pós RBC 10^6/mm³]]</f>
        <v>4.4000000000000004</v>
      </c>
      <c r="BH250" s="125">
        <f>Tabela1[[#This Row],[Pré HGB g/dL]]</f>
        <v>12.5</v>
      </c>
      <c r="BI250" s="125">
        <f>Tabela1[[#This Row],[Pós HGB g/dL]]</f>
        <v>12.7</v>
      </c>
      <c r="BJ250" s="125">
        <f>Tabela1[[#This Row],[Pré HCT %]]</f>
        <v>98.5</v>
      </c>
      <c r="BK250" s="125">
        <f>Tabela1[[#This Row],[Pós HCT %]]</f>
        <v>38.5</v>
      </c>
      <c r="BL250" s="125">
        <f>Tabela1[[#This Row],[Pré MCV fL]]</f>
        <v>88.3</v>
      </c>
      <c r="BM250" s="125">
        <f>Tabela1[[#This Row],[Pós MCV fL]]</f>
        <v>87.1</v>
      </c>
      <c r="BN250" s="125">
        <f>Tabela1[[#This Row],[Pré MCH pg]]</f>
        <v>28.7</v>
      </c>
      <c r="BO250" s="125">
        <f>Tabela1[[#This Row],[Pós MCH pg]]</f>
        <v>28.7</v>
      </c>
      <c r="BP250" s="125">
        <f>Tabela1[[#This Row],[Pré MCHC g/dL]]</f>
        <v>32.5</v>
      </c>
      <c r="BQ250" s="125">
        <f>Tabela1[[#This Row],[Pós MCHC g/dL]]</f>
        <v>33</v>
      </c>
      <c r="BR250" s="85">
        <f>Tabela1[[#This Row],[Pré PLT 10³/mm³]]</f>
        <v>315</v>
      </c>
      <c r="BS250" s="85">
        <f>Tabela1[[#This Row],[Pós PLT 10³/mm³]]</f>
        <v>304</v>
      </c>
      <c r="BT250" s="125">
        <f>Tabela1[[#This Row],[Pré RDW %]]</f>
        <v>13.2</v>
      </c>
      <c r="BU250" s="125">
        <f>Tabela1[[#This Row],[Pós RDW %]]</f>
        <v>13.2</v>
      </c>
      <c r="BV250" s="179" t="str">
        <f>Tabela1[[#This Row],[Pré RET %]]</f>
        <v>-</v>
      </c>
      <c r="BW250" s="196" t="str">
        <f>Tabela1[[#This Row],[Pós RET %]]</f>
        <v>-</v>
      </c>
      <c r="BX250" s="197">
        <f>Tabela1[[#This Row],[Pré WBC 10³/mm³]]</f>
        <v>6.32</v>
      </c>
      <c r="BY250" s="179">
        <f>Tabela1[[#This Row],[Pós WBC 10³/mm³]]</f>
        <v>9.43</v>
      </c>
      <c r="BZ250" s="125">
        <f>Tabela1[[#This Row],[Pré NEUT %]]</f>
        <v>64.7</v>
      </c>
      <c r="CA250" s="125">
        <f>Tabela1[[#This Row],[Pós NEUT %]]</f>
        <v>75</v>
      </c>
      <c r="CB250" s="125">
        <f>Tabela1[[#This Row],[Pré LINF %]]</f>
        <v>21.7</v>
      </c>
      <c r="CC250" s="125">
        <f>Tabela1[[#This Row],[Pós LINF %]]</f>
        <v>16</v>
      </c>
      <c r="CD250" s="125">
        <f>Tabela1[[#This Row],[Pré MONO %]]</f>
        <v>10.6</v>
      </c>
      <c r="CE250" s="125">
        <f>Tabela1[[#This Row],[Pós MONO %]]</f>
        <v>8</v>
      </c>
      <c r="CF250" s="125">
        <f>Tabela1[[#This Row],[Pré EOS %]]</f>
        <v>2.2000000000000002</v>
      </c>
      <c r="CG250" s="125">
        <f>Tabela1[[#This Row],[Pós EOS %]]</f>
        <v>1</v>
      </c>
      <c r="CH250" s="125">
        <f>Tabela1[[#This Row],[Pré BASO %]]</f>
        <v>0.8</v>
      </c>
      <c r="CI250" s="198">
        <f>Tabela1[[#This Row],[Pós BASO %]]</f>
        <v>0</v>
      </c>
      <c r="CJ250" s="199" t="str">
        <f t="shared" si="13"/>
        <v>NÃO</v>
      </c>
      <c r="CK250" s="200" t="str">
        <f t="shared" si="14"/>
        <v>NÃO</v>
      </c>
      <c r="CL250" s="194">
        <f t="shared" si="15"/>
        <v>56.283344999999997</v>
      </c>
      <c r="CM250" s="125">
        <f>Tabela1[[#This Row],[MCT KG]]</f>
        <v>62.35</v>
      </c>
      <c r="CN250" s="85">
        <f>Tabela1[[#This Row],[ESTATURA]]</f>
        <v>169</v>
      </c>
      <c r="CO250" s="85">
        <f>Tabela1[[#This Row],[vo2max estimado]]</f>
        <v>52.58</v>
      </c>
      <c r="CP250" s="85">
        <f>Tabela1[[#This Row],[Handgrip     Dominante]]</f>
        <v>44</v>
      </c>
      <c r="CQ250" s="85">
        <f>Tabela1[[#This Row],[Handgrip Contrário]]</f>
        <v>38</v>
      </c>
      <c r="CR250" s="281">
        <f>Tabela1[[#This Row],[% gordura]]</f>
        <v>9.73</v>
      </c>
    </row>
    <row r="251" spans="1:96" ht="15.75" customHeight="1">
      <c r="A251" s="279">
        <f>Tabela1[[#This Row],[Ano]]</f>
        <v>2019</v>
      </c>
      <c r="B251" s="181" t="str">
        <f>Tabela1[[#This Row],[Missão]]</f>
        <v>Manaus</v>
      </c>
      <c r="C251" s="181">
        <f>Tabela1[[#This Row],[Aluno]]</f>
        <v>3235</v>
      </c>
      <c r="D251" s="181">
        <f>Tabela1[[#This Row],[Idade]]</f>
        <v>28</v>
      </c>
      <c r="E251" s="182">
        <f>Tabela1[[#This Row],[Peso Kg]]</f>
        <v>0</v>
      </c>
      <c r="F251" s="191">
        <f>Tabela1[[#This Row],[Cor da pele]]</f>
        <v>1</v>
      </c>
      <c r="G251" s="192" t="str">
        <f>Tabela1[[#This Row],[ACTN3]]</f>
        <v>XX</v>
      </c>
      <c r="H251" s="85" t="str">
        <f>Tabela1[[#This Row],[AGT]]</f>
        <v>TT</v>
      </c>
      <c r="I251" s="85" t="str">
        <f>Tabela1[[#This Row],[ECA]]</f>
        <v>DD</v>
      </c>
      <c r="J251" s="85" t="str">
        <f>Tabela1[[#This Row],[BDKRB2]]</f>
        <v>(+9,-9)</v>
      </c>
      <c r="K251" s="85">
        <f>Tabela1[[#This Row],[Score Força%]]</f>
        <v>62.5</v>
      </c>
      <c r="L251" s="193">
        <f>Tabela1[[#This Row],[Score Resistência %]]</f>
        <v>37.5</v>
      </c>
      <c r="M251" s="192">
        <f>Tabela1[[#This Row],[Pré CK (U/L)]]</f>
        <v>179</v>
      </c>
      <c r="N251" s="85">
        <f>Tabela1[[#This Row],[Pós CK (U/L)]]</f>
        <v>118</v>
      </c>
      <c r="O251" s="85" t="str">
        <f>Tabela1[[#This Row],[Pré CK MB U/L]]</f>
        <v>-</v>
      </c>
      <c r="P251" s="85">
        <f>Tabela1[[#This Row],[Pós CK MB U/L]]</f>
        <v>12</v>
      </c>
      <c r="Q251" s="85" t="str">
        <f>Tabela1[[#This Row],[Pré Lactato (mmol/L)]]</f>
        <v>-</v>
      </c>
      <c r="R251" s="85">
        <f>Tabela1[[#This Row],[Pós Lactato (mmol/L)]]</f>
        <v>2.6</v>
      </c>
      <c r="S251" s="85" t="str">
        <f>Tabela1[[#This Row],[Pré LDH (U/L)]]</f>
        <v>-</v>
      </c>
      <c r="T251" s="85">
        <f>Tabela1[[#This Row],[Pós LDH (U/L)]]</f>
        <v>190</v>
      </c>
      <c r="U251" s="85" t="str">
        <f>Tabela1[[#This Row],[Pré AST (U/L)]]</f>
        <v>-</v>
      </c>
      <c r="V251" s="193">
        <f>Tabela1[[#This Row],[Pós AST (U/L)]]</f>
        <v>31</v>
      </c>
      <c r="W251" s="194">
        <f>Tabela1[[#This Row],[Pré Albumina (g/dL)]]</f>
        <v>4.3</v>
      </c>
      <c r="X251" s="125">
        <f>Tabela1[[#This Row],[Pós Albumina (g/dL)]]</f>
        <v>3.9</v>
      </c>
      <c r="Y251" s="85" t="str">
        <f>Tabela1[[#This Row],[Pré TGP (g/dL)]]</f>
        <v>-</v>
      </c>
      <c r="Z251" s="85">
        <f>Tabela1[[#This Row],[Pós TGP (g/dL)]]</f>
        <v>14</v>
      </c>
      <c r="AA251" s="85" t="str">
        <f>Tabela1[[#This Row],[Pré GGT U/L]]</f>
        <v>-</v>
      </c>
      <c r="AB251" s="193">
        <f>Tabela1[[#This Row],[Pós GGT U/L]]</f>
        <v>17</v>
      </c>
      <c r="AC251" s="194">
        <f>Tabela1[[#This Row],[Pré Ac. Úrico (mg/dL)]]</f>
        <v>5.0999999999999996</v>
      </c>
      <c r="AD251" s="125">
        <f>Tabela1[[#This Row],[Pós Ac. Úrico (mg/dL)2]]</f>
        <v>6.5</v>
      </c>
      <c r="AE25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25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51" s="85">
        <f>Tabela1[[#This Row],[Pré Ureia mg/dL]]</f>
        <v>43</v>
      </c>
      <c r="AH251" s="85">
        <f>Tabela1[[#This Row],[Pós Ureia mg/dL]]</f>
        <v>40</v>
      </c>
      <c r="AI251" s="125">
        <f>Tabela1[[#This Row],[Pré creatinina mg/dL]]</f>
        <v>1.2</v>
      </c>
      <c r="AJ251" s="125">
        <f>Tabela1[[#This Row],[Pós creatinina mg/dL]]</f>
        <v>1</v>
      </c>
      <c r="AK251" s="180">
        <f t="shared" si="12"/>
        <v>0</v>
      </c>
      <c r="AL251" s="125">
        <f>Tabela1[[#This Row],[Pré Fósforo mg/dL]]</f>
        <v>6.4</v>
      </c>
      <c r="AM251" s="125">
        <f>Tabela1[[#This Row],[Pós Fósforo mg/dL]]</f>
        <v>3.8</v>
      </c>
      <c r="AN251" s="125" t="str">
        <f>Tabela1[[#This Row],[Pré Proteína Total (g/dL)]]</f>
        <v>-</v>
      </c>
      <c r="AO251" s="125">
        <f>Tabela1[[#This Row],[Pós Proteína Total (g/dL)]]</f>
        <v>7.1</v>
      </c>
      <c r="AP251" s="85" t="str">
        <f>Tabela1[[#This Row],[Pré FE (ug/dL)]]</f>
        <v>-</v>
      </c>
      <c r="AQ251" s="193">
        <f>Tabela1[[#This Row],[Pós FE (ug/dL)]]</f>
        <v>18</v>
      </c>
      <c r="AR251" s="194">
        <f>Tabela1[[#This Row],[Pré calcio mg/dL]]</f>
        <v>9.1</v>
      </c>
      <c r="AS251" s="125">
        <f>Tabela1[[#This Row],[Pós calcio mg/dL]]</f>
        <v>8.8000000000000007</v>
      </c>
      <c r="AT251" s="125">
        <f>Tabela1[[#This Row],[Pré Potássio mmol/L]]</f>
        <v>5</v>
      </c>
      <c r="AU251" s="125">
        <f>Tabela1[[#This Row],[Pós Potássio mmol/L]]</f>
        <v>4.8</v>
      </c>
      <c r="AV251" s="85" t="str">
        <f>Tabela1[[#This Row],[Glicose pré]]</f>
        <v>-</v>
      </c>
      <c r="AW251" s="85">
        <f>Tabela1[[#This Row],[Glicose pós]]</f>
        <v>104</v>
      </c>
      <c r="AX251" s="85" t="str">
        <f>Tabela1[[#This Row],[Pré Sódio mmol/L]]</f>
        <v>-</v>
      </c>
      <c r="AY251" s="85">
        <f>Tabela1[[#This Row],[Pós Sódio mmol/L]]</f>
        <v>142</v>
      </c>
      <c r="AZ251" s="125" t="str">
        <f>Tabela1[[#This Row],[Pré Magnésio mg/dL]]</f>
        <v>-</v>
      </c>
      <c r="BA251" s="125">
        <f>Tabela1[[#This Row],[Pós Magnésio mg/dL]]</f>
        <v>2.1</v>
      </c>
      <c r="BB251" s="85" t="str">
        <f>Tabela1[[#This Row],[Pré Cloro mmol/L]]</f>
        <v>-</v>
      </c>
      <c r="BC251" s="85">
        <f>Tabela1[[#This Row],[Pós Cloro mmol/L]]</f>
        <v>104</v>
      </c>
      <c r="BD251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25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300.35911111111119</v>
      </c>
      <c r="BF251" s="194">
        <f>Tabela1[[#This Row],[Pré RBC 10^6/mm³]]</f>
        <v>5.0599999999999996</v>
      </c>
      <c r="BG251" s="125">
        <f>Tabela1[[#This Row],[Pós RBC 10^6/mm³]]</f>
        <v>4.97</v>
      </c>
      <c r="BH251" s="125">
        <f>Tabela1[[#This Row],[Pré HGB g/dL]]</f>
        <v>14.8</v>
      </c>
      <c r="BI251" s="125">
        <f>Tabela1[[#This Row],[Pós HGB g/dL]]</f>
        <v>14.5</v>
      </c>
      <c r="BJ251" s="125">
        <f>Tabela1[[#This Row],[Pré HCT %]]</f>
        <v>43.3</v>
      </c>
      <c r="BK251" s="125">
        <f>Tabela1[[#This Row],[Pós HCT %]]</f>
        <v>41.7</v>
      </c>
      <c r="BL251" s="125">
        <f>Tabela1[[#This Row],[Pré MCV fL]]</f>
        <v>85.6</v>
      </c>
      <c r="BM251" s="125">
        <f>Tabela1[[#This Row],[Pós MCV fL]]</f>
        <v>83.9</v>
      </c>
      <c r="BN251" s="125">
        <f>Tabela1[[#This Row],[Pré MCH pg]]</f>
        <v>29.2</v>
      </c>
      <c r="BO251" s="125">
        <f>Tabela1[[#This Row],[Pós MCH pg]]</f>
        <v>29.2</v>
      </c>
      <c r="BP251" s="125">
        <f>Tabela1[[#This Row],[Pré MCHC g/dL]]</f>
        <v>34.200000000000003</v>
      </c>
      <c r="BQ251" s="125">
        <f>Tabela1[[#This Row],[Pós MCHC g/dL]]</f>
        <v>34.799999999999997</v>
      </c>
      <c r="BR251" s="85">
        <f>Tabela1[[#This Row],[Pré PLT 10³/mm³]]</f>
        <v>223</v>
      </c>
      <c r="BS251" s="85">
        <f>Tabela1[[#This Row],[Pós PLT 10³/mm³]]</f>
        <v>213</v>
      </c>
      <c r="BT251" s="125">
        <f>Tabela1[[#This Row],[Pré RDW %]]</f>
        <v>13.7</v>
      </c>
      <c r="BU251" s="125">
        <f>Tabela1[[#This Row],[Pós RDW %]]</f>
        <v>13.3</v>
      </c>
      <c r="BV251" s="179" t="str">
        <f>Tabela1[[#This Row],[Pré RET %]]</f>
        <v>-</v>
      </c>
      <c r="BW251" s="196" t="str">
        <f>Tabela1[[#This Row],[Pós RET %]]</f>
        <v>-</v>
      </c>
      <c r="BX251" s="197">
        <f>Tabela1[[#This Row],[Pré WBC 10³/mm³]]</f>
        <v>8.85</v>
      </c>
      <c r="BY251" s="179">
        <f>Tabela1[[#This Row],[Pós WBC 10³/mm³]]</f>
        <v>8.5399999999999991</v>
      </c>
      <c r="BZ251" s="125">
        <f>Tabela1[[#This Row],[Pré NEUT %]]</f>
        <v>63.6</v>
      </c>
      <c r="CA251" s="125">
        <f>Tabela1[[#This Row],[Pós NEUT %]]</f>
        <v>58.7</v>
      </c>
      <c r="CB251" s="125">
        <f>Tabela1[[#This Row],[Pré LINF %]]</f>
        <v>21.5</v>
      </c>
      <c r="CC251" s="125">
        <f>Tabela1[[#This Row],[Pós LINF %]]</f>
        <v>21.2</v>
      </c>
      <c r="CD251" s="125">
        <f>Tabela1[[#This Row],[Pré MONO %]]</f>
        <v>7.5</v>
      </c>
      <c r="CE251" s="125">
        <f>Tabela1[[#This Row],[Pós MONO %]]</f>
        <v>6.1</v>
      </c>
      <c r="CF251" s="125">
        <f>Tabela1[[#This Row],[Pré EOS %]]</f>
        <v>6.7</v>
      </c>
      <c r="CG251" s="125">
        <f>Tabela1[[#This Row],[Pós EOS %]]</f>
        <v>13.2</v>
      </c>
      <c r="CH251" s="125">
        <f>Tabela1[[#This Row],[Pré BASO %]]</f>
        <v>0.7</v>
      </c>
      <c r="CI251" s="198">
        <f>Tabela1[[#This Row],[Pós BASO %]]</f>
        <v>0.8</v>
      </c>
      <c r="CJ251" s="199" t="str">
        <f t="shared" si="13"/>
        <v>NÃO</v>
      </c>
      <c r="CK251" s="200" t="str">
        <f t="shared" si="14"/>
        <v>NÃO</v>
      </c>
      <c r="CL251" s="194">
        <f t="shared" si="15"/>
        <v>76.552520000000001</v>
      </c>
      <c r="CM251" s="125">
        <f>Tabela1[[#This Row],[MCT KG]]</f>
        <v>83.6</v>
      </c>
      <c r="CN251" s="85">
        <f>Tabela1[[#This Row],[ESTATURA]]</f>
        <v>175</v>
      </c>
      <c r="CO251" s="85">
        <f>Tabela1[[#This Row],[vo2max estimado]]</f>
        <v>50.56</v>
      </c>
      <c r="CP251" s="85">
        <f>Tabela1[[#This Row],[Handgrip     Dominante]]</f>
        <v>54</v>
      </c>
      <c r="CQ251" s="85">
        <f>Tabela1[[#This Row],[Handgrip Contrário]]</f>
        <v>42</v>
      </c>
      <c r="CR251" s="281">
        <f>Tabela1[[#This Row],[% gordura]]</f>
        <v>8.43</v>
      </c>
    </row>
    <row r="252" spans="1:96" ht="15.75" customHeight="1">
      <c r="A252" s="279">
        <f>Tabela1[[#This Row],[Ano]]</f>
        <v>2019</v>
      </c>
      <c r="B252" s="181" t="str">
        <f>Tabela1[[#This Row],[Missão]]</f>
        <v>Natal</v>
      </c>
      <c r="C252" s="181">
        <f>Tabela1[[#This Row],[Aluno]]</f>
        <v>3197</v>
      </c>
      <c r="D252" s="181">
        <f>Tabela1[[#This Row],[Idade]]</f>
        <v>27</v>
      </c>
      <c r="E252" s="182">
        <f>Tabela1[[#This Row],[Peso Kg]]</f>
        <v>81.8</v>
      </c>
      <c r="F252" s="191">
        <f>Tabela1[[#This Row],[Cor da pele]]</f>
        <v>1</v>
      </c>
      <c r="G252" s="192" t="str">
        <f>Tabela1[[#This Row],[ACTN3]]</f>
        <v>RR</v>
      </c>
      <c r="H252" s="85" t="str">
        <f>Tabela1[[#This Row],[AGT]]</f>
        <v>MM</v>
      </c>
      <c r="I252" s="85" t="str">
        <f>Tabela1[[#This Row],[ECA]]</f>
        <v>DD</v>
      </c>
      <c r="J252" s="85" t="str">
        <f>Tabela1[[#This Row],[BDKRB2]]</f>
        <v>(-9,-9)</v>
      </c>
      <c r="K252" s="85">
        <f>Tabela1[[#This Row],[Score Força%]]</f>
        <v>50</v>
      </c>
      <c r="L252" s="193">
        <f>Tabela1[[#This Row],[Score Resistência %]]</f>
        <v>50</v>
      </c>
      <c r="M252" s="192">
        <f>Tabela1[[#This Row],[Pré CK (U/L)]]</f>
        <v>99</v>
      </c>
      <c r="N252" s="85">
        <f>Tabela1[[#This Row],[Pós CK (U/L)]]</f>
        <v>2405</v>
      </c>
      <c r="O252" s="85">
        <f>Tabela1[[#This Row],[Pré CK MB U/L]]</f>
        <v>7</v>
      </c>
      <c r="P252" s="85">
        <f>Tabela1[[#This Row],[Pós CK MB U/L]]</f>
        <v>70</v>
      </c>
      <c r="Q252" s="85">
        <f>Tabela1[[#This Row],[Pré Lactato (mmol/L)]]</f>
        <v>2.1</v>
      </c>
      <c r="R252" s="85">
        <f>Tabela1[[#This Row],[Pós Lactato (mmol/L)]]</f>
        <v>2.5</v>
      </c>
      <c r="S252" s="85">
        <f>Tabela1[[#This Row],[Pré LDH (U/L)]]</f>
        <v>140</v>
      </c>
      <c r="T252" s="85">
        <f>Tabela1[[#This Row],[Pós LDH (U/L)]]</f>
        <v>319</v>
      </c>
      <c r="U252" s="85">
        <f>Tabela1[[#This Row],[Pré AST (U/L)]]</f>
        <v>20</v>
      </c>
      <c r="V252" s="193">
        <f>Tabela1[[#This Row],[Pós AST (U/L)]]</f>
        <v>79</v>
      </c>
      <c r="W252" s="194">
        <f>Tabela1[[#This Row],[Pré Albumina (g/dL)]]</f>
        <v>3.9</v>
      </c>
      <c r="X252" s="125">
        <f>Tabela1[[#This Row],[Pós Albumina (g/dL)]]</f>
        <v>4.4000000000000004</v>
      </c>
      <c r="Y252" s="85">
        <f>Tabela1[[#This Row],[Pré TGP (g/dL)]]</f>
        <v>24</v>
      </c>
      <c r="Z252" s="85">
        <f>Tabela1[[#This Row],[Pós TGP (g/dL)]]</f>
        <v>41</v>
      </c>
      <c r="AA252" s="85">
        <f>Tabela1[[#This Row],[Pré GGT U/L]]</f>
        <v>19</v>
      </c>
      <c r="AB252" s="193">
        <f>Tabela1[[#This Row],[Pós GGT U/L]]</f>
        <v>17</v>
      </c>
      <c r="AC252" s="194">
        <f>Tabela1[[#This Row],[Pré Ac. Úrico (mg/dL)]]</f>
        <v>6.8</v>
      </c>
      <c r="AD252" s="125">
        <f>Tabela1[[#This Row],[Pós Ac. Úrico (mg/dL)2]]</f>
        <v>8.8000000000000007</v>
      </c>
      <c r="AE25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5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252" s="85">
        <f>Tabela1[[#This Row],[Pré Ureia mg/dL]]</f>
        <v>31</v>
      </c>
      <c r="AH252" s="85">
        <f>Tabela1[[#This Row],[Pós Ureia mg/dL]]</f>
        <v>38</v>
      </c>
      <c r="AI252" s="125">
        <f>Tabela1[[#This Row],[Pré creatinina mg/dL]]</f>
        <v>0.9</v>
      </c>
      <c r="AJ252" s="125">
        <f>Tabela1[[#This Row],[Pós creatinina mg/dL]]</f>
        <v>1.1000000000000001</v>
      </c>
      <c r="AK252" s="180">
        <f t="shared" si="12"/>
        <v>0.20000000000000007</v>
      </c>
      <c r="AL252" s="125">
        <f>Tabela1[[#This Row],[Pré Fósforo mg/dL]]</f>
        <v>5.3</v>
      </c>
      <c r="AM252" s="125">
        <f>Tabela1[[#This Row],[Pós Fósforo mg/dL]]</f>
        <v>4.9000000000000004</v>
      </c>
      <c r="AN252" s="125">
        <f>Tabela1[[#This Row],[Pré Proteína Total (g/dL)]]</f>
        <v>6.8</v>
      </c>
      <c r="AO252" s="125">
        <f>Tabela1[[#This Row],[Pós Proteína Total (g/dL)]]</f>
        <v>7.1</v>
      </c>
      <c r="AP252" s="85">
        <f>Tabela1[[#This Row],[Pré FE (ug/dL)]]</f>
        <v>77</v>
      </c>
      <c r="AQ252" s="193">
        <f>Tabela1[[#This Row],[Pós FE (ug/dL)]]</f>
        <v>53</v>
      </c>
      <c r="AR252" s="194">
        <f>Tabela1[[#This Row],[Pré calcio mg/dL]]</f>
        <v>9.3000000000000007</v>
      </c>
      <c r="AS252" s="125">
        <f>Tabela1[[#This Row],[Pós calcio mg/dL]]</f>
        <v>9.4</v>
      </c>
      <c r="AT252" s="125">
        <f>Tabela1[[#This Row],[Pré Potássio mmol/L]]</f>
        <v>4.5999999999999996</v>
      </c>
      <c r="AU252" s="125">
        <f>Tabela1[[#This Row],[Pós Potássio mmol/L]]</f>
        <v>4.3</v>
      </c>
      <c r="AV252" s="85">
        <f>Tabela1[[#This Row],[Glicose pré]]</f>
        <v>87</v>
      </c>
      <c r="AW252" s="85">
        <f>Tabela1[[#This Row],[Glicose pós]]</f>
        <v>95</v>
      </c>
      <c r="AX252" s="85">
        <f>Tabela1[[#This Row],[Pré Sódio mmol/L]]</f>
        <v>141</v>
      </c>
      <c r="AY252" s="85">
        <f>Tabela1[[#This Row],[Pós Sódio mmol/L]]</f>
        <v>138</v>
      </c>
      <c r="AZ252" s="125">
        <f>Tabela1[[#This Row],[Pré Magnésio mg/dL]]</f>
        <v>2.2999999999999998</v>
      </c>
      <c r="BA252" s="125">
        <f>Tabela1[[#This Row],[Pós Magnésio mg/dL]]</f>
        <v>2.2999999999999998</v>
      </c>
      <c r="BB252" s="85">
        <f>Tabela1[[#This Row],[Pré Cloro mmol/L]]</f>
        <v>102</v>
      </c>
      <c r="BC252" s="85">
        <f>Tabela1[[#This Row],[Pós Cloro mmol/L]]</f>
        <v>101</v>
      </c>
      <c r="BD25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295.54100000000005</v>
      </c>
      <c r="BE25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291.08077777777783</v>
      </c>
      <c r="BF252" s="194">
        <f>Tabela1[[#This Row],[Pré RBC 10^6/mm³]]</f>
        <v>4.3</v>
      </c>
      <c r="BG252" s="125">
        <f>Tabela1[[#This Row],[Pós RBC 10^6/mm³]]</f>
        <v>4.3099999999999996</v>
      </c>
      <c r="BH252" s="125">
        <f>Tabela1[[#This Row],[Pré HGB g/dL]]</f>
        <v>13.5</v>
      </c>
      <c r="BI252" s="125">
        <f>Tabela1[[#This Row],[Pós HGB g/dL]]</f>
        <v>13.6</v>
      </c>
      <c r="BJ252" s="125">
        <f>Tabela1[[#This Row],[Pré HCT %]]</f>
        <v>40.700000000000003</v>
      </c>
      <c r="BK252" s="125">
        <f>Tabela1[[#This Row],[Pós HCT %]]</f>
        <v>41.7</v>
      </c>
      <c r="BL252" s="125">
        <f>Tabela1[[#This Row],[Pré MCV fL]]</f>
        <v>95.2</v>
      </c>
      <c r="BM252" s="125">
        <f>Tabela1[[#This Row],[Pós MCV fL]]</f>
        <v>96.7</v>
      </c>
      <c r="BN252" s="125">
        <f>Tabela1[[#This Row],[Pré MCH pg]]</f>
        <v>31.6</v>
      </c>
      <c r="BO252" s="125">
        <f>Tabela1[[#This Row],[Pós MCH pg]]</f>
        <v>31.6</v>
      </c>
      <c r="BP252" s="125">
        <f>Tabela1[[#This Row],[Pré MCHC g/dL]]</f>
        <v>33.200000000000003</v>
      </c>
      <c r="BQ252" s="125">
        <f>Tabela1[[#This Row],[Pós MCHC g/dL]]</f>
        <v>32.6</v>
      </c>
      <c r="BR252" s="85">
        <f>Tabela1[[#This Row],[Pré PLT 10³/mm³]]</f>
        <v>394</v>
      </c>
      <c r="BS252" s="85">
        <f>Tabela1[[#This Row],[Pós PLT 10³/mm³]]</f>
        <v>371</v>
      </c>
      <c r="BT252" s="125">
        <f>Tabela1[[#This Row],[Pré RDW %]]</f>
        <v>14</v>
      </c>
      <c r="BU252" s="125">
        <f>Tabela1[[#This Row],[Pós RDW %]]</f>
        <v>13.5</v>
      </c>
      <c r="BV252" s="179">
        <f>Tabela1[[#This Row],[Pré RET %]]</f>
        <v>2.89</v>
      </c>
      <c r="BW252" s="196" t="str">
        <f>Tabela1[[#This Row],[Pós RET %]]</f>
        <v>-</v>
      </c>
      <c r="BX252" s="197">
        <f>Tabela1[[#This Row],[Pré WBC 10³/mm³]]</f>
        <v>5.13</v>
      </c>
      <c r="BY252" s="179">
        <f>Tabela1[[#This Row],[Pós WBC 10³/mm³]]</f>
        <v>10.039999999999999</v>
      </c>
      <c r="BZ252" s="125">
        <f>Tabela1[[#This Row],[Pré NEUT %]]</f>
        <v>43.3</v>
      </c>
      <c r="CA252" s="125">
        <f>Tabela1[[#This Row],[Pós NEUT %]]</f>
        <v>62.1</v>
      </c>
      <c r="CB252" s="125">
        <f>Tabela1[[#This Row],[Pré LINF %]]</f>
        <v>42.3</v>
      </c>
      <c r="CC252" s="125">
        <f>Tabela1[[#This Row],[Pós LINF %]]</f>
        <v>24.4</v>
      </c>
      <c r="CD252" s="125">
        <f>Tabela1[[#This Row],[Pré MONO %]]</f>
        <v>6.4</v>
      </c>
      <c r="CE252" s="125">
        <f>Tabela1[[#This Row],[Pós MONO %]]</f>
        <v>11.2</v>
      </c>
      <c r="CF252" s="125">
        <f>Tabela1[[#This Row],[Pré EOS %]]</f>
        <v>4.4000000000000004</v>
      </c>
      <c r="CG252" s="125">
        <f>Tabela1[[#This Row],[Pós EOS %]]</f>
        <v>1.3</v>
      </c>
      <c r="CH252" s="125">
        <f>Tabela1[[#This Row],[Pré BASO %]]</f>
        <v>3.6</v>
      </c>
      <c r="CI252" s="198">
        <f>Tabela1[[#This Row],[Pós BASO %]]</f>
        <v>1</v>
      </c>
      <c r="CJ252" s="199" t="str">
        <f t="shared" si="13"/>
        <v>NÃO</v>
      </c>
      <c r="CK252" s="200" t="str">
        <f t="shared" si="14"/>
        <v>SIM</v>
      </c>
      <c r="CL252" s="194">
        <f t="shared" si="15"/>
        <v>76.297020000000003</v>
      </c>
      <c r="CM252" s="125">
        <f>Tabela1[[#This Row],[MCT KG]]</f>
        <v>85.65</v>
      </c>
      <c r="CN252" s="85">
        <f>Tabela1[[#This Row],[ESTATURA]]</f>
        <v>177</v>
      </c>
      <c r="CO252" s="85">
        <f>Tabela1[[#This Row],[vo2max estimado]]</f>
        <v>51.46</v>
      </c>
      <c r="CP252" s="85">
        <f>Tabela1[[#This Row],[Handgrip     Dominante]]</f>
        <v>48</v>
      </c>
      <c r="CQ252" s="85">
        <f>Tabela1[[#This Row],[Handgrip Contrário]]</f>
        <v>52</v>
      </c>
      <c r="CR252" s="281">
        <f>Tabela1[[#This Row],[% gordura]]</f>
        <v>10.92</v>
      </c>
    </row>
    <row r="253" spans="1:96" ht="15.75" customHeight="1">
      <c r="A253" s="279">
        <f>Tabela1[[#This Row],[Ano]]</f>
        <v>2019</v>
      </c>
      <c r="B253" s="181" t="str">
        <f>Tabela1[[#This Row],[Missão]]</f>
        <v>Natal</v>
      </c>
      <c r="C253" s="181">
        <f>Tabela1[[#This Row],[Aluno]]</f>
        <v>3200</v>
      </c>
      <c r="D253" s="181">
        <f>Tabela1[[#This Row],[Idade]]</f>
        <v>25</v>
      </c>
      <c r="E253" s="182">
        <f>Tabela1[[#This Row],[Peso Kg]]</f>
        <v>80</v>
      </c>
      <c r="F253" s="191">
        <f>Tabela1[[#This Row],[Cor da pele]]</f>
        <v>1</v>
      </c>
      <c r="G253" s="192" t="str">
        <f>Tabela1[[#This Row],[ACTN3]]</f>
        <v>XX</v>
      </c>
      <c r="H253" s="85" t="str">
        <f>Tabela1[[#This Row],[AGT]]</f>
        <v>TT</v>
      </c>
      <c r="I253" s="85" t="str">
        <f>Tabela1[[#This Row],[ECA]]</f>
        <v>ID</v>
      </c>
      <c r="J253" s="85" t="str">
        <f>Tabela1[[#This Row],[BDKRB2]]</f>
        <v>(-9,-9)</v>
      </c>
      <c r="K253" s="85">
        <f>Tabela1[[#This Row],[Score Força%]]</f>
        <v>37.5</v>
      </c>
      <c r="L253" s="193">
        <f>Tabela1[[#This Row],[Score Resistência %]]</f>
        <v>62.5</v>
      </c>
      <c r="M253" s="192">
        <f>Tabela1[[#This Row],[Pré CK (U/L)]]</f>
        <v>128</v>
      </c>
      <c r="N253" s="85">
        <f>Tabela1[[#This Row],[Pós CK (U/L)]]</f>
        <v>608</v>
      </c>
      <c r="O253" s="85">
        <f>Tabela1[[#This Row],[Pré CK MB U/L]]</f>
        <v>13</v>
      </c>
      <c r="P253" s="85">
        <f>Tabela1[[#This Row],[Pós CK MB U/L]]</f>
        <v>31</v>
      </c>
      <c r="Q253" s="85">
        <f>Tabela1[[#This Row],[Pré Lactato (mmol/L)]]</f>
        <v>1.7</v>
      </c>
      <c r="R253" s="85">
        <f>Tabela1[[#This Row],[Pós Lactato (mmol/L)]]</f>
        <v>1.7</v>
      </c>
      <c r="S253" s="85">
        <f>Tabela1[[#This Row],[Pré LDH (U/L)]]</f>
        <v>157</v>
      </c>
      <c r="T253" s="85">
        <f>Tabela1[[#This Row],[Pós LDH (U/L)]]</f>
        <v>272</v>
      </c>
      <c r="U253" s="85">
        <f>Tabela1[[#This Row],[Pré AST (U/L)]]</f>
        <v>21</v>
      </c>
      <c r="V253" s="193">
        <f>Tabela1[[#This Row],[Pós AST (U/L)]]</f>
        <v>41</v>
      </c>
      <c r="W253" s="194">
        <f>Tabela1[[#This Row],[Pré Albumina (g/dL)]]</f>
        <v>4.2</v>
      </c>
      <c r="X253" s="125">
        <f>Tabela1[[#This Row],[Pós Albumina (g/dL)]]</f>
        <v>4.4000000000000004</v>
      </c>
      <c r="Y253" s="85">
        <f>Tabela1[[#This Row],[Pré TGP (g/dL)]]</f>
        <v>22</v>
      </c>
      <c r="Z253" s="85">
        <f>Tabela1[[#This Row],[Pós TGP (g/dL)]]</f>
        <v>28</v>
      </c>
      <c r="AA253" s="85">
        <f>Tabela1[[#This Row],[Pré GGT U/L]]</f>
        <v>22</v>
      </c>
      <c r="AB253" s="193">
        <f>Tabela1[[#This Row],[Pós GGT U/L]]</f>
        <v>18</v>
      </c>
      <c r="AC253" s="194">
        <f>Tabela1[[#This Row],[Pré Ac. Úrico (mg/dL)]]</f>
        <v>5.0999999999999996</v>
      </c>
      <c r="AD253" s="125">
        <f>Tabela1[[#This Row],[Pós Ac. Úrico (mg/dL)2]]</f>
        <v>5.8</v>
      </c>
      <c r="AE25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5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53" s="85">
        <f>Tabela1[[#This Row],[Pré Ureia mg/dL]]</f>
        <v>43</v>
      </c>
      <c r="AH253" s="85">
        <f>Tabela1[[#This Row],[Pós Ureia mg/dL]]</f>
        <v>39</v>
      </c>
      <c r="AI253" s="125">
        <f>Tabela1[[#This Row],[Pré creatinina mg/dL]]</f>
        <v>0.9</v>
      </c>
      <c r="AJ253" s="125">
        <f>Tabela1[[#This Row],[Pós creatinina mg/dL]]</f>
        <v>0.9</v>
      </c>
      <c r="AK253" s="180">
        <f t="shared" si="12"/>
        <v>0</v>
      </c>
      <c r="AL253" s="125">
        <f>Tabela1[[#This Row],[Pré Fósforo mg/dL]]</f>
        <v>5.5</v>
      </c>
      <c r="AM253" s="125">
        <f>Tabela1[[#This Row],[Pós Fósforo mg/dL]]</f>
        <v>4.3</v>
      </c>
      <c r="AN253" s="125">
        <f>Tabela1[[#This Row],[Pré Proteína Total (g/dL)]]</f>
        <v>7.3</v>
      </c>
      <c r="AO253" s="125">
        <f>Tabela1[[#This Row],[Pós Proteína Total (g/dL)]]</f>
        <v>7</v>
      </c>
      <c r="AP253" s="85">
        <f>Tabela1[[#This Row],[Pré FE (ug/dL)]]</f>
        <v>101</v>
      </c>
      <c r="AQ253" s="193">
        <f>Tabela1[[#This Row],[Pós FE (ug/dL)]]</f>
        <v>88</v>
      </c>
      <c r="AR253" s="194">
        <f>Tabela1[[#This Row],[Pré calcio mg/dL]]</f>
        <v>9.6999999999999993</v>
      </c>
      <c r="AS253" s="125">
        <f>Tabela1[[#This Row],[Pós calcio mg/dL]]</f>
        <v>9.5</v>
      </c>
      <c r="AT253" s="125">
        <f>Tabela1[[#This Row],[Pré Potássio mmol/L]]</f>
        <v>4.5999999999999996</v>
      </c>
      <c r="AU253" s="125">
        <f>Tabela1[[#This Row],[Pós Potássio mmol/L]]</f>
        <v>4.4000000000000004</v>
      </c>
      <c r="AV253" s="85">
        <f>Tabela1[[#This Row],[Glicose pré]]</f>
        <v>97</v>
      </c>
      <c r="AW253" s="85">
        <f>Tabela1[[#This Row],[Glicose pós]]</f>
        <v>103</v>
      </c>
      <c r="AX253" s="85">
        <f>Tabela1[[#This Row],[Pré Sódio mmol/L]]</f>
        <v>142</v>
      </c>
      <c r="AY253" s="85">
        <f>Tabela1[[#This Row],[Pós Sódio mmol/L]]</f>
        <v>140</v>
      </c>
      <c r="AZ253" s="125">
        <f>Tabela1[[#This Row],[Pré Magnésio mg/dL]]</f>
        <v>2.4</v>
      </c>
      <c r="BA253" s="125">
        <f>Tabela1[[#This Row],[Pós Magnésio mg/dL]]</f>
        <v>2.2999999999999998</v>
      </c>
      <c r="BB253" s="85">
        <f>Tabela1[[#This Row],[Pré Cloro mmol/L]]</f>
        <v>102</v>
      </c>
      <c r="BC253" s="85">
        <f>Tabela1[[#This Row],[Pós Cloro mmol/L]]</f>
        <v>102</v>
      </c>
      <c r="BD25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300.03988888888887</v>
      </c>
      <c r="BE25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295.66455555555558</v>
      </c>
      <c r="BF253" s="194">
        <f>Tabela1[[#This Row],[Pré RBC 10^6/mm³]]</f>
        <v>4.8</v>
      </c>
      <c r="BG253" s="125">
        <f>Tabela1[[#This Row],[Pós RBC 10^6/mm³]]</f>
        <v>4.2699999999999996</v>
      </c>
      <c r="BH253" s="125">
        <f>Tabela1[[#This Row],[Pré HGB g/dL]]</f>
        <v>14.8</v>
      </c>
      <c r="BI253" s="125">
        <f>Tabela1[[#This Row],[Pós HGB g/dL]]</f>
        <v>13</v>
      </c>
      <c r="BJ253" s="125">
        <f>Tabela1[[#This Row],[Pré HCT %]]</f>
        <v>44.5</v>
      </c>
      <c r="BK253" s="125">
        <f>Tabela1[[#This Row],[Pós HCT %]]</f>
        <v>40.1</v>
      </c>
      <c r="BL253" s="125">
        <f>Tabela1[[#This Row],[Pré MCV fL]]</f>
        <v>92.7</v>
      </c>
      <c r="BM253" s="125">
        <f>Tabela1[[#This Row],[Pós MCV fL]]</f>
        <v>93.9</v>
      </c>
      <c r="BN253" s="125">
        <f>Tabela1[[#This Row],[Pré MCH pg]]</f>
        <v>30.9</v>
      </c>
      <c r="BO253" s="125">
        <f>Tabela1[[#This Row],[Pós MCH pg]]</f>
        <v>30.4</v>
      </c>
      <c r="BP253" s="125">
        <f>Tabela1[[#This Row],[Pré MCHC g/dL]]</f>
        <v>33.299999999999997</v>
      </c>
      <c r="BQ253" s="125">
        <f>Tabela1[[#This Row],[Pós MCHC g/dL]]</f>
        <v>32.4</v>
      </c>
      <c r="BR253" s="85">
        <f>Tabela1[[#This Row],[Pré PLT 10³/mm³]]</f>
        <v>267</v>
      </c>
      <c r="BS253" s="85">
        <f>Tabela1[[#This Row],[Pós PLT 10³/mm³]]</f>
        <v>278</v>
      </c>
      <c r="BT253" s="125">
        <f>Tabela1[[#This Row],[Pré RDW %]]</f>
        <v>15.3</v>
      </c>
      <c r="BU253" s="125">
        <f>Tabela1[[#This Row],[Pós RDW %]]</f>
        <v>14</v>
      </c>
      <c r="BV253" s="179">
        <f>Tabela1[[#This Row],[Pré RET %]]</f>
        <v>1.42</v>
      </c>
      <c r="BW253" s="196" t="str">
        <f>Tabela1[[#This Row],[Pós RET %]]</f>
        <v>-</v>
      </c>
      <c r="BX253" s="197">
        <f>Tabela1[[#This Row],[Pré WBC 10³/mm³]]</f>
        <v>3.92</v>
      </c>
      <c r="BY253" s="179">
        <f>Tabela1[[#This Row],[Pós WBC 10³/mm³]]</f>
        <v>7.39</v>
      </c>
      <c r="BZ253" s="125">
        <f>Tabela1[[#This Row],[Pré NEUT %]]</f>
        <v>25.3</v>
      </c>
      <c r="CA253" s="125">
        <f>Tabela1[[#This Row],[Pós NEUT %]]</f>
        <v>60.5</v>
      </c>
      <c r="CB253" s="125">
        <f>Tabela1[[#This Row],[Pré LINF %]]</f>
        <v>45.6</v>
      </c>
      <c r="CC253" s="125">
        <f>Tabela1[[#This Row],[Pós LINF %]]</f>
        <v>21.5</v>
      </c>
      <c r="CD253" s="125">
        <f>Tabela1[[#This Row],[Pré MONO %]]</f>
        <v>11.1</v>
      </c>
      <c r="CE253" s="125">
        <f>Tabela1[[#This Row],[Pós MONO %]]</f>
        <v>14.5</v>
      </c>
      <c r="CF253" s="125">
        <f>Tabela1[[#This Row],[Pré EOS %]]</f>
        <v>11.3</v>
      </c>
      <c r="CG253" s="125">
        <f>Tabela1[[#This Row],[Pós EOS %]]</f>
        <v>2.9</v>
      </c>
      <c r="CH253" s="125">
        <f>Tabela1[[#This Row],[Pré BASO %]]</f>
        <v>6.7</v>
      </c>
      <c r="CI253" s="198">
        <f>Tabela1[[#This Row],[Pós BASO %]]</f>
        <v>0.6</v>
      </c>
      <c r="CJ253" s="199" t="str">
        <f t="shared" si="13"/>
        <v>NÃO</v>
      </c>
      <c r="CK253" s="200" t="str">
        <f t="shared" si="14"/>
        <v>NÃO</v>
      </c>
      <c r="CL253" s="194">
        <f t="shared" si="15"/>
        <v>73.936000000000007</v>
      </c>
      <c r="CM253" s="125">
        <f>Tabela1[[#This Row],[MCT KG]]</f>
        <v>80</v>
      </c>
      <c r="CN253" s="85">
        <f>Tabela1[[#This Row],[ESTATURA]]</f>
        <v>177.5</v>
      </c>
      <c r="CO253" s="85">
        <f>Tabela1[[#This Row],[vo2max estimado]]</f>
        <v>0</v>
      </c>
      <c r="CP253" s="85">
        <f>Tabela1[[#This Row],[Handgrip     Dominante]]</f>
        <v>42</v>
      </c>
      <c r="CQ253" s="85">
        <f>Tabela1[[#This Row],[Handgrip Contrário]]</f>
        <v>42</v>
      </c>
      <c r="CR253" s="281">
        <f>Tabela1[[#This Row],[% gordura]]</f>
        <v>7.58</v>
      </c>
    </row>
    <row r="254" spans="1:96" ht="15.75" customHeight="1">
      <c r="A254" s="279">
        <f>Tabela1[[#This Row],[Ano]]</f>
        <v>2019</v>
      </c>
      <c r="B254" s="181" t="str">
        <f>Tabela1[[#This Row],[Missão]]</f>
        <v>Natal</v>
      </c>
      <c r="C254" s="181">
        <f>Tabela1[[#This Row],[Aluno]]</f>
        <v>3202</v>
      </c>
      <c r="D254" s="181">
        <f>Tabela1[[#This Row],[Idade]]</f>
        <v>26</v>
      </c>
      <c r="E254" s="182">
        <f>Tabela1[[#This Row],[Peso Kg]]</f>
        <v>0</v>
      </c>
      <c r="F254" s="191">
        <f>Tabela1[[#This Row],[Cor da pele]]</f>
        <v>1</v>
      </c>
      <c r="G254" s="192" t="str">
        <f>Tabela1[[#This Row],[ACTN3]]</f>
        <v>XX</v>
      </c>
      <c r="H254" s="85" t="str">
        <f>Tabela1[[#This Row],[AGT]]</f>
        <v>MM</v>
      </c>
      <c r="I254" s="85" t="str">
        <f>Tabela1[[#This Row],[ECA]]</f>
        <v>ID</v>
      </c>
      <c r="J254" s="85" t="str">
        <f>Tabela1[[#This Row],[BDKRB2]]</f>
        <v>(+9,-9)</v>
      </c>
      <c r="K254" s="85">
        <f>Tabela1[[#This Row],[Score Força%]]</f>
        <v>25</v>
      </c>
      <c r="L254" s="193">
        <f>Tabela1[[#This Row],[Score Resistência %]]</f>
        <v>75</v>
      </c>
      <c r="M254" s="192">
        <f>Tabela1[[#This Row],[Pré CK (U/L)]]</f>
        <v>6374</v>
      </c>
      <c r="N254" s="85" t="str">
        <f>Tabela1[[#This Row],[Pós CK (U/L)]]</f>
        <v>-</v>
      </c>
      <c r="O254" s="85">
        <f>Tabela1[[#This Row],[Pré CK MB U/L]]</f>
        <v>135</v>
      </c>
      <c r="P254" s="85" t="str">
        <f>Tabela1[[#This Row],[Pós CK MB U/L]]</f>
        <v>-</v>
      </c>
      <c r="Q254" s="85">
        <f>Tabela1[[#This Row],[Pré Lactato (mmol/L)]]</f>
        <v>1.9</v>
      </c>
      <c r="R254" s="85" t="str">
        <f>Tabela1[[#This Row],[Pós Lactato (mmol/L)]]</f>
        <v>-</v>
      </c>
      <c r="S254" s="85">
        <f>Tabela1[[#This Row],[Pré LDH (U/L)]]</f>
        <v>563</v>
      </c>
      <c r="T254" s="85" t="str">
        <f>Tabela1[[#This Row],[Pós LDH (U/L)]]</f>
        <v>-</v>
      </c>
      <c r="U254" s="85">
        <f>Tabela1[[#This Row],[Pré AST (U/L)]]</f>
        <v>200</v>
      </c>
      <c r="V254" s="193" t="str">
        <f>Tabela1[[#This Row],[Pós AST (U/L)]]</f>
        <v>-</v>
      </c>
      <c r="W254" s="194">
        <f>Tabela1[[#This Row],[Pré Albumina (g/dL)]]</f>
        <v>4.3</v>
      </c>
      <c r="X254" s="125" t="str">
        <f>Tabela1[[#This Row],[Pós Albumina (g/dL)]]</f>
        <v>-</v>
      </c>
      <c r="Y254" s="85">
        <f>Tabela1[[#This Row],[Pré TGP (g/dL)]]</f>
        <v>67</v>
      </c>
      <c r="Z254" s="85" t="str">
        <f>Tabela1[[#This Row],[Pós TGP (g/dL)]]</f>
        <v>-</v>
      </c>
      <c r="AA254" s="85">
        <f>Tabela1[[#This Row],[Pré GGT U/L]]</f>
        <v>46</v>
      </c>
      <c r="AB254" s="193" t="str">
        <f>Tabela1[[#This Row],[Pós GGT U/L]]</f>
        <v>-</v>
      </c>
      <c r="AC254" s="194">
        <f>Tabela1[[#This Row],[Pré Ac. Úrico (mg/dL)]]</f>
        <v>5.0999999999999996</v>
      </c>
      <c r="AD254" s="125" t="str">
        <f>Tabela1[[#This Row],[Pós Ac. Úrico (mg/dL)2]]</f>
        <v>-</v>
      </c>
      <c r="AE25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54" s="180" t="str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Dados Insuficientes</v>
      </c>
      <c r="AG254" s="85">
        <f>Tabela1[[#This Row],[Pré Ureia mg/dL]]</f>
        <v>37</v>
      </c>
      <c r="AH254" s="85" t="str">
        <f>Tabela1[[#This Row],[Pós Ureia mg/dL]]</f>
        <v>-</v>
      </c>
      <c r="AI254" s="125">
        <f>Tabela1[[#This Row],[Pré creatinina mg/dL]]</f>
        <v>0.8</v>
      </c>
      <c r="AJ254" s="125" t="str">
        <f>Tabela1[[#This Row],[Pós creatinina mg/dL]]</f>
        <v>-</v>
      </c>
      <c r="AK254" s="180" t="str">
        <f t="shared" si="12"/>
        <v>Dados Insuficientes</v>
      </c>
      <c r="AL254" s="125">
        <f>Tabela1[[#This Row],[Pré Fósforo mg/dL]]</f>
        <v>4.5999999999999996</v>
      </c>
      <c r="AM254" s="125" t="str">
        <f>Tabela1[[#This Row],[Pós Fósforo mg/dL]]</f>
        <v>-</v>
      </c>
      <c r="AN254" s="125">
        <f>Tabela1[[#This Row],[Pré Proteína Total (g/dL)]]</f>
        <v>7.5</v>
      </c>
      <c r="AO254" s="125" t="str">
        <f>Tabela1[[#This Row],[Pós Proteína Total (g/dL)]]</f>
        <v>-</v>
      </c>
      <c r="AP254" s="85">
        <f>Tabela1[[#This Row],[Pré FE (ug/dL)]]</f>
        <v>92</v>
      </c>
      <c r="AQ254" s="193" t="str">
        <f>Tabela1[[#This Row],[Pós FE (ug/dL)]]</f>
        <v>-</v>
      </c>
      <c r="AR254" s="194">
        <f>Tabela1[[#This Row],[Pré calcio mg/dL]]</f>
        <v>9.5</v>
      </c>
      <c r="AS254" s="125" t="str">
        <f>Tabela1[[#This Row],[Pós calcio mg/dL]]</f>
        <v>-</v>
      </c>
      <c r="AT254" s="125">
        <f>Tabela1[[#This Row],[Pré Potássio mmol/L]]</f>
        <v>4.5999999999999996</v>
      </c>
      <c r="AU254" s="125" t="str">
        <f>Tabela1[[#This Row],[Pós Potássio mmol/L]]</f>
        <v>-</v>
      </c>
      <c r="AV254" s="85">
        <f>Tabela1[[#This Row],[Glicose pré]]</f>
        <v>87</v>
      </c>
      <c r="AW254" s="85" t="str">
        <f>Tabela1[[#This Row],[Glicose pós]]</f>
        <v>-</v>
      </c>
      <c r="AX254" s="85">
        <f>Tabela1[[#This Row],[Pré Sódio mmol/L]]</f>
        <v>144</v>
      </c>
      <c r="AY254" s="85" t="str">
        <f>Tabela1[[#This Row],[Pós Sódio mmol/L]]</f>
        <v>-</v>
      </c>
      <c r="AZ254" s="125">
        <f>Tabela1[[#This Row],[Pré Magnésio mg/dL]]</f>
        <v>2.4</v>
      </c>
      <c r="BA254" s="125" t="str">
        <f>Tabela1[[#This Row],[Pós Magnésio mg/dL]]</f>
        <v>-</v>
      </c>
      <c r="BB254" s="85">
        <f>Tabela1[[#This Row],[Pré Cloro mmol/L]]</f>
        <v>104</v>
      </c>
      <c r="BC254" s="85" t="str">
        <f>Tabela1[[#This Row],[Pós Cloro mmol/L]]</f>
        <v>-</v>
      </c>
      <c r="BD25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302.12100000000004</v>
      </c>
      <c r="BE254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254" s="194">
        <f>Tabela1[[#This Row],[Pré RBC 10^6/mm³]]</f>
        <v>4.3</v>
      </c>
      <c r="BG254" s="125" t="str">
        <f>Tabela1[[#This Row],[Pós RBC 10^6/mm³]]</f>
        <v>-</v>
      </c>
      <c r="BH254" s="125">
        <f>Tabela1[[#This Row],[Pré HGB g/dL]]</f>
        <v>14.1</v>
      </c>
      <c r="BI254" s="125" t="str">
        <f>Tabela1[[#This Row],[Pós HGB g/dL]]</f>
        <v>-</v>
      </c>
      <c r="BJ254" s="125">
        <f>Tabela1[[#This Row],[Pré HCT %]]</f>
        <v>42.8</v>
      </c>
      <c r="BK254" s="125" t="str">
        <f>Tabela1[[#This Row],[Pós HCT %]]</f>
        <v>-</v>
      </c>
      <c r="BL254" s="125">
        <f>Tabela1[[#This Row],[Pré MCV fL]]</f>
        <v>97.2</v>
      </c>
      <c r="BM254" s="125" t="str">
        <f>Tabela1[[#This Row],[Pós MCV fL]]</f>
        <v>-</v>
      </c>
      <c r="BN254" s="125">
        <f>Tabela1[[#This Row],[Pré MCH pg]]</f>
        <v>32</v>
      </c>
      <c r="BO254" s="125" t="str">
        <f>Tabela1[[#This Row],[Pós MCH pg]]</f>
        <v>-</v>
      </c>
      <c r="BP254" s="125">
        <f>Tabela1[[#This Row],[Pré MCHC g/dL]]</f>
        <v>32.9</v>
      </c>
      <c r="BQ254" s="125" t="str">
        <f>Tabela1[[#This Row],[Pós MCHC g/dL]]</f>
        <v>-</v>
      </c>
      <c r="BR254" s="85">
        <f>Tabela1[[#This Row],[Pré PLT 10³/mm³]]</f>
        <v>113</v>
      </c>
      <c r="BS254" s="85" t="str">
        <f>Tabela1[[#This Row],[Pós PLT 10³/mm³]]</f>
        <v>-</v>
      </c>
      <c r="BT254" s="125">
        <f>Tabela1[[#This Row],[Pré RDW %]]</f>
        <v>15.9</v>
      </c>
      <c r="BU254" s="125" t="str">
        <f>Tabela1[[#This Row],[Pós RDW %]]</f>
        <v>-</v>
      </c>
      <c r="BV254" s="179">
        <f>Tabela1[[#This Row],[Pré RET %]]</f>
        <v>2.23</v>
      </c>
      <c r="BW254" s="196" t="str">
        <f>Tabela1[[#This Row],[Pós RET %]]</f>
        <v>-</v>
      </c>
      <c r="BX254" s="197">
        <f>Tabela1[[#This Row],[Pré WBC 10³/mm³]]</f>
        <v>4.93</v>
      </c>
      <c r="BY254" s="179" t="str">
        <f>Tabela1[[#This Row],[Pós WBC 10³/mm³]]</f>
        <v>-</v>
      </c>
      <c r="BZ254" s="125">
        <f>Tabela1[[#This Row],[Pré NEUT %]]</f>
        <v>46</v>
      </c>
      <c r="CA254" s="125" t="str">
        <f>Tabela1[[#This Row],[Pós NEUT %]]</f>
        <v>-</v>
      </c>
      <c r="CB254" s="125">
        <f>Tabela1[[#This Row],[Pré LINF %]]</f>
        <v>31.7</v>
      </c>
      <c r="CC254" s="125" t="str">
        <f>Tabela1[[#This Row],[Pós LINF %]]</f>
        <v>-</v>
      </c>
      <c r="CD254" s="125">
        <f>Tabela1[[#This Row],[Pré MONO %]]</f>
        <v>14.6</v>
      </c>
      <c r="CE254" s="125" t="str">
        <f>Tabela1[[#This Row],[Pós MONO %]]</f>
        <v>-</v>
      </c>
      <c r="CF254" s="125">
        <f>Tabela1[[#This Row],[Pré EOS %]]</f>
        <v>3.1</v>
      </c>
      <c r="CG254" s="125" t="str">
        <f>Tabela1[[#This Row],[Pós EOS %]]</f>
        <v>-</v>
      </c>
      <c r="CH254" s="125">
        <f>Tabela1[[#This Row],[Pré BASO %]]</f>
        <v>4.5999999999999996</v>
      </c>
      <c r="CI254" s="198" t="str">
        <f>Tabela1[[#This Row],[Pós BASO %]]</f>
        <v>-</v>
      </c>
      <c r="CJ254" s="199" t="str">
        <f t="shared" si="13"/>
        <v>Dados insuficientes</v>
      </c>
      <c r="CK254" s="200" t="str">
        <f t="shared" si="14"/>
        <v>SIM</v>
      </c>
      <c r="CL254" s="194">
        <f t="shared" si="15"/>
        <v>81.37906000000001</v>
      </c>
      <c r="CM254" s="125">
        <f>Tabela1[[#This Row],[MCT KG]]</f>
        <v>88.9</v>
      </c>
      <c r="CN254" s="85">
        <f>Tabela1[[#This Row],[ESTATURA]]</f>
        <v>184.5</v>
      </c>
      <c r="CO254" s="85">
        <f>Tabela1[[#This Row],[vo2max estimado]]</f>
        <v>49.69</v>
      </c>
      <c r="CP254" s="85">
        <f>Tabela1[[#This Row],[Handgrip     Dominante]]</f>
        <v>54</v>
      </c>
      <c r="CQ254" s="85">
        <f>Tabela1[[#This Row],[Handgrip Contrário]]</f>
        <v>50</v>
      </c>
      <c r="CR254" s="281">
        <f>Tabela1[[#This Row],[% gordura]]</f>
        <v>8.4600000000000009</v>
      </c>
    </row>
    <row r="255" spans="1:96" ht="15.75" customHeight="1">
      <c r="A255" s="279">
        <f>Tabela1[[#This Row],[Ano]]</f>
        <v>2019</v>
      </c>
      <c r="B255" s="181" t="str">
        <f>Tabela1[[#This Row],[Missão]]</f>
        <v>Natal</v>
      </c>
      <c r="C255" s="181">
        <f>Tabela1[[#This Row],[Aluno]]</f>
        <v>3205</v>
      </c>
      <c r="D255" s="181">
        <f>Tabela1[[#This Row],[Idade]]</f>
        <v>32</v>
      </c>
      <c r="E255" s="182">
        <f>Tabela1[[#This Row],[Peso Kg]]</f>
        <v>76</v>
      </c>
      <c r="F255" s="191">
        <f>Tabela1[[#This Row],[Cor da pele]]</f>
        <v>1</v>
      </c>
      <c r="G255" s="192" t="str">
        <f>Tabela1[[#This Row],[ACTN3]]</f>
        <v>RR</v>
      </c>
      <c r="H255" s="85" t="str">
        <f>Tabela1[[#This Row],[AGT]]</f>
        <v>-</v>
      </c>
      <c r="I255" s="85" t="str">
        <f>Tabela1[[#This Row],[ECA]]</f>
        <v>ID</v>
      </c>
      <c r="J255" s="85" t="str">
        <f>Tabela1[[#This Row],[BDKRB2]]</f>
        <v>(+9,-9)</v>
      </c>
      <c r="K255" s="85" t="str">
        <f>Tabela1[[#This Row],[Score Força%]]</f>
        <v>-</v>
      </c>
      <c r="L255" s="193" t="str">
        <f>Tabela1[[#This Row],[Score Resistência %]]</f>
        <v>-</v>
      </c>
      <c r="M255" s="192">
        <f>Tabela1[[#This Row],[Pré CK (U/L)]]</f>
        <v>152</v>
      </c>
      <c r="N255" s="85">
        <f>Tabela1[[#This Row],[Pós CK (U/L)]]</f>
        <v>1589</v>
      </c>
      <c r="O255" s="85">
        <f>Tabela1[[#This Row],[Pré CK MB U/L]]</f>
        <v>21</v>
      </c>
      <c r="P255" s="85">
        <f>Tabela1[[#This Row],[Pós CK MB U/L]]</f>
        <v>76</v>
      </c>
      <c r="Q255" s="85">
        <f>Tabela1[[#This Row],[Pré Lactato (mmol/L)]]</f>
        <v>2.4</v>
      </c>
      <c r="R255" s="85">
        <f>Tabela1[[#This Row],[Pós Lactato (mmol/L)]]</f>
        <v>1.8</v>
      </c>
      <c r="S255" s="85">
        <f>Tabela1[[#This Row],[Pré LDH (U/L)]]</f>
        <v>178</v>
      </c>
      <c r="T255" s="85">
        <f>Tabela1[[#This Row],[Pós LDH (U/L)]]</f>
        <v>367</v>
      </c>
      <c r="U255" s="85">
        <f>Tabela1[[#This Row],[Pré AST (U/L)]]</f>
        <v>25</v>
      </c>
      <c r="V255" s="193">
        <f>Tabela1[[#This Row],[Pós AST (U/L)]]</f>
        <v>90</v>
      </c>
      <c r="W255" s="194">
        <f>Tabela1[[#This Row],[Pré Albumina (g/dL)]]</f>
        <v>4.2</v>
      </c>
      <c r="X255" s="125">
        <f>Tabela1[[#This Row],[Pós Albumina (g/dL)]]</f>
        <v>4.5999999999999996</v>
      </c>
      <c r="Y255" s="85">
        <f>Tabela1[[#This Row],[Pré TGP (g/dL)]]</f>
        <v>28</v>
      </c>
      <c r="Z255" s="85">
        <f>Tabela1[[#This Row],[Pós TGP (g/dL)]]</f>
        <v>44</v>
      </c>
      <c r="AA255" s="85">
        <f>Tabela1[[#This Row],[Pré GGT U/L]]</f>
        <v>32</v>
      </c>
      <c r="AB255" s="193">
        <f>Tabela1[[#This Row],[Pós GGT U/L]]</f>
        <v>26</v>
      </c>
      <c r="AC255" s="194">
        <f>Tabela1[[#This Row],[Pré Ac. Úrico (mg/dL)]]</f>
        <v>6.7</v>
      </c>
      <c r="AD255" s="125">
        <f>Tabela1[[#This Row],[Pós Ac. Úrico (mg/dL)2]]</f>
        <v>7.2</v>
      </c>
      <c r="AE25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5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55" s="85">
        <f>Tabela1[[#This Row],[Pré Ureia mg/dL]]</f>
        <v>37</v>
      </c>
      <c r="AH255" s="85">
        <f>Tabela1[[#This Row],[Pós Ureia mg/dL]]</f>
        <v>41</v>
      </c>
      <c r="AI255" s="125">
        <f>Tabela1[[#This Row],[Pré creatinina mg/dL]]</f>
        <v>0.9</v>
      </c>
      <c r="AJ255" s="125">
        <f>Tabela1[[#This Row],[Pós creatinina mg/dL]]</f>
        <v>1</v>
      </c>
      <c r="AK255" s="180">
        <f t="shared" si="12"/>
        <v>9.9999999999999978E-2</v>
      </c>
      <c r="AL255" s="125">
        <f>Tabela1[[#This Row],[Pré Fósforo mg/dL]]</f>
        <v>5.6</v>
      </c>
      <c r="AM255" s="125">
        <f>Tabela1[[#This Row],[Pós Fósforo mg/dL]]</f>
        <v>4.7</v>
      </c>
      <c r="AN255" s="125">
        <f>Tabela1[[#This Row],[Pré Proteína Total (g/dL)]]</f>
        <v>7.1</v>
      </c>
      <c r="AO255" s="125">
        <f>Tabela1[[#This Row],[Pós Proteína Total (g/dL)]]</f>
        <v>6.8</v>
      </c>
      <c r="AP255" s="85">
        <f>Tabela1[[#This Row],[Pré FE (ug/dL)]]</f>
        <v>93</v>
      </c>
      <c r="AQ255" s="193">
        <f>Tabela1[[#This Row],[Pós FE (ug/dL)]]</f>
        <v>71</v>
      </c>
      <c r="AR255" s="194">
        <f>Tabela1[[#This Row],[Pré calcio mg/dL]]</f>
        <v>9.5</v>
      </c>
      <c r="AS255" s="125">
        <f>Tabela1[[#This Row],[Pós calcio mg/dL]]</f>
        <v>9.5</v>
      </c>
      <c r="AT255" s="125">
        <f>Tabela1[[#This Row],[Pré Potássio mmol/L]]</f>
        <v>4.5</v>
      </c>
      <c r="AU255" s="125">
        <f>Tabela1[[#This Row],[Pós Potássio mmol/L]]</f>
        <v>4.2</v>
      </c>
      <c r="AV255" s="85">
        <f>Tabela1[[#This Row],[Glicose pré]]</f>
        <v>116</v>
      </c>
      <c r="AW255" s="85">
        <f>Tabela1[[#This Row],[Glicose pós]]</f>
        <v>108</v>
      </c>
      <c r="AX255" s="85">
        <f>Tabela1[[#This Row],[Pré Sódio mmol/L]]</f>
        <v>141</v>
      </c>
      <c r="AY255" s="85">
        <f>Tabela1[[#This Row],[Pós Sódio mmol/L]]</f>
        <v>140</v>
      </c>
      <c r="AZ255" s="125">
        <f>Tabela1[[#This Row],[Pré Magnésio mg/dL]]</f>
        <v>2.2999999999999998</v>
      </c>
      <c r="BA255" s="125">
        <f>Tabela1[[#This Row],[Pós Magnésio mg/dL]]</f>
        <v>2.2999999999999998</v>
      </c>
      <c r="BB255" s="85">
        <f>Tabela1[[#This Row],[Pré Cloro mmol/L]]</f>
        <v>100</v>
      </c>
      <c r="BC255" s="85">
        <f>Tabela1[[#This Row],[Pós Cloro mmol/L]]</f>
        <v>104</v>
      </c>
      <c r="BD25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298.20777777777778</v>
      </c>
      <c r="BE25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295.94533333333328</v>
      </c>
      <c r="BF255" s="194">
        <f>Tabela1[[#This Row],[Pré RBC 10^6/mm³]]</f>
        <v>4.9000000000000004</v>
      </c>
      <c r="BG255" s="125">
        <f>Tabela1[[#This Row],[Pós RBC 10^6/mm³]]</f>
        <v>4.4000000000000004</v>
      </c>
      <c r="BH255" s="125">
        <f>Tabela1[[#This Row],[Pré HGB g/dL]]</f>
        <v>15.1</v>
      </c>
      <c r="BI255" s="125">
        <f>Tabela1[[#This Row],[Pós HGB g/dL]]</f>
        <v>13.3</v>
      </c>
      <c r="BJ255" s="125">
        <f>Tabela1[[#This Row],[Pré HCT %]]</f>
        <v>45.4</v>
      </c>
      <c r="BK255" s="125">
        <f>Tabela1[[#This Row],[Pós HCT %]]</f>
        <v>40.9</v>
      </c>
      <c r="BL255" s="125">
        <f>Tabela1[[#This Row],[Pré MCV fL]]</f>
        <v>91.9</v>
      </c>
      <c r="BM255" s="125">
        <f>Tabela1[[#This Row],[Pós MCV fL]]</f>
        <v>92.7</v>
      </c>
      <c r="BN255" s="125">
        <f>Tabela1[[#This Row],[Pré MCH pg]]</f>
        <v>30.5</v>
      </c>
      <c r="BO255" s="125">
        <f>Tabela1[[#This Row],[Pós MCH pg]]</f>
        <v>30.1</v>
      </c>
      <c r="BP255" s="125">
        <f>Tabela1[[#This Row],[Pré MCHC g/dL]]</f>
        <v>33.200000000000003</v>
      </c>
      <c r="BQ255" s="125">
        <f>Tabela1[[#This Row],[Pós MCHC g/dL]]</f>
        <v>32.5</v>
      </c>
      <c r="BR255" s="85">
        <f>Tabela1[[#This Row],[Pré PLT 10³/mm³]]</f>
        <v>244</v>
      </c>
      <c r="BS255" s="85">
        <f>Tabela1[[#This Row],[Pós PLT 10³/mm³]]</f>
        <v>244</v>
      </c>
      <c r="BT255" s="125">
        <f>Tabela1[[#This Row],[Pré RDW %]]</f>
        <v>15.6</v>
      </c>
      <c r="BU255" s="125">
        <f>Tabela1[[#This Row],[Pós RDW %]]</f>
        <v>14.5</v>
      </c>
      <c r="BV255" s="179">
        <f>Tabela1[[#This Row],[Pré RET %]]</f>
        <v>1.84</v>
      </c>
      <c r="BW255" s="196" t="str">
        <f>Tabela1[[#This Row],[Pós RET %]]</f>
        <v>-</v>
      </c>
      <c r="BX255" s="197">
        <f>Tabela1[[#This Row],[Pré WBC 10³/mm³]]</f>
        <v>6.25</v>
      </c>
      <c r="BY255" s="179">
        <f>Tabela1[[#This Row],[Pós WBC 10³/mm³]]</f>
        <v>7.84</v>
      </c>
      <c r="BZ255" s="125">
        <f>Tabela1[[#This Row],[Pré NEUT %]]</f>
        <v>37.200000000000003</v>
      </c>
      <c r="CA255" s="125">
        <f>Tabela1[[#This Row],[Pós NEUT %]]</f>
        <v>41.3</v>
      </c>
      <c r="CB255" s="125">
        <f>Tabela1[[#This Row],[Pré LINF %]]</f>
        <v>41.2</v>
      </c>
      <c r="CC255" s="125">
        <f>Tabela1[[#This Row],[Pós LINF %]]</f>
        <v>40.799999999999997</v>
      </c>
      <c r="CD255" s="125">
        <f>Tabela1[[#This Row],[Pré MONO %]]</f>
        <v>7.8</v>
      </c>
      <c r="CE255" s="125">
        <f>Tabela1[[#This Row],[Pós MONO %]]</f>
        <v>11.9</v>
      </c>
      <c r="CF255" s="125">
        <f>Tabela1[[#This Row],[Pré EOS %]]</f>
        <v>7.8</v>
      </c>
      <c r="CG255" s="125">
        <f>Tabela1[[#This Row],[Pós EOS %]]</f>
        <v>2.9</v>
      </c>
      <c r="CH255" s="125">
        <f>Tabela1[[#This Row],[Pré BASO %]]</f>
        <v>6</v>
      </c>
      <c r="CI255" s="198">
        <f>Tabela1[[#This Row],[Pós BASO %]]</f>
        <v>3.1</v>
      </c>
      <c r="CJ255" s="199" t="str">
        <f t="shared" si="13"/>
        <v>NÃO</v>
      </c>
      <c r="CK255" s="200" t="str">
        <f t="shared" si="14"/>
        <v>SIM</v>
      </c>
      <c r="CL255" s="194">
        <f t="shared" si="15"/>
        <v>70.381349999999998</v>
      </c>
      <c r="CM255" s="125">
        <f>Tabela1[[#This Row],[MCT KG]]</f>
        <v>79.5</v>
      </c>
      <c r="CN255" s="85">
        <f>Tabela1[[#This Row],[ESTATURA]]</f>
        <v>176.5</v>
      </c>
      <c r="CO255" s="85">
        <f>Tabela1[[#This Row],[vo2max estimado]]</f>
        <v>52.51</v>
      </c>
      <c r="CP255" s="85">
        <f>Tabela1[[#This Row],[Handgrip     Dominante]]</f>
        <v>48</v>
      </c>
      <c r="CQ255" s="85">
        <f>Tabela1[[#This Row],[Handgrip Contrário]]</f>
        <v>52</v>
      </c>
      <c r="CR255" s="281">
        <f>Tabela1[[#This Row],[% gordura]]</f>
        <v>11.47</v>
      </c>
    </row>
    <row r="256" spans="1:96" ht="15.75" customHeight="1">
      <c r="A256" s="279">
        <f>Tabela1[[#This Row],[Ano]]</f>
        <v>2019</v>
      </c>
      <c r="B256" s="181" t="str">
        <f>Tabela1[[#This Row],[Missão]]</f>
        <v>Natal</v>
      </c>
      <c r="C256" s="181">
        <f>Tabela1[[#This Row],[Aluno]]</f>
        <v>3222</v>
      </c>
      <c r="D256" s="181">
        <f>Tabela1[[#This Row],[Idade]]</f>
        <v>28</v>
      </c>
      <c r="E256" s="182">
        <f>Tabela1[[#This Row],[Peso Kg]]</f>
        <v>61</v>
      </c>
      <c r="F256" s="191">
        <f>Tabela1[[#This Row],[Cor da pele]]</f>
        <v>1</v>
      </c>
      <c r="G256" s="192" t="str">
        <f>Tabela1[[#This Row],[ACTN3]]</f>
        <v>RR</v>
      </c>
      <c r="H256" s="85" t="str">
        <f>Tabela1[[#This Row],[AGT]]</f>
        <v>MT</v>
      </c>
      <c r="I256" s="85" t="str">
        <f>Tabela1[[#This Row],[ECA]]</f>
        <v>ID</v>
      </c>
      <c r="J256" s="85" t="str">
        <f>Tabela1[[#This Row],[BDKRB2]]</f>
        <v>(-9,-9)</v>
      </c>
      <c r="K256" s="85">
        <f>Tabela1[[#This Row],[Score Força%]]</f>
        <v>50</v>
      </c>
      <c r="L256" s="193">
        <f>Tabela1[[#This Row],[Score Resistência %]]</f>
        <v>50</v>
      </c>
      <c r="M256" s="192">
        <f>Tabela1[[#This Row],[Pré CK (U/L)]]</f>
        <v>887</v>
      </c>
      <c r="N256" s="85">
        <f>Tabela1[[#This Row],[Pós CK (U/L)]]</f>
        <v>457</v>
      </c>
      <c r="O256" s="85">
        <f>Tabela1[[#This Row],[Pré CK MB U/L]]</f>
        <v>31</v>
      </c>
      <c r="P256" s="85">
        <f>Tabela1[[#This Row],[Pós CK MB U/L]]</f>
        <v>25</v>
      </c>
      <c r="Q256" s="85">
        <f>Tabela1[[#This Row],[Pré Lactato (mmol/L)]]</f>
        <v>1.8</v>
      </c>
      <c r="R256" s="85">
        <f>Tabela1[[#This Row],[Pós Lactato (mmol/L)]]</f>
        <v>1.9</v>
      </c>
      <c r="S256" s="85">
        <f>Tabela1[[#This Row],[Pré LDH (U/L)]]</f>
        <v>251</v>
      </c>
      <c r="T256" s="85">
        <f>Tabela1[[#This Row],[Pós LDH (U/L)]]</f>
        <v>310</v>
      </c>
      <c r="U256" s="85">
        <f>Tabela1[[#This Row],[Pré AST (U/L)]]</f>
        <v>54</v>
      </c>
      <c r="V256" s="193">
        <f>Tabela1[[#This Row],[Pós AST (U/L)]]</f>
        <v>47</v>
      </c>
      <c r="W256" s="194">
        <f>Tabela1[[#This Row],[Pré Albumina (g/dL)]]</f>
        <v>4.5999999999999996</v>
      </c>
      <c r="X256" s="125">
        <f>Tabela1[[#This Row],[Pós Albumina (g/dL)]]</f>
        <v>5.0999999999999996</v>
      </c>
      <c r="Y256" s="85">
        <f>Tabela1[[#This Row],[Pré TGP (g/dL)]]</f>
        <v>36</v>
      </c>
      <c r="Z256" s="85">
        <f>Tabela1[[#This Row],[Pós TGP (g/dL)]]</f>
        <v>41</v>
      </c>
      <c r="AA256" s="85">
        <f>Tabela1[[#This Row],[Pré GGT U/L]]</f>
        <v>18</v>
      </c>
      <c r="AB256" s="193">
        <f>Tabela1[[#This Row],[Pós GGT U/L]]</f>
        <v>17</v>
      </c>
      <c r="AC256" s="194">
        <f>Tabela1[[#This Row],[Pré Ac. Úrico (mg/dL)]]</f>
        <v>5.0999999999999996</v>
      </c>
      <c r="AD256" s="125">
        <f>Tabela1[[#This Row],[Pós Ac. Úrico (mg/dL)2]]</f>
        <v>6.6</v>
      </c>
      <c r="AE25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5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256" s="85">
        <f>Tabela1[[#This Row],[Pré Ureia mg/dL]]</f>
        <v>44</v>
      </c>
      <c r="AH256" s="85">
        <f>Tabela1[[#This Row],[Pós Ureia mg/dL]]</f>
        <v>44</v>
      </c>
      <c r="AI256" s="125">
        <f>Tabela1[[#This Row],[Pré creatinina mg/dL]]</f>
        <v>0.9</v>
      </c>
      <c r="AJ256" s="125">
        <f>Tabela1[[#This Row],[Pós creatinina mg/dL]]</f>
        <v>1.1000000000000001</v>
      </c>
      <c r="AK256" s="180">
        <f t="shared" si="12"/>
        <v>0.20000000000000007</v>
      </c>
      <c r="AL256" s="125">
        <f>Tabela1[[#This Row],[Pré Fósforo mg/dL]]</f>
        <v>4.8</v>
      </c>
      <c r="AM256" s="125">
        <f>Tabela1[[#This Row],[Pós Fósforo mg/dL]]</f>
        <v>4</v>
      </c>
      <c r="AN256" s="125">
        <f>Tabela1[[#This Row],[Pré Proteína Total (g/dL)]]</f>
        <v>7.8</v>
      </c>
      <c r="AO256" s="125">
        <f>Tabela1[[#This Row],[Pós Proteína Total (g/dL)]]</f>
        <v>7.9</v>
      </c>
      <c r="AP256" s="85">
        <f>Tabela1[[#This Row],[Pré FE (ug/dL)]]</f>
        <v>87</v>
      </c>
      <c r="AQ256" s="193">
        <f>Tabela1[[#This Row],[Pós FE (ug/dL)]]</f>
        <v>132</v>
      </c>
      <c r="AR256" s="194">
        <f>Tabela1[[#This Row],[Pré calcio mg/dL]]</f>
        <v>9.6</v>
      </c>
      <c r="AS256" s="125">
        <f>Tabela1[[#This Row],[Pós calcio mg/dL]]</f>
        <v>10</v>
      </c>
      <c r="AT256" s="125">
        <f>Tabela1[[#This Row],[Pré Potássio mmol/L]]</f>
        <v>4.5999999999999996</v>
      </c>
      <c r="AU256" s="125">
        <f>Tabela1[[#This Row],[Pós Potássio mmol/L]]</f>
        <v>4.2</v>
      </c>
      <c r="AV256" s="85">
        <f>Tabela1[[#This Row],[Glicose pré]]</f>
        <v>93</v>
      </c>
      <c r="AW256" s="85">
        <f>Tabela1[[#This Row],[Glicose pós]]</f>
        <v>102</v>
      </c>
      <c r="AX256" s="85">
        <f>Tabela1[[#This Row],[Pré Sódio mmol/L]]</f>
        <v>142</v>
      </c>
      <c r="AY256" s="85">
        <f>Tabela1[[#This Row],[Pós Sódio mmol/L]]</f>
        <v>139</v>
      </c>
      <c r="AZ256" s="125">
        <f>Tabela1[[#This Row],[Pré Magnésio mg/dL]]</f>
        <v>2.2000000000000002</v>
      </c>
      <c r="BA256" s="125">
        <f>Tabela1[[#This Row],[Pós Magnésio mg/dL]]</f>
        <v>2.2999999999999998</v>
      </c>
      <c r="BB256" s="85">
        <f>Tabela1[[#This Row],[Pré Cloro mmol/L]]</f>
        <v>102</v>
      </c>
      <c r="BC256" s="85">
        <f>Tabela1[[#This Row],[Pós Cloro mmol/L]]</f>
        <v>100</v>
      </c>
      <c r="BD25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299.95099999999996</v>
      </c>
      <c r="BE25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294.20199999999994</v>
      </c>
      <c r="BF256" s="194">
        <f>Tabela1[[#This Row],[Pré RBC 10^6/mm³]]</f>
        <v>4.75</v>
      </c>
      <c r="BG256" s="125">
        <f>Tabela1[[#This Row],[Pós RBC 10^6/mm³]]</f>
        <v>4.5</v>
      </c>
      <c r="BH256" s="125">
        <f>Tabela1[[#This Row],[Pré HGB g/dL]]</f>
        <v>14.7</v>
      </c>
      <c r="BI256" s="125">
        <f>Tabela1[[#This Row],[Pós HGB g/dL]]</f>
        <v>13.5</v>
      </c>
      <c r="BJ256" s="125">
        <f>Tabela1[[#This Row],[Pré HCT %]]</f>
        <v>43.7</v>
      </c>
      <c r="BK256" s="125">
        <f>Tabela1[[#This Row],[Pós HCT %]]</f>
        <v>40.6</v>
      </c>
      <c r="BL256" s="125">
        <f>Tabela1[[#This Row],[Pré MCV fL]]</f>
        <v>89.9</v>
      </c>
      <c r="BM256" s="125">
        <f>Tabela1[[#This Row],[Pós MCV fL]]</f>
        <v>89.8</v>
      </c>
      <c r="BN256" s="125">
        <f>Tabela1[[#This Row],[Pré MCH pg]]</f>
        <v>30.1</v>
      </c>
      <c r="BO256" s="125">
        <f>Tabela1[[#This Row],[Pós MCH pg]]</f>
        <v>29.8</v>
      </c>
      <c r="BP256" s="125">
        <f>Tabela1[[#This Row],[Pré MCHC g/dL]]</f>
        <v>33.5</v>
      </c>
      <c r="BQ256" s="125">
        <f>Tabela1[[#This Row],[Pós MCHC g/dL]]</f>
        <v>33.200000000000003</v>
      </c>
      <c r="BR256" s="85">
        <f>Tabela1[[#This Row],[Pré PLT 10³/mm³]]</f>
        <v>257</v>
      </c>
      <c r="BS256" s="85">
        <f>Tabela1[[#This Row],[Pós PLT 10³/mm³]]</f>
        <v>243</v>
      </c>
      <c r="BT256" s="125">
        <f>Tabela1[[#This Row],[Pré RDW %]]</f>
        <v>15.1</v>
      </c>
      <c r="BU256" s="125">
        <f>Tabela1[[#This Row],[Pós RDW %]]</f>
        <v>14.4</v>
      </c>
      <c r="BV256" s="179">
        <f>Tabela1[[#This Row],[Pré RET %]]</f>
        <v>0.95</v>
      </c>
      <c r="BW256" s="196" t="str">
        <f>Tabela1[[#This Row],[Pós RET %]]</f>
        <v>-</v>
      </c>
      <c r="BX256" s="197">
        <f>Tabela1[[#This Row],[Pré WBC 10³/mm³]]</f>
        <v>2.98</v>
      </c>
      <c r="BY256" s="179">
        <f>Tabela1[[#This Row],[Pós WBC 10³/mm³]]</f>
        <v>4.42</v>
      </c>
      <c r="BZ256" s="125">
        <f>Tabela1[[#This Row],[Pré NEUT %]]</f>
        <v>22.8</v>
      </c>
      <c r="CA256" s="125">
        <f>Tabela1[[#This Row],[Pós NEUT %]]</f>
        <v>32.9</v>
      </c>
      <c r="CB256" s="125">
        <f>Tabela1[[#This Row],[Pré LINF %]]</f>
        <v>51.2</v>
      </c>
      <c r="CC256" s="125">
        <f>Tabela1[[#This Row],[Pós LINF %]]</f>
        <v>42</v>
      </c>
      <c r="CD256" s="125">
        <f>Tabela1[[#This Row],[Pré MONO %]]</f>
        <v>9.1</v>
      </c>
      <c r="CE256" s="125">
        <f>Tabela1[[#This Row],[Pós MONO %]]</f>
        <v>14.5</v>
      </c>
      <c r="CF256" s="125">
        <f>Tabela1[[#This Row],[Pré EOS %]]</f>
        <v>8</v>
      </c>
      <c r="CG256" s="125">
        <f>Tabela1[[#This Row],[Pós EOS %]]</f>
        <v>4.8</v>
      </c>
      <c r="CH256" s="125">
        <f>Tabela1[[#This Row],[Pré BASO %]]</f>
        <v>8.9</v>
      </c>
      <c r="CI256" s="198">
        <f>Tabela1[[#This Row],[Pós BASO %]]</f>
        <v>5.8</v>
      </c>
      <c r="CJ256" s="199" t="str">
        <f t="shared" si="13"/>
        <v>NÃO</v>
      </c>
      <c r="CK256" s="200" t="str">
        <f t="shared" si="14"/>
        <v>NÃO</v>
      </c>
      <c r="CL256" s="194">
        <f t="shared" si="15"/>
        <v>56.283344999999997</v>
      </c>
      <c r="CM256" s="125">
        <f>Tabela1[[#This Row],[MCT KG]]</f>
        <v>62.35</v>
      </c>
      <c r="CN256" s="85">
        <f>Tabela1[[#This Row],[ESTATURA]]</f>
        <v>169</v>
      </c>
      <c r="CO256" s="85">
        <f>Tabela1[[#This Row],[vo2max estimado]]</f>
        <v>52.58</v>
      </c>
      <c r="CP256" s="85">
        <f>Tabela1[[#This Row],[Handgrip     Dominante]]</f>
        <v>44</v>
      </c>
      <c r="CQ256" s="85">
        <f>Tabela1[[#This Row],[Handgrip Contrário]]</f>
        <v>38</v>
      </c>
      <c r="CR256" s="281">
        <f>Tabela1[[#This Row],[% gordura]]</f>
        <v>9.73</v>
      </c>
    </row>
    <row r="257" spans="1:96" ht="15.75" customHeight="1">
      <c r="A257" s="279">
        <f>Tabela1[[#This Row],[Ano]]</f>
        <v>2019</v>
      </c>
      <c r="B257" s="181" t="str">
        <f>Tabela1[[#This Row],[Missão]]</f>
        <v>Natal</v>
      </c>
      <c r="C257" s="181">
        <f>Tabela1[[#This Row],[Aluno]]</f>
        <v>3235</v>
      </c>
      <c r="D257" s="181">
        <f>Tabela1[[#This Row],[Idade]]</f>
        <v>28</v>
      </c>
      <c r="E257" s="182">
        <f>Tabela1[[#This Row],[Peso Kg]]</f>
        <v>87</v>
      </c>
      <c r="F257" s="191">
        <f>Tabela1[[#This Row],[Cor da pele]]</f>
        <v>1</v>
      </c>
      <c r="G257" s="192" t="str">
        <f>Tabela1[[#This Row],[ACTN3]]</f>
        <v>XX</v>
      </c>
      <c r="H257" s="85" t="str">
        <f>Tabela1[[#This Row],[AGT]]</f>
        <v>TT</v>
      </c>
      <c r="I257" s="85" t="str">
        <f>Tabela1[[#This Row],[ECA]]</f>
        <v>DD</v>
      </c>
      <c r="J257" s="85" t="str">
        <f>Tabela1[[#This Row],[BDKRB2]]</f>
        <v>(+9,-9)</v>
      </c>
      <c r="K257" s="85">
        <f>Tabela1[[#This Row],[Score Força%]]</f>
        <v>62.5</v>
      </c>
      <c r="L257" s="193">
        <f>Tabela1[[#This Row],[Score Resistência %]]</f>
        <v>37.5</v>
      </c>
      <c r="M257" s="192">
        <f>Tabela1[[#This Row],[Pré CK (U/L)]]</f>
        <v>105</v>
      </c>
      <c r="N257" s="85">
        <f>Tabela1[[#This Row],[Pós CK (U/L)]]</f>
        <v>2083</v>
      </c>
      <c r="O257" s="85">
        <f>Tabela1[[#This Row],[Pré CK MB U/L]]</f>
        <v>21</v>
      </c>
      <c r="P257" s="85">
        <f>Tabela1[[#This Row],[Pós CK MB U/L]]</f>
        <v>85</v>
      </c>
      <c r="Q257" s="85">
        <f>Tabela1[[#This Row],[Pré Lactato (mmol/L)]]</f>
        <v>1.6</v>
      </c>
      <c r="R257" s="85">
        <f>Tabela1[[#This Row],[Pós Lactato (mmol/L)]]</f>
        <v>2</v>
      </c>
      <c r="S257" s="85">
        <f>Tabela1[[#This Row],[Pré LDH (U/L)]]</f>
        <v>188</v>
      </c>
      <c r="T257" s="85">
        <f>Tabela1[[#This Row],[Pós LDH (U/L)]]</f>
        <v>428</v>
      </c>
      <c r="U257" s="85">
        <f>Tabela1[[#This Row],[Pré AST (U/L)]]</f>
        <v>31</v>
      </c>
      <c r="V257" s="193">
        <f>Tabela1[[#This Row],[Pós AST (U/L)]]</f>
        <v>125</v>
      </c>
      <c r="W257" s="194">
        <f>Tabela1[[#This Row],[Pré Albumina (g/dL)]]</f>
        <v>3.9</v>
      </c>
      <c r="X257" s="125">
        <f>Tabela1[[#This Row],[Pós Albumina (g/dL)]]</f>
        <v>4.3</v>
      </c>
      <c r="Y257" s="85">
        <f>Tabela1[[#This Row],[Pré TGP (g/dL)]]</f>
        <v>29</v>
      </c>
      <c r="Z257" s="85">
        <f>Tabela1[[#This Row],[Pós TGP (g/dL)]]</f>
        <v>50</v>
      </c>
      <c r="AA257" s="85">
        <f>Tabela1[[#This Row],[Pré GGT U/L]]</f>
        <v>20</v>
      </c>
      <c r="AB257" s="193">
        <f>Tabela1[[#This Row],[Pós GGT U/L]]</f>
        <v>17</v>
      </c>
      <c r="AC257" s="194">
        <f>Tabela1[[#This Row],[Pré Ac. Úrico (mg/dL)]]</f>
        <v>5.9</v>
      </c>
      <c r="AD257" s="125">
        <f>Tabela1[[#This Row],[Pós Ac. Úrico (mg/dL)2]]</f>
        <v>8.8000000000000007</v>
      </c>
      <c r="AE25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5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257" s="85">
        <f>Tabela1[[#This Row],[Pré Ureia mg/dL]]</f>
        <v>44</v>
      </c>
      <c r="AH257" s="85">
        <f>Tabela1[[#This Row],[Pós Ureia mg/dL]]</f>
        <v>51</v>
      </c>
      <c r="AI257" s="125">
        <f>Tabela1[[#This Row],[Pré creatinina mg/dL]]</f>
        <v>1</v>
      </c>
      <c r="AJ257" s="125">
        <f>Tabela1[[#This Row],[Pós creatinina mg/dL]]</f>
        <v>1.2</v>
      </c>
      <c r="AK257" s="180">
        <f t="shared" si="12"/>
        <v>0.19999999999999996</v>
      </c>
      <c r="AL257" s="125">
        <f>Tabela1[[#This Row],[Pré Fósforo mg/dL]]</f>
        <v>5.4</v>
      </c>
      <c r="AM257" s="125">
        <f>Tabela1[[#This Row],[Pós Fósforo mg/dL]]</f>
        <v>4.8</v>
      </c>
      <c r="AN257" s="125">
        <f>Tabela1[[#This Row],[Pré Proteína Total (g/dL)]]</f>
        <v>7.4</v>
      </c>
      <c r="AO257" s="125">
        <f>Tabela1[[#This Row],[Pós Proteína Total (g/dL)]]</f>
        <v>7.5</v>
      </c>
      <c r="AP257" s="85">
        <f>Tabela1[[#This Row],[Pré FE (ug/dL)]]</f>
        <v>74</v>
      </c>
      <c r="AQ257" s="193">
        <f>Tabela1[[#This Row],[Pós FE (ug/dL)]]</f>
        <v>48</v>
      </c>
      <c r="AR257" s="194">
        <f>Tabela1[[#This Row],[Pré calcio mg/dL]]</f>
        <v>9</v>
      </c>
      <c r="AS257" s="125">
        <f>Tabela1[[#This Row],[Pós calcio mg/dL]]</f>
        <v>8.5</v>
      </c>
      <c r="AT257" s="125">
        <f>Tabela1[[#This Row],[Pré Potássio mmol/L]]</f>
        <v>4.4000000000000004</v>
      </c>
      <c r="AU257" s="125">
        <f>Tabela1[[#This Row],[Pós Potássio mmol/L]]</f>
        <v>4.0999999999999996</v>
      </c>
      <c r="AV257" s="85">
        <f>Tabela1[[#This Row],[Glicose pré]]</f>
        <v>93</v>
      </c>
      <c r="AW257" s="85">
        <f>Tabela1[[#This Row],[Glicose pós]]</f>
        <v>118</v>
      </c>
      <c r="AX257" s="85">
        <f>Tabela1[[#This Row],[Pré Sódio mmol/L]]</f>
        <v>140</v>
      </c>
      <c r="AY257" s="85">
        <f>Tabela1[[#This Row],[Pós Sódio mmol/L]]</f>
        <v>135</v>
      </c>
      <c r="AZ257" s="125">
        <f>Tabela1[[#This Row],[Pré Magnésio mg/dL]]</f>
        <v>2.1</v>
      </c>
      <c r="BA257" s="125">
        <f>Tabela1[[#This Row],[Pós Magnésio mg/dL]]</f>
        <v>2.2999999999999998</v>
      </c>
      <c r="BB257" s="85">
        <f>Tabela1[[#This Row],[Pré Cloro mmol/L]]</f>
        <v>99</v>
      </c>
      <c r="BC257" s="85">
        <f>Tabela1[[#This Row],[Pós Cloro mmol/L]]</f>
        <v>98</v>
      </c>
      <c r="BD25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295.85899999999998</v>
      </c>
      <c r="BE25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288.76488888888889</v>
      </c>
      <c r="BF257" s="194">
        <f>Tabela1[[#This Row],[Pré RBC 10^6/mm³]]</f>
        <v>4.97</v>
      </c>
      <c r="BG257" s="125">
        <f>Tabela1[[#This Row],[Pós RBC 10^6/mm³]]</f>
        <v>4.8</v>
      </c>
      <c r="BH257" s="125">
        <f>Tabela1[[#This Row],[Pré HGB g/dL]]</f>
        <v>15.1</v>
      </c>
      <c r="BI257" s="125">
        <f>Tabela1[[#This Row],[Pós HGB g/dL]]</f>
        <v>14.3</v>
      </c>
      <c r="BJ257" s="125">
        <f>Tabela1[[#This Row],[Pré HCT %]]</f>
        <v>46</v>
      </c>
      <c r="BK257" s="125">
        <f>Tabela1[[#This Row],[Pós HCT %]]</f>
        <v>44.6</v>
      </c>
      <c r="BL257" s="125">
        <f>Tabela1[[#This Row],[Pré MCV fL]]</f>
        <v>92</v>
      </c>
      <c r="BM257" s="125">
        <f>Tabela1[[#This Row],[Pós MCV fL]]</f>
        <v>92.8</v>
      </c>
      <c r="BN257" s="125">
        <f>Tabela1[[#This Row],[Pré MCH pg]]</f>
        <v>30.1</v>
      </c>
      <c r="BO257" s="125">
        <f>Tabela1[[#This Row],[Pós MCH pg]]</f>
        <v>29.7</v>
      </c>
      <c r="BP257" s="125">
        <f>Tabela1[[#This Row],[Pré MCHC g/dL]]</f>
        <v>32.799999999999997</v>
      </c>
      <c r="BQ257" s="125">
        <f>Tabela1[[#This Row],[Pós MCHC g/dL]]</f>
        <v>32</v>
      </c>
      <c r="BR257" s="85">
        <f>Tabela1[[#This Row],[Pré PLT 10³/mm³]]</f>
        <v>182</v>
      </c>
      <c r="BS257" s="85">
        <f>Tabela1[[#This Row],[Pós PLT 10³/mm³]]</f>
        <v>208</v>
      </c>
      <c r="BT257" s="125">
        <f>Tabela1[[#This Row],[Pré RDW %]]</f>
        <v>15.9</v>
      </c>
      <c r="BU257" s="125">
        <f>Tabela1[[#This Row],[Pós RDW %]]</f>
        <v>15.3</v>
      </c>
      <c r="BV257" s="179">
        <f>Tabela1[[#This Row],[Pré RET %]]</f>
        <v>1.64</v>
      </c>
      <c r="BW257" s="196" t="str">
        <f>Tabela1[[#This Row],[Pós RET %]]</f>
        <v>-</v>
      </c>
      <c r="BX257" s="197">
        <f>Tabela1[[#This Row],[Pré WBC 10³/mm³]]</f>
        <v>4.1399999999999997</v>
      </c>
      <c r="BY257" s="179">
        <f>Tabela1[[#This Row],[Pós WBC 10³/mm³]]</f>
        <v>5.69</v>
      </c>
      <c r="BZ257" s="125">
        <f>Tabela1[[#This Row],[Pré NEUT %]]</f>
        <v>37.4</v>
      </c>
      <c r="CA257" s="125">
        <f>Tabela1[[#This Row],[Pós NEUT %]]</f>
        <v>48.8</v>
      </c>
      <c r="CB257" s="125">
        <f>Tabela1[[#This Row],[Pré LINF %]]</f>
        <v>42.8</v>
      </c>
      <c r="CC257" s="125">
        <f>Tabela1[[#This Row],[Pós LINF %]]</f>
        <v>32.6</v>
      </c>
      <c r="CD257" s="125">
        <f>Tabela1[[#This Row],[Pré MONO %]]</f>
        <v>7.6</v>
      </c>
      <c r="CE257" s="125">
        <f>Tabela1[[#This Row],[Pós MONO %]]</f>
        <v>14.6</v>
      </c>
      <c r="CF257" s="125">
        <f>Tabela1[[#This Row],[Pré EOS %]]</f>
        <v>4.7</v>
      </c>
      <c r="CG257" s="125">
        <f>Tabela1[[#This Row],[Pós EOS %]]</f>
        <v>0.9</v>
      </c>
      <c r="CH257" s="125">
        <f>Tabela1[[#This Row],[Pré BASO %]]</f>
        <v>7.5</v>
      </c>
      <c r="CI257" s="198">
        <f>Tabela1[[#This Row],[Pós BASO %]]</f>
        <v>3.1</v>
      </c>
      <c r="CJ257" s="199" t="str">
        <f t="shared" si="13"/>
        <v>NÃO</v>
      </c>
      <c r="CK257" s="200" t="str">
        <f t="shared" si="14"/>
        <v>SIM</v>
      </c>
      <c r="CL257" s="194">
        <f t="shared" si="15"/>
        <v>76.552520000000001</v>
      </c>
      <c r="CM257" s="125">
        <f>Tabela1[[#This Row],[MCT KG]]</f>
        <v>83.6</v>
      </c>
      <c r="CN257" s="85">
        <f>Tabela1[[#This Row],[ESTATURA]]</f>
        <v>175</v>
      </c>
      <c r="CO257" s="85">
        <f>Tabela1[[#This Row],[vo2max estimado]]</f>
        <v>50.56</v>
      </c>
      <c r="CP257" s="85">
        <f>Tabela1[[#This Row],[Handgrip     Dominante]]</f>
        <v>54</v>
      </c>
      <c r="CQ257" s="85">
        <f>Tabela1[[#This Row],[Handgrip Contrário]]</f>
        <v>42</v>
      </c>
      <c r="CR257" s="281">
        <f>Tabela1[[#This Row],[% gordura]]</f>
        <v>8.43</v>
      </c>
    </row>
    <row r="258" spans="1:96" ht="15.75" customHeight="1">
      <c r="A258" s="279">
        <f>Tabela1[[#This Row],[Ano]]</f>
        <v>2019</v>
      </c>
      <c r="B258" s="181" t="str">
        <f>Tabela1[[#This Row],[Missão]]</f>
        <v>Avelar</v>
      </c>
      <c r="C258" s="181">
        <f>Tabela1[[#This Row],[Aluno]]</f>
        <v>3197</v>
      </c>
      <c r="D258" s="181">
        <f>Tabela1[[#This Row],[Idade]]</f>
        <v>27</v>
      </c>
      <c r="E258" s="182">
        <f>Tabela1[[#This Row],[Peso Kg]]</f>
        <v>78.5</v>
      </c>
      <c r="F258" s="191">
        <f>Tabela1[[#This Row],[Cor da pele]]</f>
        <v>1</v>
      </c>
      <c r="G258" s="192" t="str">
        <f>Tabela1[[#This Row],[ACTN3]]</f>
        <v>RR</v>
      </c>
      <c r="H258" s="85" t="str">
        <f>Tabela1[[#This Row],[AGT]]</f>
        <v>MM</v>
      </c>
      <c r="I258" s="85" t="str">
        <f>Tabela1[[#This Row],[ECA]]</f>
        <v>DD</v>
      </c>
      <c r="J258" s="85" t="str">
        <f>Tabela1[[#This Row],[BDKRB2]]</f>
        <v>(-9,-9)</v>
      </c>
      <c r="K258" s="85">
        <f>Tabela1[[#This Row],[Score Força%]]</f>
        <v>50</v>
      </c>
      <c r="L258" s="193">
        <f>Tabela1[[#This Row],[Score Resistência %]]</f>
        <v>50</v>
      </c>
      <c r="M258" s="192">
        <f>Tabela1[[#This Row],[Pré CK (U/L)]]</f>
        <v>321</v>
      </c>
      <c r="N258" s="85">
        <f>Tabela1[[#This Row],[Pós CK (U/L)]]</f>
        <v>4300</v>
      </c>
      <c r="O258" s="85">
        <f>Tabela1[[#This Row],[Pré CK MB U/L]]</f>
        <v>20</v>
      </c>
      <c r="P258" s="85">
        <f>Tabela1[[#This Row],[Pós CK MB U/L]]</f>
        <v>153</v>
      </c>
      <c r="Q258" s="85">
        <f>Tabela1[[#This Row],[Pré Lactato (mmol/L)]]</f>
        <v>2.1</v>
      </c>
      <c r="R258" s="85">
        <f>Tabela1[[#This Row],[Pós Lactato (mmol/L)]]</f>
        <v>5.3</v>
      </c>
      <c r="S258" s="85">
        <f>Tabela1[[#This Row],[Pré LDH (U/L)]]</f>
        <v>191</v>
      </c>
      <c r="T258" s="85">
        <f>Tabela1[[#This Row],[Pós LDH (U/L)]]</f>
        <v>642</v>
      </c>
      <c r="U258" s="85">
        <f>Tabela1[[#This Row],[Pré AST (U/L)]]</f>
        <v>36</v>
      </c>
      <c r="V258" s="193">
        <f>Tabela1[[#This Row],[Pós AST (U/L)]]</f>
        <v>116</v>
      </c>
      <c r="W258" s="194">
        <f>Tabela1[[#This Row],[Pré Albumina (g/dL)]]</f>
        <v>4.4000000000000004</v>
      </c>
      <c r="X258" s="125">
        <f>Tabela1[[#This Row],[Pós Albumina (g/dL)]]</f>
        <v>4.7</v>
      </c>
      <c r="Y258" s="85">
        <f>Tabela1[[#This Row],[Pré TGP (g/dL)]]</f>
        <v>38</v>
      </c>
      <c r="Z258" s="85">
        <f>Tabela1[[#This Row],[Pós TGP (g/dL)]]</f>
        <v>42</v>
      </c>
      <c r="AA258" s="85">
        <f>Tabela1[[#This Row],[Pré GGT U/L]]</f>
        <v>17</v>
      </c>
      <c r="AB258" s="193">
        <f>Tabela1[[#This Row],[Pós GGT U/L]]</f>
        <v>19</v>
      </c>
      <c r="AC258" s="194">
        <f>Tabela1[[#This Row],[Pré Ac. Úrico (mg/dL)]]</f>
        <v>6.6</v>
      </c>
      <c r="AD258" s="125">
        <f>Tabela1[[#This Row],[Pós Ac. Úrico (mg/dL)2]]</f>
        <v>8.9</v>
      </c>
      <c r="AE25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5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258" s="85">
        <f>Tabela1[[#This Row],[Pré Ureia mg/dL]]</f>
        <v>30</v>
      </c>
      <c r="AH258" s="85">
        <f>Tabela1[[#This Row],[Pós Ureia mg/dL]]</f>
        <v>51</v>
      </c>
      <c r="AI258" s="125">
        <f>Tabela1[[#This Row],[Pré creatinina mg/dL]]</f>
        <v>0.9</v>
      </c>
      <c r="AJ258" s="125">
        <f>Tabela1[[#This Row],[Pós creatinina mg/dL]]</f>
        <v>1.1000000000000001</v>
      </c>
      <c r="AK258" s="180">
        <f t="shared" ref="AK258:AK321" si="16">IFERROR(IF((AJ258-AI258)&lt;0,0,(AJ258-AI258)),"Dados Insuficientes")</f>
        <v>0.20000000000000007</v>
      </c>
      <c r="AL258" s="125">
        <f>Tabela1[[#This Row],[Pré Fósforo mg/dL]]</f>
        <v>4.5999999999999996</v>
      </c>
      <c r="AM258" s="125">
        <f>Tabela1[[#This Row],[Pós Fósforo mg/dL]]</f>
        <v>5.5</v>
      </c>
      <c r="AN258" s="125">
        <f>Tabela1[[#This Row],[Pré Proteína Total (g/dL)]]</f>
        <v>7.2</v>
      </c>
      <c r="AO258" s="125">
        <f>Tabela1[[#This Row],[Pós Proteína Total (g/dL)]]</f>
        <v>7.9</v>
      </c>
      <c r="AP258" s="85">
        <f>Tabela1[[#This Row],[Pré FE (ug/dL)]]</f>
        <v>52</v>
      </c>
      <c r="AQ258" s="193">
        <f>Tabela1[[#This Row],[Pós FE (ug/dL)]]</f>
        <v>77</v>
      </c>
      <c r="AR258" s="194">
        <f>Tabela1[[#This Row],[Pré calcio mg/dL]]</f>
        <v>9.6</v>
      </c>
      <c r="AS258" s="125">
        <f>Tabela1[[#This Row],[Pós calcio mg/dL]]</f>
        <v>9.9</v>
      </c>
      <c r="AT258" s="125">
        <f>Tabela1[[#This Row],[Pré Potássio mmol/L]]</f>
        <v>4.7</v>
      </c>
      <c r="AU258" s="125">
        <f>Tabela1[[#This Row],[Pós Potássio mmol/L]]</f>
        <v>4.3</v>
      </c>
      <c r="AV258" s="85">
        <f>Tabela1[[#This Row],[Glicose pré]]</f>
        <v>85</v>
      </c>
      <c r="AW258" s="85">
        <f>Tabela1[[#This Row],[Glicose pós]]</f>
        <v>91</v>
      </c>
      <c r="AX258" s="85">
        <f>Tabela1[[#This Row],[Pré Sódio mmol/L]]</f>
        <v>139</v>
      </c>
      <c r="AY258" s="85">
        <f>Tabela1[[#This Row],[Pós Sódio mmol/L]]</f>
        <v>137</v>
      </c>
      <c r="AZ258" s="125">
        <f>Tabela1[[#This Row],[Pré Magnésio mg/dL]]</f>
        <v>2</v>
      </c>
      <c r="BA258" s="125">
        <f>Tabela1[[#This Row],[Pós Magnésio mg/dL]]</f>
        <v>2</v>
      </c>
      <c r="BB258" s="85">
        <f>Tabela1[[#This Row],[Pré Cloro mmol/L]]</f>
        <v>104</v>
      </c>
      <c r="BC258" s="85">
        <f>Tabela1[[#This Row],[Pós Cloro mmol/L]]</f>
        <v>95</v>
      </c>
      <c r="BD25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291.71255555555553</v>
      </c>
      <c r="BE25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291.13188888888891</v>
      </c>
      <c r="BF258" s="194">
        <f>Tabela1[[#This Row],[Pré RBC 10^6/mm³]]</f>
        <v>4.58</v>
      </c>
      <c r="BG258" s="125">
        <f>Tabela1[[#This Row],[Pós RBC 10^6/mm³]]</f>
        <v>4.4800000000000004</v>
      </c>
      <c r="BH258" s="125">
        <f>Tabela1[[#This Row],[Pré HGB g/dL]]</f>
        <v>14.4</v>
      </c>
      <c r="BI258" s="125">
        <f>Tabela1[[#This Row],[Pós HGB g/dL]]</f>
        <v>16.2</v>
      </c>
      <c r="BJ258" s="125">
        <f>Tabela1[[#This Row],[Pré HCT %]]</f>
        <v>44.2</v>
      </c>
      <c r="BK258" s="125">
        <f>Tabela1[[#This Row],[Pós HCT %]]</f>
        <v>48.4</v>
      </c>
      <c r="BL258" s="125">
        <f>Tabela1[[#This Row],[Pré MCV fL]]</f>
        <v>96.4</v>
      </c>
      <c r="BM258" s="125">
        <f>Tabela1[[#This Row],[Pós MCV fL]]</f>
        <v>95.4</v>
      </c>
      <c r="BN258" s="125">
        <f>Tabela1[[#This Row],[Pré MCH pg]]</f>
        <v>31.4</v>
      </c>
      <c r="BO258" s="125">
        <f>Tabela1[[#This Row],[Pós MCH pg]]</f>
        <v>32</v>
      </c>
      <c r="BP258" s="125">
        <f>Tabela1[[#This Row],[Pré MCHC g/dL]]</f>
        <v>32.6</v>
      </c>
      <c r="BQ258" s="125">
        <f>Tabela1[[#This Row],[Pós MCHC g/dL]]</f>
        <v>33.5</v>
      </c>
      <c r="BR258" s="85">
        <f>Tabela1[[#This Row],[Pré PLT 10³/mm³]]</f>
        <v>411</v>
      </c>
      <c r="BS258" s="85">
        <f>Tabela1[[#This Row],[Pós PLT 10³/mm³]]</f>
        <v>228</v>
      </c>
      <c r="BT258" s="125">
        <f>Tabela1[[#This Row],[Pré RDW %]]</f>
        <v>12.6</v>
      </c>
      <c r="BU258" s="125">
        <f>Tabela1[[#This Row],[Pós RDW %]]</f>
        <v>12.2</v>
      </c>
      <c r="BV258" s="179" t="str">
        <f>Tabela1[[#This Row],[Pré RET %]]</f>
        <v>-</v>
      </c>
      <c r="BW258" s="196">
        <f>Tabela1[[#This Row],[Pós RET %]]</f>
        <v>1.56</v>
      </c>
      <c r="BX258" s="197">
        <f>Tabela1[[#This Row],[Pré WBC 10³/mm³]]</f>
        <v>8.07</v>
      </c>
      <c r="BY258" s="179">
        <f>Tabela1[[#This Row],[Pós WBC 10³/mm³]]</f>
        <v>5.35</v>
      </c>
      <c r="BZ258" s="125">
        <f>Tabela1[[#This Row],[Pré NEUT %]]</f>
        <v>73.2</v>
      </c>
      <c r="CA258" s="125">
        <f>Tabela1[[#This Row],[Pós NEUT %]]</f>
        <v>73.5</v>
      </c>
      <c r="CB258" s="125">
        <f>Tabela1[[#This Row],[Pré LINF %]]</f>
        <v>16.3</v>
      </c>
      <c r="CC258" s="125">
        <f>Tabela1[[#This Row],[Pós LINF %]]</f>
        <v>17.399999999999999</v>
      </c>
      <c r="CD258" s="125">
        <f>Tabela1[[#This Row],[Pré MONO %]]</f>
        <v>6.8</v>
      </c>
      <c r="CE258" s="125">
        <f>Tabela1[[#This Row],[Pós MONO %]]</f>
        <v>7.4</v>
      </c>
      <c r="CF258" s="125">
        <f>Tabela1[[#This Row],[Pré EOS %]]</f>
        <v>3.3</v>
      </c>
      <c r="CG258" s="125">
        <f>Tabela1[[#This Row],[Pós EOS %]]</f>
        <v>1.5</v>
      </c>
      <c r="CH258" s="125">
        <f>Tabela1[[#This Row],[Pré BASO %]]</f>
        <v>0.4</v>
      </c>
      <c r="CI258" s="198">
        <f>Tabela1[[#This Row],[Pós BASO %]]</f>
        <v>0.2</v>
      </c>
      <c r="CJ258" s="199" t="str">
        <f t="shared" ref="CJ258:CJ321" si="17">IFERROR(IF((AJ258-AI258)&gt;=0.3,"SIM","NÃO"),"Dados insuficientes")</f>
        <v>NÃO</v>
      </c>
      <c r="CK258" s="200" t="str">
        <f t="shared" ref="CK258:CK321" si="18">IFERROR(IF(OR(N258&gt;=1000,M258&gt;=1000),"SIM","NÃO"),"Dados Insuficientes")</f>
        <v>SIM</v>
      </c>
      <c r="CL258" s="194">
        <f t="shared" ref="CL258:CL321" si="19">$CM258-($CM258*(0.01*$CR258))</f>
        <v>76.297020000000003</v>
      </c>
      <c r="CM258" s="125">
        <f>Tabela1[[#This Row],[MCT KG]]</f>
        <v>85.65</v>
      </c>
      <c r="CN258" s="85">
        <f>Tabela1[[#This Row],[ESTATURA]]</f>
        <v>177</v>
      </c>
      <c r="CO258" s="85">
        <f>Tabela1[[#This Row],[vo2max estimado]]</f>
        <v>51.46</v>
      </c>
      <c r="CP258" s="85">
        <f>Tabela1[[#This Row],[Handgrip     Dominante]]</f>
        <v>48</v>
      </c>
      <c r="CQ258" s="85">
        <f>Tabela1[[#This Row],[Handgrip Contrário]]</f>
        <v>52</v>
      </c>
      <c r="CR258" s="281">
        <f>Tabela1[[#This Row],[% gordura]]</f>
        <v>10.92</v>
      </c>
    </row>
    <row r="259" spans="1:96" ht="15.75" customHeight="1">
      <c r="A259" s="279">
        <f>Tabela1[[#This Row],[Ano]]</f>
        <v>2019</v>
      </c>
      <c r="B259" s="181" t="str">
        <f>Tabela1[[#This Row],[Missão]]</f>
        <v>Avelar</v>
      </c>
      <c r="C259" s="181">
        <f>Tabela1[[#This Row],[Aluno]]</f>
        <v>3200</v>
      </c>
      <c r="D259" s="181">
        <f>Tabela1[[#This Row],[Idade]]</f>
        <v>25</v>
      </c>
      <c r="E259" s="182">
        <f>Tabela1[[#This Row],[Peso Kg]]</f>
        <v>85.1</v>
      </c>
      <c r="F259" s="191">
        <f>Tabela1[[#This Row],[Cor da pele]]</f>
        <v>1</v>
      </c>
      <c r="G259" s="192" t="str">
        <f>Tabela1[[#This Row],[ACTN3]]</f>
        <v>XX</v>
      </c>
      <c r="H259" s="85" t="str">
        <f>Tabela1[[#This Row],[AGT]]</f>
        <v>TT</v>
      </c>
      <c r="I259" s="85" t="str">
        <f>Tabela1[[#This Row],[ECA]]</f>
        <v>ID</v>
      </c>
      <c r="J259" s="85" t="str">
        <f>Tabela1[[#This Row],[BDKRB2]]</f>
        <v>(-9,-9)</v>
      </c>
      <c r="K259" s="85">
        <f>Tabela1[[#This Row],[Score Força%]]</f>
        <v>37.5</v>
      </c>
      <c r="L259" s="193">
        <f>Tabela1[[#This Row],[Score Resistência %]]</f>
        <v>62.5</v>
      </c>
      <c r="M259" s="192">
        <f>Tabela1[[#This Row],[Pré CK (U/L)]]</f>
        <v>233</v>
      </c>
      <c r="N259" s="85">
        <f>Tabela1[[#This Row],[Pós CK (U/L)]]</f>
        <v>832</v>
      </c>
      <c r="O259" s="85">
        <f>Tabela1[[#This Row],[Pré CK MB U/L]]</f>
        <v>20</v>
      </c>
      <c r="P259" s="85">
        <f>Tabela1[[#This Row],[Pós CK MB U/L]]</f>
        <v>45</v>
      </c>
      <c r="Q259" s="85">
        <f>Tabela1[[#This Row],[Pré Lactato (mmol/L)]]</f>
        <v>1.6</v>
      </c>
      <c r="R259" s="85">
        <f>Tabela1[[#This Row],[Pós Lactato (mmol/L)]]</f>
        <v>3</v>
      </c>
      <c r="S259" s="85">
        <f>Tabela1[[#This Row],[Pré LDH (U/L)]]</f>
        <v>190</v>
      </c>
      <c r="T259" s="85">
        <f>Tabela1[[#This Row],[Pós LDH (U/L)]]</f>
        <v>751</v>
      </c>
      <c r="U259" s="85">
        <f>Tabela1[[#This Row],[Pré AST (U/L)]]</f>
        <v>29</v>
      </c>
      <c r="V259" s="193">
        <f>Tabela1[[#This Row],[Pós AST (U/L)]]</f>
        <v>59</v>
      </c>
      <c r="W259" s="194">
        <f>Tabela1[[#This Row],[Pré Albumina (g/dL)]]</f>
        <v>4.4000000000000004</v>
      </c>
      <c r="X259" s="125">
        <f>Tabela1[[#This Row],[Pós Albumina (g/dL)]]</f>
        <v>5.0999999999999996</v>
      </c>
      <c r="Y259" s="85">
        <f>Tabela1[[#This Row],[Pré TGP (g/dL)]]</f>
        <v>25</v>
      </c>
      <c r="Z259" s="85">
        <f>Tabela1[[#This Row],[Pós TGP (g/dL)]]</f>
        <v>28</v>
      </c>
      <c r="AA259" s="85">
        <f>Tabela1[[#This Row],[Pré GGT U/L]]</f>
        <v>19</v>
      </c>
      <c r="AB259" s="193">
        <f>Tabela1[[#This Row],[Pós GGT U/L]]</f>
        <v>22</v>
      </c>
      <c r="AC259" s="194">
        <f>Tabela1[[#This Row],[Pré Ac. Úrico (mg/dL)]]</f>
        <v>5.7</v>
      </c>
      <c r="AD259" s="125">
        <f>Tabela1[[#This Row],[Pós Ac. Úrico (mg/dL)2]]</f>
        <v>7</v>
      </c>
      <c r="AE25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5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259" s="85">
        <f>Tabela1[[#This Row],[Pré Ureia mg/dL]]</f>
        <v>40</v>
      </c>
      <c r="AH259" s="85">
        <f>Tabela1[[#This Row],[Pós Ureia mg/dL]]</f>
        <v>52</v>
      </c>
      <c r="AI259" s="125">
        <f>Tabela1[[#This Row],[Pré creatinina mg/dL]]</f>
        <v>0.9</v>
      </c>
      <c r="AJ259" s="125">
        <f>Tabela1[[#This Row],[Pós creatinina mg/dL]]</f>
        <v>1.1000000000000001</v>
      </c>
      <c r="AK259" s="180">
        <f t="shared" si="16"/>
        <v>0.20000000000000007</v>
      </c>
      <c r="AL259" s="125">
        <f>Tabela1[[#This Row],[Pré Fósforo mg/dL]]</f>
        <v>4.4000000000000004</v>
      </c>
      <c r="AM259" s="125">
        <f>Tabela1[[#This Row],[Pós Fósforo mg/dL]]</f>
        <v>5.5</v>
      </c>
      <c r="AN259" s="125">
        <f>Tabela1[[#This Row],[Pré Proteína Total (g/dL)]]</f>
        <v>7.2</v>
      </c>
      <c r="AO259" s="125">
        <f>Tabela1[[#This Row],[Pós Proteína Total (g/dL)]]</f>
        <v>8.6999999999999993</v>
      </c>
      <c r="AP259" s="85">
        <f>Tabela1[[#This Row],[Pré FE (ug/dL)]]</f>
        <v>107</v>
      </c>
      <c r="AQ259" s="193">
        <f>Tabela1[[#This Row],[Pós FE (ug/dL)]]</f>
        <v>91</v>
      </c>
      <c r="AR259" s="194">
        <f>Tabela1[[#This Row],[Pré calcio mg/dL]]</f>
        <v>9.5</v>
      </c>
      <c r="AS259" s="125">
        <f>Tabela1[[#This Row],[Pós calcio mg/dL]]</f>
        <v>10.3</v>
      </c>
      <c r="AT259" s="125">
        <f>Tabela1[[#This Row],[Pré Potássio mmol/L]]</f>
        <v>4.4000000000000004</v>
      </c>
      <c r="AU259" s="125">
        <f>Tabela1[[#This Row],[Pós Potássio mmol/L]]</f>
        <v>4.7</v>
      </c>
      <c r="AV259" s="85">
        <f>Tabela1[[#This Row],[Glicose pré]]</f>
        <v>91</v>
      </c>
      <c r="AW259" s="85">
        <f>Tabela1[[#This Row],[Glicose pós]]</f>
        <v>94</v>
      </c>
      <c r="AX259" s="85">
        <f>Tabela1[[#This Row],[Pré Sódio mmol/L]]</f>
        <v>139</v>
      </c>
      <c r="AY259" s="85">
        <f>Tabela1[[#This Row],[Pós Sódio mmol/L]]</f>
        <v>138</v>
      </c>
      <c r="AZ259" s="125">
        <f>Tabela1[[#This Row],[Pré Magnésio mg/dL]]</f>
        <v>2</v>
      </c>
      <c r="BA259" s="125">
        <f>Tabela1[[#This Row],[Pós Magnésio mg/dL]]</f>
        <v>2.2999999999999998</v>
      </c>
      <c r="BB259" s="85">
        <f>Tabela1[[#This Row],[Pré Cloro mmol/L]]</f>
        <v>101</v>
      </c>
      <c r="BC259" s="85">
        <f>Tabela1[[#This Row],[Pós Cloro mmol/L]]</f>
        <v>95</v>
      </c>
      <c r="BD25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293.2045555555556</v>
      </c>
      <c r="BE25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294.09422222222219</v>
      </c>
      <c r="BF259" s="194">
        <f>Tabela1[[#This Row],[Pré RBC 10^6/mm³]]</f>
        <v>4.49</v>
      </c>
      <c r="BG259" s="125">
        <f>Tabela1[[#This Row],[Pós RBC 10^6/mm³]]</f>
        <v>5.61</v>
      </c>
      <c r="BH259" s="125">
        <f>Tabela1[[#This Row],[Pré HGB g/dL]]</f>
        <v>13.7</v>
      </c>
      <c r="BI259" s="125">
        <f>Tabela1[[#This Row],[Pós HGB g/dL]]</f>
        <v>11.8</v>
      </c>
      <c r="BJ259" s="125">
        <f>Tabela1[[#This Row],[Pré HCT %]]</f>
        <v>42.2</v>
      </c>
      <c r="BK259" s="125">
        <f>Tabela1[[#This Row],[Pós HCT %]]</f>
        <v>36.5</v>
      </c>
      <c r="BL259" s="125">
        <f>Tabela1[[#This Row],[Pré MCV fL]]</f>
        <v>93.8</v>
      </c>
      <c r="BM259" s="125">
        <f>Tabela1[[#This Row],[Pós MCV fL]]</f>
        <v>93.7</v>
      </c>
      <c r="BN259" s="125">
        <f>Tabela1[[#This Row],[Pré MCH pg]]</f>
        <v>30.4</v>
      </c>
      <c r="BO259" s="125">
        <f>Tabela1[[#This Row],[Pós MCH pg]]</f>
        <v>30.3</v>
      </c>
      <c r="BP259" s="125">
        <f>Tabela1[[#This Row],[Pré MCHC g/dL]]</f>
        <v>32.4</v>
      </c>
      <c r="BQ259" s="125">
        <f>Tabela1[[#This Row],[Pós MCHC g/dL]]</f>
        <v>32.4</v>
      </c>
      <c r="BR259" s="85">
        <f>Tabela1[[#This Row],[Pré PLT 10³/mm³]]</f>
        <v>295</v>
      </c>
      <c r="BS259" s="85">
        <f>Tabela1[[#This Row],[Pós PLT 10³/mm³]]</f>
        <v>238</v>
      </c>
      <c r="BT259" s="125">
        <f>Tabela1[[#This Row],[Pré RDW %]]</f>
        <v>14</v>
      </c>
      <c r="BU259" s="125">
        <f>Tabela1[[#This Row],[Pós RDW %]]</f>
        <v>13.1</v>
      </c>
      <c r="BV259" s="179" t="str">
        <f>Tabela1[[#This Row],[Pré RET %]]</f>
        <v>-</v>
      </c>
      <c r="BW259" s="196">
        <f>Tabela1[[#This Row],[Pós RET %]]</f>
        <v>1.1000000000000001</v>
      </c>
      <c r="BX259" s="197">
        <f>Tabela1[[#This Row],[Pré WBC 10³/mm³]]</f>
        <v>4.92</v>
      </c>
      <c r="BY259" s="179">
        <f>Tabela1[[#This Row],[Pós WBC 10³/mm³]]</f>
        <v>6.33</v>
      </c>
      <c r="BZ259" s="125">
        <f>Tabela1[[#This Row],[Pré NEUT %]]</f>
        <v>55</v>
      </c>
      <c r="CA259" s="125">
        <f>Tabela1[[#This Row],[Pós NEUT %]]</f>
        <v>62.9</v>
      </c>
      <c r="CB259" s="125">
        <f>Tabela1[[#This Row],[Pré LINF %]]</f>
        <v>24.4</v>
      </c>
      <c r="CC259" s="125">
        <f>Tabela1[[#This Row],[Pós LINF %]]</f>
        <v>20.399999999999999</v>
      </c>
      <c r="CD259" s="125">
        <f>Tabela1[[#This Row],[Pré MONO %]]</f>
        <v>14.8</v>
      </c>
      <c r="CE259" s="125">
        <f>Tabela1[[#This Row],[Pós MONO %]]</f>
        <v>13.2</v>
      </c>
      <c r="CF259" s="125">
        <f>Tabela1[[#This Row],[Pré EOS %]]</f>
        <v>5.2</v>
      </c>
      <c r="CG259" s="125">
        <f>Tabela1[[#This Row],[Pós EOS %]]</f>
        <v>3.1</v>
      </c>
      <c r="CH259" s="125">
        <f>Tabela1[[#This Row],[Pré BASO %]]</f>
        <v>0.6</v>
      </c>
      <c r="CI259" s="198">
        <f>Tabela1[[#This Row],[Pós BASO %]]</f>
        <v>0.4</v>
      </c>
      <c r="CJ259" s="199" t="str">
        <f t="shared" si="17"/>
        <v>NÃO</v>
      </c>
      <c r="CK259" s="200" t="str">
        <f t="shared" si="18"/>
        <v>NÃO</v>
      </c>
      <c r="CL259" s="194">
        <f t="shared" si="19"/>
        <v>73.936000000000007</v>
      </c>
      <c r="CM259" s="125">
        <f>Tabela1[[#This Row],[MCT KG]]</f>
        <v>80</v>
      </c>
      <c r="CN259" s="85">
        <f>Tabela1[[#This Row],[ESTATURA]]</f>
        <v>177.5</v>
      </c>
      <c r="CO259" s="85">
        <f>Tabela1[[#This Row],[vo2max estimado]]</f>
        <v>0</v>
      </c>
      <c r="CP259" s="85">
        <f>Tabela1[[#This Row],[Handgrip     Dominante]]</f>
        <v>42</v>
      </c>
      <c r="CQ259" s="85">
        <f>Tabela1[[#This Row],[Handgrip Contrário]]</f>
        <v>42</v>
      </c>
      <c r="CR259" s="281">
        <f>Tabela1[[#This Row],[% gordura]]</f>
        <v>7.58</v>
      </c>
    </row>
    <row r="260" spans="1:96" ht="15.75" customHeight="1">
      <c r="A260" s="279">
        <f>Tabela1[[#This Row],[Ano]]</f>
        <v>2019</v>
      </c>
      <c r="B260" s="181" t="str">
        <f>Tabela1[[#This Row],[Missão]]</f>
        <v>Avelar</v>
      </c>
      <c r="C260" s="181">
        <f>Tabela1[[#This Row],[Aluno]]</f>
        <v>3205</v>
      </c>
      <c r="D260" s="181">
        <f>Tabela1[[#This Row],[Idade]]</f>
        <v>32</v>
      </c>
      <c r="E260" s="182">
        <f>Tabela1[[#This Row],[Peso Kg]]</f>
        <v>61.5</v>
      </c>
      <c r="F260" s="191">
        <f>Tabela1[[#This Row],[Cor da pele]]</f>
        <v>1</v>
      </c>
      <c r="G260" s="192" t="str">
        <f>Tabela1[[#This Row],[ACTN3]]</f>
        <v>RR</v>
      </c>
      <c r="H260" s="85" t="str">
        <f>Tabela1[[#This Row],[AGT]]</f>
        <v>-</v>
      </c>
      <c r="I260" s="85" t="str">
        <f>Tabela1[[#This Row],[ECA]]</f>
        <v>ID</v>
      </c>
      <c r="J260" s="85" t="str">
        <f>Tabela1[[#This Row],[BDKRB2]]</f>
        <v>(+9,-9)</v>
      </c>
      <c r="K260" s="85" t="str">
        <f>Tabela1[[#This Row],[Score Força%]]</f>
        <v>-</v>
      </c>
      <c r="L260" s="193" t="str">
        <f>Tabela1[[#This Row],[Score Resistência %]]</f>
        <v>-</v>
      </c>
      <c r="M260" s="192">
        <f>Tabela1[[#This Row],[Pré CK (U/L)]]</f>
        <v>229</v>
      </c>
      <c r="N260" s="85">
        <f>Tabela1[[#This Row],[Pós CK (U/L)]]</f>
        <v>988</v>
      </c>
      <c r="O260" s="85">
        <f>Tabela1[[#This Row],[Pré CK MB U/L]]</f>
        <v>18</v>
      </c>
      <c r="P260" s="85">
        <f>Tabela1[[#This Row],[Pós CK MB U/L]]</f>
        <v>57</v>
      </c>
      <c r="Q260" s="85">
        <f>Tabela1[[#This Row],[Pré Lactato (mmol/L)]]</f>
        <v>1.4</v>
      </c>
      <c r="R260" s="85">
        <f>Tabela1[[#This Row],[Pós Lactato (mmol/L)]]</f>
        <v>4.9000000000000004</v>
      </c>
      <c r="S260" s="85">
        <f>Tabela1[[#This Row],[Pré LDH (U/L)]]</f>
        <v>228</v>
      </c>
      <c r="T260" s="85">
        <f>Tabela1[[#This Row],[Pós LDH (U/L)]]</f>
        <v>461</v>
      </c>
      <c r="U260" s="85">
        <f>Tabela1[[#This Row],[Pré AST (U/L)]]</f>
        <v>30</v>
      </c>
      <c r="V260" s="193">
        <f>Tabela1[[#This Row],[Pós AST (U/L)]]</f>
        <v>57</v>
      </c>
      <c r="W260" s="194">
        <f>Tabela1[[#This Row],[Pré Albumina (g/dL)]]</f>
        <v>4.4000000000000004</v>
      </c>
      <c r="X260" s="125">
        <f>Tabela1[[#This Row],[Pós Albumina (g/dL)]]</f>
        <v>5.0999999999999996</v>
      </c>
      <c r="Y260" s="85">
        <f>Tabela1[[#This Row],[Pré TGP (g/dL)]]</f>
        <v>29</v>
      </c>
      <c r="Z260" s="85">
        <f>Tabela1[[#This Row],[Pós TGP (g/dL)]]</f>
        <v>43</v>
      </c>
      <c r="AA260" s="85">
        <f>Tabela1[[#This Row],[Pré GGT U/L]]</f>
        <v>25</v>
      </c>
      <c r="AB260" s="193">
        <f>Tabela1[[#This Row],[Pós GGT U/L]]</f>
        <v>30</v>
      </c>
      <c r="AC260" s="194">
        <f>Tabela1[[#This Row],[Pré Ac. Úrico (mg/dL)]]</f>
        <v>6.7</v>
      </c>
      <c r="AD260" s="125">
        <f>Tabela1[[#This Row],[Pós Ac. Úrico (mg/dL)2]]</f>
        <v>7.9</v>
      </c>
      <c r="AE26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6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60" s="85">
        <f>Tabela1[[#This Row],[Pré Ureia mg/dL]]</f>
        <v>37</v>
      </c>
      <c r="AH260" s="85">
        <f>Tabela1[[#This Row],[Pós Ureia mg/dL]]</f>
        <v>46</v>
      </c>
      <c r="AI260" s="125">
        <f>Tabela1[[#This Row],[Pré creatinina mg/dL]]</f>
        <v>0.9</v>
      </c>
      <c r="AJ260" s="125">
        <f>Tabela1[[#This Row],[Pós creatinina mg/dL]]</f>
        <v>1</v>
      </c>
      <c r="AK260" s="180">
        <f t="shared" si="16"/>
        <v>9.9999999999999978E-2</v>
      </c>
      <c r="AL260" s="125">
        <f>Tabela1[[#This Row],[Pré Fósforo mg/dL]]</f>
        <v>4.2</v>
      </c>
      <c r="AM260" s="125">
        <f>Tabela1[[#This Row],[Pós Fósforo mg/dL]]</f>
        <v>5</v>
      </c>
      <c r="AN260" s="125">
        <f>Tabela1[[#This Row],[Pré Proteína Total (g/dL)]]</f>
        <v>6.7</v>
      </c>
      <c r="AO260" s="125">
        <f>Tabela1[[#This Row],[Pós Proteína Total (g/dL)]]</f>
        <v>8.1999999999999993</v>
      </c>
      <c r="AP260" s="85">
        <f>Tabela1[[#This Row],[Pré FE (ug/dL)]]</f>
        <v>81</v>
      </c>
      <c r="AQ260" s="193">
        <f>Tabela1[[#This Row],[Pós FE (ug/dL)]]</f>
        <v>44</v>
      </c>
      <c r="AR260" s="194">
        <f>Tabela1[[#This Row],[Pré calcio mg/dL]]</f>
        <v>9.4</v>
      </c>
      <c r="AS260" s="125">
        <f>Tabela1[[#This Row],[Pós calcio mg/dL]]</f>
        <v>9.9</v>
      </c>
      <c r="AT260" s="125">
        <f>Tabela1[[#This Row],[Pré Potássio mmol/L]]</f>
        <v>4.7</v>
      </c>
      <c r="AU260" s="125">
        <f>Tabela1[[#This Row],[Pós Potássio mmol/L]]</f>
        <v>4.4000000000000004</v>
      </c>
      <c r="AV260" s="85">
        <f>Tabela1[[#This Row],[Glicose pré]]</f>
        <v>88</v>
      </c>
      <c r="AW260" s="85">
        <f>Tabela1[[#This Row],[Glicose pós]]</f>
        <v>101</v>
      </c>
      <c r="AX260" s="85">
        <f>Tabela1[[#This Row],[Pré Sódio mmol/L]]</f>
        <v>140</v>
      </c>
      <c r="AY260" s="85">
        <f>Tabela1[[#This Row],[Pós Sódio mmol/L]]</f>
        <v>138</v>
      </c>
      <c r="AZ260" s="125">
        <f>Tabela1[[#This Row],[Pré Magnésio mg/dL]]</f>
        <v>2.1</v>
      </c>
      <c r="BA260" s="125">
        <f>Tabela1[[#This Row],[Pós Magnésio mg/dL]]</f>
        <v>2</v>
      </c>
      <c r="BB260" s="85">
        <f>Tabela1[[#This Row],[Pré Cloro mmol/L]]</f>
        <v>103</v>
      </c>
      <c r="BC260" s="85">
        <f>Tabela1[[#This Row],[Pós Cloro mmol/L]]</f>
        <v>95</v>
      </c>
      <c r="BD26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294.93088888888889</v>
      </c>
      <c r="BE26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292.9834444444445</v>
      </c>
      <c r="BF260" s="194">
        <f>Tabela1[[#This Row],[Pré RBC 10^6/mm³]]</f>
        <v>4.6100000000000003</v>
      </c>
      <c r="BG260" s="125">
        <f>Tabela1[[#This Row],[Pós RBC 10^6/mm³]]</f>
        <v>4.7</v>
      </c>
      <c r="BH260" s="125">
        <f>Tabela1[[#This Row],[Pré HGB g/dL]]</f>
        <v>14</v>
      </c>
      <c r="BI260" s="125">
        <f>Tabela1[[#This Row],[Pós HGB g/dL]]</f>
        <v>12.5</v>
      </c>
      <c r="BJ260" s="125">
        <f>Tabela1[[#This Row],[Pré HCT %]]</f>
        <v>42.7</v>
      </c>
      <c r="BK260" s="125">
        <f>Tabela1[[#This Row],[Pós HCT %]]</f>
        <v>37.9</v>
      </c>
      <c r="BL260" s="125">
        <f>Tabela1[[#This Row],[Pré MCV fL]]</f>
        <v>92.5</v>
      </c>
      <c r="BM260" s="125">
        <f>Tabela1[[#This Row],[Pós MCV fL]]</f>
        <v>92</v>
      </c>
      <c r="BN260" s="125">
        <f>Tabela1[[#This Row],[Pré MCH pg]]</f>
        <v>30.3</v>
      </c>
      <c r="BO260" s="125">
        <f>Tabela1[[#This Row],[Pós MCH pg]]</f>
        <v>30.3</v>
      </c>
      <c r="BP260" s="125">
        <f>Tabela1[[#This Row],[Pré MCHC g/dL]]</f>
        <v>32.700000000000003</v>
      </c>
      <c r="BQ260" s="125">
        <f>Tabela1[[#This Row],[Pós MCHC g/dL]]</f>
        <v>32.9</v>
      </c>
      <c r="BR260" s="85">
        <f>Tabela1[[#This Row],[Pré PLT 10³/mm³]]</f>
        <v>264</v>
      </c>
      <c r="BS260" s="85">
        <f>Tabela1[[#This Row],[Pós PLT 10³/mm³]]</f>
        <v>200</v>
      </c>
      <c r="BT260" s="125">
        <f>Tabela1[[#This Row],[Pré RDW %]]</f>
        <v>14.4</v>
      </c>
      <c r="BU260" s="125">
        <f>Tabela1[[#This Row],[Pós RDW %]]</f>
        <v>14.8</v>
      </c>
      <c r="BV260" s="179" t="str">
        <f>Tabela1[[#This Row],[Pré RET %]]</f>
        <v>-</v>
      </c>
      <c r="BW260" s="196">
        <f>Tabela1[[#This Row],[Pós RET %]]</f>
        <v>0.96</v>
      </c>
      <c r="BX260" s="197">
        <f>Tabela1[[#This Row],[Pré WBC 10³/mm³]]</f>
        <v>7.05</v>
      </c>
      <c r="BY260" s="179">
        <f>Tabela1[[#This Row],[Pós WBC 10³/mm³]]</f>
        <v>8.75</v>
      </c>
      <c r="BZ260" s="125">
        <f>Tabela1[[#This Row],[Pré NEUT %]]</f>
        <v>52.7</v>
      </c>
      <c r="CA260" s="125">
        <f>Tabela1[[#This Row],[Pós NEUT %]]</f>
        <v>67</v>
      </c>
      <c r="CB260" s="125">
        <f>Tabela1[[#This Row],[Pré LINF %]]</f>
        <v>34.1</v>
      </c>
      <c r="CC260" s="125">
        <f>Tabela1[[#This Row],[Pós LINF %]]</f>
        <v>19.5</v>
      </c>
      <c r="CD260" s="125">
        <f>Tabela1[[#This Row],[Pré MONO %]]</f>
        <v>7.7</v>
      </c>
      <c r="CE260" s="125">
        <f>Tabela1[[#This Row],[Pós MONO %]]</f>
        <v>10.3</v>
      </c>
      <c r="CF260" s="125">
        <f>Tabela1[[#This Row],[Pré EOS %]]</f>
        <v>3.7</v>
      </c>
      <c r="CG260" s="125">
        <f>Tabela1[[#This Row],[Pós EOS %]]</f>
        <v>3</v>
      </c>
      <c r="CH260" s="125">
        <f>Tabela1[[#This Row],[Pré BASO %]]</f>
        <v>1.8</v>
      </c>
      <c r="CI260" s="198">
        <f>Tabela1[[#This Row],[Pós BASO %]]</f>
        <v>0.6</v>
      </c>
      <c r="CJ260" s="199" t="str">
        <f t="shared" si="17"/>
        <v>NÃO</v>
      </c>
      <c r="CK260" s="200" t="str">
        <f t="shared" si="18"/>
        <v>NÃO</v>
      </c>
      <c r="CL260" s="194">
        <f t="shared" si="19"/>
        <v>70.381349999999998</v>
      </c>
      <c r="CM260" s="125">
        <f>Tabela1[[#This Row],[MCT KG]]</f>
        <v>79.5</v>
      </c>
      <c r="CN260" s="85">
        <f>Tabela1[[#This Row],[ESTATURA]]</f>
        <v>176.5</v>
      </c>
      <c r="CO260" s="85">
        <f>Tabela1[[#This Row],[vo2max estimado]]</f>
        <v>52.51</v>
      </c>
      <c r="CP260" s="85">
        <f>Tabela1[[#This Row],[Handgrip     Dominante]]</f>
        <v>48</v>
      </c>
      <c r="CQ260" s="85">
        <f>Tabela1[[#This Row],[Handgrip Contrário]]</f>
        <v>52</v>
      </c>
      <c r="CR260" s="281">
        <f>Tabela1[[#This Row],[% gordura]]</f>
        <v>11.47</v>
      </c>
    </row>
    <row r="261" spans="1:96" ht="15.75" customHeight="1">
      <c r="A261" s="279">
        <f>Tabela1[[#This Row],[Ano]]</f>
        <v>2019</v>
      </c>
      <c r="B261" s="181" t="str">
        <f>Tabela1[[#This Row],[Missão]]</f>
        <v>Avelar</v>
      </c>
      <c r="C261" s="181">
        <f>Tabela1[[#This Row],[Aluno]]</f>
        <v>3222</v>
      </c>
      <c r="D261" s="181">
        <f>Tabela1[[#This Row],[Idade]]</f>
        <v>28</v>
      </c>
      <c r="E261" s="182">
        <f>Tabela1[[#This Row],[Peso Kg]]</f>
        <v>85</v>
      </c>
      <c r="F261" s="191">
        <f>Tabela1[[#This Row],[Cor da pele]]</f>
        <v>1</v>
      </c>
      <c r="G261" s="192" t="str">
        <f>Tabela1[[#This Row],[ACTN3]]</f>
        <v>RR</v>
      </c>
      <c r="H261" s="85" t="str">
        <f>Tabela1[[#This Row],[AGT]]</f>
        <v>MT</v>
      </c>
      <c r="I261" s="85" t="str">
        <f>Tabela1[[#This Row],[ECA]]</f>
        <v>ID</v>
      </c>
      <c r="J261" s="85" t="str">
        <f>Tabela1[[#This Row],[BDKRB2]]</f>
        <v>(-9,-9)</v>
      </c>
      <c r="K261" s="85">
        <f>Tabela1[[#This Row],[Score Força%]]</f>
        <v>50</v>
      </c>
      <c r="L261" s="193">
        <f>Tabela1[[#This Row],[Score Resistência %]]</f>
        <v>50</v>
      </c>
      <c r="M261" s="192">
        <f>Tabela1[[#This Row],[Pré CK (U/L)]]</f>
        <v>153</v>
      </c>
      <c r="N261" s="85">
        <f>Tabela1[[#This Row],[Pós CK (U/L)]]</f>
        <v>1536</v>
      </c>
      <c r="O261" s="85">
        <f>Tabela1[[#This Row],[Pré CK MB U/L]]</f>
        <v>19</v>
      </c>
      <c r="P261" s="85">
        <f>Tabela1[[#This Row],[Pós CK MB U/L]]</f>
        <v>76</v>
      </c>
      <c r="Q261" s="85">
        <f>Tabela1[[#This Row],[Pré Lactato (mmol/L)]]</f>
        <v>1.6</v>
      </c>
      <c r="R261" s="85">
        <f>Tabela1[[#This Row],[Pós Lactato (mmol/L)]]</f>
        <v>4.0999999999999996</v>
      </c>
      <c r="S261" s="85">
        <f>Tabela1[[#This Row],[Pré LDH (U/L)]]</f>
        <v>246</v>
      </c>
      <c r="T261" s="85">
        <f>Tabela1[[#This Row],[Pós LDH (U/L)]]</f>
        <v>545</v>
      </c>
      <c r="U261" s="85">
        <f>Tabela1[[#This Row],[Pré AST (U/L)]]</f>
        <v>31</v>
      </c>
      <c r="V261" s="193">
        <f>Tabela1[[#This Row],[Pós AST (U/L)]]</f>
        <v>82</v>
      </c>
      <c r="W261" s="194">
        <f>Tabela1[[#This Row],[Pré Albumina (g/dL)]]</f>
        <v>4.5</v>
      </c>
      <c r="X261" s="125">
        <f>Tabela1[[#This Row],[Pós Albumina (g/dL)]]</f>
        <v>5.5</v>
      </c>
      <c r="Y261" s="85">
        <f>Tabela1[[#This Row],[Pré TGP (g/dL)]]</f>
        <v>28</v>
      </c>
      <c r="Z261" s="85">
        <f>Tabela1[[#This Row],[Pós TGP (g/dL)]]</f>
        <v>33</v>
      </c>
      <c r="AA261" s="85">
        <f>Tabela1[[#This Row],[Pré GGT U/L]]</f>
        <v>17</v>
      </c>
      <c r="AB261" s="193">
        <f>Tabela1[[#This Row],[Pós GGT U/L]]</f>
        <v>18</v>
      </c>
      <c r="AC261" s="194">
        <f>Tabela1[[#This Row],[Pré Ac. Úrico (mg/dL)]]</f>
        <v>5.2</v>
      </c>
      <c r="AD261" s="125">
        <f>Tabela1[[#This Row],[Pós Ac. Úrico (mg/dL)2]]</f>
        <v>7</v>
      </c>
      <c r="AE26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6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61" s="85">
        <f>Tabela1[[#This Row],[Pré Ureia mg/dL]]</f>
        <v>38</v>
      </c>
      <c r="AH261" s="85">
        <f>Tabela1[[#This Row],[Pós Ureia mg/dL]]</f>
        <v>59</v>
      </c>
      <c r="AI261" s="125">
        <f>Tabela1[[#This Row],[Pré creatinina mg/dL]]</f>
        <v>0.8</v>
      </c>
      <c r="AJ261" s="125">
        <f>Tabela1[[#This Row],[Pós creatinina mg/dL]]</f>
        <v>1</v>
      </c>
      <c r="AK261" s="180">
        <f t="shared" si="16"/>
        <v>0.19999999999999996</v>
      </c>
      <c r="AL261" s="125">
        <f>Tabela1[[#This Row],[Pré Fósforo mg/dL]]</f>
        <v>4</v>
      </c>
      <c r="AM261" s="125">
        <f>Tabela1[[#This Row],[Pós Fósforo mg/dL]]</f>
        <v>5.8</v>
      </c>
      <c r="AN261" s="125">
        <f>Tabela1[[#This Row],[Pré Proteína Total (g/dL)]]</f>
        <v>7.3</v>
      </c>
      <c r="AO261" s="125">
        <f>Tabela1[[#This Row],[Pós Proteína Total (g/dL)]]</f>
        <v>8.6999999999999993</v>
      </c>
      <c r="AP261" s="85">
        <f>Tabela1[[#This Row],[Pré FE (ug/dL)]]</f>
        <v>82</v>
      </c>
      <c r="AQ261" s="193">
        <f>Tabela1[[#This Row],[Pós FE (ug/dL)]]</f>
        <v>121</v>
      </c>
      <c r="AR261" s="194">
        <f>Tabela1[[#This Row],[Pré calcio mg/dL]]</f>
        <v>9.1999999999999993</v>
      </c>
      <c r="AS261" s="125">
        <f>Tabela1[[#This Row],[Pós calcio mg/dL]]</f>
        <v>10</v>
      </c>
      <c r="AT261" s="125">
        <f>Tabela1[[#This Row],[Pré Potássio mmol/L]]</f>
        <v>4.4000000000000004</v>
      </c>
      <c r="AU261" s="125">
        <f>Tabela1[[#This Row],[Pós Potássio mmol/L]]</f>
        <v>5</v>
      </c>
      <c r="AV261" s="85">
        <f>Tabela1[[#This Row],[Glicose pré]]</f>
        <v>93</v>
      </c>
      <c r="AW261" s="85">
        <f>Tabela1[[#This Row],[Glicose pós]]</f>
        <v>107</v>
      </c>
      <c r="AX261" s="85">
        <f>Tabela1[[#This Row],[Pré Sódio mmol/L]]</f>
        <v>138</v>
      </c>
      <c r="AY261" s="85">
        <f>Tabela1[[#This Row],[Pós Sódio mmol/L]]</f>
        <v>139</v>
      </c>
      <c r="AZ261" s="125">
        <f>Tabela1[[#This Row],[Pré Magnésio mg/dL]]</f>
        <v>2.1</v>
      </c>
      <c r="BA261" s="125">
        <f>Tabela1[[#This Row],[Pós Magnésio mg/dL]]</f>
        <v>2.2999999999999998</v>
      </c>
      <c r="BB261" s="85">
        <f>Tabela1[[#This Row],[Pré Cloro mmol/L]]</f>
        <v>101</v>
      </c>
      <c r="BC261" s="85">
        <f>Tabela1[[#This Row],[Pós Cloro mmol/L]]</f>
        <v>96</v>
      </c>
      <c r="BD26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291.13900000000001</v>
      </c>
      <c r="BE26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298.50944444444445</v>
      </c>
      <c r="BF261" s="194">
        <f>Tabela1[[#This Row],[Pré RBC 10^6/mm³]]</f>
        <v>4.6399999999999997</v>
      </c>
      <c r="BG261" s="125">
        <f>Tabela1[[#This Row],[Pós RBC 10^6/mm³]]</f>
        <v>3.24</v>
      </c>
      <c r="BH261" s="125">
        <f>Tabela1[[#This Row],[Pré HGB g/dL]]</f>
        <v>13.8</v>
      </c>
      <c r="BI261" s="125">
        <f>Tabela1[[#This Row],[Pós HGB g/dL]]</f>
        <v>12.3</v>
      </c>
      <c r="BJ261" s="125">
        <f>Tabela1[[#This Row],[Pré HCT %]]</f>
        <v>41.7</v>
      </c>
      <c r="BK261" s="125">
        <f>Tabela1[[#This Row],[Pós HCT %]]</f>
        <v>37.299999999999997</v>
      </c>
      <c r="BL261" s="125">
        <f>Tabela1[[#This Row],[Pré MCV fL]]</f>
        <v>89.8</v>
      </c>
      <c r="BM261" s="125">
        <f>Tabela1[[#This Row],[Pós MCV fL]]</f>
        <v>89.6</v>
      </c>
      <c r="BN261" s="125">
        <f>Tabela1[[#This Row],[Pré MCH pg]]</f>
        <v>29.8</v>
      </c>
      <c r="BO261" s="125">
        <f>Tabela1[[#This Row],[Pós MCH pg]]</f>
        <v>29.5</v>
      </c>
      <c r="BP261" s="125">
        <f>Tabela1[[#This Row],[Pré MCHC g/dL]]</f>
        <v>33.200000000000003</v>
      </c>
      <c r="BQ261" s="125">
        <f>Tabela1[[#This Row],[Pós MCHC g/dL]]</f>
        <v>32.9</v>
      </c>
      <c r="BR261" s="85">
        <f>Tabela1[[#This Row],[Pré PLT 10³/mm³]]</f>
        <v>278</v>
      </c>
      <c r="BS261" s="85">
        <f>Tabela1[[#This Row],[Pós PLT 10³/mm³]]</f>
        <v>239</v>
      </c>
      <c r="BT261" s="125">
        <f>Tabela1[[#This Row],[Pré RDW %]]</f>
        <v>15.1</v>
      </c>
      <c r="BU261" s="125">
        <f>Tabela1[[#This Row],[Pós RDW %]]</f>
        <v>14.6</v>
      </c>
      <c r="BV261" s="179" t="str">
        <f>Tabela1[[#This Row],[Pré RET %]]</f>
        <v>-</v>
      </c>
      <c r="BW261" s="196">
        <f>Tabela1[[#This Row],[Pós RET %]]</f>
        <v>0.56999999999999995</v>
      </c>
      <c r="BX261" s="197">
        <f>Tabela1[[#This Row],[Pré WBC 10³/mm³]]</f>
        <v>5.63</v>
      </c>
      <c r="BY261" s="179">
        <f>Tabela1[[#This Row],[Pós WBC 10³/mm³]]</f>
        <v>5.0999999999999996</v>
      </c>
      <c r="BZ261" s="125">
        <f>Tabela1[[#This Row],[Pré NEUT %]]</f>
        <v>47.6</v>
      </c>
      <c r="CA261" s="125">
        <f>Tabela1[[#This Row],[Pós NEUT %]]</f>
        <v>65</v>
      </c>
      <c r="CB261" s="125">
        <f>Tabela1[[#This Row],[Pré LINF %]]</f>
        <v>30.7</v>
      </c>
      <c r="CC261" s="125">
        <f>Tabela1[[#This Row],[Pós LINF %]]</f>
        <v>20.2</v>
      </c>
      <c r="CD261" s="125">
        <f>Tabela1[[#This Row],[Pré MONO %]]</f>
        <v>11.3</v>
      </c>
      <c r="CE261" s="125">
        <f>Tabela1[[#This Row],[Pós MONO %]]</f>
        <v>12.4</v>
      </c>
      <c r="CF261" s="125">
        <f>Tabela1[[#This Row],[Pré EOS %]]</f>
        <v>8.8000000000000007</v>
      </c>
      <c r="CG261" s="125">
        <f>Tabela1[[#This Row],[Pós EOS %]]</f>
        <v>2</v>
      </c>
      <c r="CH261" s="125">
        <f>Tabela1[[#This Row],[Pré BASO %]]</f>
        <v>1.6</v>
      </c>
      <c r="CI261" s="198">
        <f>Tabela1[[#This Row],[Pós BASO %]]</f>
        <v>0.4</v>
      </c>
      <c r="CJ261" s="199" t="str">
        <f t="shared" si="17"/>
        <v>NÃO</v>
      </c>
      <c r="CK261" s="200" t="str">
        <f t="shared" si="18"/>
        <v>SIM</v>
      </c>
      <c r="CL261" s="194">
        <f t="shared" si="19"/>
        <v>56.283344999999997</v>
      </c>
      <c r="CM261" s="125">
        <f>Tabela1[[#This Row],[MCT KG]]</f>
        <v>62.35</v>
      </c>
      <c r="CN261" s="85">
        <f>Tabela1[[#This Row],[ESTATURA]]</f>
        <v>169</v>
      </c>
      <c r="CO261" s="85">
        <f>Tabela1[[#This Row],[vo2max estimado]]</f>
        <v>52.58</v>
      </c>
      <c r="CP261" s="85">
        <f>Tabela1[[#This Row],[Handgrip     Dominante]]</f>
        <v>44</v>
      </c>
      <c r="CQ261" s="85">
        <f>Tabela1[[#This Row],[Handgrip Contrário]]</f>
        <v>38</v>
      </c>
      <c r="CR261" s="281">
        <f>Tabela1[[#This Row],[% gordura]]</f>
        <v>9.73</v>
      </c>
    </row>
    <row r="262" spans="1:96" ht="15.75" customHeight="1">
      <c r="A262" s="279">
        <f>Tabela1[[#This Row],[Ano]]</f>
        <v>2019</v>
      </c>
      <c r="B262" s="181" t="str">
        <f>Tabela1[[#This Row],[Missão]]</f>
        <v>Avelar</v>
      </c>
      <c r="C262" s="181">
        <f>Tabela1[[#This Row],[Aluno]]</f>
        <v>3235</v>
      </c>
      <c r="D262" s="181">
        <f>Tabela1[[#This Row],[Idade]]</f>
        <v>28</v>
      </c>
      <c r="E262" s="182">
        <f>Tabela1[[#This Row],[Peso Kg]]</f>
        <v>81</v>
      </c>
      <c r="F262" s="191">
        <f>Tabela1[[#This Row],[Cor da pele]]</f>
        <v>1</v>
      </c>
      <c r="G262" s="192" t="str">
        <f>Tabela1[[#This Row],[ACTN3]]</f>
        <v>XX</v>
      </c>
      <c r="H262" s="85" t="str">
        <f>Tabela1[[#This Row],[AGT]]</f>
        <v>TT</v>
      </c>
      <c r="I262" s="85" t="str">
        <f>Tabela1[[#This Row],[ECA]]</f>
        <v>DD</v>
      </c>
      <c r="J262" s="85" t="str">
        <f>Tabela1[[#This Row],[BDKRB2]]</f>
        <v>(+9,-9)</v>
      </c>
      <c r="K262" s="85">
        <f>Tabela1[[#This Row],[Score Força%]]</f>
        <v>62.5</v>
      </c>
      <c r="L262" s="193">
        <f>Tabela1[[#This Row],[Score Resistência %]]</f>
        <v>37.5</v>
      </c>
      <c r="M262" s="192">
        <f>Tabela1[[#This Row],[Pré CK (U/L)]]</f>
        <v>468</v>
      </c>
      <c r="N262" s="85">
        <f>Tabela1[[#This Row],[Pós CK (U/L)]]</f>
        <v>3200</v>
      </c>
      <c r="O262" s="85">
        <f>Tabela1[[#This Row],[Pré CK MB U/L]]</f>
        <v>38</v>
      </c>
      <c r="P262" s="85">
        <f>Tabela1[[#This Row],[Pós CK MB U/L]]</f>
        <v>135</v>
      </c>
      <c r="Q262" s="85">
        <f>Tabela1[[#This Row],[Pré Lactato (mmol/L)]]</f>
        <v>1.2</v>
      </c>
      <c r="R262" s="85">
        <f>Tabela1[[#This Row],[Pós Lactato (mmol/L)]]</f>
        <v>5</v>
      </c>
      <c r="S262" s="85">
        <f>Tabela1[[#This Row],[Pré LDH (U/L)]]</f>
        <v>265</v>
      </c>
      <c r="T262" s="85">
        <f>Tabela1[[#This Row],[Pós LDH (U/L)]]</f>
        <v>881</v>
      </c>
      <c r="U262" s="85">
        <f>Tabela1[[#This Row],[Pré AST (U/L)]]</f>
        <v>62</v>
      </c>
      <c r="V262" s="193">
        <f>Tabela1[[#This Row],[Pós AST (U/L)]]</f>
        <v>156</v>
      </c>
      <c r="W262" s="194">
        <f>Tabela1[[#This Row],[Pré Albumina (g/dL)]]</f>
        <v>4.0999999999999996</v>
      </c>
      <c r="X262" s="125">
        <f>Tabela1[[#This Row],[Pós Albumina (g/dL)]]</f>
        <v>5.2</v>
      </c>
      <c r="Y262" s="85">
        <f>Tabela1[[#This Row],[Pré TGP (g/dL)]]</f>
        <v>44</v>
      </c>
      <c r="Z262" s="85">
        <f>Tabela1[[#This Row],[Pós TGP (g/dL)]]</f>
        <v>51</v>
      </c>
      <c r="AA262" s="85">
        <f>Tabela1[[#This Row],[Pré GGT U/L]]</f>
        <v>18</v>
      </c>
      <c r="AB262" s="193">
        <f>Tabela1[[#This Row],[Pós GGT U/L]]</f>
        <v>21</v>
      </c>
      <c r="AC262" s="194">
        <f>Tabela1[[#This Row],[Pré Ac. Úrico (mg/dL)]]</f>
        <v>6.5</v>
      </c>
      <c r="AD262" s="125">
        <f>Tabela1[[#This Row],[Pós Ac. Úrico (mg/dL)2]]</f>
        <v>10</v>
      </c>
      <c r="AE26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6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262" s="85">
        <f>Tabela1[[#This Row],[Pré Ureia mg/dL]]</f>
        <v>43</v>
      </c>
      <c r="AH262" s="85">
        <f>Tabela1[[#This Row],[Pós Ureia mg/dL]]</f>
        <v>65</v>
      </c>
      <c r="AI262" s="125">
        <f>Tabela1[[#This Row],[Pré creatinina mg/dL]]</f>
        <v>1</v>
      </c>
      <c r="AJ262" s="125">
        <f>Tabela1[[#This Row],[Pós creatinina mg/dL]]</f>
        <v>1.3</v>
      </c>
      <c r="AK262" s="180">
        <f t="shared" si="16"/>
        <v>0.30000000000000004</v>
      </c>
      <c r="AL262" s="125">
        <f>Tabela1[[#This Row],[Pré Fósforo mg/dL]]</f>
        <v>4</v>
      </c>
      <c r="AM262" s="125">
        <f>Tabela1[[#This Row],[Pós Fósforo mg/dL]]</f>
        <v>6.1</v>
      </c>
      <c r="AN262" s="125">
        <f>Tabela1[[#This Row],[Pré Proteína Total (g/dL)]]</f>
        <v>7.4</v>
      </c>
      <c r="AO262" s="125">
        <f>Tabela1[[#This Row],[Pós Proteína Total (g/dL)]]</f>
        <v>9.4</v>
      </c>
      <c r="AP262" s="85">
        <f>Tabela1[[#This Row],[Pré FE (ug/dL)]]</f>
        <v>69</v>
      </c>
      <c r="AQ262" s="193">
        <f>Tabela1[[#This Row],[Pós FE (ug/dL)]]</f>
        <v>130</v>
      </c>
      <c r="AR262" s="194">
        <f>Tabela1[[#This Row],[Pré calcio mg/dL]]</f>
        <v>8.6999999999999993</v>
      </c>
      <c r="AS262" s="125">
        <f>Tabela1[[#This Row],[Pós calcio mg/dL]]</f>
        <v>9.9</v>
      </c>
      <c r="AT262" s="125">
        <f>Tabela1[[#This Row],[Pré Potássio mmol/L]]</f>
        <v>4.4000000000000004</v>
      </c>
      <c r="AU262" s="125">
        <f>Tabela1[[#This Row],[Pós Potássio mmol/L]]</f>
        <v>5.3</v>
      </c>
      <c r="AV262" s="85">
        <f>Tabela1[[#This Row],[Glicose pré]]</f>
        <v>102</v>
      </c>
      <c r="AW262" s="85">
        <f>Tabela1[[#This Row],[Glicose pós]]</f>
        <v>102</v>
      </c>
      <c r="AX262" s="85">
        <f>Tabela1[[#This Row],[Pré Sódio mmol/L]]</f>
        <v>139</v>
      </c>
      <c r="AY262" s="85">
        <f>Tabela1[[#This Row],[Pós Sódio mmol/L]]</f>
        <v>140</v>
      </c>
      <c r="AZ262" s="125">
        <f>Tabela1[[#This Row],[Pré Magnésio mg/dL]]</f>
        <v>2</v>
      </c>
      <c r="BA262" s="125">
        <f>Tabela1[[#This Row],[Pós Magnésio mg/dL]]</f>
        <v>2.2999999999999998</v>
      </c>
      <c r="BB262" s="85">
        <f>Tabela1[[#This Row],[Pré Cloro mmol/L]]</f>
        <v>102</v>
      </c>
      <c r="BC262" s="85">
        <f>Tabela1[[#This Row],[Pós Cloro mmol/L]]</f>
        <v>94</v>
      </c>
      <c r="BD26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294.40733333333338</v>
      </c>
      <c r="BE26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301.608</v>
      </c>
      <c r="BF262" s="194">
        <f>Tabela1[[#This Row],[Pré RBC 10^6/mm³]]</f>
        <v>4.8099999999999996</v>
      </c>
      <c r="BG262" s="125">
        <f>Tabela1[[#This Row],[Pós RBC 10^6/mm³]]</f>
        <v>5.41</v>
      </c>
      <c r="BH262" s="125">
        <f>Tabela1[[#This Row],[Pré HGB g/dL]]</f>
        <v>14.4</v>
      </c>
      <c r="BI262" s="125">
        <f>Tabela1[[#This Row],[Pós HGB g/dL]]</f>
        <v>13.2</v>
      </c>
      <c r="BJ262" s="125">
        <f>Tabela1[[#This Row],[Pré HCT %]]</f>
        <v>44.5</v>
      </c>
      <c r="BK262" s="125">
        <f>Tabela1[[#This Row],[Pós HCT %]]</f>
        <v>41.2</v>
      </c>
      <c r="BL262" s="125">
        <f>Tabela1[[#This Row],[Pré MCV fL]]</f>
        <v>92.5</v>
      </c>
      <c r="BM262" s="125">
        <f>Tabela1[[#This Row],[Pós MCV fL]]</f>
        <v>92.8</v>
      </c>
      <c r="BN262" s="125">
        <f>Tabela1[[#This Row],[Pré MCH pg]]</f>
        <v>29.9</v>
      </c>
      <c r="BO262" s="125">
        <f>Tabela1[[#This Row],[Pós MCH pg]]</f>
        <v>29.7</v>
      </c>
      <c r="BP262" s="125">
        <f>Tabela1[[#This Row],[Pré MCHC g/dL]]</f>
        <v>32.4</v>
      </c>
      <c r="BQ262" s="125">
        <f>Tabela1[[#This Row],[Pós MCHC g/dL]]</f>
        <v>32</v>
      </c>
      <c r="BR262" s="85">
        <f>Tabela1[[#This Row],[Pré PLT 10³/mm³]]</f>
        <v>231</v>
      </c>
      <c r="BS262" s="85">
        <f>Tabela1[[#This Row],[Pós PLT 10³/mm³]]</f>
        <v>220</v>
      </c>
      <c r="BT262" s="125">
        <f>Tabela1[[#This Row],[Pré RDW %]]</f>
        <v>15.5</v>
      </c>
      <c r="BU262" s="125">
        <f>Tabela1[[#This Row],[Pós RDW %]]</f>
        <v>14</v>
      </c>
      <c r="BV262" s="179" t="str">
        <f>Tabela1[[#This Row],[Pré RET %]]</f>
        <v>-</v>
      </c>
      <c r="BW262" s="196">
        <f>Tabela1[[#This Row],[Pós RET %]]</f>
        <v>1.67</v>
      </c>
      <c r="BX262" s="197">
        <f>Tabela1[[#This Row],[Pré WBC 10³/mm³]]</f>
        <v>7.97</v>
      </c>
      <c r="BY262" s="179">
        <f>Tabela1[[#This Row],[Pós WBC 10³/mm³]]</f>
        <v>5.01</v>
      </c>
      <c r="BZ262" s="125">
        <f>Tabela1[[#This Row],[Pré NEUT %]]</f>
        <v>70.8</v>
      </c>
      <c r="CA262" s="125">
        <f>Tabela1[[#This Row],[Pós NEUT %]]</f>
        <v>54.3</v>
      </c>
      <c r="CB262" s="125">
        <f>Tabela1[[#This Row],[Pré LINF %]]</f>
        <v>17.8</v>
      </c>
      <c r="CC262" s="125">
        <f>Tabela1[[#This Row],[Pós LINF %]]</f>
        <v>33.4</v>
      </c>
      <c r="CD262" s="125">
        <f>Tabela1[[#This Row],[Pré MONO %]]</f>
        <v>7.4</v>
      </c>
      <c r="CE262" s="125">
        <f>Tabela1[[#This Row],[Pós MONO %]]</f>
        <v>8.9</v>
      </c>
      <c r="CF262" s="125">
        <f>Tabela1[[#This Row],[Pré EOS %]]</f>
        <v>3.1</v>
      </c>
      <c r="CG262" s="125">
        <f>Tabela1[[#This Row],[Pós EOS %]]</f>
        <v>2.2999999999999998</v>
      </c>
      <c r="CH262" s="125">
        <f>Tabela1[[#This Row],[Pré BASO %]]</f>
        <v>0.9</v>
      </c>
      <c r="CI262" s="198">
        <f>Tabela1[[#This Row],[Pós BASO %]]</f>
        <v>1.1000000000000001</v>
      </c>
      <c r="CJ262" s="199" t="str">
        <f t="shared" si="17"/>
        <v>SIM</v>
      </c>
      <c r="CK262" s="200" t="str">
        <f t="shared" si="18"/>
        <v>SIM</v>
      </c>
      <c r="CL262" s="194">
        <f t="shared" si="19"/>
        <v>76.552520000000001</v>
      </c>
      <c r="CM262" s="125">
        <f>Tabela1[[#This Row],[MCT KG]]</f>
        <v>83.6</v>
      </c>
      <c r="CN262" s="85">
        <f>Tabela1[[#This Row],[ESTATURA]]</f>
        <v>175</v>
      </c>
      <c r="CO262" s="85">
        <f>Tabela1[[#This Row],[vo2max estimado]]</f>
        <v>50.56</v>
      </c>
      <c r="CP262" s="85">
        <f>Tabela1[[#This Row],[Handgrip     Dominante]]</f>
        <v>54</v>
      </c>
      <c r="CQ262" s="85">
        <f>Tabela1[[#This Row],[Handgrip Contrário]]</f>
        <v>42</v>
      </c>
      <c r="CR262" s="281">
        <f>Tabela1[[#This Row],[% gordura]]</f>
        <v>8.43</v>
      </c>
    </row>
    <row r="263" spans="1:96" ht="15.75" customHeight="1">
      <c r="A263" s="279">
        <f>Tabela1[[#This Row],[Ano]]</f>
        <v>2022</v>
      </c>
      <c r="B263" s="181" t="str">
        <f>Tabela1[[#This Row],[Missão]]</f>
        <v>Tonelero</v>
      </c>
      <c r="C263" s="181">
        <f>Tabela1[[#This Row],[Aluno]]</f>
        <v>3236</v>
      </c>
      <c r="D263" s="181">
        <f>Tabela1[[#This Row],[Idade]]</f>
        <v>27</v>
      </c>
      <c r="E263" s="182">
        <f>Tabela1[[#This Row],[Peso Kg]]</f>
        <v>72</v>
      </c>
      <c r="F263" s="191">
        <f>Tabela1[[#This Row],[Cor da pele]]</f>
        <v>1</v>
      </c>
      <c r="G263" s="192" t="str">
        <f>Tabela1[[#This Row],[ACTN3]]</f>
        <v>RX</v>
      </c>
      <c r="H263" s="85" t="str">
        <f>Tabela1[[#This Row],[AGT]]</f>
        <v>MT</v>
      </c>
      <c r="I263" s="85" t="str">
        <f>Tabela1[[#This Row],[ECA]]</f>
        <v>ID</v>
      </c>
      <c r="J263" s="85" t="str">
        <f>Tabela1[[#This Row],[BDKRB2]]</f>
        <v>(+9, +9)</v>
      </c>
      <c r="K263" s="85">
        <f>Tabela1[[#This Row],[Score Força%]]</f>
        <v>62.5</v>
      </c>
      <c r="L263" s="193">
        <f>Tabela1[[#This Row],[Score Resistência %]]</f>
        <v>37.5</v>
      </c>
      <c r="M263" s="192">
        <f>Tabela1[[#This Row],[Pré CK (U/L)]]</f>
        <v>276</v>
      </c>
      <c r="N263" s="85">
        <f>Tabela1[[#This Row],[Pós CK (U/L)]]</f>
        <v>1150</v>
      </c>
      <c r="O263" s="85" t="str">
        <f>Tabela1[[#This Row],[Pré CK MB U/L]]</f>
        <v>-</v>
      </c>
      <c r="P263" s="85" t="str">
        <f>Tabela1[[#This Row],[Pós CK MB U/L]]</f>
        <v>-</v>
      </c>
      <c r="Q263" s="85">
        <f>Tabela1[[#This Row],[Pré Lactato (mmol/L)]]</f>
        <v>2.2999999999999998</v>
      </c>
      <c r="R263" s="85">
        <f>Tabela1[[#This Row],[Pós Lactato (mmol/L)]]</f>
        <v>2</v>
      </c>
      <c r="S263" s="85">
        <f>Tabela1[[#This Row],[Pré LDH (U/L)]]</f>
        <v>297</v>
      </c>
      <c r="T263" s="85">
        <f>Tabela1[[#This Row],[Pós LDH (U/L)]]</f>
        <v>403</v>
      </c>
      <c r="U263" s="85">
        <f>Tabela1[[#This Row],[Pré AST (U/L)]]</f>
        <v>51</v>
      </c>
      <c r="V263" s="193">
        <f>Tabela1[[#This Row],[Pós AST (U/L)]]</f>
        <v>83</v>
      </c>
      <c r="W263" s="194" t="str">
        <f>Tabela1[[#This Row],[Pré Albumina (g/dL)]]</f>
        <v>-</v>
      </c>
      <c r="X263" s="125" t="str">
        <f>Tabela1[[#This Row],[Pós Albumina (g/dL)]]</f>
        <v>-</v>
      </c>
      <c r="Y263" s="85" t="str">
        <f>Tabela1[[#This Row],[Pré TGP (g/dL)]]</f>
        <v>-</v>
      </c>
      <c r="Z263" s="85" t="str">
        <f>Tabela1[[#This Row],[Pós TGP (g/dL)]]</f>
        <v>-</v>
      </c>
      <c r="AA263" s="85" t="str">
        <f>Tabela1[[#This Row],[Pré GGT U/L]]</f>
        <v>-</v>
      </c>
      <c r="AB263" s="193" t="str">
        <f>Tabela1[[#This Row],[Pós GGT U/L]]</f>
        <v>-</v>
      </c>
      <c r="AC263" s="194">
        <f>Tabela1[[#This Row],[Pré Ac. Úrico (mg/dL)]]</f>
        <v>3.1</v>
      </c>
      <c r="AD263" s="125">
        <f>Tabela1[[#This Row],[Pós Ac. Úrico (mg/dL)2]]</f>
        <v>4.4000000000000004</v>
      </c>
      <c r="AE26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6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263" s="85">
        <f>Tabela1[[#This Row],[Pré Ureia mg/dL]]</f>
        <v>36</v>
      </c>
      <c r="AH263" s="85">
        <f>Tabela1[[#This Row],[Pós Ureia mg/dL]]</f>
        <v>45</v>
      </c>
      <c r="AI263" s="125">
        <f>Tabela1[[#This Row],[Pré creatinina mg/dL]]</f>
        <v>0.8</v>
      </c>
      <c r="AJ263" s="125">
        <f>Tabela1[[#This Row],[Pós creatinina mg/dL]]</f>
        <v>0.8</v>
      </c>
      <c r="AK263" s="180">
        <f t="shared" si="16"/>
        <v>0</v>
      </c>
      <c r="AL263" s="125">
        <f>Tabela1[[#This Row],[Pré Fósforo mg/dL]]</f>
        <v>4</v>
      </c>
      <c r="AM263" s="125">
        <f>Tabela1[[#This Row],[Pós Fósforo mg/dL]]</f>
        <v>4</v>
      </c>
      <c r="AN263" s="125">
        <f>Tabela1[[#This Row],[Pré Proteína Total (g/dL)]]</f>
        <v>6.8</v>
      </c>
      <c r="AO263" s="125">
        <f>Tabela1[[#This Row],[Pós Proteína Total (g/dL)]]</f>
        <v>6.8</v>
      </c>
      <c r="AP263" s="85">
        <f>Tabela1[[#This Row],[Pré FE (ug/dL)]]</f>
        <v>36</v>
      </c>
      <c r="AQ263" s="193">
        <f>Tabela1[[#This Row],[Pós FE (ug/dL)]]</f>
        <v>80</v>
      </c>
      <c r="AR263" s="194">
        <f>Tabela1[[#This Row],[Pré calcio mg/dL]]</f>
        <v>9.6</v>
      </c>
      <c r="AS263" s="125">
        <f>Tabela1[[#This Row],[Pós calcio mg/dL]]</f>
        <v>9.1999999999999993</v>
      </c>
      <c r="AT263" s="125">
        <f>Tabela1[[#This Row],[Pré Potássio mmol/L]]</f>
        <v>4.5</v>
      </c>
      <c r="AU263" s="125">
        <f>Tabela1[[#This Row],[Pós Potássio mmol/L]]</f>
        <v>4.3</v>
      </c>
      <c r="AV263" s="85">
        <f>Tabela1[[#This Row],[Glicose pré]]</f>
        <v>97</v>
      </c>
      <c r="AW263" s="85">
        <f>Tabela1[[#This Row],[Glicose pós]]</f>
        <v>81</v>
      </c>
      <c r="AX263" s="85">
        <f>Tabela1[[#This Row],[Pré Sódio mmol/L]]</f>
        <v>144</v>
      </c>
      <c r="AY263" s="85">
        <f>Tabela1[[#This Row],[Pós Sódio mmol/L]]</f>
        <v>140</v>
      </c>
      <c r="AZ263" s="125">
        <f>Tabela1[[#This Row],[Pré Magnésio mg/dL]]</f>
        <v>1.9</v>
      </c>
      <c r="BA263" s="125">
        <f>Tabela1[[#This Row],[Pós Magnésio mg/dL]]</f>
        <v>2.2000000000000002</v>
      </c>
      <c r="BB263" s="85">
        <f>Tabela1[[#This Row],[Pré Cloro mmol/L]]</f>
        <v>110</v>
      </c>
      <c r="BC263" s="85">
        <f>Tabela1[[#This Row],[Pós Cloro mmol/L]]</f>
        <v>102</v>
      </c>
      <c r="BD26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302.40722222222223</v>
      </c>
      <c r="BE26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295.07300000000004</v>
      </c>
      <c r="BF263" s="194">
        <f>Tabela1[[#This Row],[Pré RBC 10^6/mm³]]</f>
        <v>5.34</v>
      </c>
      <c r="BG263" s="125">
        <f>Tabela1[[#This Row],[Pós RBC 10^6/mm³]]</f>
        <v>5.43</v>
      </c>
      <c r="BH263" s="125">
        <f>Tabela1[[#This Row],[Pré HGB g/dL]]</f>
        <v>14</v>
      </c>
      <c r="BI263" s="125">
        <f>Tabela1[[#This Row],[Pós HGB g/dL]]</f>
        <v>13.9</v>
      </c>
      <c r="BJ263" s="125">
        <f>Tabela1[[#This Row],[Pré HCT %]]</f>
        <v>42.7</v>
      </c>
      <c r="BK263" s="125">
        <f>Tabela1[[#This Row],[Pós HCT %]]</f>
        <v>42.4</v>
      </c>
      <c r="BL263" s="125">
        <f>Tabela1[[#This Row],[Pré MCV fL]]</f>
        <v>79</v>
      </c>
      <c r="BM263" s="125">
        <f>Tabela1[[#This Row],[Pós MCV fL]]</f>
        <v>78.5</v>
      </c>
      <c r="BN263" s="125">
        <f>Tabela1[[#This Row],[Pré MCH pg]]</f>
        <v>25.8</v>
      </c>
      <c r="BO263" s="125">
        <f>Tabela1[[#This Row],[Pós MCH pg]]</f>
        <v>25.7</v>
      </c>
      <c r="BP263" s="125">
        <f>Tabela1[[#This Row],[Pré MCHC g/dL]]</f>
        <v>32.700000000000003</v>
      </c>
      <c r="BQ263" s="125">
        <f>Tabela1[[#This Row],[Pós MCHC g/dL]]</f>
        <v>32.799999999999997</v>
      </c>
      <c r="BR263" s="85">
        <f>Tabela1[[#This Row],[Pré PLT 10³/mm³]]</f>
        <v>352</v>
      </c>
      <c r="BS263" s="85">
        <f>Tabela1[[#This Row],[Pós PLT 10³/mm³]]</f>
        <v>374</v>
      </c>
      <c r="BT263" s="125">
        <f>Tabela1[[#This Row],[Pré RDW %]]</f>
        <v>12.6</v>
      </c>
      <c r="BU263" s="125">
        <f>Tabela1[[#This Row],[Pós RDW %]]</f>
        <v>13.1</v>
      </c>
      <c r="BV263" s="179">
        <f>Tabela1[[#This Row],[Pré RET %]]</f>
        <v>0.66</v>
      </c>
      <c r="BW263" s="196">
        <f>Tabela1[[#This Row],[Pós RET %]]</f>
        <v>0.78</v>
      </c>
      <c r="BX263" s="197">
        <f>Tabela1[[#This Row],[Pré WBC 10³/mm³]]</f>
        <v>8.44</v>
      </c>
      <c r="BY263" s="179">
        <f>Tabela1[[#This Row],[Pós WBC 10³/mm³]]</f>
        <v>14.07</v>
      </c>
      <c r="BZ263" s="125">
        <f>Tabela1[[#This Row],[Pré NEUT %]]</f>
        <v>56.7</v>
      </c>
      <c r="CA263" s="125">
        <f>Tabela1[[#This Row],[Pós NEUT %]]</f>
        <v>75.5</v>
      </c>
      <c r="CB263" s="125">
        <f>Tabela1[[#This Row],[Pré LINF %]]</f>
        <v>27.8</v>
      </c>
      <c r="CC263" s="125">
        <f>Tabela1[[#This Row],[Pós LINF %]]</f>
        <v>13.8</v>
      </c>
      <c r="CD263" s="125">
        <f>Tabela1[[#This Row],[Pré MONO %]]</f>
        <v>12.2</v>
      </c>
      <c r="CE263" s="125">
        <f>Tabela1[[#This Row],[Pós MONO %]]</f>
        <v>8.9</v>
      </c>
      <c r="CF263" s="125">
        <f>Tabela1[[#This Row],[Pré EOS %]]</f>
        <v>2.4</v>
      </c>
      <c r="CG263" s="125">
        <f>Tabela1[[#This Row],[Pós EOS %]]</f>
        <v>1.3</v>
      </c>
      <c r="CH263" s="125">
        <f>Tabela1[[#This Row],[Pré BASO %]]</f>
        <v>0.9</v>
      </c>
      <c r="CI263" s="198">
        <f>Tabela1[[#This Row],[Pós BASO %]]</f>
        <v>0.5</v>
      </c>
      <c r="CJ263" s="199" t="str">
        <f t="shared" si="17"/>
        <v>NÃO</v>
      </c>
      <c r="CK263" s="200" t="str">
        <f t="shared" si="18"/>
        <v>SIM</v>
      </c>
      <c r="CL263" s="194">
        <f t="shared" si="19"/>
        <v>69.121659999999991</v>
      </c>
      <c r="CM263" s="125">
        <f>Tabela1[[#This Row],[MCT KG]]</f>
        <v>77.3</v>
      </c>
      <c r="CN263" s="85">
        <f>Tabela1[[#This Row],[ESTATURA]]</f>
        <v>170.3</v>
      </c>
      <c r="CO263" s="85">
        <f>Tabela1[[#This Row],[vo2max estimado]]</f>
        <v>49.62</v>
      </c>
      <c r="CP263" s="85">
        <f>Tabela1[[#This Row],[Handgrip     Dominante]]</f>
        <v>50</v>
      </c>
      <c r="CQ263" s="85">
        <f>Tabela1[[#This Row],[Handgrip Contrário]]</f>
        <v>52</v>
      </c>
      <c r="CR263" s="281">
        <f>Tabela1[[#This Row],[% gordura]]</f>
        <v>10.58</v>
      </c>
    </row>
    <row r="264" spans="1:96" ht="15.75" customHeight="1">
      <c r="A264" s="279">
        <f>Tabela1[[#This Row],[Ano]]</f>
        <v>2022</v>
      </c>
      <c r="B264" s="181" t="str">
        <f>Tabela1[[#This Row],[Missão]]</f>
        <v>Tonelero</v>
      </c>
      <c r="C264" s="181">
        <f>Tabela1[[#This Row],[Aluno]]</f>
        <v>3237</v>
      </c>
      <c r="D264" s="181">
        <f>Tabela1[[#This Row],[Idade]]</f>
        <v>24</v>
      </c>
      <c r="E264" s="182">
        <f>Tabela1[[#This Row],[Peso Kg]]</f>
        <v>77</v>
      </c>
      <c r="F264" s="191">
        <f>Tabela1[[#This Row],[Cor da pele]]</f>
        <v>1</v>
      </c>
      <c r="G264" s="192" t="str">
        <f>Tabela1[[#This Row],[ACTN3]]</f>
        <v>RX</v>
      </c>
      <c r="H264" s="85" t="str">
        <f>Tabela1[[#This Row],[AGT]]</f>
        <v>MM</v>
      </c>
      <c r="I264" s="85" t="str">
        <f>Tabela1[[#This Row],[ECA]]</f>
        <v>II</v>
      </c>
      <c r="J264" s="85" t="str">
        <f>Tabela1[[#This Row],[BDKRB2]]</f>
        <v>(-9 , -9)</v>
      </c>
      <c r="K264" s="85">
        <f>Tabela1[[#This Row],[Score Força%]]</f>
        <v>12.5</v>
      </c>
      <c r="L264" s="193">
        <f>Tabela1[[#This Row],[Score Resistência %]]</f>
        <v>87.5</v>
      </c>
      <c r="M264" s="192">
        <f>Tabela1[[#This Row],[Pré CK (U/L)]]</f>
        <v>1349</v>
      </c>
      <c r="N264" s="85">
        <f>Tabela1[[#This Row],[Pós CK (U/L)]]</f>
        <v>998</v>
      </c>
      <c r="O264" s="85" t="str">
        <f>Tabela1[[#This Row],[Pré CK MB U/L]]</f>
        <v>-</v>
      </c>
      <c r="P264" s="85" t="str">
        <f>Tabela1[[#This Row],[Pós CK MB U/L]]</f>
        <v>-</v>
      </c>
      <c r="Q264" s="85">
        <f>Tabela1[[#This Row],[Pré Lactato (mmol/L)]]</f>
        <v>2.8</v>
      </c>
      <c r="R264" s="85">
        <f>Tabela1[[#This Row],[Pós Lactato (mmol/L)]]</f>
        <v>1.8</v>
      </c>
      <c r="S264" s="85">
        <f>Tabela1[[#This Row],[Pré LDH (U/L)]]</f>
        <v>283</v>
      </c>
      <c r="T264" s="85">
        <f>Tabela1[[#This Row],[Pós LDH (U/L)]]</f>
        <v>316</v>
      </c>
      <c r="U264" s="85">
        <f>Tabela1[[#This Row],[Pré AST (U/L)]]</f>
        <v>55</v>
      </c>
      <c r="V264" s="193">
        <f>Tabela1[[#This Row],[Pós AST (U/L)]]</f>
        <v>66</v>
      </c>
      <c r="W264" s="194" t="str">
        <f>Tabela1[[#This Row],[Pré Albumina (g/dL)]]</f>
        <v>-</v>
      </c>
      <c r="X264" s="125" t="str">
        <f>Tabela1[[#This Row],[Pós Albumina (g/dL)]]</f>
        <v>-</v>
      </c>
      <c r="Y264" s="85" t="str">
        <f>Tabela1[[#This Row],[Pré TGP (g/dL)]]</f>
        <v>-</v>
      </c>
      <c r="Z264" s="85" t="str">
        <f>Tabela1[[#This Row],[Pós TGP (g/dL)]]</f>
        <v>-</v>
      </c>
      <c r="AA264" s="85" t="str">
        <f>Tabela1[[#This Row],[Pré GGT U/L]]</f>
        <v>-</v>
      </c>
      <c r="AB264" s="193" t="str">
        <f>Tabela1[[#This Row],[Pós GGT U/L]]</f>
        <v>-</v>
      </c>
      <c r="AC264" s="194">
        <f>Tabela1[[#This Row],[Pré Ac. Úrico (mg/dL)]]</f>
        <v>3.9</v>
      </c>
      <c r="AD264" s="125">
        <f>Tabela1[[#This Row],[Pós Ac. Úrico (mg/dL)2]]</f>
        <v>4.8</v>
      </c>
      <c r="AE26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6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64" s="85">
        <f>Tabela1[[#This Row],[Pré Ureia mg/dL]]</f>
        <v>43</v>
      </c>
      <c r="AH264" s="85">
        <f>Tabela1[[#This Row],[Pós Ureia mg/dL]]</f>
        <v>42</v>
      </c>
      <c r="AI264" s="125">
        <f>Tabela1[[#This Row],[Pré creatinina mg/dL]]</f>
        <v>0.9</v>
      </c>
      <c r="AJ264" s="125">
        <f>Tabela1[[#This Row],[Pós creatinina mg/dL]]</f>
        <v>0.9</v>
      </c>
      <c r="AK264" s="180">
        <f t="shared" si="16"/>
        <v>0</v>
      </c>
      <c r="AL264" s="125">
        <f>Tabela1[[#This Row],[Pré Fósforo mg/dL]]</f>
        <v>4</v>
      </c>
      <c r="AM264" s="125">
        <f>Tabela1[[#This Row],[Pós Fósforo mg/dL]]</f>
        <v>3.6</v>
      </c>
      <c r="AN264" s="125">
        <f>Tabela1[[#This Row],[Pré Proteína Total (g/dL)]]</f>
        <v>6.4</v>
      </c>
      <c r="AO264" s="125">
        <f>Tabela1[[#This Row],[Pós Proteína Total (g/dL)]]</f>
        <v>6.8</v>
      </c>
      <c r="AP264" s="85">
        <f>Tabela1[[#This Row],[Pré FE (ug/dL)]]</f>
        <v>56</v>
      </c>
      <c r="AQ264" s="193">
        <f>Tabela1[[#This Row],[Pós FE (ug/dL)]]</f>
        <v>53</v>
      </c>
      <c r="AR264" s="194">
        <f>Tabela1[[#This Row],[Pré calcio mg/dL]]</f>
        <v>9.1999999999999993</v>
      </c>
      <c r="AS264" s="125">
        <f>Tabela1[[#This Row],[Pós calcio mg/dL]]</f>
        <v>8.8000000000000007</v>
      </c>
      <c r="AT264" s="125">
        <f>Tabela1[[#This Row],[Pré Potássio mmol/L]]</f>
        <v>4.5</v>
      </c>
      <c r="AU264" s="125">
        <f>Tabela1[[#This Row],[Pós Potássio mmol/L]]</f>
        <v>3.9</v>
      </c>
      <c r="AV264" s="85">
        <f>Tabela1[[#This Row],[Glicose pré]]</f>
        <v>99</v>
      </c>
      <c r="AW264" s="85">
        <f>Tabela1[[#This Row],[Glicose pós]]</f>
        <v>92</v>
      </c>
      <c r="AX264" s="85">
        <f>Tabela1[[#This Row],[Pré Sódio mmol/L]]</f>
        <v>143</v>
      </c>
      <c r="AY264" s="85">
        <f>Tabela1[[#This Row],[Pós Sódio mmol/L]]</f>
        <v>141</v>
      </c>
      <c r="AZ264" s="125">
        <f>Tabela1[[#This Row],[Pré Magnésio mg/dL]]</f>
        <v>2</v>
      </c>
      <c r="BA264" s="125">
        <f>Tabela1[[#This Row],[Pós Magnésio mg/dL]]</f>
        <v>2.5</v>
      </c>
      <c r="BB264" s="85">
        <f>Tabela1[[#This Row],[Pré Cloro mmol/L]]</f>
        <v>105</v>
      </c>
      <c r="BC264" s="85">
        <f>Tabela1[[#This Row],[Pós Cloro mmol/L]]</f>
        <v>103</v>
      </c>
      <c r="BD26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301.8416666666667</v>
      </c>
      <c r="BE26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296.3917777777778</v>
      </c>
      <c r="BF264" s="194">
        <f>Tabela1[[#This Row],[Pré RBC 10^6/mm³]]</f>
        <v>4.3099999999999996</v>
      </c>
      <c r="BG264" s="125">
        <f>Tabela1[[#This Row],[Pós RBC 10^6/mm³]]</f>
        <v>4.47</v>
      </c>
      <c r="BH264" s="125">
        <f>Tabela1[[#This Row],[Pré HGB g/dL]]</f>
        <v>13.4</v>
      </c>
      <c r="BI264" s="125">
        <f>Tabela1[[#This Row],[Pós HGB g/dL]]</f>
        <v>14.1</v>
      </c>
      <c r="BJ264" s="125">
        <f>Tabela1[[#This Row],[Pré HCT %]]</f>
        <v>41.4</v>
      </c>
      <c r="BK264" s="125">
        <f>Tabela1[[#This Row],[Pós HCT %]]</f>
        <v>42.5</v>
      </c>
      <c r="BL264" s="125">
        <f>Tabela1[[#This Row],[Pré MCV fL]]</f>
        <v>95.7</v>
      </c>
      <c r="BM264" s="125">
        <f>Tabela1[[#This Row],[Pós MCV fL]]</f>
        <v>95.6</v>
      </c>
      <c r="BN264" s="125">
        <f>Tabela1[[#This Row],[Pré MCH pg]]</f>
        <v>30.9</v>
      </c>
      <c r="BO264" s="125">
        <f>Tabela1[[#This Row],[Pós MCH pg]]</f>
        <v>31.7</v>
      </c>
      <c r="BP264" s="125">
        <f>Tabela1[[#This Row],[Pré MCHC g/dL]]</f>
        <v>32.200000000000003</v>
      </c>
      <c r="BQ264" s="125">
        <f>Tabela1[[#This Row],[Pós MCHC g/dL]]</f>
        <v>33.200000000000003</v>
      </c>
      <c r="BR264" s="85">
        <f>Tabela1[[#This Row],[Pré PLT 10³/mm³]]</f>
        <v>279</v>
      </c>
      <c r="BS264" s="85">
        <f>Tabela1[[#This Row],[Pós PLT 10³/mm³]]</f>
        <v>316</v>
      </c>
      <c r="BT264" s="125">
        <f>Tabela1[[#This Row],[Pré RDW %]]</f>
        <v>12.7</v>
      </c>
      <c r="BU264" s="125">
        <f>Tabela1[[#This Row],[Pós RDW %]]</f>
        <v>13</v>
      </c>
      <c r="BV264" s="179">
        <f>Tabela1[[#This Row],[Pré RET %]]</f>
        <v>1.02</v>
      </c>
      <c r="BW264" s="196">
        <f>Tabela1[[#This Row],[Pós RET %]]</f>
        <v>1.06</v>
      </c>
      <c r="BX264" s="197">
        <f>Tabela1[[#This Row],[Pré WBC 10³/mm³]]</f>
        <v>5.41</v>
      </c>
      <c r="BY264" s="179">
        <f>Tabela1[[#This Row],[Pós WBC 10³/mm³]]</f>
        <v>8.36</v>
      </c>
      <c r="BZ264" s="125">
        <f>Tabela1[[#This Row],[Pré NEUT %]]</f>
        <v>51.9</v>
      </c>
      <c r="CA264" s="125">
        <f>Tabela1[[#This Row],[Pós NEUT %]]</f>
        <v>73.5</v>
      </c>
      <c r="CB264" s="125">
        <f>Tabela1[[#This Row],[Pré LINF %]]</f>
        <v>31.5</v>
      </c>
      <c r="CC264" s="125">
        <f>Tabela1[[#This Row],[Pós LINF %]]</f>
        <v>16.399999999999999</v>
      </c>
      <c r="CD264" s="125">
        <f>Tabela1[[#This Row],[Pré MONO %]]</f>
        <v>11.6</v>
      </c>
      <c r="CE264" s="125">
        <f>Tabela1[[#This Row],[Pós MONO %]]</f>
        <v>8.3000000000000007</v>
      </c>
      <c r="CF264" s="125">
        <f>Tabela1[[#This Row],[Pré EOS %]]</f>
        <v>4.4000000000000004</v>
      </c>
      <c r="CG264" s="125">
        <f>Tabela1[[#This Row],[Pós EOS %]]</f>
        <v>1.1000000000000001</v>
      </c>
      <c r="CH264" s="125">
        <f>Tabela1[[#This Row],[Pré BASO %]]</f>
        <v>0.6</v>
      </c>
      <c r="CI264" s="198">
        <f>Tabela1[[#This Row],[Pós BASO %]]</f>
        <v>0.7</v>
      </c>
      <c r="CJ264" s="199" t="str">
        <f t="shared" si="17"/>
        <v>NÃO</v>
      </c>
      <c r="CK264" s="200" t="str">
        <f t="shared" si="18"/>
        <v>SIM</v>
      </c>
      <c r="CL264" s="194">
        <f t="shared" si="19"/>
        <v>70.724639999999994</v>
      </c>
      <c r="CM264" s="125">
        <f>Tabela1[[#This Row],[MCT KG]]</f>
        <v>77.599999999999994</v>
      </c>
      <c r="CN264" s="85">
        <f>Tabela1[[#This Row],[ESTATURA]]</f>
        <v>178</v>
      </c>
      <c r="CO264" s="85">
        <f>Tabela1[[#This Row],[vo2max estimado]]</f>
        <v>53.68</v>
      </c>
      <c r="CP264" s="85">
        <f>Tabela1[[#This Row],[Handgrip     Dominante]]</f>
        <v>51</v>
      </c>
      <c r="CQ264" s="85">
        <f>Tabela1[[#This Row],[Handgrip Contrário]]</f>
        <v>51</v>
      </c>
      <c r="CR264" s="281">
        <f>Tabela1[[#This Row],[% gordura]]</f>
        <v>8.86</v>
      </c>
    </row>
    <row r="265" spans="1:96" ht="15.75" customHeight="1">
      <c r="A265" s="279">
        <f>Tabela1[[#This Row],[Ano]]</f>
        <v>2022</v>
      </c>
      <c r="B265" s="181" t="str">
        <f>Tabela1[[#This Row],[Missão]]</f>
        <v>Tonelero</v>
      </c>
      <c r="C265" s="181">
        <f>Tabela1[[#This Row],[Aluno]]</f>
        <v>3238</v>
      </c>
      <c r="D265" s="181">
        <f>Tabela1[[#This Row],[Idade]]</f>
        <v>24</v>
      </c>
      <c r="E265" s="182">
        <f>Tabela1[[#This Row],[Peso Kg]]</f>
        <v>72</v>
      </c>
      <c r="F265" s="191">
        <f>Tabela1[[#This Row],[Cor da pele]]</f>
        <v>1</v>
      </c>
      <c r="G265" s="192" t="str">
        <f>Tabela1[[#This Row],[ACTN3]]</f>
        <v>XX</v>
      </c>
      <c r="H265" s="85" t="str">
        <f>Tabela1[[#This Row],[AGT]]</f>
        <v>TT</v>
      </c>
      <c r="I265" s="85" t="str">
        <f>Tabela1[[#This Row],[ECA]]</f>
        <v>II</v>
      </c>
      <c r="J265" s="85" t="str">
        <f>Tabela1[[#This Row],[BDKRB2]]</f>
        <v>(-9 , -9)</v>
      </c>
      <c r="K265" s="85">
        <f>Tabela1[[#This Row],[Score Força%]]</f>
        <v>25</v>
      </c>
      <c r="L265" s="193">
        <f>Tabela1[[#This Row],[Score Resistência %]]</f>
        <v>75</v>
      </c>
      <c r="M265" s="192">
        <f>Tabela1[[#This Row],[Pré CK (U/L)]]</f>
        <v>484</v>
      </c>
      <c r="N265" s="85">
        <f>Tabela1[[#This Row],[Pós CK (U/L)]]</f>
        <v>464</v>
      </c>
      <c r="O265" s="85" t="str">
        <f>Tabela1[[#This Row],[Pré CK MB U/L]]</f>
        <v>-</v>
      </c>
      <c r="P265" s="85" t="str">
        <f>Tabela1[[#This Row],[Pós CK MB U/L]]</f>
        <v>-</v>
      </c>
      <c r="Q265" s="85">
        <f>Tabela1[[#This Row],[Pré Lactato (mmol/L)]]</f>
        <v>2.2999999999999998</v>
      </c>
      <c r="R265" s="85">
        <f>Tabela1[[#This Row],[Pós Lactato (mmol/L)]]</f>
        <v>1.6</v>
      </c>
      <c r="S265" s="85">
        <f>Tabela1[[#This Row],[Pré LDH (U/L)]]</f>
        <v>261</v>
      </c>
      <c r="T265" s="85">
        <f>Tabela1[[#This Row],[Pós LDH (U/L)]]</f>
        <v>302</v>
      </c>
      <c r="U265" s="85">
        <f>Tabela1[[#This Row],[Pré AST (U/L)]]</f>
        <v>40</v>
      </c>
      <c r="V265" s="193">
        <f>Tabela1[[#This Row],[Pós AST (U/L)]]</f>
        <v>62</v>
      </c>
      <c r="W265" s="194" t="str">
        <f>Tabela1[[#This Row],[Pré Albumina (g/dL)]]</f>
        <v>-</v>
      </c>
      <c r="X265" s="125" t="str">
        <f>Tabela1[[#This Row],[Pós Albumina (g/dL)]]</f>
        <v>-</v>
      </c>
      <c r="Y265" s="85" t="str">
        <f>Tabela1[[#This Row],[Pré TGP (g/dL)]]</f>
        <v>-</v>
      </c>
      <c r="Z265" s="85" t="str">
        <f>Tabela1[[#This Row],[Pós TGP (g/dL)]]</f>
        <v>-</v>
      </c>
      <c r="AA265" s="85" t="str">
        <f>Tabela1[[#This Row],[Pré GGT U/L]]</f>
        <v>-</v>
      </c>
      <c r="AB265" s="193" t="str">
        <f>Tabela1[[#This Row],[Pós GGT U/L]]</f>
        <v>-</v>
      </c>
      <c r="AC265" s="194">
        <f>Tabela1[[#This Row],[Pré Ac. Úrico (mg/dL)]]</f>
        <v>3.6</v>
      </c>
      <c r="AD265" s="125">
        <f>Tabela1[[#This Row],[Pós Ac. Úrico (mg/dL)2]]</f>
        <v>4.3</v>
      </c>
      <c r="AE26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26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65" s="85">
        <f>Tabela1[[#This Row],[Pré Ureia mg/dL]]</f>
        <v>34</v>
      </c>
      <c r="AH265" s="85">
        <f>Tabela1[[#This Row],[Pós Ureia mg/dL]]</f>
        <v>32</v>
      </c>
      <c r="AI265" s="125">
        <f>Tabela1[[#This Row],[Pré creatinina mg/dL]]</f>
        <v>1.1000000000000001</v>
      </c>
      <c r="AJ265" s="125">
        <f>Tabela1[[#This Row],[Pós creatinina mg/dL]]</f>
        <v>0.9</v>
      </c>
      <c r="AK265" s="180">
        <f t="shared" si="16"/>
        <v>0</v>
      </c>
      <c r="AL265" s="125">
        <f>Tabela1[[#This Row],[Pré Fósforo mg/dL]]</f>
        <v>4.3</v>
      </c>
      <c r="AM265" s="125">
        <f>Tabela1[[#This Row],[Pós Fósforo mg/dL]]</f>
        <v>4.3</v>
      </c>
      <c r="AN265" s="125">
        <f>Tabela1[[#This Row],[Pré Proteína Total (g/dL)]]</f>
        <v>7.3</v>
      </c>
      <c r="AO265" s="125">
        <f>Tabela1[[#This Row],[Pós Proteína Total (g/dL)]]</f>
        <v>6.9</v>
      </c>
      <c r="AP265" s="85">
        <f>Tabela1[[#This Row],[Pré FE (ug/dL)]]</f>
        <v>37</v>
      </c>
      <c r="AQ265" s="193">
        <f>Tabela1[[#This Row],[Pós FE (ug/dL)]]</f>
        <v>33</v>
      </c>
      <c r="AR265" s="194">
        <f>Tabela1[[#This Row],[Pré calcio mg/dL]]</f>
        <v>9.9</v>
      </c>
      <c r="AS265" s="125">
        <f>Tabela1[[#This Row],[Pós calcio mg/dL]]</f>
        <v>8.8000000000000007</v>
      </c>
      <c r="AT265" s="125">
        <f>Tabela1[[#This Row],[Pré Potássio mmol/L]]</f>
        <v>4.4000000000000004</v>
      </c>
      <c r="AU265" s="125">
        <f>Tabela1[[#This Row],[Pós Potássio mmol/L]]</f>
        <v>4</v>
      </c>
      <c r="AV265" s="85">
        <f>Tabela1[[#This Row],[Glicose pré]]</f>
        <v>100</v>
      </c>
      <c r="AW265" s="85">
        <f>Tabela1[[#This Row],[Glicose pós]]</f>
        <v>75</v>
      </c>
      <c r="AX265" s="85">
        <f>Tabela1[[#This Row],[Pré Sódio mmol/L]]</f>
        <v>141</v>
      </c>
      <c r="AY265" s="85">
        <f>Tabela1[[#This Row],[Pós Sódio mmol/L]]</f>
        <v>139</v>
      </c>
      <c r="AZ265" s="125">
        <f>Tabela1[[#This Row],[Pré Magnésio mg/dL]]</f>
        <v>1.9</v>
      </c>
      <c r="BA265" s="125">
        <f>Tabela1[[#This Row],[Pós Magnésio mg/dL]]</f>
        <v>2.2000000000000002</v>
      </c>
      <c r="BB265" s="85">
        <f>Tabela1[[#This Row],[Pré Cloro mmol/L]]</f>
        <v>101</v>
      </c>
      <c r="BC265" s="85">
        <f>Tabela1[[#This Row],[Pós Cloro mmol/L]]</f>
        <v>101</v>
      </c>
      <c r="BD26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296.49955555555562</v>
      </c>
      <c r="BE26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290.10500000000002</v>
      </c>
      <c r="BF265" s="194">
        <f>Tabela1[[#This Row],[Pré RBC 10^6/mm³]]</f>
        <v>5.22</v>
      </c>
      <c r="BG265" s="125">
        <f>Tabela1[[#This Row],[Pós RBC 10^6/mm³]]</f>
        <v>5.22</v>
      </c>
      <c r="BH265" s="125">
        <f>Tabela1[[#This Row],[Pré HGB g/dL]]</f>
        <v>14.5</v>
      </c>
      <c r="BI265" s="125">
        <f>Tabela1[[#This Row],[Pós HGB g/dL]]</f>
        <v>14.4</v>
      </c>
      <c r="BJ265" s="125">
        <f>Tabela1[[#This Row],[Pré HCT %]]</f>
        <v>44.1</v>
      </c>
      <c r="BK265" s="125">
        <f>Tabela1[[#This Row],[Pós HCT %]]</f>
        <v>43.1</v>
      </c>
      <c r="BL265" s="125">
        <f>Tabela1[[#This Row],[Pré MCV fL]]</f>
        <v>83.7</v>
      </c>
      <c r="BM265" s="125">
        <f>Tabela1[[#This Row],[Pós MCV fL]]</f>
        <v>82.3</v>
      </c>
      <c r="BN265" s="125">
        <f>Tabela1[[#This Row],[Pré MCH pg]]</f>
        <v>27.5</v>
      </c>
      <c r="BO265" s="125">
        <f>Tabela1[[#This Row],[Pós MCH pg]]</f>
        <v>27.4</v>
      </c>
      <c r="BP265" s="125">
        <f>Tabela1[[#This Row],[Pré MCHC g/dL]]</f>
        <v>32.799999999999997</v>
      </c>
      <c r="BQ265" s="125">
        <f>Tabela1[[#This Row],[Pós MCHC g/dL]]</f>
        <v>33.4</v>
      </c>
      <c r="BR265" s="85">
        <f>Tabela1[[#This Row],[Pré PLT 10³/mm³]]</f>
        <v>319</v>
      </c>
      <c r="BS265" s="85">
        <f>Tabela1[[#This Row],[Pós PLT 10³/mm³]]</f>
        <v>296</v>
      </c>
      <c r="BT265" s="125">
        <f>Tabela1[[#This Row],[Pré RDW %]]</f>
        <v>13.5</v>
      </c>
      <c r="BU265" s="125">
        <f>Tabela1[[#This Row],[Pós RDW %]]</f>
        <v>12.9</v>
      </c>
      <c r="BV265" s="179">
        <f>Tabela1[[#This Row],[Pré RET %]]</f>
        <v>1.1200000000000001</v>
      </c>
      <c r="BW265" s="196">
        <f>Tabela1[[#This Row],[Pós RET %]]</f>
        <v>0.53</v>
      </c>
      <c r="BX265" s="197">
        <f>Tabela1[[#This Row],[Pré WBC 10³/mm³]]</f>
        <v>11.77</v>
      </c>
      <c r="BY265" s="179">
        <f>Tabela1[[#This Row],[Pós WBC 10³/mm³]]</f>
        <v>8.2100000000000009</v>
      </c>
      <c r="BZ265" s="125">
        <f>Tabela1[[#This Row],[Pré NEUT %]]</f>
        <v>70.900000000000006</v>
      </c>
      <c r="CA265" s="125">
        <f>Tabela1[[#This Row],[Pós NEUT %]]</f>
        <v>75</v>
      </c>
      <c r="CB265" s="125">
        <f>Tabela1[[#This Row],[Pré LINF %]]</f>
        <v>17.399999999999999</v>
      </c>
      <c r="CC265" s="125">
        <f>Tabela1[[#This Row],[Pós LINF %]]</f>
        <v>13</v>
      </c>
      <c r="CD265" s="125">
        <f>Tabela1[[#This Row],[Pré MONO %]]</f>
        <v>9.1</v>
      </c>
      <c r="CE265" s="125">
        <f>Tabela1[[#This Row],[Pós MONO %]]</f>
        <v>11.3</v>
      </c>
      <c r="CF265" s="125">
        <f>Tabela1[[#This Row],[Pré EOS %]]</f>
        <v>2.2000000000000002</v>
      </c>
      <c r="CG265" s="125">
        <f>Tabela1[[#This Row],[Pós EOS %]]</f>
        <v>0.3</v>
      </c>
      <c r="CH265" s="125">
        <f>Tabela1[[#This Row],[Pré BASO %]]</f>
        <v>0.4</v>
      </c>
      <c r="CI265" s="198">
        <f>Tabela1[[#This Row],[Pós BASO %]]</f>
        <v>0.4</v>
      </c>
      <c r="CJ265" s="199" t="str">
        <f t="shared" si="17"/>
        <v>NÃO</v>
      </c>
      <c r="CK265" s="200" t="str">
        <f t="shared" si="18"/>
        <v>NÃO</v>
      </c>
      <c r="CL265" s="194">
        <f t="shared" si="19"/>
        <v>66.241470000000007</v>
      </c>
      <c r="CM265" s="125">
        <f>Tabela1[[#This Row],[MCT KG]]</f>
        <v>71.900000000000006</v>
      </c>
      <c r="CN265" s="85">
        <f>Tabela1[[#This Row],[ESTATURA]]</f>
        <v>173.5</v>
      </c>
      <c r="CO265" s="85">
        <f>Tabela1[[#This Row],[vo2max estimado]]</f>
        <v>55.35</v>
      </c>
      <c r="CP265" s="85">
        <f>Tabela1[[#This Row],[Handgrip     Dominante]]</f>
        <v>54</v>
      </c>
      <c r="CQ265" s="85">
        <f>Tabela1[[#This Row],[Handgrip Contrário]]</f>
        <v>56</v>
      </c>
      <c r="CR265" s="281">
        <f>Tabela1[[#This Row],[% gordura]]</f>
        <v>7.87</v>
      </c>
    </row>
    <row r="266" spans="1:96" ht="15.75" customHeight="1">
      <c r="A266" s="279">
        <f>Tabela1[[#This Row],[Ano]]</f>
        <v>2022</v>
      </c>
      <c r="B266" s="181" t="str">
        <f>Tabela1[[#This Row],[Missão]]</f>
        <v>Tonelero</v>
      </c>
      <c r="C266" s="181">
        <f>Tabela1[[#This Row],[Aluno]]</f>
        <v>3239</v>
      </c>
      <c r="D266" s="181">
        <f>Tabela1[[#This Row],[Idade]]</f>
        <v>24</v>
      </c>
      <c r="E266" s="182">
        <f>Tabela1[[#This Row],[Peso Kg]]</f>
        <v>79.5</v>
      </c>
      <c r="F266" s="191">
        <f>Tabela1[[#This Row],[Cor da pele]]</f>
        <v>1</v>
      </c>
      <c r="G266" s="192" t="str">
        <f>Tabela1[[#This Row],[ACTN3]]</f>
        <v>RX</v>
      </c>
      <c r="H266" s="85" t="str">
        <f>Tabela1[[#This Row],[AGT]]</f>
        <v>TT</v>
      </c>
      <c r="I266" s="85" t="str">
        <f>Tabela1[[#This Row],[ECA]]</f>
        <v>DD</v>
      </c>
      <c r="J266" s="85" t="str">
        <f>Tabela1[[#This Row],[BDKRB2]]</f>
        <v>(+9, -9)</v>
      </c>
      <c r="K266" s="85">
        <f>Tabela1[[#This Row],[Score Força%]]</f>
        <v>75</v>
      </c>
      <c r="L266" s="193">
        <f>Tabela1[[#This Row],[Score Resistência %]]</f>
        <v>25</v>
      </c>
      <c r="M266" s="192">
        <f>Tabela1[[#This Row],[Pré CK (U/L)]]</f>
        <v>1351</v>
      </c>
      <c r="N266" s="85">
        <f>Tabela1[[#This Row],[Pós CK (U/L)]]</f>
        <v>1598</v>
      </c>
      <c r="O266" s="85" t="str">
        <f>Tabela1[[#This Row],[Pré CK MB U/L]]</f>
        <v>-</v>
      </c>
      <c r="P266" s="85" t="str">
        <f>Tabela1[[#This Row],[Pós CK MB U/L]]</f>
        <v>-</v>
      </c>
      <c r="Q266" s="85">
        <f>Tabela1[[#This Row],[Pré Lactato (mmol/L)]]</f>
        <v>2.9</v>
      </c>
      <c r="R266" s="85">
        <f>Tabela1[[#This Row],[Pós Lactato (mmol/L)]]</f>
        <v>3.6</v>
      </c>
      <c r="S266" s="85">
        <f>Tabela1[[#This Row],[Pré LDH (U/L)]]</f>
        <v>265</v>
      </c>
      <c r="T266" s="85">
        <f>Tabela1[[#This Row],[Pós LDH (U/L)]]</f>
        <v>351</v>
      </c>
      <c r="U266" s="85">
        <f>Tabela1[[#This Row],[Pré AST (U/L)]]</f>
        <v>79</v>
      </c>
      <c r="V266" s="193">
        <f>Tabela1[[#This Row],[Pós AST (U/L)]]</f>
        <v>153</v>
      </c>
      <c r="W266" s="194" t="str">
        <f>Tabela1[[#This Row],[Pré Albumina (g/dL)]]</f>
        <v>-</v>
      </c>
      <c r="X266" s="125" t="str">
        <f>Tabela1[[#This Row],[Pós Albumina (g/dL)]]</f>
        <v>-</v>
      </c>
      <c r="Y266" s="85" t="str">
        <f>Tabela1[[#This Row],[Pré TGP (g/dL)]]</f>
        <v>-</v>
      </c>
      <c r="Z266" s="85" t="str">
        <f>Tabela1[[#This Row],[Pós TGP (g/dL)]]</f>
        <v>-</v>
      </c>
      <c r="AA266" s="85" t="str">
        <f>Tabela1[[#This Row],[Pré GGT U/L]]</f>
        <v>-</v>
      </c>
      <c r="AB266" s="193" t="str">
        <f>Tabela1[[#This Row],[Pós GGT U/L]]</f>
        <v>-</v>
      </c>
      <c r="AC266" s="194">
        <f>Tabela1[[#This Row],[Pré Ac. Úrico (mg/dL)]]</f>
        <v>4.5999999999999996</v>
      </c>
      <c r="AD266" s="125">
        <f>Tabela1[[#This Row],[Pós Ac. Úrico (mg/dL)2]]</f>
        <v>4.5999999999999996</v>
      </c>
      <c r="AE26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6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266" s="85">
        <f>Tabela1[[#This Row],[Pré Ureia mg/dL]]</f>
        <v>32</v>
      </c>
      <c r="AH266" s="85">
        <f>Tabela1[[#This Row],[Pós Ureia mg/dL]]</f>
        <v>57</v>
      </c>
      <c r="AI266" s="125">
        <f>Tabela1[[#This Row],[Pré creatinina mg/dL]]</f>
        <v>0.9</v>
      </c>
      <c r="AJ266" s="125">
        <f>Tabela1[[#This Row],[Pós creatinina mg/dL]]</f>
        <v>0.8</v>
      </c>
      <c r="AK266" s="180">
        <f t="shared" si="16"/>
        <v>0</v>
      </c>
      <c r="AL266" s="125">
        <f>Tabela1[[#This Row],[Pré Fósforo mg/dL]]</f>
        <v>4.5</v>
      </c>
      <c r="AM266" s="125">
        <f>Tabela1[[#This Row],[Pós Fósforo mg/dL]]</f>
        <v>4</v>
      </c>
      <c r="AN266" s="125">
        <f>Tabela1[[#This Row],[Pré Proteína Total (g/dL)]]</f>
        <v>7.3</v>
      </c>
      <c r="AO266" s="125">
        <f>Tabela1[[#This Row],[Pós Proteína Total (g/dL)]]</f>
        <v>8</v>
      </c>
      <c r="AP266" s="85">
        <f>Tabela1[[#This Row],[Pré FE (ug/dL)]]</f>
        <v>42</v>
      </c>
      <c r="AQ266" s="193">
        <f>Tabela1[[#This Row],[Pós FE (ug/dL)]]</f>
        <v>99</v>
      </c>
      <c r="AR266" s="194">
        <f>Tabela1[[#This Row],[Pré calcio mg/dL]]</f>
        <v>9.6</v>
      </c>
      <c r="AS266" s="125">
        <f>Tabela1[[#This Row],[Pós calcio mg/dL]]</f>
        <v>9.8000000000000007</v>
      </c>
      <c r="AT266" s="125">
        <f>Tabela1[[#This Row],[Pré Potássio mmol/L]]</f>
        <v>4.7</v>
      </c>
      <c r="AU266" s="125">
        <f>Tabela1[[#This Row],[Pós Potássio mmol/L]]</f>
        <v>4.9000000000000004</v>
      </c>
      <c r="AV266" s="85">
        <f>Tabela1[[#This Row],[Glicose pré]]</f>
        <v>105</v>
      </c>
      <c r="AW266" s="85">
        <f>Tabela1[[#This Row],[Glicose pós]]</f>
        <v>95</v>
      </c>
      <c r="AX266" s="85">
        <f>Tabela1[[#This Row],[Pré Sódio mmol/L]]</f>
        <v>144</v>
      </c>
      <c r="AY266" s="85">
        <f>Tabela1[[#This Row],[Pós Sódio mmol/L]]</f>
        <v>141</v>
      </c>
      <c r="AZ266" s="125">
        <f>Tabela1[[#This Row],[Pré Magnésio mg/dL]]</f>
        <v>1.6</v>
      </c>
      <c r="BA266" s="125">
        <f>Tabela1[[#This Row],[Pós Magnésio mg/dL]]</f>
        <v>2</v>
      </c>
      <c r="BB266" s="85">
        <f>Tabela1[[#This Row],[Pré Cloro mmol/L]]</f>
        <v>104</v>
      </c>
      <c r="BC266" s="85">
        <f>Tabela1[[#This Row],[Pós Cloro mmol/L]]</f>
        <v>97</v>
      </c>
      <c r="BD26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302.62366666666662</v>
      </c>
      <c r="BE26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300.94344444444448</v>
      </c>
      <c r="BF266" s="194">
        <f>Tabela1[[#This Row],[Pré RBC 10^6/mm³]]</f>
        <v>4.25</v>
      </c>
      <c r="BG266" s="125">
        <f>Tabela1[[#This Row],[Pós RBC 10^6/mm³]]</f>
        <v>4.54</v>
      </c>
      <c r="BH266" s="125">
        <f>Tabela1[[#This Row],[Pré HGB g/dL]]</f>
        <v>12.1</v>
      </c>
      <c r="BI266" s="125">
        <f>Tabela1[[#This Row],[Pós HGB g/dL]]</f>
        <v>13.1</v>
      </c>
      <c r="BJ266" s="125">
        <f>Tabela1[[#This Row],[Pré HCT %]]</f>
        <v>37.200000000000003</v>
      </c>
      <c r="BK266" s="125">
        <f>Tabela1[[#This Row],[Pós HCT %]]</f>
        <v>39.799999999999997</v>
      </c>
      <c r="BL266" s="125">
        <f>Tabela1[[#This Row],[Pré MCV fL]]</f>
        <v>87.9</v>
      </c>
      <c r="BM266" s="125">
        <f>Tabela1[[#This Row],[Pós MCV fL]]</f>
        <v>87.6</v>
      </c>
      <c r="BN266" s="125">
        <f>Tabela1[[#This Row],[Pré MCH pg]]</f>
        <v>28.6</v>
      </c>
      <c r="BO266" s="125">
        <f>Tabela1[[#This Row],[Pós MCH pg]]</f>
        <v>28.9</v>
      </c>
      <c r="BP266" s="125">
        <f>Tabela1[[#This Row],[Pré MCHC g/dL]]</f>
        <v>32.6</v>
      </c>
      <c r="BQ266" s="125">
        <f>Tabela1[[#This Row],[Pós MCHC g/dL]]</f>
        <v>33</v>
      </c>
      <c r="BR266" s="85">
        <f>Tabela1[[#This Row],[Pré PLT 10³/mm³]]</f>
        <v>305</v>
      </c>
      <c r="BS266" s="85">
        <f>Tabela1[[#This Row],[Pós PLT 10³/mm³]]</f>
        <v>352</v>
      </c>
      <c r="BT266" s="125">
        <f>Tabela1[[#This Row],[Pré RDW %]]</f>
        <v>12.2</v>
      </c>
      <c r="BU266" s="125">
        <f>Tabela1[[#This Row],[Pós RDW %]]</f>
        <v>12.1</v>
      </c>
      <c r="BV266" s="179">
        <f>Tabela1[[#This Row],[Pré RET %]]</f>
        <v>0.98</v>
      </c>
      <c r="BW266" s="196">
        <f>Tabela1[[#This Row],[Pós RET %]]</f>
        <v>0.88</v>
      </c>
      <c r="BX266" s="197">
        <f>Tabela1[[#This Row],[Pré WBC 10³/mm³]]</f>
        <v>7.97</v>
      </c>
      <c r="BY266" s="179">
        <f>Tabela1[[#This Row],[Pós WBC 10³/mm³]]</f>
        <v>11.56</v>
      </c>
      <c r="BZ266" s="125">
        <f>Tabela1[[#This Row],[Pré NEUT %]]</f>
        <v>55.8</v>
      </c>
      <c r="CA266" s="125">
        <f>Tabela1[[#This Row],[Pós NEUT %]]</f>
        <v>75.400000000000006</v>
      </c>
      <c r="CB266" s="125">
        <f>Tabela1[[#This Row],[Pré LINF %]]</f>
        <v>30.9</v>
      </c>
      <c r="CC266" s="125">
        <f>Tabela1[[#This Row],[Pós LINF %]]</f>
        <v>18.399999999999999</v>
      </c>
      <c r="CD266" s="125">
        <f>Tabela1[[#This Row],[Pré MONO %]]</f>
        <v>7.7</v>
      </c>
      <c r="CE266" s="125">
        <f>Tabela1[[#This Row],[Pós MONO %]]</f>
        <v>5.8</v>
      </c>
      <c r="CF266" s="125">
        <f>Tabela1[[#This Row],[Pré EOS %]]</f>
        <v>5.4</v>
      </c>
      <c r="CG266" s="125">
        <f>Tabela1[[#This Row],[Pós EOS %]]</f>
        <v>0.3</v>
      </c>
      <c r="CH266" s="125">
        <f>Tabela1[[#This Row],[Pré BASO %]]</f>
        <v>0.2</v>
      </c>
      <c r="CI266" s="198">
        <f>Tabela1[[#This Row],[Pós BASO %]]</f>
        <v>0.1</v>
      </c>
      <c r="CJ266" s="199" t="str">
        <f t="shared" si="17"/>
        <v>NÃO</v>
      </c>
      <c r="CK266" s="200" t="str">
        <f t="shared" si="18"/>
        <v>SIM</v>
      </c>
      <c r="CL266" s="194">
        <f t="shared" si="19"/>
        <v>77.330865000000003</v>
      </c>
      <c r="CM266" s="125">
        <f>Tabela1[[#This Row],[MCT KG]]</f>
        <v>84.45</v>
      </c>
      <c r="CN266" s="85">
        <f>Tabela1[[#This Row],[ESTATURA]]</f>
        <v>187</v>
      </c>
      <c r="CO266" s="85">
        <f>Tabela1[[#This Row],[vo2max estimado]]</f>
        <v>0</v>
      </c>
      <c r="CP266" s="85">
        <f>Tabela1[[#This Row],[Handgrip     Dominante]]</f>
        <v>48</v>
      </c>
      <c r="CQ266" s="85">
        <f>Tabela1[[#This Row],[Handgrip Contrário]]</f>
        <v>52</v>
      </c>
      <c r="CR266" s="281">
        <f>Tabela1[[#This Row],[% gordura]]</f>
        <v>8.43</v>
      </c>
    </row>
    <row r="267" spans="1:96" ht="15.75" customHeight="1">
      <c r="A267" s="279">
        <f>Tabela1[[#This Row],[Ano]]</f>
        <v>2022</v>
      </c>
      <c r="B267" s="181" t="str">
        <f>Tabela1[[#This Row],[Missão]]</f>
        <v>Tonelero</v>
      </c>
      <c r="C267" s="181">
        <f>Tabela1[[#This Row],[Aluno]]</f>
        <v>3240</v>
      </c>
      <c r="D267" s="181">
        <f>Tabela1[[#This Row],[Idade]]</f>
        <v>27</v>
      </c>
      <c r="E267" s="182">
        <f>Tabela1[[#This Row],[Peso Kg]]</f>
        <v>75</v>
      </c>
      <c r="F267" s="191">
        <f>Tabela1[[#This Row],[Cor da pele]]</f>
        <v>1</v>
      </c>
      <c r="G267" s="192" t="str">
        <f>Tabela1[[#This Row],[ACTN3]]</f>
        <v>RR</v>
      </c>
      <c r="H267" s="85" t="str">
        <f>Tabela1[[#This Row],[AGT]]</f>
        <v>TT</v>
      </c>
      <c r="I267" s="85" t="str">
        <f>Tabela1[[#This Row],[ECA]]</f>
        <v>ID</v>
      </c>
      <c r="J267" s="85" t="str">
        <f>Tabela1[[#This Row],[BDKRB2]]</f>
        <v>(-9 , -9)</v>
      </c>
      <c r="K267" s="85">
        <f>Tabela1[[#This Row],[Score Força%]]</f>
        <v>62.5</v>
      </c>
      <c r="L267" s="193">
        <f>Tabela1[[#This Row],[Score Resistência %]]</f>
        <v>37.5</v>
      </c>
      <c r="M267" s="192">
        <f>Tabela1[[#This Row],[Pré CK (U/L)]]</f>
        <v>339</v>
      </c>
      <c r="N267" s="85">
        <f>Tabela1[[#This Row],[Pós CK (U/L)]]</f>
        <v>938</v>
      </c>
      <c r="O267" s="85" t="str">
        <f>Tabela1[[#This Row],[Pré CK MB U/L]]</f>
        <v>-</v>
      </c>
      <c r="P267" s="85" t="str">
        <f>Tabela1[[#This Row],[Pós CK MB U/L]]</f>
        <v>-</v>
      </c>
      <c r="Q267" s="85">
        <f>Tabela1[[#This Row],[Pré Lactato (mmol/L)]]</f>
        <v>2</v>
      </c>
      <c r="R267" s="85">
        <f>Tabela1[[#This Row],[Pós Lactato (mmol/L)]]</f>
        <v>2.1</v>
      </c>
      <c r="S267" s="85">
        <f>Tabela1[[#This Row],[Pré LDH (U/L)]]</f>
        <v>296</v>
      </c>
      <c r="T267" s="85">
        <f>Tabela1[[#This Row],[Pós LDH (U/L)]]</f>
        <v>375</v>
      </c>
      <c r="U267" s="85">
        <f>Tabela1[[#This Row],[Pré AST (U/L)]]</f>
        <v>68</v>
      </c>
      <c r="V267" s="193">
        <f>Tabela1[[#This Row],[Pós AST (U/L)]]</f>
        <v>100</v>
      </c>
      <c r="W267" s="194" t="str">
        <f>Tabela1[[#This Row],[Pré Albumina (g/dL)]]</f>
        <v>-</v>
      </c>
      <c r="X267" s="125" t="str">
        <f>Tabela1[[#This Row],[Pós Albumina (g/dL)]]</f>
        <v>-</v>
      </c>
      <c r="Y267" s="85" t="str">
        <f>Tabela1[[#This Row],[Pré TGP (g/dL)]]</f>
        <v>-</v>
      </c>
      <c r="Z267" s="85" t="str">
        <f>Tabela1[[#This Row],[Pós TGP (g/dL)]]</f>
        <v>-</v>
      </c>
      <c r="AA267" s="85" t="str">
        <f>Tabela1[[#This Row],[Pré GGT U/L]]</f>
        <v>-</v>
      </c>
      <c r="AB267" s="193" t="str">
        <f>Tabela1[[#This Row],[Pós GGT U/L]]</f>
        <v>-</v>
      </c>
      <c r="AC267" s="194">
        <f>Tabela1[[#This Row],[Pré Ac. Úrico (mg/dL)]]</f>
        <v>4.5</v>
      </c>
      <c r="AD267" s="125">
        <f>Tabela1[[#This Row],[Pós Ac. Úrico (mg/dL)2]]</f>
        <v>5.0999999999999996</v>
      </c>
      <c r="AE26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6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128.71280700150223</v>
      </c>
      <c r="AG267" s="85">
        <f>Tabela1[[#This Row],[Pré Ureia mg/dL]]</f>
        <v>22</v>
      </c>
      <c r="AH267" s="85">
        <f>Tabela1[[#This Row],[Pós Ureia mg/dL]]</f>
        <v>30</v>
      </c>
      <c r="AI267" s="125">
        <f>Tabela1[[#This Row],[Pré creatinina mg/dL]]</f>
        <v>0.8</v>
      </c>
      <c r="AJ267" s="125">
        <f>Tabela1[[#This Row],[Pós creatinina mg/dL]]</f>
        <v>0.7</v>
      </c>
      <c r="AK267" s="180">
        <f t="shared" si="16"/>
        <v>0</v>
      </c>
      <c r="AL267" s="125">
        <f>Tabela1[[#This Row],[Pré Fósforo mg/dL]]</f>
        <v>4.0999999999999996</v>
      </c>
      <c r="AM267" s="125">
        <f>Tabela1[[#This Row],[Pós Fósforo mg/dL]]</f>
        <v>3.7</v>
      </c>
      <c r="AN267" s="125">
        <f>Tabela1[[#This Row],[Pré Proteína Total (g/dL)]]</f>
        <v>6.7</v>
      </c>
      <c r="AO267" s="125">
        <f>Tabela1[[#This Row],[Pós Proteína Total (g/dL)]]</f>
        <v>6.9</v>
      </c>
      <c r="AP267" s="85">
        <f>Tabela1[[#This Row],[Pré FE (ug/dL)]]</f>
        <v>28</v>
      </c>
      <c r="AQ267" s="193">
        <f>Tabela1[[#This Row],[Pós FE (ug/dL)]]</f>
        <v>27</v>
      </c>
      <c r="AR267" s="194">
        <f>Tabela1[[#This Row],[Pré calcio mg/dL]]</f>
        <v>9.6</v>
      </c>
      <c r="AS267" s="125">
        <f>Tabela1[[#This Row],[Pós calcio mg/dL]]</f>
        <v>8.6</v>
      </c>
      <c r="AT267" s="125">
        <f>Tabela1[[#This Row],[Pré Potássio mmol/L]]</f>
        <v>4.0999999999999996</v>
      </c>
      <c r="AU267" s="125">
        <f>Tabela1[[#This Row],[Pós Potássio mmol/L]]</f>
        <v>4.3</v>
      </c>
      <c r="AV267" s="85">
        <f>Tabela1[[#This Row],[Glicose pré]]</f>
        <v>88</v>
      </c>
      <c r="AW267" s="85">
        <f>Tabela1[[#This Row],[Glicose pós]]</f>
        <v>88</v>
      </c>
      <c r="AX267" s="85">
        <f>Tabela1[[#This Row],[Pré Sódio mmol/L]]</f>
        <v>145</v>
      </c>
      <c r="AY267" s="85">
        <f>Tabela1[[#This Row],[Pós Sódio mmol/L]]</f>
        <v>138</v>
      </c>
      <c r="AZ267" s="125">
        <f>Tabela1[[#This Row],[Pré Magnésio mg/dL]]</f>
        <v>2</v>
      </c>
      <c r="BA267" s="125">
        <f>Tabela1[[#This Row],[Pós Magnésio mg/dL]]</f>
        <v>2.2000000000000002</v>
      </c>
      <c r="BB267" s="85">
        <f>Tabela1[[#This Row],[Pré Cloro mmol/L]]</f>
        <v>106</v>
      </c>
      <c r="BC267" s="85">
        <f>Tabela1[[#This Row],[Pós Cloro mmol/L]]</f>
        <v>99</v>
      </c>
      <c r="BD26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300.61488888888891</v>
      </c>
      <c r="BE26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289.30022222222226</v>
      </c>
      <c r="BF267" s="194">
        <f>Tabela1[[#This Row],[Pré RBC 10^6/mm³]]</f>
        <v>4.41</v>
      </c>
      <c r="BG267" s="125">
        <f>Tabela1[[#This Row],[Pós RBC 10^6/mm³]]</f>
        <v>4.6900000000000004</v>
      </c>
      <c r="BH267" s="125">
        <f>Tabela1[[#This Row],[Pré HGB g/dL]]</f>
        <v>13.2</v>
      </c>
      <c r="BI267" s="125">
        <f>Tabela1[[#This Row],[Pós HGB g/dL]]</f>
        <v>14.2</v>
      </c>
      <c r="BJ267" s="125">
        <f>Tabela1[[#This Row],[Pré HCT %]]</f>
        <v>39.700000000000003</v>
      </c>
      <c r="BK267" s="125">
        <f>Tabela1[[#This Row],[Pós HCT %]]</f>
        <v>42.8</v>
      </c>
      <c r="BL267" s="125">
        <f>Tabela1[[#This Row],[Pré MCV fL]]</f>
        <v>90.1</v>
      </c>
      <c r="BM267" s="125">
        <f>Tabela1[[#This Row],[Pós MCV fL]]</f>
        <v>89.9</v>
      </c>
      <c r="BN267" s="125">
        <f>Tabela1[[#This Row],[Pré MCH pg]]</f>
        <v>29.9</v>
      </c>
      <c r="BO267" s="125">
        <f>Tabela1[[#This Row],[Pós MCH pg]]</f>
        <v>29.7</v>
      </c>
      <c r="BP267" s="125">
        <f>Tabela1[[#This Row],[Pré MCHC g/dL]]</f>
        <v>33.200000000000003</v>
      </c>
      <c r="BQ267" s="125">
        <f>Tabela1[[#This Row],[Pós MCHC g/dL]]</f>
        <v>33</v>
      </c>
      <c r="BR267" s="85">
        <f>Tabela1[[#This Row],[Pré PLT 10³/mm³]]</f>
        <v>298</v>
      </c>
      <c r="BS267" s="85">
        <f>Tabela1[[#This Row],[Pós PLT 10³/mm³]]</f>
        <v>344</v>
      </c>
      <c r="BT267" s="125">
        <f>Tabela1[[#This Row],[Pré RDW %]]</f>
        <v>13</v>
      </c>
      <c r="BU267" s="125">
        <f>Tabela1[[#This Row],[Pós RDW %]]</f>
        <v>12.7</v>
      </c>
      <c r="BV267" s="179">
        <f>Tabela1[[#This Row],[Pré RET %]]</f>
        <v>0.81</v>
      </c>
      <c r="BW267" s="196">
        <f>Tabela1[[#This Row],[Pós RET %]]</f>
        <v>0.79</v>
      </c>
      <c r="BX267" s="197">
        <f>Tabela1[[#This Row],[Pré WBC 10³/mm³]]</f>
        <v>5.92</v>
      </c>
      <c r="BY267" s="179">
        <f>Tabela1[[#This Row],[Pós WBC 10³/mm³]]</f>
        <v>7.53</v>
      </c>
      <c r="BZ267" s="125">
        <f>Tabela1[[#This Row],[Pré NEUT %]]</f>
        <v>49.9</v>
      </c>
      <c r="CA267" s="125">
        <f>Tabela1[[#This Row],[Pós NEUT %]]</f>
        <v>72.8</v>
      </c>
      <c r="CB267" s="125">
        <f>Tabela1[[#This Row],[Pré LINF %]]</f>
        <v>33.4</v>
      </c>
      <c r="CC267" s="125">
        <f>Tabela1[[#This Row],[Pós LINF %]]</f>
        <v>17.399999999999999</v>
      </c>
      <c r="CD267" s="125">
        <f>Tabela1[[#This Row],[Pré MONO %]]</f>
        <v>13</v>
      </c>
      <c r="CE267" s="125">
        <f>Tabela1[[#This Row],[Pós MONO %]]</f>
        <v>8.9</v>
      </c>
      <c r="CF267" s="125">
        <f>Tabela1[[#This Row],[Pré EOS %]]</f>
        <v>3.2</v>
      </c>
      <c r="CG267" s="125">
        <f>Tabela1[[#This Row],[Pós EOS %]]</f>
        <v>0.4</v>
      </c>
      <c r="CH267" s="125">
        <f>Tabela1[[#This Row],[Pré BASO %]]</f>
        <v>0.5</v>
      </c>
      <c r="CI267" s="198">
        <f>Tabela1[[#This Row],[Pós BASO %]]</f>
        <v>0.5</v>
      </c>
      <c r="CJ267" s="199" t="str">
        <f t="shared" si="17"/>
        <v>NÃO</v>
      </c>
      <c r="CK267" s="200" t="str">
        <f t="shared" si="18"/>
        <v>NÃO</v>
      </c>
      <c r="CL267" s="194">
        <f t="shared" si="19"/>
        <v>65.118300000000005</v>
      </c>
      <c r="CM267" s="125">
        <f>Tabela1[[#This Row],[MCT KG]]</f>
        <v>76.7</v>
      </c>
      <c r="CN267" s="85">
        <f>Tabela1[[#This Row],[ESTATURA]]</f>
        <v>171.5</v>
      </c>
      <c r="CO267" s="85">
        <f>Tabela1[[#This Row],[vo2max estimado]]</f>
        <v>47.49</v>
      </c>
      <c r="CP267" s="85">
        <f>Tabela1[[#This Row],[Handgrip     Dominante]]</f>
        <v>54</v>
      </c>
      <c r="CQ267" s="85">
        <f>Tabela1[[#This Row],[Handgrip Contrário]]</f>
        <v>48</v>
      </c>
      <c r="CR267" s="281">
        <f>Tabela1[[#This Row],[% gordura]]</f>
        <v>15.1</v>
      </c>
    </row>
    <row r="268" spans="1:96" ht="15.75" customHeight="1">
      <c r="A268" s="279">
        <f>Tabela1[[#This Row],[Ano]]</f>
        <v>2022</v>
      </c>
      <c r="B268" s="181" t="str">
        <f>Tabela1[[#This Row],[Missão]]</f>
        <v>Tonelero</v>
      </c>
      <c r="C268" s="181">
        <f>Tabela1[[#This Row],[Aluno]]</f>
        <v>3241</v>
      </c>
      <c r="D268" s="181">
        <f>Tabela1[[#This Row],[Idade]]</f>
        <v>25</v>
      </c>
      <c r="E268" s="182">
        <f>Tabela1[[#This Row],[Peso Kg]]</f>
        <v>91</v>
      </c>
      <c r="F268" s="191">
        <f>Tabela1[[#This Row],[Cor da pele]]</f>
        <v>1</v>
      </c>
      <c r="G268" s="192" t="str">
        <f>Tabela1[[#This Row],[ACTN3]]</f>
        <v>RR</v>
      </c>
      <c r="H268" s="85" t="str">
        <f>Tabela1[[#This Row],[AGT]]</f>
        <v>MT</v>
      </c>
      <c r="I268" s="85" t="str">
        <f>Tabela1[[#This Row],[ECA]]</f>
        <v>ID</v>
      </c>
      <c r="J268" s="85" t="str">
        <f>Tabela1[[#This Row],[BDKRB2]]</f>
        <v>(-9 , -9)</v>
      </c>
      <c r="K268" s="85">
        <f>Tabela1[[#This Row],[Score Força%]]</f>
        <v>50</v>
      </c>
      <c r="L268" s="193">
        <f>Tabela1[[#This Row],[Score Resistência %]]</f>
        <v>50</v>
      </c>
      <c r="M268" s="192">
        <f>Tabela1[[#This Row],[Pré CK (U/L)]]</f>
        <v>1600</v>
      </c>
      <c r="N268" s="85">
        <f>Tabela1[[#This Row],[Pós CK (U/L)]]</f>
        <v>5247</v>
      </c>
      <c r="O268" s="85" t="str">
        <f>Tabela1[[#This Row],[Pré CK MB U/L]]</f>
        <v>-</v>
      </c>
      <c r="P268" s="85" t="str">
        <f>Tabela1[[#This Row],[Pós CK MB U/L]]</f>
        <v>-</v>
      </c>
      <c r="Q268" s="85">
        <f>Tabela1[[#This Row],[Pré Lactato (mmol/L)]]</f>
        <v>2.1</v>
      </c>
      <c r="R268" s="85">
        <f>Tabela1[[#This Row],[Pós Lactato (mmol/L)]]</f>
        <v>1.3</v>
      </c>
      <c r="S268" s="85">
        <f>Tabela1[[#This Row],[Pré LDH (U/L)]]</f>
        <v>345</v>
      </c>
      <c r="T268" s="85">
        <f>Tabela1[[#This Row],[Pós LDH (U/L)]]</f>
        <v>549</v>
      </c>
      <c r="U268" s="85">
        <f>Tabela1[[#This Row],[Pré AST (U/L)]]</f>
        <v>108</v>
      </c>
      <c r="V268" s="193">
        <f>Tabela1[[#This Row],[Pós AST (U/L)]]</f>
        <v>218</v>
      </c>
      <c r="W268" s="194" t="str">
        <f>Tabela1[[#This Row],[Pré Albumina (g/dL)]]</f>
        <v>-</v>
      </c>
      <c r="X268" s="125" t="str">
        <f>Tabela1[[#This Row],[Pós Albumina (g/dL)]]</f>
        <v>-</v>
      </c>
      <c r="Y268" s="85" t="str">
        <f>Tabela1[[#This Row],[Pré TGP (g/dL)]]</f>
        <v>-</v>
      </c>
      <c r="Z268" s="85" t="str">
        <f>Tabela1[[#This Row],[Pós TGP (g/dL)]]</f>
        <v>-</v>
      </c>
      <c r="AA268" s="85" t="str">
        <f>Tabela1[[#This Row],[Pré GGT U/L]]</f>
        <v>-</v>
      </c>
      <c r="AB268" s="193" t="str">
        <f>Tabela1[[#This Row],[Pós GGT U/L]]</f>
        <v>-</v>
      </c>
      <c r="AC268" s="194">
        <f>Tabela1[[#This Row],[Pré Ac. Úrico (mg/dL)]]</f>
        <v>4.7</v>
      </c>
      <c r="AD268" s="125">
        <f>Tabela1[[#This Row],[Pós Ac. Úrico (mg/dL)2]]</f>
        <v>7.8</v>
      </c>
      <c r="AE26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6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68" s="85">
        <f>Tabela1[[#This Row],[Pré Ureia mg/dL]]</f>
        <v>35</v>
      </c>
      <c r="AH268" s="85">
        <f>Tabela1[[#This Row],[Pós Ureia mg/dL]]</f>
        <v>59</v>
      </c>
      <c r="AI268" s="125">
        <f>Tabela1[[#This Row],[Pré creatinina mg/dL]]</f>
        <v>1</v>
      </c>
      <c r="AJ268" s="125">
        <f>Tabela1[[#This Row],[Pós creatinina mg/dL]]</f>
        <v>1</v>
      </c>
      <c r="AK268" s="180">
        <f t="shared" si="16"/>
        <v>0</v>
      </c>
      <c r="AL268" s="125">
        <f>Tabela1[[#This Row],[Pré Fósforo mg/dL]]</f>
        <v>4.0999999999999996</v>
      </c>
      <c r="AM268" s="125">
        <f>Tabela1[[#This Row],[Pós Fósforo mg/dL]]</f>
        <v>4.4000000000000004</v>
      </c>
      <c r="AN268" s="125">
        <f>Tabela1[[#This Row],[Pré Proteína Total (g/dL)]]</f>
        <v>6.8</v>
      </c>
      <c r="AO268" s="125">
        <f>Tabela1[[#This Row],[Pós Proteína Total (g/dL)]]</f>
        <v>6.9</v>
      </c>
      <c r="AP268" s="85">
        <f>Tabela1[[#This Row],[Pré FE (ug/dL)]]</f>
        <v>24</v>
      </c>
      <c r="AQ268" s="193">
        <f>Tabela1[[#This Row],[Pós FE (ug/dL)]]</f>
        <v>19</v>
      </c>
      <c r="AR268" s="194">
        <f>Tabela1[[#This Row],[Pré calcio mg/dL]]</f>
        <v>8.8000000000000007</v>
      </c>
      <c r="AS268" s="125">
        <f>Tabela1[[#This Row],[Pós calcio mg/dL]]</f>
        <v>8.4</v>
      </c>
      <c r="AT268" s="125">
        <f>Tabela1[[#This Row],[Pré Potássio mmol/L]]</f>
        <v>4.5</v>
      </c>
      <c r="AU268" s="125">
        <f>Tabela1[[#This Row],[Pós Potássio mmol/L]]</f>
        <v>4.5999999999999996</v>
      </c>
      <c r="AV268" s="85">
        <f>Tabela1[[#This Row],[Glicose pré]]</f>
        <v>85</v>
      </c>
      <c r="AW268" s="85">
        <f>Tabela1[[#This Row],[Glicose pós]]</f>
        <v>89</v>
      </c>
      <c r="AX268" s="85">
        <f>Tabela1[[#This Row],[Pré Sódio mmol/L]]</f>
        <v>142</v>
      </c>
      <c r="AY268" s="85">
        <f>Tabela1[[#This Row],[Pós Sódio mmol/L]]</f>
        <v>138</v>
      </c>
      <c r="AZ268" s="125">
        <f>Tabela1[[#This Row],[Pré Magnésio mg/dL]]</f>
        <v>2</v>
      </c>
      <c r="BA268" s="125">
        <f>Tabela1[[#This Row],[Pós Magnésio mg/dL]]</f>
        <v>2.2999999999999998</v>
      </c>
      <c r="BB268" s="85">
        <f>Tabela1[[#This Row],[Pré Cloro mmol/L]]</f>
        <v>105</v>
      </c>
      <c r="BC268" s="85">
        <f>Tabela1[[#This Row],[Pós Cloro mmol/L]]</f>
        <v>106</v>
      </c>
      <c r="BD26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297.75388888888887</v>
      </c>
      <c r="BE26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294.75544444444444</v>
      </c>
      <c r="BF268" s="194">
        <f>Tabela1[[#This Row],[Pré RBC 10^6/mm³]]</f>
        <v>4.7300000000000004</v>
      </c>
      <c r="BG268" s="125">
        <f>Tabela1[[#This Row],[Pós RBC 10^6/mm³]]</f>
        <v>4.71</v>
      </c>
      <c r="BH268" s="125">
        <f>Tabela1[[#This Row],[Pré HGB g/dL]]</f>
        <v>13</v>
      </c>
      <c r="BI268" s="125">
        <f>Tabela1[[#This Row],[Pós HGB g/dL]]</f>
        <v>13</v>
      </c>
      <c r="BJ268" s="125">
        <f>Tabela1[[#This Row],[Pré HCT %]]</f>
        <v>39.4</v>
      </c>
      <c r="BK268" s="125">
        <f>Tabela1[[#This Row],[Pós HCT %]]</f>
        <v>39.1</v>
      </c>
      <c r="BL268" s="125">
        <f>Tabela1[[#This Row],[Pré MCV fL]]</f>
        <v>82.4</v>
      </c>
      <c r="BM268" s="125">
        <f>Tabela1[[#This Row],[Pós MCV fL]]</f>
        <v>82</v>
      </c>
      <c r="BN268" s="125">
        <f>Tabela1[[#This Row],[Pré MCH pg]]</f>
        <v>27.2</v>
      </c>
      <c r="BO268" s="125">
        <f>Tabela1[[#This Row],[Pós MCH pg]]</f>
        <v>27.2</v>
      </c>
      <c r="BP268" s="125">
        <f>Tabela1[[#This Row],[Pré MCHC g/dL]]</f>
        <v>33</v>
      </c>
      <c r="BQ268" s="125">
        <f>Tabela1[[#This Row],[Pós MCHC g/dL]]</f>
        <v>33.200000000000003</v>
      </c>
      <c r="BR268" s="85">
        <f>Tabela1[[#This Row],[Pré PLT 10³/mm³]]</f>
        <v>248</v>
      </c>
      <c r="BS268" s="85">
        <f>Tabela1[[#This Row],[Pós PLT 10³/mm³]]</f>
        <v>310</v>
      </c>
      <c r="BT268" s="125">
        <f>Tabela1[[#This Row],[Pré RDW %]]</f>
        <v>12.9</v>
      </c>
      <c r="BU268" s="125">
        <f>Tabela1[[#This Row],[Pós RDW %]]</f>
        <v>12.6</v>
      </c>
      <c r="BV268" s="179">
        <f>Tabela1[[#This Row],[Pré RET %]]</f>
        <v>0.85</v>
      </c>
      <c r="BW268" s="196">
        <f>Tabela1[[#This Row],[Pós RET %]]</f>
        <v>0.57999999999999996</v>
      </c>
      <c r="BX268" s="197">
        <f>Tabela1[[#This Row],[Pré WBC 10³/mm³]]</f>
        <v>5.0599999999999996</v>
      </c>
      <c r="BY268" s="179">
        <f>Tabela1[[#This Row],[Pós WBC 10³/mm³]]</f>
        <v>8.1999999999999993</v>
      </c>
      <c r="BZ268" s="125">
        <f>Tabela1[[#This Row],[Pré NEUT %]]</f>
        <v>39.1</v>
      </c>
      <c r="CA268" s="125">
        <f>Tabela1[[#This Row],[Pós NEUT %]]</f>
        <v>77.099999999999994</v>
      </c>
      <c r="CB268" s="125">
        <f>Tabela1[[#This Row],[Pré LINF %]]</f>
        <v>34</v>
      </c>
      <c r="CC268" s="125">
        <f>Tabela1[[#This Row],[Pós LINF %]]</f>
        <v>11.7</v>
      </c>
      <c r="CD268" s="125">
        <f>Tabela1[[#This Row],[Pré MONO %]]</f>
        <v>14.5</v>
      </c>
      <c r="CE268" s="125">
        <f>Tabela1[[#This Row],[Pós MONO %]]</f>
        <v>10.3</v>
      </c>
      <c r="CF268" s="125">
        <f>Tabela1[[#This Row],[Pré EOS %]]</f>
        <v>11.8</v>
      </c>
      <c r="CG268" s="125">
        <f>Tabela1[[#This Row],[Pós EOS %]]</f>
        <v>0.4</v>
      </c>
      <c r="CH268" s="125">
        <f>Tabela1[[#This Row],[Pré BASO %]]</f>
        <v>0.6</v>
      </c>
      <c r="CI268" s="198">
        <f>Tabela1[[#This Row],[Pós BASO %]]</f>
        <v>0.5</v>
      </c>
      <c r="CJ268" s="199" t="str">
        <f t="shared" si="17"/>
        <v>NÃO</v>
      </c>
      <c r="CK268" s="200" t="str">
        <f t="shared" si="18"/>
        <v>SIM</v>
      </c>
      <c r="CL268" s="194">
        <f t="shared" si="19"/>
        <v>81.751800000000003</v>
      </c>
      <c r="CM268" s="125">
        <f>Tabela1[[#This Row],[MCT KG]]</f>
        <v>94</v>
      </c>
      <c r="CN268" s="85">
        <f>Tabela1[[#This Row],[ESTATURA]]</f>
        <v>176.5</v>
      </c>
      <c r="CO268" s="85">
        <f>Tabela1[[#This Row],[vo2max estimado]]</f>
        <v>46.18</v>
      </c>
      <c r="CP268" s="85">
        <f>Tabela1[[#This Row],[Handgrip     Dominante]]</f>
        <v>54</v>
      </c>
      <c r="CQ268" s="85">
        <f>Tabela1[[#This Row],[Handgrip Contrário]]</f>
        <v>60</v>
      </c>
      <c r="CR268" s="281">
        <f>Tabela1[[#This Row],[% gordura]]</f>
        <v>13.03</v>
      </c>
    </row>
    <row r="269" spans="1:96" ht="15.75" customHeight="1">
      <c r="A269" s="279">
        <f>Tabela1[[#This Row],[Ano]]</f>
        <v>2022</v>
      </c>
      <c r="B269" s="181" t="str">
        <f>Tabela1[[#This Row],[Missão]]</f>
        <v>Tonelero</v>
      </c>
      <c r="C269" s="181">
        <f>Tabela1[[#This Row],[Aluno]]</f>
        <v>3242</v>
      </c>
      <c r="D269" s="181">
        <f>Tabela1[[#This Row],[Idade]]</f>
        <v>33</v>
      </c>
      <c r="E269" s="182">
        <f>Tabela1[[#This Row],[Peso Kg]]</f>
        <v>94</v>
      </c>
      <c r="F269" s="191">
        <f>Tabela1[[#This Row],[Cor da pele]]</f>
        <v>1</v>
      </c>
      <c r="G269" s="192" t="str">
        <f>Tabela1[[#This Row],[ACTN3]]</f>
        <v>RR</v>
      </c>
      <c r="H269" s="85" t="str">
        <f>Tabela1[[#This Row],[AGT]]</f>
        <v>MT</v>
      </c>
      <c r="I269" s="85" t="str">
        <f>Tabela1[[#This Row],[ECA]]</f>
        <v>II</v>
      </c>
      <c r="J269" s="85" t="str">
        <f>Tabela1[[#This Row],[BDKRB2]]</f>
        <v>(+9, -9)</v>
      </c>
      <c r="K269" s="85">
        <f>Tabela1[[#This Row],[Score Força%]]</f>
        <v>50</v>
      </c>
      <c r="L269" s="193">
        <f>Tabela1[[#This Row],[Score Resistência %]]</f>
        <v>50</v>
      </c>
      <c r="M269" s="192">
        <f>Tabela1[[#This Row],[Pré CK (U/L)]]</f>
        <v>597</v>
      </c>
      <c r="N269" s="85">
        <f>Tabela1[[#This Row],[Pós CK (U/L)]]</f>
        <v>1097</v>
      </c>
      <c r="O269" s="85" t="str">
        <f>Tabela1[[#This Row],[Pré CK MB U/L]]</f>
        <v>-</v>
      </c>
      <c r="P269" s="85" t="str">
        <f>Tabela1[[#This Row],[Pós CK MB U/L]]</f>
        <v>-</v>
      </c>
      <c r="Q269" s="85">
        <f>Tabela1[[#This Row],[Pré Lactato (mmol/L)]]</f>
        <v>3.2</v>
      </c>
      <c r="R269" s="85">
        <f>Tabela1[[#This Row],[Pós Lactato (mmol/L)]]</f>
        <v>2.2000000000000002</v>
      </c>
      <c r="S269" s="85">
        <f>Tabela1[[#This Row],[Pré LDH (U/L)]]</f>
        <v>325</v>
      </c>
      <c r="T269" s="85">
        <f>Tabela1[[#This Row],[Pós LDH (U/L)]]</f>
        <v>3974</v>
      </c>
      <c r="U269" s="85">
        <f>Tabela1[[#This Row],[Pré AST (U/L)]]</f>
        <v>50</v>
      </c>
      <c r="V269" s="193">
        <f>Tabela1[[#This Row],[Pós AST (U/L)]]</f>
        <v>69</v>
      </c>
      <c r="W269" s="194" t="str">
        <f>Tabela1[[#This Row],[Pré Albumina (g/dL)]]</f>
        <v>-</v>
      </c>
      <c r="X269" s="125" t="str">
        <f>Tabela1[[#This Row],[Pós Albumina (g/dL)]]</f>
        <v>-</v>
      </c>
      <c r="Y269" s="85" t="str">
        <f>Tabela1[[#This Row],[Pré TGP (g/dL)]]</f>
        <v>-</v>
      </c>
      <c r="Z269" s="85" t="str">
        <f>Tabela1[[#This Row],[Pós TGP (g/dL)]]</f>
        <v>-</v>
      </c>
      <c r="AA269" s="85" t="str">
        <f>Tabela1[[#This Row],[Pré GGT U/L]]</f>
        <v>-</v>
      </c>
      <c r="AB269" s="193" t="str">
        <f>Tabela1[[#This Row],[Pós GGT U/L]]</f>
        <v>-</v>
      </c>
      <c r="AC269" s="194">
        <f>Tabela1[[#This Row],[Pré Ac. Úrico (mg/dL)]]</f>
        <v>5.4</v>
      </c>
      <c r="AD269" s="125">
        <f>Tabela1[[#This Row],[Pós Ac. Úrico (mg/dL)2]]</f>
        <v>6.1</v>
      </c>
      <c r="AE26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26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69" s="85">
        <f>Tabela1[[#This Row],[Pré Ureia mg/dL]]</f>
        <v>42</v>
      </c>
      <c r="AH269" s="85">
        <f>Tabela1[[#This Row],[Pós Ureia mg/dL]]</f>
        <v>45</v>
      </c>
      <c r="AI269" s="125">
        <f>Tabela1[[#This Row],[Pré creatinina mg/dL]]</f>
        <v>1.1000000000000001</v>
      </c>
      <c r="AJ269" s="125">
        <f>Tabela1[[#This Row],[Pós creatinina mg/dL]]</f>
        <v>1</v>
      </c>
      <c r="AK269" s="180">
        <f t="shared" si="16"/>
        <v>0</v>
      </c>
      <c r="AL269" s="125">
        <f>Tabela1[[#This Row],[Pré Fósforo mg/dL]]</f>
        <v>3.6</v>
      </c>
      <c r="AM269" s="125">
        <f>Tabela1[[#This Row],[Pós Fósforo mg/dL]]</f>
        <v>4.2</v>
      </c>
      <c r="AN269" s="125">
        <f>Tabela1[[#This Row],[Pré Proteína Total (g/dL)]]</f>
        <v>6.7</v>
      </c>
      <c r="AO269" s="125">
        <f>Tabela1[[#This Row],[Pós Proteína Total (g/dL)]]</f>
        <v>7</v>
      </c>
      <c r="AP269" s="85">
        <f>Tabela1[[#This Row],[Pré FE (ug/dL)]]</f>
        <v>33</v>
      </c>
      <c r="AQ269" s="193">
        <f>Tabela1[[#This Row],[Pós FE (ug/dL)]]</f>
        <v>60</v>
      </c>
      <c r="AR269" s="194">
        <f>Tabela1[[#This Row],[Pré calcio mg/dL]]</f>
        <v>9.5</v>
      </c>
      <c r="AS269" s="125">
        <f>Tabela1[[#This Row],[Pós calcio mg/dL]]</f>
        <v>9.6</v>
      </c>
      <c r="AT269" s="125">
        <f>Tabela1[[#This Row],[Pré Potássio mmol/L]]</f>
        <v>5</v>
      </c>
      <c r="AU269" s="125">
        <f>Tabela1[[#This Row],[Pós Potássio mmol/L]]</f>
        <v>4.2</v>
      </c>
      <c r="AV269" s="85">
        <f>Tabela1[[#This Row],[Glicose pré]]</f>
        <v>100</v>
      </c>
      <c r="AW269" s="85">
        <f>Tabela1[[#This Row],[Glicose pós]]</f>
        <v>105</v>
      </c>
      <c r="AX269" s="85">
        <f>Tabela1[[#This Row],[Pré Sódio mmol/L]]</f>
        <v>144</v>
      </c>
      <c r="AY269" s="85">
        <f>Tabela1[[#This Row],[Pós Sódio mmol/L]]</f>
        <v>141</v>
      </c>
      <c r="AZ269" s="125">
        <f>Tabela1[[#This Row],[Pré Magnésio mg/dL]]</f>
        <v>2</v>
      </c>
      <c r="BA269" s="125">
        <f>Tabela1[[#This Row],[Pós Magnésio mg/dL]]</f>
        <v>2.1</v>
      </c>
      <c r="BB269" s="85">
        <f>Tabela1[[#This Row],[Pré Cloro mmol/L]]</f>
        <v>105</v>
      </c>
      <c r="BC269" s="85">
        <f>Tabela1[[#This Row],[Pós Cloro mmol/L]]</f>
        <v>104</v>
      </c>
      <c r="BD26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304.5288888888889</v>
      </c>
      <c r="BE26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298.28033333333332</v>
      </c>
      <c r="BF269" s="194">
        <f>Tabela1[[#This Row],[Pré RBC 10^6/mm³]]</f>
        <v>4.49</v>
      </c>
      <c r="BG269" s="125">
        <f>Tabela1[[#This Row],[Pós RBC 10^6/mm³]]</f>
        <v>4.8899999999999997</v>
      </c>
      <c r="BH269" s="125">
        <f>Tabela1[[#This Row],[Pré HGB g/dL]]</f>
        <v>11.9</v>
      </c>
      <c r="BI269" s="125">
        <f>Tabela1[[#This Row],[Pós HGB g/dL]]</f>
        <v>12.9</v>
      </c>
      <c r="BJ269" s="125">
        <f>Tabela1[[#This Row],[Pré HCT %]]</f>
        <v>36.4</v>
      </c>
      <c r="BK269" s="125">
        <f>Tabela1[[#This Row],[Pós HCT %]]</f>
        <v>39.299999999999997</v>
      </c>
      <c r="BL269" s="125">
        <f>Tabela1[[#This Row],[Pré MCV fL]]</f>
        <v>80.599999999999994</v>
      </c>
      <c r="BM269" s="125">
        <f>Tabela1[[#This Row],[Pós MCV fL]]</f>
        <v>80.2</v>
      </c>
      <c r="BN269" s="125">
        <f>Tabela1[[#This Row],[Pré MCH pg]]</f>
        <v>26.4</v>
      </c>
      <c r="BO269" s="125">
        <f>Tabela1[[#This Row],[Pós MCH pg]]</f>
        <v>26.2</v>
      </c>
      <c r="BP269" s="125">
        <f>Tabela1[[#This Row],[Pré MCHC g/dL]]</f>
        <v>32.700000000000003</v>
      </c>
      <c r="BQ269" s="125">
        <f>Tabela1[[#This Row],[Pós MCHC g/dL]]</f>
        <v>32.700000000000003</v>
      </c>
      <c r="BR269" s="85">
        <f>Tabela1[[#This Row],[Pré PLT 10³/mm³]]</f>
        <v>329</v>
      </c>
      <c r="BS269" s="85">
        <f>Tabela1[[#This Row],[Pós PLT 10³/mm³]]</f>
        <v>427</v>
      </c>
      <c r="BT269" s="125">
        <f>Tabela1[[#This Row],[Pré RDW %]]</f>
        <v>13.3</v>
      </c>
      <c r="BU269" s="125">
        <f>Tabela1[[#This Row],[Pós RDW %]]</f>
        <v>13.2</v>
      </c>
      <c r="BV269" s="179">
        <f>Tabela1[[#This Row],[Pré RET %]]</f>
        <v>0.8</v>
      </c>
      <c r="BW269" s="196">
        <f>Tabela1[[#This Row],[Pós RET %]]</f>
        <v>0.66</v>
      </c>
      <c r="BX269" s="197">
        <f>Tabela1[[#This Row],[Pré WBC 10³/mm³]]</f>
        <v>7.29</v>
      </c>
      <c r="BY269" s="179">
        <f>Tabela1[[#This Row],[Pós WBC 10³/mm³]]</f>
        <v>9.01</v>
      </c>
      <c r="BZ269" s="125">
        <f>Tabela1[[#This Row],[Pré NEUT %]]</f>
        <v>57.2</v>
      </c>
      <c r="CA269" s="125">
        <f>Tabela1[[#This Row],[Pós NEUT %]]</f>
        <v>72.5</v>
      </c>
      <c r="CB269" s="125">
        <f>Tabela1[[#This Row],[Pré LINF %]]</f>
        <v>23.7</v>
      </c>
      <c r="CC269" s="125">
        <f>Tabela1[[#This Row],[Pós LINF %]]</f>
        <v>14</v>
      </c>
      <c r="CD269" s="125">
        <f>Tabela1[[#This Row],[Pré MONO %]]</f>
        <v>8.8000000000000007</v>
      </c>
      <c r="CE269" s="125">
        <f>Tabela1[[#This Row],[Pós MONO %]]</f>
        <v>7.4</v>
      </c>
      <c r="CF269" s="125">
        <f>Tabela1[[#This Row],[Pré EOS %]]</f>
        <v>9.4</v>
      </c>
      <c r="CG269" s="125">
        <f>Tabela1[[#This Row],[Pós EOS %]]</f>
        <v>5.5</v>
      </c>
      <c r="CH269" s="125">
        <f>Tabela1[[#This Row],[Pré BASO %]]</f>
        <v>0.9</v>
      </c>
      <c r="CI269" s="198">
        <f>Tabela1[[#This Row],[Pós BASO %]]</f>
        <v>0.6</v>
      </c>
      <c r="CJ269" s="199" t="str">
        <f t="shared" si="17"/>
        <v>NÃO</v>
      </c>
      <c r="CK269" s="200" t="str">
        <f t="shared" si="18"/>
        <v>SIM</v>
      </c>
      <c r="CL269" s="194">
        <f t="shared" si="19"/>
        <v>77.466380000000001</v>
      </c>
      <c r="CM269" s="125">
        <f>Tabela1[[#This Row],[MCT KG]]</f>
        <v>97.1</v>
      </c>
      <c r="CN269" s="85">
        <f>Tabela1[[#This Row],[ESTATURA]]</f>
        <v>181</v>
      </c>
      <c r="CO269" s="85">
        <f>Tabela1[[#This Row],[vo2max estimado]]</f>
        <v>44.53</v>
      </c>
      <c r="CP269" s="85">
        <f>Tabela1[[#This Row],[Handgrip     Dominante]]</f>
        <v>66</v>
      </c>
      <c r="CQ269" s="85">
        <f>Tabela1[[#This Row],[Handgrip Contrário]]</f>
        <v>65</v>
      </c>
      <c r="CR269" s="281">
        <f>Tabela1[[#This Row],[% gordura]]</f>
        <v>20.22</v>
      </c>
    </row>
    <row r="270" spans="1:96" ht="15.75" customHeight="1">
      <c r="A270" s="279">
        <f>Tabela1[[#This Row],[Ano]]</f>
        <v>2022</v>
      </c>
      <c r="B270" s="181" t="str">
        <f>Tabela1[[#This Row],[Missão]]</f>
        <v>Tonelero</v>
      </c>
      <c r="C270" s="181">
        <f>Tabela1[[#This Row],[Aluno]]</f>
        <v>3243</v>
      </c>
      <c r="D270" s="181">
        <f>Tabela1[[#This Row],[Idade]]</f>
        <v>35</v>
      </c>
      <c r="E270" s="182">
        <f>Tabela1[[#This Row],[Peso Kg]]</f>
        <v>78</v>
      </c>
      <c r="F270" s="191">
        <f>Tabela1[[#This Row],[Cor da pele]]</f>
        <v>2</v>
      </c>
      <c r="G270" s="192" t="str">
        <f>Tabela1[[#This Row],[ACTN3]]</f>
        <v>RX</v>
      </c>
      <c r="H270" s="85" t="str">
        <f>Tabela1[[#This Row],[AGT]]</f>
        <v>MT</v>
      </c>
      <c r="I270" s="85" t="str">
        <f>Tabela1[[#This Row],[ECA]]</f>
        <v>ID</v>
      </c>
      <c r="J270" s="85" t="str">
        <f>Tabela1[[#This Row],[BDKRB2]]</f>
        <v>(-9 , -9)</v>
      </c>
      <c r="K270" s="85">
        <f>Tabela1[[#This Row],[Score Força%]]</f>
        <v>37.5</v>
      </c>
      <c r="L270" s="193">
        <f>Tabela1[[#This Row],[Score Resistência %]]</f>
        <v>62.5</v>
      </c>
      <c r="M270" s="192">
        <f>Tabela1[[#This Row],[Pré CK (U/L)]]</f>
        <v>1416</v>
      </c>
      <c r="N270" s="85">
        <f>Tabela1[[#This Row],[Pós CK (U/L)]]</f>
        <v>4091</v>
      </c>
      <c r="O270" s="85" t="str">
        <f>Tabela1[[#This Row],[Pré CK MB U/L]]</f>
        <v>-</v>
      </c>
      <c r="P270" s="85" t="str">
        <f>Tabela1[[#This Row],[Pós CK MB U/L]]</f>
        <v>-</v>
      </c>
      <c r="Q270" s="85">
        <f>Tabela1[[#This Row],[Pré Lactato (mmol/L)]]</f>
        <v>1.9</v>
      </c>
      <c r="R270" s="85">
        <f>Tabela1[[#This Row],[Pós Lactato (mmol/L)]]</f>
        <v>2.1</v>
      </c>
      <c r="S270" s="85">
        <f>Tabela1[[#This Row],[Pré LDH (U/L)]]</f>
        <v>513</v>
      </c>
      <c r="T270" s="85">
        <f>Tabela1[[#This Row],[Pós LDH (U/L)]]</f>
        <v>783</v>
      </c>
      <c r="U270" s="85">
        <f>Tabela1[[#This Row],[Pré AST (U/L)]]</f>
        <v>135</v>
      </c>
      <c r="V270" s="193">
        <f>Tabela1[[#This Row],[Pós AST (U/L)]]</f>
        <v>264</v>
      </c>
      <c r="W270" s="194" t="str">
        <f>Tabela1[[#This Row],[Pré Albumina (g/dL)]]</f>
        <v>-</v>
      </c>
      <c r="X270" s="125" t="str">
        <f>Tabela1[[#This Row],[Pós Albumina (g/dL)]]</f>
        <v>-</v>
      </c>
      <c r="Y270" s="85" t="str">
        <f>Tabela1[[#This Row],[Pré TGP (g/dL)]]</f>
        <v>-</v>
      </c>
      <c r="Z270" s="85" t="str">
        <f>Tabela1[[#This Row],[Pós TGP (g/dL)]]</f>
        <v>-</v>
      </c>
      <c r="AA270" s="85" t="str">
        <f>Tabela1[[#This Row],[Pré GGT U/L]]</f>
        <v>-</v>
      </c>
      <c r="AB270" s="193" t="str">
        <f>Tabela1[[#This Row],[Pós GGT U/L]]</f>
        <v>-</v>
      </c>
      <c r="AC270" s="194">
        <f>Tabela1[[#This Row],[Pré Ac. Úrico (mg/dL)]]</f>
        <v>5.2</v>
      </c>
      <c r="AD270" s="125">
        <f>Tabela1[[#This Row],[Pós Ac. Úrico (mg/dL)2]]</f>
        <v>10.1</v>
      </c>
      <c r="AE27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7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70" s="85">
        <f>Tabela1[[#This Row],[Pré Ureia mg/dL]]</f>
        <v>42</v>
      </c>
      <c r="AH270" s="85">
        <f>Tabela1[[#This Row],[Pós Ureia mg/dL]]</f>
        <v>64</v>
      </c>
      <c r="AI270" s="125">
        <f>Tabela1[[#This Row],[Pré creatinina mg/dL]]</f>
        <v>1</v>
      </c>
      <c r="AJ270" s="125">
        <f>Tabela1[[#This Row],[Pós creatinina mg/dL]]</f>
        <v>1</v>
      </c>
      <c r="AK270" s="180">
        <f t="shared" si="16"/>
        <v>0</v>
      </c>
      <c r="AL270" s="125">
        <f>Tabela1[[#This Row],[Pré Fósforo mg/dL]]</f>
        <v>4.2</v>
      </c>
      <c r="AM270" s="125">
        <f>Tabela1[[#This Row],[Pós Fósforo mg/dL]]</f>
        <v>4.9000000000000004</v>
      </c>
      <c r="AN270" s="125">
        <f>Tabela1[[#This Row],[Pré Proteína Total (g/dL)]]</f>
        <v>6.3</v>
      </c>
      <c r="AO270" s="125">
        <f>Tabela1[[#This Row],[Pós Proteína Total (g/dL)]]</f>
        <v>7.1</v>
      </c>
      <c r="AP270" s="85">
        <f>Tabela1[[#This Row],[Pré FE (ug/dL)]]</f>
        <v>65</v>
      </c>
      <c r="AQ270" s="193">
        <f>Tabela1[[#This Row],[Pós FE (ug/dL)]]</f>
        <v>50</v>
      </c>
      <c r="AR270" s="194">
        <f>Tabela1[[#This Row],[Pré calcio mg/dL]]</f>
        <v>9.3000000000000007</v>
      </c>
      <c r="AS270" s="125">
        <f>Tabela1[[#This Row],[Pós calcio mg/dL]]</f>
        <v>8.9</v>
      </c>
      <c r="AT270" s="125">
        <f>Tabela1[[#This Row],[Pré Potássio mmol/L]]</f>
        <v>4.5</v>
      </c>
      <c r="AU270" s="125">
        <f>Tabela1[[#This Row],[Pós Potássio mmol/L]]</f>
        <v>3.7</v>
      </c>
      <c r="AV270" s="85">
        <f>Tabela1[[#This Row],[Glicose pré]]</f>
        <v>83</v>
      </c>
      <c r="AW270" s="85">
        <f>Tabela1[[#This Row],[Glicose pós]]</f>
        <v>62</v>
      </c>
      <c r="AX270" s="85">
        <f>Tabela1[[#This Row],[Pré Sódio mmol/L]]</f>
        <v>139</v>
      </c>
      <c r="AY270" s="85">
        <f>Tabela1[[#This Row],[Pós Sódio mmol/L]]</f>
        <v>137</v>
      </c>
      <c r="AZ270" s="125">
        <f>Tabela1[[#This Row],[Pré Magnésio mg/dL]]</f>
        <v>1.6</v>
      </c>
      <c r="BA270" s="125">
        <f>Tabela1[[#This Row],[Pós Magnésio mg/dL]]</f>
        <v>1.9</v>
      </c>
      <c r="BB270" s="85">
        <f>Tabela1[[#This Row],[Pré Cloro mmol/L]]</f>
        <v>104</v>
      </c>
      <c r="BC270" s="85">
        <f>Tabela1[[#This Row],[Pós Cloro mmol/L]]</f>
        <v>101</v>
      </c>
      <c r="BD27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293.21277777777777</v>
      </c>
      <c r="BE27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290.32977777777779</v>
      </c>
      <c r="BF270" s="194">
        <f>Tabela1[[#This Row],[Pré RBC 10^6/mm³]]</f>
        <v>4.33</v>
      </c>
      <c r="BG270" s="125">
        <f>Tabela1[[#This Row],[Pós RBC 10^6/mm³]]</f>
        <v>4.5199999999999996</v>
      </c>
      <c r="BH270" s="125">
        <f>Tabela1[[#This Row],[Pré HGB g/dL]]</f>
        <v>13.9</v>
      </c>
      <c r="BI270" s="125">
        <f>Tabela1[[#This Row],[Pós HGB g/dL]]</f>
        <v>14.4</v>
      </c>
      <c r="BJ270" s="125">
        <f>Tabela1[[#This Row],[Pré HCT %]]</f>
        <v>42.4</v>
      </c>
      <c r="BK270" s="125">
        <f>Tabela1[[#This Row],[Pós HCT %]]</f>
        <v>43.4</v>
      </c>
      <c r="BL270" s="125">
        <f>Tabela1[[#This Row],[Pré MCV fL]]</f>
        <v>97</v>
      </c>
      <c r="BM270" s="125">
        <f>Tabela1[[#This Row],[Pós MCV fL]]</f>
        <v>95.5</v>
      </c>
      <c r="BN270" s="125">
        <f>Tabela1[[#This Row],[Pré MCH pg]]</f>
        <v>31.7</v>
      </c>
      <c r="BO270" s="125">
        <f>Tabela1[[#This Row],[Pós MCH pg]]</f>
        <v>31.7</v>
      </c>
      <c r="BP270" s="125">
        <f>Tabela1[[#This Row],[Pré MCHC g/dL]]</f>
        <v>32.700000000000003</v>
      </c>
      <c r="BQ270" s="125">
        <f>Tabela1[[#This Row],[Pós MCHC g/dL]]</f>
        <v>33.200000000000003</v>
      </c>
      <c r="BR270" s="85">
        <f>Tabela1[[#This Row],[Pré PLT 10³/mm³]]</f>
        <v>285</v>
      </c>
      <c r="BS270" s="85">
        <f>Tabela1[[#This Row],[Pós PLT 10³/mm³]]</f>
        <v>304</v>
      </c>
      <c r="BT270" s="125">
        <f>Tabela1[[#This Row],[Pré RDW %]]</f>
        <v>12.5</v>
      </c>
      <c r="BU270" s="125">
        <f>Tabela1[[#This Row],[Pós RDW %]]</f>
        <v>12.2</v>
      </c>
      <c r="BV270" s="179">
        <f>Tabela1[[#This Row],[Pré RET %]]</f>
        <v>1.21</v>
      </c>
      <c r="BW270" s="196">
        <f>Tabela1[[#This Row],[Pós RET %]]</f>
        <v>1.05</v>
      </c>
      <c r="BX270" s="197">
        <f>Tabela1[[#This Row],[Pré WBC 10³/mm³]]</f>
        <v>4.96</v>
      </c>
      <c r="BY270" s="179">
        <f>Tabela1[[#This Row],[Pós WBC 10³/mm³]]</f>
        <v>13.01</v>
      </c>
      <c r="BZ270" s="125">
        <f>Tabela1[[#This Row],[Pré NEUT %]]</f>
        <v>48.5</v>
      </c>
      <c r="CA270" s="125">
        <f>Tabela1[[#This Row],[Pós NEUT %]]</f>
        <v>86</v>
      </c>
      <c r="CB270" s="125">
        <f>Tabela1[[#This Row],[Pré LINF %]]</f>
        <v>38.299999999999997</v>
      </c>
      <c r="CC270" s="125">
        <f>Tabela1[[#This Row],[Pós LINF %]]</f>
        <v>9.3000000000000007</v>
      </c>
      <c r="CD270" s="125">
        <f>Tabela1[[#This Row],[Pré MONO %]]</f>
        <v>11.3</v>
      </c>
      <c r="CE270" s="125">
        <f>Tabela1[[#This Row],[Pós MONO %]]</f>
        <v>4.3</v>
      </c>
      <c r="CF270" s="125">
        <f>Tabela1[[#This Row],[Pré EOS %]]</f>
        <v>0.9</v>
      </c>
      <c r="CG270" s="125">
        <f>Tabela1[[#This Row],[Pós EOS %]]</f>
        <v>0.3</v>
      </c>
      <c r="CH270" s="125">
        <f>Tabela1[[#This Row],[Pré BASO %]]</f>
        <v>1</v>
      </c>
      <c r="CI270" s="198">
        <f>Tabela1[[#This Row],[Pós BASO %]]</f>
        <v>0.1</v>
      </c>
      <c r="CJ270" s="199" t="str">
        <f t="shared" si="17"/>
        <v>NÃO</v>
      </c>
      <c r="CK270" s="200" t="str">
        <f t="shared" si="18"/>
        <v>SIM</v>
      </c>
      <c r="CL270" s="194">
        <f t="shared" si="19"/>
        <v>73.247245000000007</v>
      </c>
      <c r="CM270" s="125">
        <f>Tabela1[[#This Row],[MCT KG]]</f>
        <v>77.650000000000006</v>
      </c>
      <c r="CN270" s="85">
        <f>Tabela1[[#This Row],[ESTATURA]]</f>
        <v>184.2</v>
      </c>
      <c r="CO270" s="85">
        <f>Tabela1[[#This Row],[vo2max estimado]]</f>
        <v>54.09</v>
      </c>
      <c r="CP270" s="85">
        <f>Tabela1[[#This Row],[Handgrip     Dominante]]</f>
        <v>56</v>
      </c>
      <c r="CQ270" s="85">
        <f>Tabela1[[#This Row],[Handgrip Contrário]]</f>
        <v>52</v>
      </c>
      <c r="CR270" s="281">
        <f>Tabela1[[#This Row],[% gordura]]</f>
        <v>5.67</v>
      </c>
    </row>
    <row r="271" spans="1:96" ht="15.75" customHeight="1">
      <c r="A271" s="279">
        <f>Tabela1[[#This Row],[Ano]]</f>
        <v>2022</v>
      </c>
      <c r="B271" s="181" t="str">
        <f>Tabela1[[#This Row],[Missão]]</f>
        <v>Tonelero</v>
      </c>
      <c r="C271" s="181">
        <f>Tabela1[[#This Row],[Aluno]]</f>
        <v>3244</v>
      </c>
      <c r="D271" s="181">
        <f>Tabela1[[#This Row],[Idade]]</f>
        <v>34</v>
      </c>
      <c r="E271" s="182">
        <f>Tabela1[[#This Row],[Peso Kg]]</f>
        <v>68</v>
      </c>
      <c r="F271" s="191">
        <f>Tabela1[[#This Row],[Cor da pele]]</f>
        <v>1</v>
      </c>
      <c r="G271" s="192" t="str">
        <f>Tabela1[[#This Row],[ACTN3]]</f>
        <v>-</v>
      </c>
      <c r="H271" s="85" t="str">
        <f>Tabela1[[#This Row],[AGT]]</f>
        <v>-</v>
      </c>
      <c r="I271" s="85" t="str">
        <f>Tabela1[[#This Row],[ECA]]</f>
        <v>-</v>
      </c>
      <c r="J271" s="85" t="str">
        <f>Tabela1[[#This Row],[BDKRB2]]</f>
        <v>-</v>
      </c>
      <c r="K271" s="85" t="str">
        <f>Tabela1[[#This Row],[Score Força%]]</f>
        <v>-</v>
      </c>
      <c r="L271" s="193" t="str">
        <f>Tabela1[[#This Row],[Score Resistência %]]</f>
        <v>-</v>
      </c>
      <c r="M271" s="192">
        <f>Tabela1[[#This Row],[Pré CK (U/L)]]</f>
        <v>311</v>
      </c>
      <c r="N271" s="85">
        <f>Tabela1[[#This Row],[Pós CK (U/L)]]</f>
        <v>1230</v>
      </c>
      <c r="O271" s="85" t="str">
        <f>Tabela1[[#This Row],[Pré CK MB U/L]]</f>
        <v>-</v>
      </c>
      <c r="P271" s="85" t="str">
        <f>Tabela1[[#This Row],[Pós CK MB U/L]]</f>
        <v>-</v>
      </c>
      <c r="Q271" s="85">
        <f>Tabela1[[#This Row],[Pré Lactato (mmol/L)]]</f>
        <v>2.2000000000000002</v>
      </c>
      <c r="R271" s="85">
        <f>Tabela1[[#This Row],[Pós Lactato (mmol/L)]]</f>
        <v>1.8</v>
      </c>
      <c r="S271" s="85">
        <f>Tabela1[[#This Row],[Pré LDH (U/L)]]</f>
        <v>291</v>
      </c>
      <c r="T271" s="85">
        <f>Tabela1[[#This Row],[Pós LDH (U/L)]]</f>
        <v>403</v>
      </c>
      <c r="U271" s="85">
        <f>Tabela1[[#This Row],[Pré AST (U/L)]]</f>
        <v>48</v>
      </c>
      <c r="V271" s="193">
        <f>Tabela1[[#This Row],[Pós AST (U/L)]]</f>
        <v>94</v>
      </c>
      <c r="W271" s="194" t="str">
        <f>Tabela1[[#This Row],[Pré Albumina (g/dL)]]</f>
        <v>-</v>
      </c>
      <c r="X271" s="125" t="str">
        <f>Tabela1[[#This Row],[Pós Albumina (g/dL)]]</f>
        <v>-</v>
      </c>
      <c r="Y271" s="85" t="str">
        <f>Tabela1[[#This Row],[Pré TGP (g/dL)]]</f>
        <v>-</v>
      </c>
      <c r="Z271" s="85" t="str">
        <f>Tabela1[[#This Row],[Pós TGP (g/dL)]]</f>
        <v>-</v>
      </c>
      <c r="AA271" s="85" t="str">
        <f>Tabela1[[#This Row],[Pré GGT U/L]]</f>
        <v>-</v>
      </c>
      <c r="AB271" s="193" t="str">
        <f>Tabela1[[#This Row],[Pós GGT U/L]]</f>
        <v>-</v>
      </c>
      <c r="AC271" s="194">
        <f>Tabela1[[#This Row],[Pré Ac. Úrico (mg/dL)]]</f>
        <v>4</v>
      </c>
      <c r="AD271" s="125">
        <f>Tabela1[[#This Row],[Pós Ac. Úrico (mg/dL)2]]</f>
        <v>4.9000000000000004</v>
      </c>
      <c r="AE27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7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271" s="85">
        <f>Tabela1[[#This Row],[Pré Ureia mg/dL]]</f>
        <v>44</v>
      </c>
      <c r="AH271" s="85">
        <f>Tabela1[[#This Row],[Pós Ureia mg/dL]]</f>
        <v>50</v>
      </c>
      <c r="AI271" s="125">
        <f>Tabela1[[#This Row],[Pré creatinina mg/dL]]</f>
        <v>0.9</v>
      </c>
      <c r="AJ271" s="125">
        <f>Tabela1[[#This Row],[Pós creatinina mg/dL]]</f>
        <v>0.8</v>
      </c>
      <c r="AK271" s="180">
        <f t="shared" si="16"/>
        <v>0</v>
      </c>
      <c r="AL271" s="125">
        <f>Tabela1[[#This Row],[Pré Fósforo mg/dL]]</f>
        <v>4.5999999999999996</v>
      </c>
      <c r="AM271" s="125">
        <f>Tabela1[[#This Row],[Pós Fósforo mg/dL]]</f>
        <v>3.6</v>
      </c>
      <c r="AN271" s="125">
        <f>Tabela1[[#This Row],[Pré Proteína Total (g/dL)]]</f>
        <v>6.8</v>
      </c>
      <c r="AO271" s="125">
        <f>Tabela1[[#This Row],[Pós Proteína Total (g/dL)]]</f>
        <v>6.8</v>
      </c>
      <c r="AP271" s="85">
        <f>Tabela1[[#This Row],[Pré FE (ug/dL)]]</f>
        <v>33</v>
      </c>
      <c r="AQ271" s="193">
        <f>Tabela1[[#This Row],[Pós FE (ug/dL)]]</f>
        <v>37</v>
      </c>
      <c r="AR271" s="194">
        <f>Tabela1[[#This Row],[Pré calcio mg/dL]]</f>
        <v>9.6999999999999993</v>
      </c>
      <c r="AS271" s="125">
        <f>Tabela1[[#This Row],[Pós calcio mg/dL]]</f>
        <v>9.4</v>
      </c>
      <c r="AT271" s="125">
        <f>Tabela1[[#This Row],[Pré Potássio mmol/L]]</f>
        <v>4.3</v>
      </c>
      <c r="AU271" s="125">
        <f>Tabela1[[#This Row],[Pós Potássio mmol/L]]</f>
        <v>3.8</v>
      </c>
      <c r="AV271" s="85">
        <f>Tabela1[[#This Row],[Glicose pré]]</f>
        <v>92</v>
      </c>
      <c r="AW271" s="85">
        <f>Tabela1[[#This Row],[Glicose pós]]</f>
        <v>71</v>
      </c>
      <c r="AX271" s="85">
        <f>Tabela1[[#This Row],[Pré Sódio mmol/L]]</f>
        <v>144</v>
      </c>
      <c r="AY271" s="85">
        <f>Tabela1[[#This Row],[Pós Sódio mmol/L]]</f>
        <v>143</v>
      </c>
      <c r="AZ271" s="125">
        <f>Tabela1[[#This Row],[Pré Magnésio mg/dL]]</f>
        <v>1.7</v>
      </c>
      <c r="BA271" s="125">
        <f>Tabela1[[#This Row],[Pós Magnésio mg/dL]]</f>
        <v>2.1</v>
      </c>
      <c r="BB271" s="85">
        <f>Tabela1[[#This Row],[Pré Cloro mmol/L]]</f>
        <v>105</v>
      </c>
      <c r="BC271" s="85">
        <f>Tabela1[[#This Row],[Pós Cloro mmol/L]]</f>
        <v>105</v>
      </c>
      <c r="BD27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303.04911111111113</v>
      </c>
      <c r="BE27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299.91744444444447</v>
      </c>
      <c r="BF271" s="194">
        <f>Tabela1[[#This Row],[Pré RBC 10^6/mm³]]</f>
        <v>4.8899999999999997</v>
      </c>
      <c r="BG271" s="125">
        <f>Tabela1[[#This Row],[Pós RBC 10^6/mm³]]</f>
        <v>4.6100000000000003</v>
      </c>
      <c r="BH271" s="125">
        <f>Tabela1[[#This Row],[Pré HGB g/dL]]</f>
        <v>14.2</v>
      </c>
      <c r="BI271" s="125">
        <f>Tabela1[[#This Row],[Pós HGB g/dL]]</f>
        <v>13.5</v>
      </c>
      <c r="BJ271" s="125">
        <f>Tabela1[[#This Row],[Pré HCT %]]</f>
        <v>41.8</v>
      </c>
      <c r="BK271" s="125">
        <f>Tabela1[[#This Row],[Pós HCT %]]</f>
        <v>41.2</v>
      </c>
      <c r="BL271" s="125">
        <f>Tabela1[[#This Row],[Pré MCV fL]]</f>
        <v>85.4</v>
      </c>
      <c r="BM271" s="125">
        <f>Tabela1[[#This Row],[Pós MCV fL]]</f>
        <v>87.1</v>
      </c>
      <c r="BN271" s="125">
        <f>Tabela1[[#This Row],[Pré MCH pg]]</f>
        <v>29</v>
      </c>
      <c r="BO271" s="125">
        <f>Tabela1[[#This Row],[Pós MCH pg]]</f>
        <v>28.5</v>
      </c>
      <c r="BP271" s="125">
        <f>Tabela1[[#This Row],[Pré MCHC g/dL]]</f>
        <v>34</v>
      </c>
      <c r="BQ271" s="125">
        <f>Tabela1[[#This Row],[Pós MCHC g/dL]]</f>
        <v>32.799999999999997</v>
      </c>
      <c r="BR271" s="85">
        <f>Tabela1[[#This Row],[Pré PLT 10³/mm³]]</f>
        <v>303</v>
      </c>
      <c r="BS271" s="85">
        <f>Tabela1[[#This Row],[Pós PLT 10³/mm³]]</f>
        <v>287</v>
      </c>
      <c r="BT271" s="125">
        <f>Tabela1[[#This Row],[Pré RDW %]]</f>
        <v>13.9</v>
      </c>
      <c r="BU271" s="125">
        <f>Tabela1[[#This Row],[Pós RDW %]]</f>
        <v>13.4</v>
      </c>
      <c r="BV271" s="179">
        <f>Tabela1[[#This Row],[Pré RET %]]</f>
        <v>0.82</v>
      </c>
      <c r="BW271" s="196">
        <f>Tabela1[[#This Row],[Pós RET %]]</f>
        <v>0.7</v>
      </c>
      <c r="BX271" s="197">
        <f>Tabela1[[#This Row],[Pré WBC 10³/mm³]]</f>
        <v>6.25</v>
      </c>
      <c r="BY271" s="179">
        <f>Tabela1[[#This Row],[Pós WBC 10³/mm³]]</f>
        <v>7.92</v>
      </c>
      <c r="BZ271" s="125">
        <f>Tabela1[[#This Row],[Pré NEUT %]]</f>
        <v>57</v>
      </c>
      <c r="CA271" s="125">
        <f>Tabela1[[#This Row],[Pós NEUT %]]</f>
        <v>68.900000000000006</v>
      </c>
      <c r="CB271" s="125">
        <f>Tabela1[[#This Row],[Pré LINF %]]</f>
        <v>27.5</v>
      </c>
      <c r="CC271" s="125">
        <f>Tabela1[[#This Row],[Pós LINF %]]</f>
        <v>18.8</v>
      </c>
      <c r="CD271" s="125">
        <f>Tabela1[[#This Row],[Pré MONO %]]</f>
        <v>10.7</v>
      </c>
      <c r="CE271" s="125">
        <f>Tabela1[[#This Row],[Pós MONO %]]</f>
        <v>9.6999999999999993</v>
      </c>
      <c r="CF271" s="125">
        <f>Tabela1[[#This Row],[Pré EOS %]]</f>
        <v>4.0999999999999996</v>
      </c>
      <c r="CG271" s="125">
        <f>Tabela1[[#This Row],[Pós EOS %]]</f>
        <v>1.9</v>
      </c>
      <c r="CH271" s="125">
        <f>Tabela1[[#This Row],[Pré BASO %]]</f>
        <v>0.7</v>
      </c>
      <c r="CI271" s="198">
        <f>Tabela1[[#This Row],[Pós BASO %]]</f>
        <v>0.7</v>
      </c>
      <c r="CJ271" s="199" t="str">
        <f t="shared" si="17"/>
        <v>NÃO</v>
      </c>
      <c r="CK271" s="200" t="str">
        <f t="shared" si="18"/>
        <v>SIM</v>
      </c>
      <c r="CL271" s="194">
        <f t="shared" si="19"/>
        <v>60.020625000000003</v>
      </c>
      <c r="CM271" s="125">
        <f>Tabela1[[#This Row],[MCT KG]]</f>
        <v>67.25</v>
      </c>
      <c r="CN271" s="85">
        <f>Tabela1[[#This Row],[ESTATURA]]</f>
        <v>168.5</v>
      </c>
      <c r="CO271" s="85">
        <f>Tabela1[[#This Row],[vo2max estimado]]</f>
        <v>53.38</v>
      </c>
      <c r="CP271" s="85">
        <f>Tabela1[[#This Row],[Handgrip     Dominante]]</f>
        <v>54</v>
      </c>
      <c r="CQ271" s="85">
        <f>Tabela1[[#This Row],[Handgrip Contrário]]</f>
        <v>54</v>
      </c>
      <c r="CR271" s="281">
        <f>Tabela1[[#This Row],[% gordura]]</f>
        <v>10.75</v>
      </c>
    </row>
    <row r="272" spans="1:96" ht="15.75" customHeight="1">
      <c r="A272" s="279">
        <f>Tabela1[[#This Row],[Ano]]</f>
        <v>2022</v>
      </c>
      <c r="B272" s="181" t="str">
        <f>Tabela1[[#This Row],[Missão]]</f>
        <v>Tonelero</v>
      </c>
      <c r="C272" s="181">
        <f>Tabela1[[#This Row],[Aluno]]</f>
        <v>3245</v>
      </c>
      <c r="D272" s="181">
        <f>Tabela1[[#This Row],[Idade]]</f>
        <v>0</v>
      </c>
      <c r="E272" s="182">
        <f>Tabela1[[#This Row],[Peso Kg]]</f>
        <v>80</v>
      </c>
      <c r="F272" s="191">
        <f>Tabela1[[#This Row],[Cor da pele]]</f>
        <v>1</v>
      </c>
      <c r="G272" s="192" t="str">
        <f>Tabela1[[#This Row],[ACTN3]]</f>
        <v>-</v>
      </c>
      <c r="H272" s="85" t="str">
        <f>Tabela1[[#This Row],[AGT]]</f>
        <v>-</v>
      </c>
      <c r="I272" s="85" t="str">
        <f>Tabela1[[#This Row],[ECA]]</f>
        <v>-</v>
      </c>
      <c r="J272" s="85" t="str">
        <f>Tabela1[[#This Row],[BDKRB2]]</f>
        <v>-</v>
      </c>
      <c r="K272" s="85" t="str">
        <f>Tabela1[[#This Row],[Score Força%]]</f>
        <v>-</v>
      </c>
      <c r="L272" s="193" t="str">
        <f>Tabela1[[#This Row],[Score Resistência %]]</f>
        <v>-</v>
      </c>
      <c r="M272" s="192">
        <f>Tabela1[[#This Row],[Pré CK (U/L)]]</f>
        <v>651</v>
      </c>
      <c r="N272" s="85">
        <f>Tabela1[[#This Row],[Pós CK (U/L)]]</f>
        <v>868</v>
      </c>
      <c r="O272" s="85" t="str">
        <f>Tabela1[[#This Row],[Pré CK MB U/L]]</f>
        <v>-</v>
      </c>
      <c r="P272" s="85" t="str">
        <f>Tabela1[[#This Row],[Pós CK MB U/L]]</f>
        <v>-</v>
      </c>
      <c r="Q272" s="85">
        <f>Tabela1[[#This Row],[Pré Lactato (mmol/L)]]</f>
        <v>1.8</v>
      </c>
      <c r="R272" s="85">
        <f>Tabela1[[#This Row],[Pós Lactato (mmol/L)]]</f>
        <v>2.2999999999999998</v>
      </c>
      <c r="S272" s="85">
        <f>Tabela1[[#This Row],[Pré LDH (U/L)]]</f>
        <v>309</v>
      </c>
      <c r="T272" s="85">
        <f>Tabela1[[#This Row],[Pós LDH (U/L)]]</f>
        <v>358</v>
      </c>
      <c r="U272" s="85">
        <f>Tabela1[[#This Row],[Pré AST (U/L)]]</f>
        <v>63</v>
      </c>
      <c r="V272" s="193">
        <f>Tabela1[[#This Row],[Pós AST (U/L)]]</f>
        <v>81</v>
      </c>
      <c r="W272" s="194" t="str">
        <f>Tabela1[[#This Row],[Pré Albumina (g/dL)]]</f>
        <v>-</v>
      </c>
      <c r="X272" s="125" t="str">
        <f>Tabela1[[#This Row],[Pós Albumina (g/dL)]]</f>
        <v>-</v>
      </c>
      <c r="Y272" s="85" t="str">
        <f>Tabela1[[#This Row],[Pré TGP (g/dL)]]</f>
        <v>-</v>
      </c>
      <c r="Z272" s="85" t="str">
        <f>Tabela1[[#This Row],[Pós TGP (g/dL)]]</f>
        <v>-</v>
      </c>
      <c r="AA272" s="85" t="str">
        <f>Tabela1[[#This Row],[Pré GGT U/L]]</f>
        <v>-</v>
      </c>
      <c r="AB272" s="193" t="str">
        <f>Tabela1[[#This Row],[Pós GGT U/L]]</f>
        <v>-</v>
      </c>
      <c r="AC272" s="194">
        <f>Tabela1[[#This Row],[Pré Ac. Úrico (mg/dL)]]</f>
        <v>5.5</v>
      </c>
      <c r="AD272" s="125">
        <f>Tabela1[[#This Row],[Pós Ac. Úrico (mg/dL)2]]</f>
        <v>4.9000000000000004</v>
      </c>
      <c r="AE27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7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272" s="85">
        <f>Tabela1[[#This Row],[Pré Ureia mg/dL]]</f>
        <v>29</v>
      </c>
      <c r="AH272" s="85">
        <f>Tabela1[[#This Row],[Pós Ureia mg/dL]]</f>
        <v>32</v>
      </c>
      <c r="AI272" s="125">
        <f>Tabela1[[#This Row],[Pré creatinina mg/dL]]</f>
        <v>0.9</v>
      </c>
      <c r="AJ272" s="125">
        <f>Tabela1[[#This Row],[Pós creatinina mg/dL]]</f>
        <v>0.8</v>
      </c>
      <c r="AK272" s="180">
        <f t="shared" si="16"/>
        <v>0</v>
      </c>
      <c r="AL272" s="125">
        <f>Tabela1[[#This Row],[Pré Fósforo mg/dL]]</f>
        <v>4.4000000000000004</v>
      </c>
      <c r="AM272" s="125">
        <f>Tabela1[[#This Row],[Pós Fósforo mg/dL]]</f>
        <v>4.08</v>
      </c>
      <c r="AN272" s="125">
        <f>Tabela1[[#This Row],[Pré Proteína Total (g/dL)]]</f>
        <v>6.7</v>
      </c>
      <c r="AO272" s="125">
        <f>Tabela1[[#This Row],[Pós Proteína Total (g/dL)]]</f>
        <v>7.7</v>
      </c>
      <c r="AP272" s="85">
        <f>Tabela1[[#This Row],[Pré FE (ug/dL)]]</f>
        <v>42</v>
      </c>
      <c r="AQ272" s="193">
        <f>Tabela1[[#This Row],[Pós FE (ug/dL)]]</f>
        <v>109</v>
      </c>
      <c r="AR272" s="194">
        <f>Tabela1[[#This Row],[Pré calcio mg/dL]]</f>
        <v>9.8000000000000007</v>
      </c>
      <c r="AS272" s="125">
        <f>Tabela1[[#This Row],[Pós calcio mg/dL]]</f>
        <v>9.8000000000000007</v>
      </c>
      <c r="AT272" s="125">
        <f>Tabela1[[#This Row],[Pré Potássio mmol/L]]</f>
        <v>4.5</v>
      </c>
      <c r="AU272" s="125">
        <f>Tabela1[[#This Row],[Pós Potássio mmol/L]]</f>
        <v>4.8</v>
      </c>
      <c r="AV272" s="85">
        <f>Tabela1[[#This Row],[Glicose pré]]</f>
        <v>94</v>
      </c>
      <c r="AW272" s="85">
        <f>Tabela1[[#This Row],[Glicose pós]]</f>
        <v>99</v>
      </c>
      <c r="AX272" s="85">
        <f>Tabela1[[#This Row],[Pré Sódio mmol/L]]</f>
        <v>144</v>
      </c>
      <c r="AY272" s="85">
        <f>Tabela1[[#This Row],[Pós Sódio mmol/L]]</f>
        <v>140</v>
      </c>
      <c r="AZ272" s="125" t="str">
        <f>Tabela1[[#This Row],[Pré Magnésio mg/dL]]</f>
        <v>-</v>
      </c>
      <c r="BA272" s="125">
        <f>Tabela1[[#This Row],[Pós Magnésio mg/dL]]</f>
        <v>2.1</v>
      </c>
      <c r="BB272" s="85">
        <f>Tabela1[[#This Row],[Pré Cloro mmol/L]]</f>
        <v>108</v>
      </c>
      <c r="BC272" s="85">
        <f>Tabela1[[#This Row],[Pós Cloro mmol/L]]</f>
        <v>104</v>
      </c>
      <c r="BD27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301.04888888888888</v>
      </c>
      <c r="BE27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294.98633333333333</v>
      </c>
      <c r="BF272" s="194">
        <f>Tabela1[[#This Row],[Pré RBC 10^6/mm³]]</f>
        <v>4.45</v>
      </c>
      <c r="BG272" s="125">
        <f>Tabela1[[#This Row],[Pós RBC 10^6/mm³]]</f>
        <v>4.71</v>
      </c>
      <c r="BH272" s="125">
        <f>Tabela1[[#This Row],[Pré HGB g/dL]]</f>
        <v>13.4</v>
      </c>
      <c r="BI272" s="125">
        <f>Tabela1[[#This Row],[Pós HGB g/dL]]</f>
        <v>14.2</v>
      </c>
      <c r="BJ272" s="125">
        <f>Tabela1[[#This Row],[Pré HCT %]]</f>
        <v>39.6</v>
      </c>
      <c r="BK272" s="125">
        <f>Tabela1[[#This Row],[Pós HCT %]]</f>
        <v>42.8</v>
      </c>
      <c r="BL272" s="125">
        <f>Tabela1[[#This Row],[Pré MCV fL]]</f>
        <v>88.9</v>
      </c>
      <c r="BM272" s="125">
        <f>Tabela1[[#This Row],[Pós MCV fL]]</f>
        <v>89.6</v>
      </c>
      <c r="BN272" s="125">
        <f>Tabela1[[#This Row],[Pré MCH pg]]</f>
        <v>30.1</v>
      </c>
      <c r="BO272" s="125">
        <f>Tabela1[[#This Row],[Pós MCH pg]]</f>
        <v>29.6</v>
      </c>
      <c r="BP272" s="125">
        <f>Tabela1[[#This Row],[Pré MCHC g/dL]]</f>
        <v>33.9</v>
      </c>
      <c r="BQ272" s="125">
        <f>Tabela1[[#This Row],[Pós MCHC g/dL]]</f>
        <v>33.1</v>
      </c>
      <c r="BR272" s="85">
        <f>Tabela1[[#This Row],[Pré PLT 10³/mm³]]</f>
        <v>324</v>
      </c>
      <c r="BS272" s="85">
        <f>Tabela1[[#This Row],[Pós PLT 10³/mm³]]</f>
        <v>338</v>
      </c>
      <c r="BT272" s="125">
        <f>Tabela1[[#This Row],[Pré RDW %]]</f>
        <v>14.6</v>
      </c>
      <c r="BU272" s="125">
        <f>Tabela1[[#This Row],[Pós RDW %]]</f>
        <v>13.4</v>
      </c>
      <c r="BV272" s="179">
        <f>Tabela1[[#This Row],[Pré RET %]]</f>
        <v>0.83</v>
      </c>
      <c r="BW272" s="196">
        <f>Tabela1[[#This Row],[Pós RET %]]</f>
        <v>0.8</v>
      </c>
      <c r="BX272" s="197">
        <f>Tabela1[[#This Row],[Pré WBC 10³/mm³]]</f>
        <v>5.2</v>
      </c>
      <c r="BY272" s="179">
        <f>Tabela1[[#This Row],[Pós WBC 10³/mm³]]</f>
        <v>6.98</v>
      </c>
      <c r="BZ272" s="125">
        <f>Tabela1[[#This Row],[Pré NEUT %]]</f>
        <v>59</v>
      </c>
      <c r="CA272" s="125">
        <f>Tabela1[[#This Row],[Pós NEUT %]]</f>
        <v>83.1</v>
      </c>
      <c r="CB272" s="125">
        <f>Tabela1[[#This Row],[Pré LINF %]]</f>
        <v>23</v>
      </c>
      <c r="CC272" s="125">
        <f>Tabela1[[#This Row],[Pós LINF %]]</f>
        <v>11.7</v>
      </c>
      <c r="CD272" s="125">
        <f>Tabela1[[#This Row],[Pré MONO %]]</f>
        <v>12.1</v>
      </c>
      <c r="CE272" s="125">
        <f>Tabela1[[#This Row],[Pós MONO %]]</f>
        <v>4.8</v>
      </c>
      <c r="CF272" s="125">
        <f>Tabela1[[#This Row],[Pré EOS %]]</f>
        <v>4.9000000000000004</v>
      </c>
      <c r="CG272" s="125">
        <f>Tabela1[[#This Row],[Pós EOS %]]</f>
        <v>0.4</v>
      </c>
      <c r="CH272" s="125">
        <f>Tabela1[[#This Row],[Pré BASO %]]</f>
        <v>1</v>
      </c>
      <c r="CI272" s="198">
        <f>Tabela1[[#This Row],[Pós BASO %]]</f>
        <v>0</v>
      </c>
      <c r="CJ272" s="199" t="str">
        <f t="shared" si="17"/>
        <v>NÃO</v>
      </c>
      <c r="CK272" s="200" t="str">
        <f t="shared" si="18"/>
        <v>NÃO</v>
      </c>
      <c r="CL272" s="194">
        <f t="shared" si="19"/>
        <v>71.693685000000002</v>
      </c>
      <c r="CM272" s="125">
        <f>Tabela1[[#This Row],[MCT KG]]</f>
        <v>82.95</v>
      </c>
      <c r="CN272" s="85">
        <f>Tabela1[[#This Row],[ESTATURA]]</f>
        <v>171</v>
      </c>
      <c r="CO272" s="85">
        <f>Tabela1[[#This Row],[vo2max estimado]]</f>
        <v>45.46</v>
      </c>
      <c r="CP272" s="85">
        <f>Tabela1[[#This Row],[Handgrip     Dominante]]</f>
        <v>60</v>
      </c>
      <c r="CQ272" s="85">
        <f>Tabela1[[#This Row],[Handgrip Contrário]]</f>
        <v>65</v>
      </c>
      <c r="CR272" s="281">
        <f>Tabela1[[#This Row],[% gordura]]</f>
        <v>13.57</v>
      </c>
    </row>
    <row r="273" spans="1:96" ht="15.75" customHeight="1">
      <c r="A273" s="279">
        <f>Tabela1[[#This Row],[Ano]]</f>
        <v>2022</v>
      </c>
      <c r="B273" s="181" t="str">
        <f>Tabela1[[#This Row],[Missão]]</f>
        <v>Tonelero</v>
      </c>
      <c r="C273" s="181">
        <f>Tabela1[[#This Row],[Aluno]]</f>
        <v>3246</v>
      </c>
      <c r="D273" s="181">
        <f>Tabela1[[#This Row],[Idade]]</f>
        <v>32</v>
      </c>
      <c r="E273" s="182">
        <f>Tabela1[[#This Row],[Peso Kg]]</f>
        <v>80</v>
      </c>
      <c r="F273" s="191">
        <f>Tabela1[[#This Row],[Cor da pele]]</f>
        <v>1</v>
      </c>
      <c r="G273" s="192" t="str">
        <f>Tabela1[[#This Row],[ACTN3]]</f>
        <v>-</v>
      </c>
      <c r="H273" s="85" t="str">
        <f>Tabela1[[#This Row],[AGT]]</f>
        <v>-</v>
      </c>
      <c r="I273" s="85" t="str">
        <f>Tabela1[[#This Row],[ECA]]</f>
        <v>-</v>
      </c>
      <c r="J273" s="85" t="str">
        <f>Tabela1[[#This Row],[BDKRB2]]</f>
        <v>-</v>
      </c>
      <c r="K273" s="85" t="str">
        <f>Tabela1[[#This Row],[Score Força%]]</f>
        <v>-</v>
      </c>
      <c r="L273" s="193" t="str">
        <f>Tabela1[[#This Row],[Score Resistência %]]</f>
        <v>-</v>
      </c>
      <c r="M273" s="192">
        <f>Tabela1[[#This Row],[Pré CK (U/L)]]</f>
        <v>172</v>
      </c>
      <c r="N273" s="85">
        <f>Tabela1[[#This Row],[Pós CK (U/L)]]</f>
        <v>800</v>
      </c>
      <c r="O273" s="85" t="str">
        <f>Tabela1[[#This Row],[Pré CK MB U/L]]</f>
        <v>-</v>
      </c>
      <c r="P273" s="85" t="str">
        <f>Tabela1[[#This Row],[Pós CK MB U/L]]</f>
        <v>-</v>
      </c>
      <c r="Q273" s="85">
        <f>Tabela1[[#This Row],[Pré Lactato (mmol/L)]]</f>
        <v>1.8</v>
      </c>
      <c r="R273" s="85">
        <f>Tabela1[[#This Row],[Pós Lactato (mmol/L)]]</f>
        <v>1.7</v>
      </c>
      <c r="S273" s="85">
        <f>Tabela1[[#This Row],[Pré LDH (U/L)]]</f>
        <v>255</v>
      </c>
      <c r="T273" s="85">
        <f>Tabela1[[#This Row],[Pós LDH (U/L)]]</f>
        <v>338</v>
      </c>
      <c r="U273" s="85">
        <f>Tabela1[[#This Row],[Pré AST (U/L)]]</f>
        <v>36</v>
      </c>
      <c r="V273" s="193">
        <f>Tabela1[[#This Row],[Pós AST (U/L)]]</f>
        <v>57</v>
      </c>
      <c r="W273" s="194" t="str">
        <f>Tabela1[[#This Row],[Pré Albumina (g/dL)]]</f>
        <v>-</v>
      </c>
      <c r="X273" s="125" t="str">
        <f>Tabela1[[#This Row],[Pós Albumina (g/dL)]]</f>
        <v>-</v>
      </c>
      <c r="Y273" s="85" t="str">
        <f>Tabela1[[#This Row],[Pré TGP (g/dL)]]</f>
        <v>-</v>
      </c>
      <c r="Z273" s="85" t="str">
        <f>Tabela1[[#This Row],[Pós TGP (g/dL)]]</f>
        <v>-</v>
      </c>
      <c r="AA273" s="85" t="str">
        <f>Tabela1[[#This Row],[Pré GGT U/L]]</f>
        <v>-</v>
      </c>
      <c r="AB273" s="193" t="str">
        <f>Tabela1[[#This Row],[Pós GGT U/L]]</f>
        <v>-</v>
      </c>
      <c r="AC273" s="194">
        <f>Tabela1[[#This Row],[Pré Ac. Úrico (mg/dL)]]</f>
        <v>5</v>
      </c>
      <c r="AD273" s="125">
        <f>Tabela1[[#This Row],[Pós Ac. Úrico (mg/dL)2]]</f>
        <v>6.4</v>
      </c>
      <c r="AE27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7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73" s="85">
        <f>Tabela1[[#This Row],[Pré Ureia mg/dL]]</f>
        <v>37</v>
      </c>
      <c r="AH273" s="85">
        <f>Tabela1[[#This Row],[Pós Ureia mg/dL]]</f>
        <v>38</v>
      </c>
      <c r="AI273" s="125">
        <f>Tabela1[[#This Row],[Pré creatinina mg/dL]]</f>
        <v>0.9</v>
      </c>
      <c r="AJ273" s="125">
        <f>Tabela1[[#This Row],[Pós creatinina mg/dL]]</f>
        <v>0.9</v>
      </c>
      <c r="AK273" s="180">
        <f t="shared" si="16"/>
        <v>0</v>
      </c>
      <c r="AL273" s="125">
        <f>Tabela1[[#This Row],[Pré Fósforo mg/dL]]</f>
        <v>4</v>
      </c>
      <c r="AM273" s="125">
        <f>Tabela1[[#This Row],[Pós Fósforo mg/dL]]</f>
        <v>3.6</v>
      </c>
      <c r="AN273" s="125">
        <f>Tabela1[[#This Row],[Pré Proteína Total (g/dL)]]</f>
        <v>7.1</v>
      </c>
      <c r="AO273" s="125">
        <f>Tabela1[[#This Row],[Pós Proteína Total (g/dL)]]</f>
        <v>7.2</v>
      </c>
      <c r="AP273" s="85">
        <f>Tabela1[[#This Row],[Pré FE (ug/dL)]]</f>
        <v>52</v>
      </c>
      <c r="AQ273" s="193">
        <f>Tabela1[[#This Row],[Pós FE (ug/dL)]]</f>
        <v>55</v>
      </c>
      <c r="AR273" s="194">
        <f>Tabela1[[#This Row],[Pré calcio mg/dL]]</f>
        <v>9.6</v>
      </c>
      <c r="AS273" s="125">
        <f>Tabela1[[#This Row],[Pós calcio mg/dL]]</f>
        <v>9.9</v>
      </c>
      <c r="AT273" s="125">
        <f>Tabela1[[#This Row],[Pré Potássio mmol/L]]</f>
        <v>4.5999999999999996</v>
      </c>
      <c r="AU273" s="125">
        <f>Tabela1[[#This Row],[Pós Potássio mmol/L]]</f>
        <v>4.0999999999999996</v>
      </c>
      <c r="AV273" s="85">
        <f>Tabela1[[#This Row],[Glicose pré]]</f>
        <v>104</v>
      </c>
      <c r="AW273" s="85">
        <f>Tabela1[[#This Row],[Glicose pós]]</f>
        <v>86</v>
      </c>
      <c r="AX273" s="85">
        <f>Tabela1[[#This Row],[Pré Sódio mmol/L]]</f>
        <v>143</v>
      </c>
      <c r="AY273" s="85">
        <f>Tabela1[[#This Row],[Pós Sódio mmol/L]]</f>
        <v>140</v>
      </c>
      <c r="AZ273" s="125">
        <f>Tabela1[[#This Row],[Pré Magnésio mg/dL]]</f>
        <v>2.1</v>
      </c>
      <c r="BA273" s="125">
        <f>Tabela1[[#This Row],[Pós Magnésio mg/dL]]</f>
        <v>2.2999999999999998</v>
      </c>
      <c r="BB273" s="85">
        <f>Tabela1[[#This Row],[Pré Cloro mmol/L]]</f>
        <v>104</v>
      </c>
      <c r="BC273" s="85">
        <f>Tabela1[[#This Row],[Pós Cloro mmol/L]]</f>
        <v>102</v>
      </c>
      <c r="BD27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301.34711111111113</v>
      </c>
      <c r="BE27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293.85377777777779</v>
      </c>
      <c r="BF273" s="194">
        <f>Tabela1[[#This Row],[Pré RBC 10^6/mm³]]</f>
        <v>4.9800000000000004</v>
      </c>
      <c r="BG273" s="125">
        <f>Tabela1[[#This Row],[Pós RBC 10^6/mm³]]</f>
        <v>4.95</v>
      </c>
      <c r="BH273" s="125">
        <f>Tabela1[[#This Row],[Pré HGB g/dL]]</f>
        <v>13.7</v>
      </c>
      <c r="BI273" s="125">
        <f>Tabela1[[#This Row],[Pós HGB g/dL]]</f>
        <v>13.2</v>
      </c>
      <c r="BJ273" s="125">
        <f>Tabela1[[#This Row],[Pré HCT %]]</f>
        <v>40.299999999999997</v>
      </c>
      <c r="BK273" s="125">
        <f>Tabela1[[#This Row],[Pós HCT %]]</f>
        <v>40.200000000000003</v>
      </c>
      <c r="BL273" s="125">
        <f>Tabela1[[#This Row],[Pré MCV fL]]</f>
        <v>80.900000000000006</v>
      </c>
      <c r="BM273" s="125">
        <f>Tabela1[[#This Row],[Pós MCV fL]]</f>
        <v>81</v>
      </c>
      <c r="BN273" s="125">
        <f>Tabela1[[#This Row],[Pré MCH pg]]</f>
        <v>27.4</v>
      </c>
      <c r="BO273" s="125">
        <f>Tabela1[[#This Row],[Pós MCH pg]]</f>
        <v>26.6</v>
      </c>
      <c r="BP273" s="125">
        <f>Tabela1[[#This Row],[Pré MCHC g/dL]]</f>
        <v>33.9</v>
      </c>
      <c r="BQ273" s="125">
        <f>Tabela1[[#This Row],[Pós MCHC g/dL]]</f>
        <v>32.9</v>
      </c>
      <c r="BR273" s="85">
        <f>Tabela1[[#This Row],[Pré PLT 10³/mm³]]</f>
        <v>520</v>
      </c>
      <c r="BS273" s="85">
        <f>Tabela1[[#This Row],[Pós PLT 10³/mm³]]</f>
        <v>489</v>
      </c>
      <c r="BT273" s="125">
        <f>Tabela1[[#This Row],[Pré RDW %]]</f>
        <v>13.6</v>
      </c>
      <c r="BU273" s="125">
        <f>Tabela1[[#This Row],[Pós RDW %]]</f>
        <v>12.3</v>
      </c>
      <c r="BV273" s="179">
        <f>Tabela1[[#This Row],[Pré RET %]]</f>
        <v>1.05</v>
      </c>
      <c r="BW273" s="196">
        <f>Tabela1[[#This Row],[Pós RET %]]</f>
        <v>0.77</v>
      </c>
      <c r="BX273" s="197">
        <f>Tabela1[[#This Row],[Pré WBC 10³/mm³]]</f>
        <v>9.59</v>
      </c>
      <c r="BY273" s="179">
        <f>Tabela1[[#This Row],[Pós WBC 10³/mm³]]</f>
        <v>13.3</v>
      </c>
      <c r="BZ273" s="125">
        <f>Tabela1[[#This Row],[Pré NEUT %]]</f>
        <v>69.3</v>
      </c>
      <c r="CA273" s="125">
        <f>Tabela1[[#This Row],[Pós NEUT %]]</f>
        <v>74.599999999999994</v>
      </c>
      <c r="CB273" s="125">
        <f>Tabela1[[#This Row],[Pré LINF %]]</f>
        <v>20</v>
      </c>
      <c r="CC273" s="125">
        <f>Tabela1[[#This Row],[Pós LINF %]]</f>
        <v>16.2</v>
      </c>
      <c r="CD273" s="125">
        <f>Tabela1[[#This Row],[Pré MONO %]]</f>
        <v>6.9</v>
      </c>
      <c r="CE273" s="125">
        <f>Tabela1[[#This Row],[Pós MONO %]]</f>
        <v>8.4</v>
      </c>
      <c r="CF273" s="125">
        <f>Tabela1[[#This Row],[Pré EOS %]]</f>
        <v>3</v>
      </c>
      <c r="CG273" s="125">
        <f>Tabela1[[#This Row],[Pós EOS %]]</f>
        <v>0.7</v>
      </c>
      <c r="CH273" s="125">
        <f>Tabela1[[#This Row],[Pré BASO %]]</f>
        <v>0.8</v>
      </c>
      <c r="CI273" s="198">
        <f>Tabela1[[#This Row],[Pós BASO %]]</f>
        <v>0.1</v>
      </c>
      <c r="CJ273" s="199" t="str">
        <f t="shared" si="17"/>
        <v>NÃO</v>
      </c>
      <c r="CK273" s="200" t="str">
        <f t="shared" si="18"/>
        <v>NÃO</v>
      </c>
      <c r="CL273" s="194">
        <f t="shared" si="19"/>
        <v>70.071784999999991</v>
      </c>
      <c r="CM273" s="125">
        <f>Tabela1[[#This Row],[MCT KG]]</f>
        <v>81.849999999999994</v>
      </c>
      <c r="CN273" s="85">
        <f>Tabela1[[#This Row],[ESTATURA]]</f>
        <v>181</v>
      </c>
      <c r="CO273" s="85">
        <f>Tabela1[[#This Row],[vo2max estimado]]</f>
        <v>52.98</v>
      </c>
      <c r="CP273" s="85">
        <f>Tabela1[[#This Row],[Handgrip     Dominante]]</f>
        <v>60</v>
      </c>
      <c r="CQ273" s="85">
        <f>Tabela1[[#This Row],[Handgrip Contrário]]</f>
        <v>60</v>
      </c>
      <c r="CR273" s="281">
        <f>Tabela1[[#This Row],[% gordura]]</f>
        <v>14.39</v>
      </c>
    </row>
    <row r="274" spans="1:96" ht="15.75" customHeight="1">
      <c r="A274" s="279">
        <f>Tabela1[[#This Row],[Ano]]</f>
        <v>2022</v>
      </c>
      <c r="B274" s="181" t="str">
        <f>Tabela1[[#This Row],[Missão]]</f>
        <v>Tonelero</v>
      </c>
      <c r="C274" s="181">
        <f>Tabela1[[#This Row],[Aluno]]</f>
        <v>3247</v>
      </c>
      <c r="D274" s="181">
        <f>Tabela1[[#This Row],[Idade]]</f>
        <v>35</v>
      </c>
      <c r="E274" s="182">
        <f>Tabela1[[#This Row],[Peso Kg]]</f>
        <v>76</v>
      </c>
      <c r="F274" s="191">
        <f>Tabela1[[#This Row],[Cor da pele]]</f>
        <v>1</v>
      </c>
      <c r="G274" s="192" t="str">
        <f>Tabela1[[#This Row],[ACTN3]]</f>
        <v>RX</v>
      </c>
      <c r="H274" s="85" t="str">
        <f>Tabela1[[#This Row],[AGT]]</f>
        <v>MM</v>
      </c>
      <c r="I274" s="85" t="str">
        <f>Tabela1[[#This Row],[ECA]]</f>
        <v>ID</v>
      </c>
      <c r="J274" s="85" t="str">
        <f>Tabela1[[#This Row],[BDKRB2]]</f>
        <v>(+9, +9)</v>
      </c>
      <c r="K274" s="85">
        <f>Tabela1[[#This Row],[Score Força%]]</f>
        <v>50</v>
      </c>
      <c r="L274" s="193">
        <f>Tabela1[[#This Row],[Score Resistência %]]</f>
        <v>50</v>
      </c>
      <c r="M274" s="192">
        <f>Tabela1[[#This Row],[Pré CK (U/L)]]</f>
        <v>305</v>
      </c>
      <c r="N274" s="85">
        <f>Tabela1[[#This Row],[Pós CK (U/L)]]</f>
        <v>887</v>
      </c>
      <c r="O274" s="85" t="str">
        <f>Tabela1[[#This Row],[Pré CK MB U/L]]</f>
        <v>-</v>
      </c>
      <c r="P274" s="85" t="str">
        <f>Tabela1[[#This Row],[Pós CK MB U/L]]</f>
        <v>-</v>
      </c>
      <c r="Q274" s="85">
        <f>Tabela1[[#This Row],[Pré Lactato (mmol/L)]]</f>
        <v>1.5</v>
      </c>
      <c r="R274" s="85">
        <f>Tabela1[[#This Row],[Pós Lactato (mmol/L)]]</f>
        <v>2.4</v>
      </c>
      <c r="S274" s="85">
        <f>Tabela1[[#This Row],[Pré LDH (U/L)]]</f>
        <v>255</v>
      </c>
      <c r="T274" s="85">
        <f>Tabela1[[#This Row],[Pós LDH (U/L)]]</f>
        <v>349</v>
      </c>
      <c r="U274" s="85">
        <f>Tabela1[[#This Row],[Pré AST (U/L)]]</f>
        <v>48</v>
      </c>
      <c r="V274" s="193">
        <f>Tabela1[[#This Row],[Pós AST (U/L)]]</f>
        <v>73</v>
      </c>
      <c r="W274" s="194" t="str">
        <f>Tabela1[[#This Row],[Pré Albumina (g/dL)]]</f>
        <v>-</v>
      </c>
      <c r="X274" s="125" t="str">
        <f>Tabela1[[#This Row],[Pós Albumina (g/dL)]]</f>
        <v>-</v>
      </c>
      <c r="Y274" s="85" t="str">
        <f>Tabela1[[#This Row],[Pré TGP (g/dL)]]</f>
        <v>-</v>
      </c>
      <c r="Z274" s="85" t="str">
        <f>Tabela1[[#This Row],[Pós TGP (g/dL)]]</f>
        <v>-</v>
      </c>
      <c r="AA274" s="85" t="str">
        <f>Tabela1[[#This Row],[Pré GGT U/L]]</f>
        <v>-</v>
      </c>
      <c r="AB274" s="193" t="str">
        <f>Tabela1[[#This Row],[Pós GGT U/L]]</f>
        <v>-</v>
      </c>
      <c r="AC274" s="194">
        <f>Tabela1[[#This Row],[Pré Ac. Úrico (mg/dL)]]</f>
        <v>4.2</v>
      </c>
      <c r="AD274" s="125">
        <f>Tabela1[[#This Row],[Pós Ac. Úrico (mg/dL)2]]</f>
        <v>5.2</v>
      </c>
      <c r="AE27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76.739527424440993</v>
      </c>
      <c r="AF27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74" s="85">
        <f>Tabela1[[#This Row],[Pré Ureia mg/dL]]</f>
        <v>43</v>
      </c>
      <c r="AH274" s="85">
        <f>Tabela1[[#This Row],[Pós Ureia mg/dL]]</f>
        <v>55</v>
      </c>
      <c r="AI274" s="125">
        <f>Tabela1[[#This Row],[Pré creatinina mg/dL]]</f>
        <v>1.3</v>
      </c>
      <c r="AJ274" s="125">
        <f>Tabela1[[#This Row],[Pós creatinina mg/dL]]</f>
        <v>0.9</v>
      </c>
      <c r="AK274" s="180">
        <f t="shared" si="16"/>
        <v>0</v>
      </c>
      <c r="AL274" s="125">
        <f>Tabela1[[#This Row],[Pré Fósforo mg/dL]]</f>
        <v>4.3</v>
      </c>
      <c r="AM274" s="125">
        <f>Tabela1[[#This Row],[Pós Fósforo mg/dL]]</f>
        <v>3.7</v>
      </c>
      <c r="AN274" s="125">
        <f>Tabela1[[#This Row],[Pré Proteína Total (g/dL)]]</f>
        <v>6.3</v>
      </c>
      <c r="AO274" s="125">
        <f>Tabela1[[#This Row],[Pós Proteína Total (g/dL)]]</f>
        <v>6.3</v>
      </c>
      <c r="AP274" s="85">
        <f>Tabela1[[#This Row],[Pré FE (ug/dL)]]</f>
        <v>44</v>
      </c>
      <c r="AQ274" s="193">
        <f>Tabela1[[#This Row],[Pós FE (ug/dL)]]</f>
        <v>74</v>
      </c>
      <c r="AR274" s="194">
        <f>Tabela1[[#This Row],[Pré calcio mg/dL]]</f>
        <v>9.3000000000000007</v>
      </c>
      <c r="AS274" s="125">
        <f>Tabela1[[#This Row],[Pós calcio mg/dL]]</f>
        <v>9</v>
      </c>
      <c r="AT274" s="125">
        <f>Tabela1[[#This Row],[Pré Potássio mmol/L]]</f>
        <v>4.5999999999999996</v>
      </c>
      <c r="AU274" s="125">
        <f>Tabela1[[#This Row],[Pós Potássio mmol/L]]</f>
        <v>4</v>
      </c>
      <c r="AV274" s="85">
        <f>Tabela1[[#This Row],[Glicose pré]]</f>
        <v>94</v>
      </c>
      <c r="AW274" s="85">
        <f>Tabela1[[#This Row],[Glicose pós]]</f>
        <v>107</v>
      </c>
      <c r="AX274" s="85">
        <f>Tabela1[[#This Row],[Pré Sódio mmol/L]]</f>
        <v>145</v>
      </c>
      <c r="AY274" s="85">
        <f>Tabela1[[#This Row],[Pós Sódio mmol/L]]</f>
        <v>144</v>
      </c>
      <c r="AZ274" s="125">
        <f>Tabela1[[#This Row],[Pré Magnésio mg/dL]]</f>
        <v>1.8</v>
      </c>
      <c r="BA274" s="125">
        <f>Tabela1[[#This Row],[Pós Magnésio mg/dL]]</f>
        <v>2.2000000000000002</v>
      </c>
      <c r="BB274" s="85">
        <f>Tabela1[[#This Row],[Pré Cloro mmol/L]]</f>
        <v>105</v>
      </c>
      <c r="BC274" s="85">
        <f>Tabela1[[#This Row],[Pós Cloro mmol/L]]</f>
        <v>104</v>
      </c>
      <c r="BD27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305.42822222222225</v>
      </c>
      <c r="BE27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305.28277777777782</v>
      </c>
      <c r="BF274" s="194">
        <f>Tabela1[[#This Row],[Pré RBC 10^6/mm³]]</f>
        <v>4.6500000000000004</v>
      </c>
      <c r="BG274" s="125">
        <f>Tabela1[[#This Row],[Pós RBC 10^6/mm³]]</f>
        <v>4.72</v>
      </c>
      <c r="BH274" s="125">
        <f>Tabela1[[#This Row],[Pré HGB g/dL]]</f>
        <v>14.1</v>
      </c>
      <c r="BI274" s="125">
        <f>Tabela1[[#This Row],[Pós HGB g/dL]]</f>
        <v>14.5</v>
      </c>
      <c r="BJ274" s="125">
        <f>Tabela1[[#This Row],[Pré HCT %]]</f>
        <v>41.4</v>
      </c>
      <c r="BK274" s="125">
        <f>Tabela1[[#This Row],[Pós HCT %]]</f>
        <v>44.2</v>
      </c>
      <c r="BL274" s="125">
        <f>Tabela1[[#This Row],[Pré MCV fL]]</f>
        <v>89.1</v>
      </c>
      <c r="BM274" s="125">
        <f>Tabela1[[#This Row],[Pós MCV fL]]</f>
        <v>91</v>
      </c>
      <c r="BN274" s="125">
        <f>Tabela1[[#This Row],[Pré MCH pg]]</f>
        <v>30.4</v>
      </c>
      <c r="BO274" s="125">
        <f>Tabela1[[#This Row],[Pós MCH pg]]</f>
        <v>29.9</v>
      </c>
      <c r="BP274" s="125">
        <f>Tabela1[[#This Row],[Pré MCHC g/dL]]</f>
        <v>34.200000000000003</v>
      </c>
      <c r="BQ274" s="125">
        <f>Tabela1[[#This Row],[Pós MCHC g/dL]]</f>
        <v>32.9</v>
      </c>
      <c r="BR274" s="85">
        <f>Tabela1[[#This Row],[Pré PLT 10³/mm³]]</f>
        <v>212</v>
      </c>
      <c r="BS274" s="85">
        <f>Tabela1[[#This Row],[Pós PLT 10³/mm³]]</f>
        <v>230</v>
      </c>
      <c r="BT274" s="125">
        <f>Tabela1[[#This Row],[Pré RDW %]]</f>
        <v>14.6</v>
      </c>
      <c r="BU274" s="125">
        <f>Tabela1[[#This Row],[Pós RDW %]]</f>
        <v>15</v>
      </c>
      <c r="BV274" s="179">
        <f>Tabela1[[#This Row],[Pré RET %]]</f>
        <v>0.71</v>
      </c>
      <c r="BW274" s="196">
        <f>Tabela1[[#This Row],[Pós RET %]]</f>
        <v>0.82</v>
      </c>
      <c r="BX274" s="197">
        <f>Tabela1[[#This Row],[Pré WBC 10³/mm³]]</f>
        <v>6.27</v>
      </c>
      <c r="BY274" s="179">
        <f>Tabela1[[#This Row],[Pós WBC 10³/mm³]]</f>
        <v>9.6999999999999993</v>
      </c>
      <c r="BZ274" s="125">
        <f>Tabela1[[#This Row],[Pré NEUT %]]</f>
        <v>55.5</v>
      </c>
      <c r="CA274" s="125">
        <f>Tabela1[[#This Row],[Pós NEUT %]]</f>
        <v>68.400000000000006</v>
      </c>
      <c r="CB274" s="125">
        <f>Tabela1[[#This Row],[Pré LINF %]]</f>
        <v>29.9</v>
      </c>
      <c r="CC274" s="125">
        <f>Tabela1[[#This Row],[Pós LINF %]]</f>
        <v>22.9</v>
      </c>
      <c r="CD274" s="125">
        <f>Tabela1[[#This Row],[Pré MONO %]]</f>
        <v>10.5</v>
      </c>
      <c r="CE274" s="125">
        <f>Tabela1[[#This Row],[Pós MONO %]]</f>
        <v>7.3</v>
      </c>
      <c r="CF274" s="125">
        <f>Tabela1[[#This Row],[Pré EOS %]]</f>
        <v>3.1</v>
      </c>
      <c r="CG274" s="125">
        <f>Tabela1[[#This Row],[Pós EOS %]]</f>
        <v>0.8</v>
      </c>
      <c r="CH274" s="125">
        <f>Tabela1[[#This Row],[Pré BASO %]]</f>
        <v>1</v>
      </c>
      <c r="CI274" s="198">
        <f>Tabela1[[#This Row],[Pós BASO %]]</f>
        <v>0.6</v>
      </c>
      <c r="CJ274" s="199" t="str">
        <f t="shared" si="17"/>
        <v>NÃO</v>
      </c>
      <c r="CK274" s="200" t="str">
        <f t="shared" si="18"/>
        <v>NÃO</v>
      </c>
      <c r="CL274" s="194">
        <f t="shared" si="19"/>
        <v>65.962705</v>
      </c>
      <c r="CM274" s="125">
        <f>Tabela1[[#This Row],[MCT KG]]</f>
        <v>75.55</v>
      </c>
      <c r="CN274" s="85">
        <f>Tabela1[[#This Row],[ESTATURA]]</f>
        <v>177.5</v>
      </c>
      <c r="CO274" s="85">
        <f>Tabela1[[#This Row],[vo2max estimado]]</f>
        <v>50.61</v>
      </c>
      <c r="CP274" s="85">
        <f>Tabela1[[#This Row],[Handgrip     Dominante]]</f>
        <v>56</v>
      </c>
      <c r="CQ274" s="85">
        <f>Tabela1[[#This Row],[Handgrip Contrário]]</f>
        <v>50</v>
      </c>
      <c r="CR274" s="281">
        <f>Tabela1[[#This Row],[% gordura]]</f>
        <v>12.69</v>
      </c>
    </row>
    <row r="275" spans="1:96" ht="15.75" customHeight="1">
      <c r="A275" s="279">
        <f>Tabela1[[#This Row],[Ano]]</f>
        <v>2022</v>
      </c>
      <c r="B275" s="181" t="str">
        <f>Tabela1[[#This Row],[Missão]]</f>
        <v>Tonelero</v>
      </c>
      <c r="C275" s="181">
        <f>Tabela1[[#This Row],[Aluno]]</f>
        <v>3248</v>
      </c>
      <c r="D275" s="181">
        <f>Tabela1[[#This Row],[Idade]]</f>
        <v>31</v>
      </c>
      <c r="E275" s="182">
        <f>Tabela1[[#This Row],[Peso Kg]]</f>
        <v>76</v>
      </c>
      <c r="F275" s="191">
        <f>Tabela1[[#This Row],[Cor da pele]]</f>
        <v>1</v>
      </c>
      <c r="G275" s="192" t="str">
        <f>Tabela1[[#This Row],[ACTN3]]</f>
        <v>XX</v>
      </c>
      <c r="H275" s="85" t="str">
        <f>Tabela1[[#This Row],[AGT]]</f>
        <v>MT</v>
      </c>
      <c r="I275" s="85" t="str">
        <f>Tabela1[[#This Row],[ECA]]</f>
        <v>ID</v>
      </c>
      <c r="J275" s="85" t="str">
        <f>Tabela1[[#This Row],[BDKRB2]]</f>
        <v>(+9, +9)</v>
      </c>
      <c r="K275" s="85">
        <f>Tabela1[[#This Row],[Score Força%]]</f>
        <v>50</v>
      </c>
      <c r="L275" s="193">
        <f>Tabela1[[#This Row],[Score Resistência %]]</f>
        <v>50</v>
      </c>
      <c r="M275" s="192">
        <f>Tabela1[[#This Row],[Pré CK (U/L)]]</f>
        <v>202</v>
      </c>
      <c r="N275" s="85">
        <f>Tabela1[[#This Row],[Pós CK (U/L)]]</f>
        <v>608</v>
      </c>
      <c r="O275" s="85" t="str">
        <f>Tabela1[[#This Row],[Pré CK MB U/L]]</f>
        <v>-</v>
      </c>
      <c r="P275" s="85" t="str">
        <f>Tabela1[[#This Row],[Pós CK MB U/L]]</f>
        <v>-</v>
      </c>
      <c r="Q275" s="85">
        <f>Tabela1[[#This Row],[Pré Lactato (mmol/L)]]</f>
        <v>1.5</v>
      </c>
      <c r="R275" s="85">
        <f>Tabela1[[#This Row],[Pós Lactato (mmol/L)]]</f>
        <v>2.7</v>
      </c>
      <c r="S275" s="85">
        <f>Tabela1[[#This Row],[Pré LDH (U/L)]]</f>
        <v>310</v>
      </c>
      <c r="T275" s="85">
        <f>Tabela1[[#This Row],[Pós LDH (U/L)]]</f>
        <v>418</v>
      </c>
      <c r="U275" s="85">
        <f>Tabela1[[#This Row],[Pré AST (U/L)]]</f>
        <v>53</v>
      </c>
      <c r="V275" s="193">
        <f>Tabela1[[#This Row],[Pós AST (U/L)]]</f>
        <v>73</v>
      </c>
      <c r="W275" s="194" t="str">
        <f>Tabela1[[#This Row],[Pré Albumina (g/dL)]]</f>
        <v>-</v>
      </c>
      <c r="X275" s="125" t="str">
        <f>Tabela1[[#This Row],[Pós Albumina (g/dL)]]</f>
        <v>-</v>
      </c>
      <c r="Y275" s="85" t="str">
        <f>Tabela1[[#This Row],[Pré TGP (g/dL)]]</f>
        <v>-</v>
      </c>
      <c r="Z275" s="85" t="str">
        <f>Tabela1[[#This Row],[Pós TGP (g/dL)]]</f>
        <v>-</v>
      </c>
      <c r="AA275" s="85" t="str">
        <f>Tabela1[[#This Row],[Pré GGT U/L]]</f>
        <v>-</v>
      </c>
      <c r="AB275" s="193" t="str">
        <f>Tabela1[[#This Row],[Pós GGT U/L]]</f>
        <v>-</v>
      </c>
      <c r="AC275" s="194">
        <f>Tabela1[[#This Row],[Pré Ac. Úrico (mg/dL)]]</f>
        <v>4.5</v>
      </c>
      <c r="AD275" s="125">
        <f>Tabela1[[#This Row],[Pós Ac. Úrico (mg/dL)2]]</f>
        <v>4.9000000000000004</v>
      </c>
      <c r="AE27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7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75" s="85">
        <f>Tabela1[[#This Row],[Pré Ureia mg/dL]]</f>
        <v>45</v>
      </c>
      <c r="AH275" s="85">
        <f>Tabela1[[#This Row],[Pós Ureia mg/dL]]</f>
        <v>55</v>
      </c>
      <c r="AI275" s="125">
        <f>Tabela1[[#This Row],[Pré creatinina mg/dL]]</f>
        <v>1</v>
      </c>
      <c r="AJ275" s="125">
        <f>Tabela1[[#This Row],[Pós creatinina mg/dL]]</f>
        <v>0.9</v>
      </c>
      <c r="AK275" s="180">
        <f t="shared" si="16"/>
        <v>0</v>
      </c>
      <c r="AL275" s="125">
        <f>Tabela1[[#This Row],[Pré Fósforo mg/dL]]</f>
        <v>3.8</v>
      </c>
      <c r="AM275" s="125">
        <f>Tabela1[[#This Row],[Pós Fósforo mg/dL]]</f>
        <v>4.5</v>
      </c>
      <c r="AN275" s="125">
        <f>Tabela1[[#This Row],[Pré Proteína Total (g/dL)]]</f>
        <v>7.2</v>
      </c>
      <c r="AO275" s="125">
        <f>Tabela1[[#This Row],[Pós Proteína Total (g/dL)]]</f>
        <v>7.2</v>
      </c>
      <c r="AP275" s="85">
        <f>Tabela1[[#This Row],[Pré FE (ug/dL)]]</f>
        <v>70</v>
      </c>
      <c r="AQ275" s="193">
        <f>Tabela1[[#This Row],[Pós FE (ug/dL)]]</f>
        <v>54</v>
      </c>
      <c r="AR275" s="194">
        <f>Tabela1[[#This Row],[Pré calcio mg/dL]]</f>
        <v>9.3000000000000007</v>
      </c>
      <c r="AS275" s="125">
        <f>Tabela1[[#This Row],[Pós calcio mg/dL]]</f>
        <v>9.3000000000000007</v>
      </c>
      <c r="AT275" s="125">
        <f>Tabela1[[#This Row],[Pré Potássio mmol/L]]</f>
        <v>4.2</v>
      </c>
      <c r="AU275" s="125">
        <f>Tabela1[[#This Row],[Pós Potássio mmol/L]]</f>
        <v>4.0999999999999996</v>
      </c>
      <c r="AV275" s="85">
        <f>Tabela1[[#This Row],[Glicose pré]]</f>
        <v>101</v>
      </c>
      <c r="AW275" s="85">
        <f>Tabela1[[#This Row],[Glicose pós]]</f>
        <v>104</v>
      </c>
      <c r="AX275" s="85">
        <f>Tabela1[[#This Row],[Pré Sódio mmol/L]]</f>
        <v>146</v>
      </c>
      <c r="AY275" s="85">
        <f>Tabela1[[#This Row],[Pós Sódio mmol/L]]</f>
        <v>144</v>
      </c>
      <c r="AZ275" s="125" t="str">
        <f>Tabela1[[#This Row],[Pré Magnésio mg/dL]]</f>
        <v>-</v>
      </c>
      <c r="BA275" s="125">
        <f>Tabela1[[#This Row],[Pós Magnésio mg/dL]]</f>
        <v>2.1</v>
      </c>
      <c r="BB275" s="85">
        <f>Tabela1[[#This Row],[Pré Cloro mmol/L]]</f>
        <v>105</v>
      </c>
      <c r="BC275" s="85">
        <f>Tabela1[[#This Row],[Pós Cloro mmol/L]]</f>
        <v>105</v>
      </c>
      <c r="BD27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307.3247777777778</v>
      </c>
      <c r="BE27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305.27711111111114</v>
      </c>
      <c r="BF275" s="194">
        <f>Tabela1[[#This Row],[Pré RBC 10^6/mm³]]</f>
        <v>4.66</v>
      </c>
      <c r="BG275" s="125">
        <f>Tabela1[[#This Row],[Pós RBC 10^6/mm³]]</f>
        <v>4.68</v>
      </c>
      <c r="BH275" s="125">
        <f>Tabela1[[#This Row],[Pré HGB g/dL]]</f>
        <v>14.8</v>
      </c>
      <c r="BI275" s="125">
        <f>Tabela1[[#This Row],[Pós HGB g/dL]]</f>
        <v>14.4</v>
      </c>
      <c r="BJ275" s="125">
        <f>Tabela1[[#This Row],[Pré HCT %]]</f>
        <v>42.5</v>
      </c>
      <c r="BK275" s="125">
        <f>Tabela1[[#This Row],[Pós HCT %]]</f>
        <v>44.3</v>
      </c>
      <c r="BL275" s="125">
        <f>Tabela1[[#This Row],[Pré MCV fL]]</f>
        <v>91.2</v>
      </c>
      <c r="BM275" s="125">
        <f>Tabela1[[#This Row],[Pós MCV fL]]</f>
        <v>94</v>
      </c>
      <c r="BN275" s="125">
        <f>Tabela1[[#This Row],[Pré MCH pg]]</f>
        <v>31.7</v>
      </c>
      <c r="BO275" s="125">
        <f>Tabela1[[#This Row],[Pós MCH pg]]</f>
        <v>30.6</v>
      </c>
      <c r="BP275" s="125">
        <f>Tabela1[[#This Row],[Pré MCHC g/dL]]</f>
        <v>34.700000000000003</v>
      </c>
      <c r="BQ275" s="125">
        <f>Tabela1[[#This Row],[Pós MCHC g/dL]]</f>
        <v>32.5</v>
      </c>
      <c r="BR275" s="85">
        <f>Tabela1[[#This Row],[Pré PLT 10³/mm³]]</f>
        <v>302</v>
      </c>
      <c r="BS275" s="85">
        <f>Tabela1[[#This Row],[Pós PLT 10³/mm³]]</f>
        <v>253</v>
      </c>
      <c r="BT275" s="125">
        <f>Tabela1[[#This Row],[Pré RDW %]]</f>
        <v>13.9</v>
      </c>
      <c r="BU275" s="125">
        <f>Tabela1[[#This Row],[Pós RDW %]]</f>
        <v>13.2</v>
      </c>
      <c r="BV275" s="179">
        <f>Tabela1[[#This Row],[Pré RET %]]</f>
        <v>0.73</v>
      </c>
      <c r="BW275" s="196">
        <f>Tabela1[[#This Row],[Pós RET %]]</f>
        <v>0.42</v>
      </c>
      <c r="BX275" s="197">
        <f>Tabela1[[#This Row],[Pré WBC 10³/mm³]]</f>
        <v>5.64</v>
      </c>
      <c r="BY275" s="179">
        <f>Tabela1[[#This Row],[Pós WBC 10³/mm³]]</f>
        <v>9.86</v>
      </c>
      <c r="BZ275" s="125">
        <f>Tabela1[[#This Row],[Pré NEUT %]]</f>
        <v>49.3</v>
      </c>
      <c r="CA275" s="125">
        <f>Tabela1[[#This Row],[Pós NEUT %]]</f>
        <v>70.900000000000006</v>
      </c>
      <c r="CB275" s="125">
        <f>Tabela1[[#This Row],[Pré LINF %]]</f>
        <v>32.9</v>
      </c>
      <c r="CC275" s="125">
        <f>Tabela1[[#This Row],[Pós LINF %]]</f>
        <v>19.399999999999999</v>
      </c>
      <c r="CD275" s="125">
        <f>Tabela1[[#This Row],[Pré MONO %]]</f>
        <v>12.2</v>
      </c>
      <c r="CE275" s="125">
        <f>Tabela1[[#This Row],[Pós MONO %]]</f>
        <v>7.9</v>
      </c>
      <c r="CF275" s="125">
        <f>Tabela1[[#This Row],[Pré EOS %]]</f>
        <v>4.2</v>
      </c>
      <c r="CG275" s="125">
        <f>Tabela1[[#This Row],[Pós EOS %]]</f>
        <v>1.5</v>
      </c>
      <c r="CH275" s="125">
        <f>Tabela1[[#This Row],[Pré BASO %]]</f>
        <v>1.4</v>
      </c>
      <c r="CI275" s="198">
        <f>Tabela1[[#This Row],[Pós BASO %]]</f>
        <v>0.3</v>
      </c>
      <c r="CJ275" s="199" t="str">
        <f t="shared" si="17"/>
        <v>NÃO</v>
      </c>
      <c r="CK275" s="200" t="str">
        <f t="shared" si="18"/>
        <v>NÃO</v>
      </c>
      <c r="CL275" s="194">
        <f t="shared" si="19"/>
        <v>71.403599999999997</v>
      </c>
      <c r="CM275" s="125">
        <f>Tabela1[[#This Row],[MCT KG]]</f>
        <v>78.5</v>
      </c>
      <c r="CN275" s="85">
        <f>Tabela1[[#This Row],[ESTATURA]]</f>
        <v>173.5</v>
      </c>
      <c r="CO275" s="85">
        <f>Tabela1[[#This Row],[vo2max estimado]]</f>
        <v>51.8</v>
      </c>
      <c r="CP275" s="85">
        <f>Tabela1[[#This Row],[Handgrip     Dominante]]</f>
        <v>57</v>
      </c>
      <c r="CQ275" s="85">
        <f>Tabela1[[#This Row],[Handgrip Contrário]]</f>
        <v>60</v>
      </c>
      <c r="CR275" s="281">
        <f>Tabela1[[#This Row],[% gordura]]</f>
        <v>9.0399999999999991</v>
      </c>
    </row>
    <row r="276" spans="1:96" ht="15.75" customHeight="1">
      <c r="A276" s="279">
        <f>Tabela1[[#This Row],[Ano]]</f>
        <v>2022</v>
      </c>
      <c r="B276" s="181" t="str">
        <f>Tabela1[[#This Row],[Missão]]</f>
        <v>Tonelero</v>
      </c>
      <c r="C276" s="181">
        <f>Tabela1[[#This Row],[Aluno]]</f>
        <v>3249</v>
      </c>
      <c r="D276" s="181">
        <f>Tabela1[[#This Row],[Idade]]</f>
        <v>32</v>
      </c>
      <c r="E276" s="182">
        <f>Tabela1[[#This Row],[Peso Kg]]</f>
        <v>78</v>
      </c>
      <c r="F276" s="191">
        <f>Tabela1[[#This Row],[Cor da pele]]</f>
        <v>2</v>
      </c>
      <c r="G276" s="192" t="str">
        <f>Tabela1[[#This Row],[ACTN3]]</f>
        <v>RR</v>
      </c>
      <c r="H276" s="85" t="str">
        <f>Tabela1[[#This Row],[AGT]]</f>
        <v>TT</v>
      </c>
      <c r="I276" s="85" t="str">
        <f>Tabela1[[#This Row],[ECA]]</f>
        <v>ID</v>
      </c>
      <c r="J276" s="85" t="str">
        <f>Tabela1[[#This Row],[BDKRB2]]</f>
        <v>(+9, +9)</v>
      </c>
      <c r="K276" s="85">
        <f>Tabela1[[#This Row],[Score Força%]]</f>
        <v>87.5</v>
      </c>
      <c r="L276" s="193">
        <f>Tabela1[[#This Row],[Score Resistência %]]</f>
        <v>12.5</v>
      </c>
      <c r="M276" s="192">
        <f>Tabela1[[#This Row],[Pré CK (U/L)]]</f>
        <v>462</v>
      </c>
      <c r="N276" s="85">
        <f>Tabela1[[#This Row],[Pós CK (U/L)]]</f>
        <v>1189</v>
      </c>
      <c r="O276" s="85" t="str">
        <f>Tabela1[[#This Row],[Pré CK MB U/L]]</f>
        <v>-</v>
      </c>
      <c r="P276" s="85" t="str">
        <f>Tabela1[[#This Row],[Pós CK MB U/L]]</f>
        <v>-</v>
      </c>
      <c r="Q276" s="85">
        <f>Tabela1[[#This Row],[Pré Lactato (mmol/L)]]</f>
        <v>1.8</v>
      </c>
      <c r="R276" s="85">
        <f>Tabela1[[#This Row],[Pós Lactato (mmol/L)]]</f>
        <v>2.2999999999999998</v>
      </c>
      <c r="S276" s="85">
        <f>Tabela1[[#This Row],[Pré LDH (U/L)]]</f>
        <v>337</v>
      </c>
      <c r="T276" s="85">
        <f>Tabela1[[#This Row],[Pós LDH (U/L)]]</f>
        <v>476</v>
      </c>
      <c r="U276" s="85">
        <f>Tabela1[[#This Row],[Pré AST (U/L)]]</f>
        <v>45</v>
      </c>
      <c r="V276" s="193">
        <f>Tabela1[[#This Row],[Pós AST (U/L)]]</f>
        <v>78</v>
      </c>
      <c r="W276" s="194" t="str">
        <f>Tabela1[[#This Row],[Pré Albumina (g/dL)]]</f>
        <v>-</v>
      </c>
      <c r="X276" s="125" t="str">
        <f>Tabela1[[#This Row],[Pós Albumina (g/dL)]]</f>
        <v>-</v>
      </c>
      <c r="Y276" s="85" t="str">
        <f>Tabela1[[#This Row],[Pré TGP (g/dL)]]</f>
        <v>-</v>
      </c>
      <c r="Z276" s="85" t="str">
        <f>Tabela1[[#This Row],[Pós TGP (g/dL)]]</f>
        <v>-</v>
      </c>
      <c r="AA276" s="85" t="str">
        <f>Tabela1[[#This Row],[Pré GGT U/L]]</f>
        <v>-</v>
      </c>
      <c r="AB276" s="193" t="str">
        <f>Tabela1[[#This Row],[Pós GGT U/L]]</f>
        <v>-</v>
      </c>
      <c r="AC276" s="194">
        <f>Tabela1[[#This Row],[Pré Ac. Úrico (mg/dL)]]</f>
        <v>4.9000000000000004</v>
      </c>
      <c r="AD276" s="125">
        <f>Tabela1[[#This Row],[Pós Ac. Úrico (mg/dL)2]]</f>
        <v>7.2</v>
      </c>
      <c r="AE27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7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76" s="85">
        <f>Tabela1[[#This Row],[Pré Ureia mg/dL]]</f>
        <v>32</v>
      </c>
      <c r="AH276" s="85">
        <f>Tabela1[[#This Row],[Pós Ureia mg/dL]]</f>
        <v>49</v>
      </c>
      <c r="AI276" s="125">
        <f>Tabela1[[#This Row],[Pré creatinina mg/dL]]</f>
        <v>1</v>
      </c>
      <c r="AJ276" s="125">
        <f>Tabela1[[#This Row],[Pós creatinina mg/dL]]</f>
        <v>1</v>
      </c>
      <c r="AK276" s="180">
        <f t="shared" si="16"/>
        <v>0</v>
      </c>
      <c r="AL276" s="125">
        <f>Tabela1[[#This Row],[Pré Fósforo mg/dL]]</f>
        <v>4.2</v>
      </c>
      <c r="AM276" s="125">
        <f>Tabela1[[#This Row],[Pós Fósforo mg/dL]]</f>
        <v>4.4000000000000004</v>
      </c>
      <c r="AN276" s="125">
        <f>Tabela1[[#This Row],[Pré Proteína Total (g/dL)]]</f>
        <v>6.6</v>
      </c>
      <c r="AO276" s="125">
        <f>Tabela1[[#This Row],[Pós Proteína Total (g/dL)]]</f>
        <v>7.7</v>
      </c>
      <c r="AP276" s="85">
        <f>Tabela1[[#This Row],[Pré FE (ug/dL)]]</f>
        <v>23</v>
      </c>
      <c r="AQ276" s="193">
        <f>Tabela1[[#This Row],[Pós FE (ug/dL)]]</f>
        <v>95</v>
      </c>
      <c r="AR276" s="194">
        <f>Tabela1[[#This Row],[Pré calcio mg/dL]]</f>
        <v>9.8000000000000007</v>
      </c>
      <c r="AS276" s="125">
        <f>Tabela1[[#This Row],[Pós calcio mg/dL]]</f>
        <v>10.5</v>
      </c>
      <c r="AT276" s="125">
        <f>Tabela1[[#This Row],[Pré Potássio mmol/L]]</f>
        <v>4.0999999999999996</v>
      </c>
      <c r="AU276" s="125">
        <f>Tabela1[[#This Row],[Pós Potássio mmol/L]]</f>
        <v>4.8</v>
      </c>
      <c r="AV276" s="85">
        <f>Tabela1[[#This Row],[Glicose pré]]</f>
        <v>94</v>
      </c>
      <c r="AW276" s="85">
        <f>Tabela1[[#This Row],[Glicose pós]]</f>
        <v>99</v>
      </c>
      <c r="AX276" s="85">
        <f>Tabela1[[#This Row],[Pré Sódio mmol/L]]</f>
        <v>142</v>
      </c>
      <c r="AY276" s="85">
        <f>Tabela1[[#This Row],[Pós Sódio mmol/L]]</f>
        <v>150</v>
      </c>
      <c r="AZ276" s="125">
        <f>Tabela1[[#This Row],[Pré Magnésio mg/dL]]</f>
        <v>2.2000000000000002</v>
      </c>
      <c r="BA276" s="125">
        <f>Tabela1[[#This Row],[Pós Magnésio mg/dL]]</f>
        <v>2.4</v>
      </c>
      <c r="BB276" s="85">
        <f>Tabela1[[#This Row],[Pré Cloro mmol/L]]</f>
        <v>103</v>
      </c>
      <c r="BC276" s="85">
        <f>Tabela1[[#This Row],[Pós Cloro mmol/L]]</f>
        <v>110</v>
      </c>
      <c r="BD27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297.08488888888883</v>
      </c>
      <c r="BE27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316.41966666666673</v>
      </c>
      <c r="BF276" s="194">
        <f>Tabela1[[#This Row],[Pré RBC 10^6/mm³]]</f>
        <v>4.49</v>
      </c>
      <c r="BG276" s="125">
        <f>Tabela1[[#This Row],[Pós RBC 10^6/mm³]]</f>
        <v>4.87</v>
      </c>
      <c r="BH276" s="125">
        <f>Tabela1[[#This Row],[Pré HGB g/dL]]</f>
        <v>14</v>
      </c>
      <c r="BI276" s="125">
        <f>Tabela1[[#This Row],[Pós HGB g/dL]]</f>
        <v>15</v>
      </c>
      <c r="BJ276" s="125">
        <f>Tabela1[[#This Row],[Pré HCT %]]</f>
        <v>40.799999999999997</v>
      </c>
      <c r="BK276" s="125">
        <f>Tabela1[[#This Row],[Pós HCT %]]</f>
        <v>45.3</v>
      </c>
      <c r="BL276" s="125">
        <f>Tabela1[[#This Row],[Pré MCV fL]]</f>
        <v>90.8</v>
      </c>
      <c r="BM276" s="125">
        <f>Tabela1[[#This Row],[Pós MCV fL]]</f>
        <v>92</v>
      </c>
      <c r="BN276" s="125">
        <f>Tabela1[[#This Row],[Pré MCH pg]]</f>
        <v>31.2</v>
      </c>
      <c r="BO276" s="125">
        <f>Tabela1[[#This Row],[Pós MCH pg]]</f>
        <v>30.5</v>
      </c>
      <c r="BP276" s="125">
        <f>Tabela1[[#This Row],[Pré MCHC g/dL]]</f>
        <v>34.299999999999997</v>
      </c>
      <c r="BQ276" s="125">
        <f>Tabela1[[#This Row],[Pós MCHC g/dL]]</f>
        <v>33.1</v>
      </c>
      <c r="BR276" s="85">
        <f>Tabela1[[#This Row],[Pré PLT 10³/mm³]]</f>
        <v>341</v>
      </c>
      <c r="BS276" s="85">
        <f>Tabela1[[#This Row],[Pós PLT 10³/mm³]]</f>
        <v>350</v>
      </c>
      <c r="BT276" s="125">
        <f>Tabela1[[#This Row],[Pré RDW %]]</f>
        <v>14.5</v>
      </c>
      <c r="BU276" s="125">
        <f>Tabela1[[#This Row],[Pós RDW %]]</f>
        <v>12.5</v>
      </c>
      <c r="BV276" s="179">
        <f>Tabela1[[#This Row],[Pré RET %]]</f>
        <v>1.3</v>
      </c>
      <c r="BW276" s="196">
        <f>Tabela1[[#This Row],[Pós RET %]]</f>
        <v>0.87</v>
      </c>
      <c r="BX276" s="197">
        <f>Tabela1[[#This Row],[Pré WBC 10³/mm³]]</f>
        <v>7.12</v>
      </c>
      <c r="BY276" s="179">
        <f>Tabela1[[#This Row],[Pós WBC 10³/mm³]]</f>
        <v>10.07</v>
      </c>
      <c r="BZ276" s="125">
        <f>Tabela1[[#This Row],[Pré NEUT %]]</f>
        <v>76.5</v>
      </c>
      <c r="CA276" s="125">
        <f>Tabela1[[#This Row],[Pós NEUT %]]</f>
        <v>72.599999999999994</v>
      </c>
      <c r="CB276" s="125">
        <f>Tabela1[[#This Row],[Pré LINF %]]</f>
        <v>9.6</v>
      </c>
      <c r="CC276" s="125">
        <f>Tabela1[[#This Row],[Pós LINF %]]</f>
        <v>18</v>
      </c>
      <c r="CD276" s="125">
        <f>Tabela1[[#This Row],[Pré MONO %]]</f>
        <v>12.7</v>
      </c>
      <c r="CE276" s="125">
        <f>Tabela1[[#This Row],[Pós MONO %]]</f>
        <v>7.6</v>
      </c>
      <c r="CF276" s="125">
        <f>Tabela1[[#This Row],[Pré EOS %]]</f>
        <v>0.8</v>
      </c>
      <c r="CG276" s="125">
        <f>Tabela1[[#This Row],[Pós EOS %]]</f>
        <v>1.2</v>
      </c>
      <c r="CH276" s="125">
        <f>Tabela1[[#This Row],[Pré BASO %]]</f>
        <v>0.4</v>
      </c>
      <c r="CI276" s="198">
        <f>Tabela1[[#This Row],[Pós BASO %]]</f>
        <v>0.6</v>
      </c>
      <c r="CJ276" s="199" t="str">
        <f t="shared" si="17"/>
        <v>NÃO</v>
      </c>
      <c r="CK276" s="200" t="str">
        <f t="shared" si="18"/>
        <v>SIM</v>
      </c>
      <c r="CL276" s="194">
        <f t="shared" si="19"/>
        <v>71.568749999999994</v>
      </c>
      <c r="CM276" s="125">
        <f>Tabela1[[#This Row],[MCT KG]]</f>
        <v>82.5</v>
      </c>
      <c r="CN276" s="85">
        <f>Tabela1[[#This Row],[ESTATURA]]</f>
        <v>174</v>
      </c>
      <c r="CO276" s="85">
        <f>Tabela1[[#This Row],[vo2max estimado]]</f>
        <v>50.33</v>
      </c>
      <c r="CP276" s="85">
        <f>Tabela1[[#This Row],[Handgrip     Dominante]]</f>
        <v>56</v>
      </c>
      <c r="CQ276" s="85">
        <f>Tabela1[[#This Row],[Handgrip Contrário]]</f>
        <v>53</v>
      </c>
      <c r="CR276" s="281">
        <f>Tabela1[[#This Row],[% gordura]]</f>
        <v>13.25</v>
      </c>
    </row>
    <row r="277" spans="1:96" ht="15.75" customHeight="1">
      <c r="A277" s="279">
        <f>Tabela1[[#This Row],[Ano]]</f>
        <v>2022</v>
      </c>
      <c r="B277" s="181" t="str">
        <f>Tabela1[[#This Row],[Missão]]</f>
        <v>Tonelero</v>
      </c>
      <c r="C277" s="181">
        <f>Tabela1[[#This Row],[Aluno]]</f>
        <v>3250</v>
      </c>
      <c r="D277" s="181">
        <f>Tabela1[[#This Row],[Idade]]</f>
        <v>33</v>
      </c>
      <c r="E277" s="182">
        <f>Tabela1[[#This Row],[Peso Kg]]</f>
        <v>68</v>
      </c>
      <c r="F277" s="191">
        <f>Tabela1[[#This Row],[Cor da pele]]</f>
        <v>1</v>
      </c>
      <c r="G277" s="192" t="str">
        <f>Tabela1[[#This Row],[ACTN3]]</f>
        <v>RR</v>
      </c>
      <c r="H277" s="85" t="str">
        <f>Tabela1[[#This Row],[AGT]]</f>
        <v>MT</v>
      </c>
      <c r="I277" s="85" t="str">
        <f>Tabela1[[#This Row],[ECA]]</f>
        <v>ID</v>
      </c>
      <c r="J277" s="85" t="str">
        <f>Tabela1[[#This Row],[BDKRB2]]</f>
        <v>(+9, +9)</v>
      </c>
      <c r="K277" s="85">
        <f>Tabela1[[#This Row],[Score Força%]]</f>
        <v>75</v>
      </c>
      <c r="L277" s="193">
        <f>Tabela1[[#This Row],[Score Resistência %]]</f>
        <v>25</v>
      </c>
      <c r="M277" s="192">
        <f>Tabela1[[#This Row],[Pré CK (U/L)]]</f>
        <v>228</v>
      </c>
      <c r="N277" s="85">
        <f>Tabela1[[#This Row],[Pós CK (U/L)]]</f>
        <v>1407</v>
      </c>
      <c r="O277" s="85" t="str">
        <f>Tabela1[[#This Row],[Pré CK MB U/L]]</f>
        <v>-</v>
      </c>
      <c r="P277" s="85" t="str">
        <f>Tabela1[[#This Row],[Pós CK MB U/L]]</f>
        <v>-</v>
      </c>
      <c r="Q277" s="85">
        <f>Tabela1[[#This Row],[Pré Lactato (mmol/L)]]</f>
        <v>3</v>
      </c>
      <c r="R277" s="85">
        <f>Tabela1[[#This Row],[Pós Lactato (mmol/L)]]</f>
        <v>3.2</v>
      </c>
      <c r="S277" s="85">
        <f>Tabela1[[#This Row],[Pré LDH (U/L)]]</f>
        <v>318</v>
      </c>
      <c r="T277" s="85">
        <f>Tabela1[[#This Row],[Pós LDH (U/L)]]</f>
        <v>564</v>
      </c>
      <c r="U277" s="85">
        <f>Tabela1[[#This Row],[Pré AST (U/L)]]</f>
        <v>57</v>
      </c>
      <c r="V277" s="193">
        <f>Tabela1[[#This Row],[Pós AST (U/L)]]</f>
        <v>157</v>
      </c>
      <c r="W277" s="194" t="str">
        <f>Tabela1[[#This Row],[Pré Albumina (g/dL)]]</f>
        <v>-</v>
      </c>
      <c r="X277" s="125" t="str">
        <f>Tabela1[[#This Row],[Pós Albumina (g/dL)]]</f>
        <v>-</v>
      </c>
      <c r="Y277" s="85" t="str">
        <f>Tabela1[[#This Row],[Pré TGP (g/dL)]]</f>
        <v>-</v>
      </c>
      <c r="Z277" s="85" t="str">
        <f>Tabela1[[#This Row],[Pós TGP (g/dL)]]</f>
        <v>-</v>
      </c>
      <c r="AA277" s="85" t="str">
        <f>Tabela1[[#This Row],[Pré GGT U/L]]</f>
        <v>-</v>
      </c>
      <c r="AB277" s="193" t="str">
        <f>Tabela1[[#This Row],[Pós GGT U/L]]</f>
        <v>-</v>
      </c>
      <c r="AC277" s="194">
        <f>Tabela1[[#This Row],[Pré Ac. Úrico (mg/dL)]]</f>
        <v>5.3</v>
      </c>
      <c r="AD277" s="125">
        <f>Tabela1[[#This Row],[Pós Ac. Úrico (mg/dL)2]]</f>
        <v>8.9</v>
      </c>
      <c r="AE27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7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277" s="85">
        <f>Tabela1[[#This Row],[Pré Ureia mg/dL]]</f>
        <v>33</v>
      </c>
      <c r="AH277" s="85">
        <f>Tabela1[[#This Row],[Pós Ureia mg/dL]]</f>
        <v>62</v>
      </c>
      <c r="AI277" s="125">
        <f>Tabela1[[#This Row],[Pré creatinina mg/dL]]</f>
        <v>1</v>
      </c>
      <c r="AJ277" s="125">
        <f>Tabela1[[#This Row],[Pós creatinina mg/dL]]</f>
        <v>1.1000000000000001</v>
      </c>
      <c r="AK277" s="180">
        <f t="shared" si="16"/>
        <v>0.10000000000000009</v>
      </c>
      <c r="AL277" s="125">
        <f>Tabela1[[#This Row],[Pré Fósforo mg/dL]]</f>
        <v>4.2</v>
      </c>
      <c r="AM277" s="125">
        <f>Tabela1[[#This Row],[Pós Fósforo mg/dL]]</f>
        <v>4.5</v>
      </c>
      <c r="AN277" s="125">
        <f>Tabela1[[#This Row],[Pré Proteína Total (g/dL)]]</f>
        <v>6.5</v>
      </c>
      <c r="AO277" s="125">
        <f>Tabela1[[#This Row],[Pós Proteína Total (g/dL)]]</f>
        <v>7.3</v>
      </c>
      <c r="AP277" s="85">
        <f>Tabela1[[#This Row],[Pré FE (ug/dL)]]</f>
        <v>45</v>
      </c>
      <c r="AQ277" s="193">
        <f>Tabela1[[#This Row],[Pós FE (ug/dL)]]</f>
        <v>28</v>
      </c>
      <c r="AR277" s="194">
        <f>Tabela1[[#This Row],[Pré calcio mg/dL]]</f>
        <v>9.4</v>
      </c>
      <c r="AS277" s="125">
        <f>Tabela1[[#This Row],[Pós calcio mg/dL]]</f>
        <v>10.4</v>
      </c>
      <c r="AT277" s="125">
        <f>Tabela1[[#This Row],[Pré Potássio mmol/L]]</f>
        <v>4.2</v>
      </c>
      <c r="AU277" s="125">
        <f>Tabela1[[#This Row],[Pós Potássio mmol/L]]</f>
        <v>4.5999999999999996</v>
      </c>
      <c r="AV277" s="85">
        <f>Tabela1[[#This Row],[Glicose pré]]</f>
        <v>100</v>
      </c>
      <c r="AW277" s="85">
        <f>Tabela1[[#This Row],[Glicose pós]]</f>
        <v>123</v>
      </c>
      <c r="AX277" s="85">
        <f>Tabela1[[#This Row],[Pré Sódio mmol/L]]</f>
        <v>144</v>
      </c>
      <c r="AY277" s="85">
        <f>Tabela1[[#This Row],[Pós Sódio mmol/L]]</f>
        <v>159</v>
      </c>
      <c r="AZ277" s="125">
        <f>Tabela1[[#This Row],[Pré Magnésio mg/dL]]</f>
        <v>2</v>
      </c>
      <c r="BA277" s="125">
        <f>Tabela1[[#This Row],[Pós Magnésio mg/dL]]</f>
        <v>2.4</v>
      </c>
      <c r="BB277" s="85">
        <f>Tabela1[[#This Row],[Pré Cloro mmol/L]]</f>
        <v>103</v>
      </c>
      <c r="BC277" s="85">
        <f>Tabela1[[#This Row],[Pós Cloro mmol/L]]</f>
        <v>120</v>
      </c>
      <c r="BD27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301.5408888888889</v>
      </c>
      <c r="BE27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336.48766666666666</v>
      </c>
      <c r="BF277" s="194">
        <f>Tabela1[[#This Row],[Pré RBC 10^6/mm³]]</f>
        <v>4.2300000000000004</v>
      </c>
      <c r="BG277" s="125">
        <f>Tabela1[[#This Row],[Pós RBC 10^6/mm³]]</f>
        <v>3.91</v>
      </c>
      <c r="BH277" s="125">
        <f>Tabela1[[#This Row],[Pré HGB g/dL]]</f>
        <v>12.9</v>
      </c>
      <c r="BI277" s="125">
        <f>Tabela1[[#This Row],[Pós HGB g/dL]]</f>
        <v>12</v>
      </c>
      <c r="BJ277" s="125">
        <f>Tabela1[[#This Row],[Pré HCT %]]</f>
        <v>37.299999999999997</v>
      </c>
      <c r="BK277" s="125">
        <f>Tabela1[[#This Row],[Pós HCT %]]</f>
        <v>36</v>
      </c>
      <c r="BL277" s="125">
        <f>Tabela1[[#This Row],[Pré MCV fL]]</f>
        <v>88</v>
      </c>
      <c r="BM277" s="125">
        <f>Tabela1[[#This Row],[Pós MCV fL]]</f>
        <v>89.8</v>
      </c>
      <c r="BN277" s="125">
        <f>Tabela1[[#This Row],[Pré MCH pg]]</f>
        <v>30.5</v>
      </c>
      <c r="BO277" s="125">
        <f>Tabela1[[#This Row],[Pós MCH pg]]</f>
        <v>29.9</v>
      </c>
      <c r="BP277" s="125">
        <f>Tabela1[[#This Row],[Pré MCHC g/dL]]</f>
        <v>34.700000000000003</v>
      </c>
      <c r="BQ277" s="125">
        <f>Tabela1[[#This Row],[Pós MCHC g/dL]]</f>
        <v>33.299999999999997</v>
      </c>
      <c r="BR277" s="85">
        <f>Tabela1[[#This Row],[Pré PLT 10³/mm³]]</f>
        <v>348</v>
      </c>
      <c r="BS277" s="85">
        <f>Tabela1[[#This Row],[Pós PLT 10³/mm³]]</f>
        <v>328</v>
      </c>
      <c r="BT277" s="125">
        <f>Tabela1[[#This Row],[Pré RDW %]]</f>
        <v>14.2</v>
      </c>
      <c r="BU277" s="125">
        <f>Tabela1[[#This Row],[Pós RDW %]]</f>
        <v>12.8</v>
      </c>
      <c r="BV277" s="179">
        <f>Tabela1[[#This Row],[Pré RET %]]</f>
        <v>0.74</v>
      </c>
      <c r="BW277" s="196">
        <f>Tabela1[[#This Row],[Pós RET %]]</f>
        <v>0.94</v>
      </c>
      <c r="BX277" s="197">
        <f>Tabela1[[#This Row],[Pré WBC 10³/mm³]]</f>
        <v>5.93</v>
      </c>
      <c r="BY277" s="179">
        <f>Tabela1[[#This Row],[Pós WBC 10³/mm³]]</f>
        <v>16.239999999999998</v>
      </c>
      <c r="BZ277" s="125">
        <f>Tabela1[[#This Row],[Pré NEUT %]]</f>
        <v>65.599999999999994</v>
      </c>
      <c r="CA277" s="125">
        <f>Tabela1[[#This Row],[Pós NEUT %]]</f>
        <v>89.2</v>
      </c>
      <c r="CB277" s="125">
        <f>Tabela1[[#This Row],[Pré LINF %]]</f>
        <v>23.8</v>
      </c>
      <c r="CC277" s="125">
        <f>Tabela1[[#This Row],[Pós LINF %]]</f>
        <v>5.7</v>
      </c>
      <c r="CD277" s="125">
        <f>Tabela1[[#This Row],[Pré MONO %]]</f>
        <v>7.4</v>
      </c>
      <c r="CE277" s="125">
        <f>Tabela1[[#This Row],[Pós MONO %]]</f>
        <v>4.5</v>
      </c>
      <c r="CF277" s="125">
        <f>Tabela1[[#This Row],[Pré EOS %]]</f>
        <v>2</v>
      </c>
      <c r="CG277" s="125">
        <f>Tabela1[[#This Row],[Pós EOS %]]</f>
        <v>0.6</v>
      </c>
      <c r="CH277" s="125">
        <f>Tabela1[[#This Row],[Pré BASO %]]</f>
        <v>1.2</v>
      </c>
      <c r="CI277" s="198">
        <f>Tabela1[[#This Row],[Pós BASO %]]</f>
        <v>0</v>
      </c>
      <c r="CJ277" s="199" t="str">
        <f t="shared" si="17"/>
        <v>NÃO</v>
      </c>
      <c r="CK277" s="200" t="str">
        <f t="shared" si="18"/>
        <v>SIM</v>
      </c>
      <c r="CL277" s="194">
        <f t="shared" si="19"/>
        <v>64.357799999999997</v>
      </c>
      <c r="CM277" s="125">
        <f>Tabela1[[#This Row],[MCT KG]]</f>
        <v>74</v>
      </c>
      <c r="CN277" s="85">
        <f>Tabela1[[#This Row],[ESTATURA]]</f>
        <v>172</v>
      </c>
      <c r="CO277" s="85">
        <f>Tabela1[[#This Row],[vo2max estimado]]</f>
        <v>52.46</v>
      </c>
      <c r="CP277" s="85">
        <f>Tabela1[[#This Row],[Handgrip     Dominante]]</f>
        <v>60</v>
      </c>
      <c r="CQ277" s="85">
        <f>Tabela1[[#This Row],[Handgrip Contrário]]</f>
        <v>58</v>
      </c>
      <c r="CR277" s="281">
        <f>Tabela1[[#This Row],[% gordura]]</f>
        <v>13.03</v>
      </c>
    </row>
    <row r="278" spans="1:96" ht="15.75" customHeight="1">
      <c r="A278" s="279">
        <f>Tabela1[[#This Row],[Ano]]</f>
        <v>2022</v>
      </c>
      <c r="B278" s="181" t="str">
        <f>Tabela1[[#This Row],[Missão]]</f>
        <v>Tonelero</v>
      </c>
      <c r="C278" s="181">
        <f>Tabela1[[#This Row],[Aluno]]</f>
        <v>3251</v>
      </c>
      <c r="D278" s="181">
        <f>Tabela1[[#This Row],[Idade]]</f>
        <v>31</v>
      </c>
      <c r="E278" s="182">
        <f>Tabela1[[#This Row],[Peso Kg]]</f>
        <v>82</v>
      </c>
      <c r="F278" s="191">
        <f>Tabela1[[#This Row],[Cor da pele]]</f>
        <v>1</v>
      </c>
      <c r="G278" s="192" t="str">
        <f>Tabela1[[#This Row],[ACTN3]]</f>
        <v>RX</v>
      </c>
      <c r="H278" s="85" t="str">
        <f>Tabela1[[#This Row],[AGT]]</f>
        <v>MT</v>
      </c>
      <c r="I278" s="85" t="str">
        <f>Tabela1[[#This Row],[ECA]]</f>
        <v>II</v>
      </c>
      <c r="J278" s="85" t="str">
        <f>Tabela1[[#This Row],[BDKRB2]]</f>
        <v>(+9, +9)</v>
      </c>
      <c r="K278" s="85">
        <f>Tabela1[[#This Row],[Score Força%]]</f>
        <v>50</v>
      </c>
      <c r="L278" s="193">
        <f>Tabela1[[#This Row],[Score Resistência %]]</f>
        <v>50</v>
      </c>
      <c r="M278" s="192">
        <f>Tabela1[[#This Row],[Pré CK (U/L)]]</f>
        <v>405</v>
      </c>
      <c r="N278" s="85">
        <f>Tabela1[[#This Row],[Pós CK (U/L)]]</f>
        <v>888</v>
      </c>
      <c r="O278" s="85" t="str">
        <f>Tabela1[[#This Row],[Pré CK MB U/L]]</f>
        <v>-</v>
      </c>
      <c r="P278" s="85" t="str">
        <f>Tabela1[[#This Row],[Pós CK MB U/L]]</f>
        <v>-</v>
      </c>
      <c r="Q278" s="85">
        <f>Tabela1[[#This Row],[Pré Lactato (mmol/L)]]</f>
        <v>2</v>
      </c>
      <c r="R278" s="85">
        <f>Tabela1[[#This Row],[Pós Lactato (mmol/L)]]</f>
        <v>2.8</v>
      </c>
      <c r="S278" s="85">
        <f>Tabela1[[#This Row],[Pré LDH (U/L)]]</f>
        <v>255</v>
      </c>
      <c r="T278" s="85">
        <f>Tabela1[[#This Row],[Pós LDH (U/L)]]</f>
        <v>301</v>
      </c>
      <c r="U278" s="85">
        <f>Tabela1[[#This Row],[Pré AST (U/L)]]</f>
        <v>49</v>
      </c>
      <c r="V278" s="193">
        <f>Tabela1[[#This Row],[Pós AST (U/L)]]</f>
        <v>68</v>
      </c>
      <c r="W278" s="194" t="str">
        <f>Tabela1[[#This Row],[Pré Albumina (g/dL)]]</f>
        <v>-</v>
      </c>
      <c r="X278" s="125" t="str">
        <f>Tabela1[[#This Row],[Pós Albumina (g/dL)]]</f>
        <v>-</v>
      </c>
      <c r="Y278" s="85" t="str">
        <f>Tabela1[[#This Row],[Pré TGP (g/dL)]]</f>
        <v>-</v>
      </c>
      <c r="Z278" s="85" t="str">
        <f>Tabela1[[#This Row],[Pós TGP (g/dL)]]</f>
        <v>-</v>
      </c>
      <c r="AA278" s="85" t="str">
        <f>Tabela1[[#This Row],[Pré GGT U/L]]</f>
        <v>-</v>
      </c>
      <c r="AB278" s="193" t="str">
        <f>Tabela1[[#This Row],[Pós GGT U/L]]</f>
        <v>-</v>
      </c>
      <c r="AC278" s="194">
        <f>Tabela1[[#This Row],[Pré Ac. Úrico (mg/dL)]]</f>
        <v>4.5999999999999996</v>
      </c>
      <c r="AD278" s="125">
        <f>Tabela1[[#This Row],[Pós Ac. Úrico (mg/dL)2]]</f>
        <v>5.4</v>
      </c>
      <c r="AE27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7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78" s="85">
        <f>Tabela1[[#This Row],[Pré Ureia mg/dL]]</f>
        <v>41</v>
      </c>
      <c r="AH278" s="85">
        <f>Tabela1[[#This Row],[Pós Ureia mg/dL]]</f>
        <v>42</v>
      </c>
      <c r="AI278" s="125">
        <f>Tabela1[[#This Row],[Pré creatinina mg/dL]]</f>
        <v>1</v>
      </c>
      <c r="AJ278" s="125">
        <f>Tabela1[[#This Row],[Pós creatinina mg/dL]]</f>
        <v>0.9</v>
      </c>
      <c r="AK278" s="180">
        <f t="shared" si="16"/>
        <v>0</v>
      </c>
      <c r="AL278" s="125">
        <f>Tabela1[[#This Row],[Pré Fósforo mg/dL]]</f>
        <v>4.2</v>
      </c>
      <c r="AM278" s="125">
        <f>Tabela1[[#This Row],[Pós Fósforo mg/dL]]</f>
        <v>3.5</v>
      </c>
      <c r="AN278" s="125">
        <f>Tabela1[[#This Row],[Pré Proteína Total (g/dL)]]</f>
        <v>6.9</v>
      </c>
      <c r="AO278" s="125">
        <f>Tabela1[[#This Row],[Pós Proteína Total (g/dL)]]</f>
        <v>6.6</v>
      </c>
      <c r="AP278" s="85">
        <f>Tabela1[[#This Row],[Pré FE (ug/dL)]]</f>
        <v>33</v>
      </c>
      <c r="AQ278" s="193">
        <f>Tabela1[[#This Row],[Pós FE (ug/dL)]]</f>
        <v>82</v>
      </c>
      <c r="AR278" s="194">
        <f>Tabela1[[#This Row],[Pré calcio mg/dL]]</f>
        <v>9.5</v>
      </c>
      <c r="AS278" s="125">
        <f>Tabela1[[#This Row],[Pós calcio mg/dL]]</f>
        <v>9.5</v>
      </c>
      <c r="AT278" s="125">
        <f>Tabela1[[#This Row],[Pré Potássio mmol/L]]</f>
        <v>4.3</v>
      </c>
      <c r="AU278" s="125">
        <f>Tabela1[[#This Row],[Pós Potássio mmol/L]]</f>
        <v>4.4000000000000004</v>
      </c>
      <c r="AV278" s="85">
        <f>Tabela1[[#This Row],[Glicose pré]]</f>
        <v>108</v>
      </c>
      <c r="AW278" s="85">
        <f>Tabela1[[#This Row],[Glicose pós]]</f>
        <v>117</v>
      </c>
      <c r="AX278" s="85">
        <f>Tabela1[[#This Row],[Pré Sódio mmol/L]]</f>
        <v>141</v>
      </c>
      <c r="AY278" s="85">
        <f>Tabela1[[#This Row],[Pós Sódio mmol/L]]</f>
        <v>138</v>
      </c>
      <c r="AZ278" s="125">
        <f>Tabela1[[#This Row],[Pré Magnésio mg/dL]]</f>
        <v>1.8</v>
      </c>
      <c r="BA278" s="125">
        <f>Tabela1[[#This Row],[Pós Magnésio mg/dL]]</f>
        <v>2.1</v>
      </c>
      <c r="BB278" s="85">
        <f>Tabela1[[#This Row],[Pré Cloro mmol/L]]</f>
        <v>102</v>
      </c>
      <c r="BC278" s="85">
        <f>Tabela1[[#This Row],[Pós Cloro mmol/L]]</f>
        <v>100</v>
      </c>
      <c r="BD27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297.99133333333333</v>
      </c>
      <c r="BE27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293.33900000000006</v>
      </c>
      <c r="BF278" s="194">
        <f>Tabela1[[#This Row],[Pré RBC 10^6/mm³]]</f>
        <v>4.3899999999999997</v>
      </c>
      <c r="BG278" s="125">
        <f>Tabela1[[#This Row],[Pós RBC 10^6/mm³]]</f>
        <v>4.24</v>
      </c>
      <c r="BH278" s="125">
        <f>Tabela1[[#This Row],[Pré HGB g/dL]]</f>
        <v>13.4</v>
      </c>
      <c r="BI278" s="125">
        <f>Tabela1[[#This Row],[Pós HGB g/dL]]</f>
        <v>12.6</v>
      </c>
      <c r="BJ278" s="125">
        <f>Tabela1[[#This Row],[Pré HCT %]]</f>
        <v>38.4</v>
      </c>
      <c r="BK278" s="125">
        <f>Tabela1[[#This Row],[Pós HCT %]]</f>
        <v>38.200000000000003</v>
      </c>
      <c r="BL278" s="125">
        <f>Tabela1[[#This Row],[Pré MCV fL]]</f>
        <v>87.4</v>
      </c>
      <c r="BM278" s="125">
        <f>Tabela1[[#This Row],[Pós MCV fL]]</f>
        <v>89</v>
      </c>
      <c r="BN278" s="125">
        <f>Tabela1[[#This Row],[Pré MCH pg]]</f>
        <v>30.4</v>
      </c>
      <c r="BO278" s="125">
        <f>Tabela1[[#This Row],[Pós MCH pg]]</f>
        <v>29.3</v>
      </c>
      <c r="BP278" s="125">
        <f>Tabela1[[#This Row],[Pré MCHC g/dL]]</f>
        <v>34.799999999999997</v>
      </c>
      <c r="BQ278" s="125">
        <f>Tabela1[[#This Row],[Pós MCHC g/dL]]</f>
        <v>32.9</v>
      </c>
      <c r="BR278" s="85">
        <f>Tabela1[[#This Row],[Pré PLT 10³/mm³]]</f>
        <v>433</v>
      </c>
      <c r="BS278" s="85">
        <f>Tabela1[[#This Row],[Pós PLT 10³/mm³]]</f>
        <v>390</v>
      </c>
      <c r="BT278" s="125">
        <f>Tabela1[[#This Row],[Pré RDW %]]</f>
        <v>14.5</v>
      </c>
      <c r="BU278" s="125">
        <f>Tabela1[[#This Row],[Pós RDW %]]</f>
        <v>14.3</v>
      </c>
      <c r="BV278" s="179">
        <f>Tabela1[[#This Row],[Pré RET %]]</f>
        <v>1.1100000000000001</v>
      </c>
      <c r="BW278" s="196">
        <f>Tabela1[[#This Row],[Pós RET %]]</f>
        <v>0.62</v>
      </c>
      <c r="BX278" s="197">
        <f>Tabela1[[#This Row],[Pré WBC 10³/mm³]]</f>
        <v>7.59</v>
      </c>
      <c r="BY278" s="179">
        <f>Tabela1[[#This Row],[Pós WBC 10³/mm³]]</f>
        <v>8.69</v>
      </c>
      <c r="BZ278" s="125">
        <f>Tabela1[[#This Row],[Pré NEUT %]]</f>
        <v>59.8</v>
      </c>
      <c r="CA278" s="125">
        <f>Tabela1[[#This Row],[Pós NEUT %]]</f>
        <v>71.7</v>
      </c>
      <c r="CB278" s="125">
        <f>Tabela1[[#This Row],[Pré LINF %]]</f>
        <v>29.3</v>
      </c>
      <c r="CC278" s="125">
        <f>Tabela1[[#This Row],[Pós LINF %]]</f>
        <v>20.5</v>
      </c>
      <c r="CD278" s="125">
        <f>Tabela1[[#This Row],[Pré MONO %]]</f>
        <v>8.1</v>
      </c>
      <c r="CE278" s="125">
        <f>Tabela1[[#This Row],[Pós MONO %]]</f>
        <v>6.5</v>
      </c>
      <c r="CF278" s="125">
        <f>Tabela1[[#This Row],[Pré EOS %]]</f>
        <v>1.7</v>
      </c>
      <c r="CG278" s="125">
        <f>Tabela1[[#This Row],[Pós EOS %]]</f>
        <v>0.9</v>
      </c>
      <c r="CH278" s="125">
        <f>Tabela1[[#This Row],[Pré BASO %]]</f>
        <v>1.1000000000000001</v>
      </c>
      <c r="CI278" s="198">
        <f>Tabela1[[#This Row],[Pós BASO %]]</f>
        <v>0.4</v>
      </c>
      <c r="CJ278" s="199" t="str">
        <f t="shared" si="17"/>
        <v>NÃO</v>
      </c>
      <c r="CK278" s="200" t="str">
        <f t="shared" si="18"/>
        <v>NÃO</v>
      </c>
      <c r="CL278" s="194">
        <f t="shared" si="19"/>
        <v>75.540360000000007</v>
      </c>
      <c r="CM278" s="125">
        <f>Tabela1[[#This Row],[MCT KG]]</f>
        <v>81.2</v>
      </c>
      <c r="CN278" s="85">
        <f>Tabela1[[#This Row],[ESTATURA]]</f>
        <v>174</v>
      </c>
      <c r="CO278" s="85">
        <f>Tabela1[[#This Row],[vo2max estimado]]</f>
        <v>49.27</v>
      </c>
      <c r="CP278" s="85">
        <f>Tabela1[[#This Row],[Handgrip     Dominante]]</f>
        <v>64</v>
      </c>
      <c r="CQ278" s="85">
        <f>Tabela1[[#This Row],[Handgrip Contrário]]</f>
        <v>64</v>
      </c>
      <c r="CR278" s="281">
        <f>Tabela1[[#This Row],[% gordura]]</f>
        <v>6.97</v>
      </c>
    </row>
    <row r="279" spans="1:96" ht="15.75" customHeight="1">
      <c r="A279" s="279">
        <f>Tabela1[[#This Row],[Ano]]</f>
        <v>2022</v>
      </c>
      <c r="B279" s="181" t="str">
        <f>Tabela1[[#This Row],[Missão]]</f>
        <v>Tonelero</v>
      </c>
      <c r="C279" s="181">
        <f>Tabela1[[#This Row],[Aluno]]</f>
        <v>3254</v>
      </c>
      <c r="D279" s="181">
        <f>Tabela1[[#This Row],[Idade]]</f>
        <v>32</v>
      </c>
      <c r="E279" s="182">
        <f>Tabela1[[#This Row],[Peso Kg]]</f>
        <v>68</v>
      </c>
      <c r="F279" s="191">
        <f>Tabela1[[#This Row],[Cor da pele]]</f>
        <v>1</v>
      </c>
      <c r="G279" s="192" t="str">
        <f>Tabela1[[#This Row],[ACTN3]]</f>
        <v>-</v>
      </c>
      <c r="H279" s="85" t="str">
        <f>Tabela1[[#This Row],[AGT]]</f>
        <v>-</v>
      </c>
      <c r="I279" s="85" t="str">
        <f>Tabela1[[#This Row],[ECA]]</f>
        <v>-</v>
      </c>
      <c r="J279" s="85" t="str">
        <f>Tabela1[[#This Row],[BDKRB2]]</f>
        <v>-</v>
      </c>
      <c r="K279" s="85" t="str">
        <f>Tabela1[[#This Row],[Score Força%]]</f>
        <v>-</v>
      </c>
      <c r="L279" s="193" t="str">
        <f>Tabela1[[#This Row],[Score Resistência %]]</f>
        <v>-</v>
      </c>
      <c r="M279" s="192">
        <f>Tabela1[[#This Row],[Pré CK (U/L)]]</f>
        <v>272</v>
      </c>
      <c r="N279" s="85">
        <f>Tabela1[[#This Row],[Pós CK (U/L)]]</f>
        <v>596</v>
      </c>
      <c r="O279" s="85" t="str">
        <f>Tabela1[[#This Row],[Pré CK MB U/L]]</f>
        <v>-</v>
      </c>
      <c r="P279" s="85" t="str">
        <f>Tabela1[[#This Row],[Pós CK MB U/L]]</f>
        <v>-</v>
      </c>
      <c r="Q279" s="85">
        <f>Tabela1[[#This Row],[Pré Lactato (mmol/L)]]</f>
        <v>1.6</v>
      </c>
      <c r="R279" s="85">
        <f>Tabela1[[#This Row],[Pós Lactato (mmol/L)]]</f>
        <v>2.1</v>
      </c>
      <c r="S279" s="85">
        <f>Tabela1[[#This Row],[Pré LDH (U/L)]]</f>
        <v>242</v>
      </c>
      <c r="T279" s="85">
        <f>Tabela1[[#This Row],[Pós LDH (U/L)]]</f>
        <v>358</v>
      </c>
      <c r="U279" s="85">
        <f>Tabela1[[#This Row],[Pré AST (U/L)]]</f>
        <v>76</v>
      </c>
      <c r="V279" s="193">
        <f>Tabela1[[#This Row],[Pós AST (U/L)]]</f>
        <v>94</v>
      </c>
      <c r="W279" s="194" t="str">
        <f>Tabela1[[#This Row],[Pré Albumina (g/dL)]]</f>
        <v>-</v>
      </c>
      <c r="X279" s="125" t="str">
        <f>Tabela1[[#This Row],[Pós Albumina (g/dL)]]</f>
        <v>-</v>
      </c>
      <c r="Y279" s="85" t="str">
        <f>Tabela1[[#This Row],[Pré TGP (g/dL)]]</f>
        <v>-</v>
      </c>
      <c r="Z279" s="85" t="str">
        <f>Tabela1[[#This Row],[Pós TGP (g/dL)]]</f>
        <v>-</v>
      </c>
      <c r="AA279" s="85" t="str">
        <f>Tabela1[[#This Row],[Pré GGT U/L]]</f>
        <v>-</v>
      </c>
      <c r="AB279" s="193" t="str">
        <f>Tabela1[[#This Row],[Pós GGT U/L]]</f>
        <v>-</v>
      </c>
      <c r="AC279" s="194">
        <f>Tabela1[[#This Row],[Pré Ac. Úrico (mg/dL)]]</f>
        <v>6</v>
      </c>
      <c r="AD279" s="125">
        <f>Tabela1[[#This Row],[Pós Ac. Úrico (mg/dL)2]]</f>
        <v>5.2</v>
      </c>
      <c r="AE27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27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279" s="85">
        <f>Tabela1[[#This Row],[Pré Ureia mg/dL]]</f>
        <v>36</v>
      </c>
      <c r="AH279" s="85">
        <f>Tabela1[[#This Row],[Pós Ureia mg/dL]]</f>
        <v>50</v>
      </c>
      <c r="AI279" s="125">
        <f>Tabela1[[#This Row],[Pré creatinina mg/dL]]</f>
        <v>1.2</v>
      </c>
      <c r="AJ279" s="125">
        <f>Tabela1[[#This Row],[Pós creatinina mg/dL]]</f>
        <v>0.8</v>
      </c>
      <c r="AK279" s="180">
        <f t="shared" si="16"/>
        <v>0</v>
      </c>
      <c r="AL279" s="125">
        <f>Tabela1[[#This Row],[Pré Fósforo mg/dL]]</f>
        <v>4.3</v>
      </c>
      <c r="AM279" s="125">
        <f>Tabela1[[#This Row],[Pós Fósforo mg/dL]]</f>
        <v>4.4000000000000004</v>
      </c>
      <c r="AN279" s="125">
        <f>Tabela1[[#This Row],[Pré Proteína Total (g/dL)]]</f>
        <v>7.7</v>
      </c>
      <c r="AO279" s="125">
        <f>Tabela1[[#This Row],[Pós Proteína Total (g/dL)]]</f>
        <v>7.9</v>
      </c>
      <c r="AP279" s="85">
        <f>Tabela1[[#This Row],[Pré FE (ug/dL)]]</f>
        <v>30</v>
      </c>
      <c r="AQ279" s="193">
        <f>Tabela1[[#This Row],[Pós FE (ug/dL)]]</f>
        <v>35</v>
      </c>
      <c r="AR279" s="194">
        <f>Tabela1[[#This Row],[Pré calcio mg/dL]]</f>
        <v>9.6</v>
      </c>
      <c r="AS279" s="125">
        <f>Tabela1[[#This Row],[Pós calcio mg/dL]]</f>
        <v>9.5</v>
      </c>
      <c r="AT279" s="125">
        <f>Tabela1[[#This Row],[Pré Potássio mmol/L]]</f>
        <v>4.0999999999999996</v>
      </c>
      <c r="AU279" s="125">
        <f>Tabela1[[#This Row],[Pós Potássio mmol/L]]</f>
        <v>3.8</v>
      </c>
      <c r="AV279" s="85">
        <f>Tabela1[[#This Row],[Glicose pré]]</f>
        <v>88</v>
      </c>
      <c r="AW279" s="85">
        <f>Tabela1[[#This Row],[Glicose pós]]</f>
        <v>86</v>
      </c>
      <c r="AX279" s="85">
        <f>Tabela1[[#This Row],[Pré Sódio mmol/L]]</f>
        <v>141</v>
      </c>
      <c r="AY279" s="85">
        <f>Tabela1[[#This Row],[Pós Sódio mmol/L]]</f>
        <v>142</v>
      </c>
      <c r="AZ279" s="125">
        <f>Tabela1[[#This Row],[Pré Magnésio mg/dL]]</f>
        <v>1.8</v>
      </c>
      <c r="BA279" s="125">
        <f>Tabela1[[#This Row],[Pós Magnésio mg/dL]]</f>
        <v>2.1</v>
      </c>
      <c r="BB279" s="85">
        <f>Tabela1[[#This Row],[Pré Cloro mmol/L]]</f>
        <v>106</v>
      </c>
      <c r="BC279" s="85">
        <f>Tabela1[[#This Row],[Pós Cloro mmol/L]]</f>
        <v>101</v>
      </c>
      <c r="BD27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295.50822222222223</v>
      </c>
      <c r="BE27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299.01577777777783</v>
      </c>
      <c r="BF279" s="194">
        <f>Tabela1[[#This Row],[Pré RBC 10^6/mm³]]</f>
        <v>5.1100000000000003</v>
      </c>
      <c r="BG279" s="125">
        <f>Tabela1[[#This Row],[Pós RBC 10^6/mm³]]</f>
        <v>4.8600000000000003</v>
      </c>
      <c r="BH279" s="125">
        <f>Tabela1[[#This Row],[Pré HGB g/dL]]</f>
        <v>15.2</v>
      </c>
      <c r="BI279" s="125">
        <f>Tabela1[[#This Row],[Pós HGB g/dL]]</f>
        <v>14.1</v>
      </c>
      <c r="BJ279" s="125">
        <f>Tabela1[[#This Row],[Pré HCT %]]</f>
        <v>44.5</v>
      </c>
      <c r="BK279" s="125">
        <f>Tabela1[[#This Row],[Pós HCT %]]</f>
        <v>43.2</v>
      </c>
      <c r="BL279" s="125">
        <f>Tabela1[[#This Row],[Pré MCV fL]]</f>
        <v>87.1</v>
      </c>
      <c r="BM279" s="125">
        <f>Tabela1[[#This Row],[Pós MCV fL]]</f>
        <v>88.3</v>
      </c>
      <c r="BN279" s="125">
        <f>Tabela1[[#This Row],[Pré MCH pg]]</f>
        <v>29.8</v>
      </c>
      <c r="BO279" s="125">
        <f>Tabela1[[#This Row],[Pós MCH pg]]</f>
        <v>28.8</v>
      </c>
      <c r="BP279" s="125">
        <f>Tabela1[[#This Row],[Pré MCHC g/dL]]</f>
        <v>34.200000000000003</v>
      </c>
      <c r="BQ279" s="125">
        <f>Tabela1[[#This Row],[Pós MCHC g/dL]]</f>
        <v>32.6</v>
      </c>
      <c r="BR279" s="85">
        <f>Tabela1[[#This Row],[Pré PLT 10³/mm³]]</f>
        <v>270</v>
      </c>
      <c r="BS279" s="85">
        <f>Tabela1[[#This Row],[Pós PLT 10³/mm³]]</f>
        <v>305</v>
      </c>
      <c r="BT279" s="125">
        <f>Tabela1[[#This Row],[Pré RDW %]]</f>
        <v>14.6</v>
      </c>
      <c r="BU279" s="125">
        <f>Tabela1[[#This Row],[Pós RDW %]]</f>
        <v>13.2</v>
      </c>
      <c r="BV279" s="179">
        <f>Tabela1[[#This Row],[Pré RET %]]</f>
        <v>0.68</v>
      </c>
      <c r="BW279" s="196">
        <f>Tabela1[[#This Row],[Pós RET %]]</f>
        <v>0.6</v>
      </c>
      <c r="BX279" s="197">
        <f>Tabela1[[#This Row],[Pré WBC 10³/mm³]]</f>
        <v>6.85</v>
      </c>
      <c r="BY279" s="179">
        <f>Tabela1[[#This Row],[Pós WBC 10³/mm³]]</f>
        <v>12.25</v>
      </c>
      <c r="BZ279" s="125">
        <f>Tabela1[[#This Row],[Pré NEUT %]]</f>
        <v>55</v>
      </c>
      <c r="CA279" s="125">
        <f>Tabela1[[#This Row],[Pós NEUT %]]</f>
        <v>69.8</v>
      </c>
      <c r="CB279" s="125">
        <f>Tabela1[[#This Row],[Pré LINF %]]</f>
        <v>31</v>
      </c>
      <c r="CC279" s="125">
        <f>Tabela1[[#This Row],[Pós LINF %]]</f>
        <v>22.2</v>
      </c>
      <c r="CD279" s="125">
        <f>Tabela1[[#This Row],[Pré MONO %]]</f>
        <v>12.2</v>
      </c>
      <c r="CE279" s="125">
        <f>Tabela1[[#This Row],[Pós MONO %]]</f>
        <v>7</v>
      </c>
      <c r="CF279" s="125">
        <f>Tabela1[[#This Row],[Pré EOS %]]</f>
        <v>0.9</v>
      </c>
      <c r="CG279" s="125">
        <f>Tabela1[[#This Row],[Pós EOS %]]</f>
        <v>0.9</v>
      </c>
      <c r="CH279" s="125">
        <f>Tabela1[[#This Row],[Pré BASO %]]</f>
        <v>0.9</v>
      </c>
      <c r="CI279" s="198">
        <f>Tabela1[[#This Row],[Pós BASO %]]</f>
        <v>0.1</v>
      </c>
      <c r="CJ279" s="199" t="str">
        <f t="shared" si="17"/>
        <v>NÃO</v>
      </c>
      <c r="CK279" s="200" t="str">
        <f t="shared" si="18"/>
        <v>NÃO</v>
      </c>
      <c r="CL279" s="194">
        <f t="shared" si="19"/>
        <v>64.545389999999998</v>
      </c>
      <c r="CM279" s="125">
        <f>Tabela1[[#This Row],[MCT KG]]</f>
        <v>74.55</v>
      </c>
      <c r="CN279" s="85">
        <f>Tabela1[[#This Row],[ESTATURA]]</f>
        <v>176.6</v>
      </c>
      <c r="CO279" s="85">
        <f>Tabela1[[#This Row],[vo2max estimado]]</f>
        <v>49.15</v>
      </c>
      <c r="CP279" s="85">
        <f>Tabela1[[#This Row],[Handgrip     Dominante]]</f>
        <v>58</v>
      </c>
      <c r="CQ279" s="85">
        <f>Tabela1[[#This Row],[Handgrip Contrário]]</f>
        <v>56</v>
      </c>
      <c r="CR279" s="281">
        <f>Tabela1[[#This Row],[% gordura]]</f>
        <v>13.42</v>
      </c>
    </row>
    <row r="280" spans="1:96" ht="15.75" customHeight="1">
      <c r="A280" s="279">
        <f>Tabela1[[#This Row],[Ano]]</f>
        <v>2022</v>
      </c>
      <c r="B280" s="181" t="str">
        <f>Tabela1[[#This Row],[Missão]]</f>
        <v>Tonelero</v>
      </c>
      <c r="C280" s="181">
        <f>Tabela1[[#This Row],[Aluno]]</f>
        <v>3255</v>
      </c>
      <c r="D280" s="181">
        <f>Tabela1[[#This Row],[Idade]]</f>
        <v>28</v>
      </c>
      <c r="E280" s="182">
        <f>Tabela1[[#This Row],[Peso Kg]]</f>
        <v>77</v>
      </c>
      <c r="F280" s="191">
        <f>Tabela1[[#This Row],[Cor da pele]]</f>
        <v>1</v>
      </c>
      <c r="G280" s="192" t="str">
        <f>Tabela1[[#This Row],[ACTN3]]</f>
        <v>RR</v>
      </c>
      <c r="H280" s="85" t="str">
        <f>Tabela1[[#This Row],[AGT]]</f>
        <v>MT</v>
      </c>
      <c r="I280" s="85" t="str">
        <f>Tabela1[[#This Row],[ECA]]</f>
        <v>ID</v>
      </c>
      <c r="J280" s="85" t="str">
        <f>Tabela1[[#This Row],[BDKRB2]]</f>
        <v>(-9 , -9)</v>
      </c>
      <c r="K280" s="85">
        <f>Tabela1[[#This Row],[Score Força%]]</f>
        <v>50</v>
      </c>
      <c r="L280" s="193">
        <f>Tabela1[[#This Row],[Score Resistência %]]</f>
        <v>50</v>
      </c>
      <c r="M280" s="192">
        <f>Tabela1[[#This Row],[Pré CK (U/L)]]</f>
        <v>279</v>
      </c>
      <c r="N280" s="85">
        <f>Tabela1[[#This Row],[Pós CK (U/L)]]</f>
        <v>1039</v>
      </c>
      <c r="O280" s="85" t="str">
        <f>Tabela1[[#This Row],[Pré CK MB U/L]]</f>
        <v>-</v>
      </c>
      <c r="P280" s="85" t="str">
        <f>Tabela1[[#This Row],[Pós CK MB U/L]]</f>
        <v>-</v>
      </c>
      <c r="Q280" s="85">
        <f>Tabela1[[#This Row],[Pré Lactato (mmol/L)]]</f>
        <v>2.1</v>
      </c>
      <c r="R280" s="85">
        <f>Tabela1[[#This Row],[Pós Lactato (mmol/L)]]</f>
        <v>1.7</v>
      </c>
      <c r="S280" s="85">
        <f>Tabela1[[#This Row],[Pré LDH (U/L)]]</f>
        <v>271</v>
      </c>
      <c r="T280" s="85">
        <f>Tabela1[[#This Row],[Pós LDH (U/L)]]</f>
        <v>378</v>
      </c>
      <c r="U280" s="85">
        <f>Tabela1[[#This Row],[Pré AST (U/L)]]</f>
        <v>42</v>
      </c>
      <c r="V280" s="193">
        <f>Tabela1[[#This Row],[Pós AST (U/L)]]</f>
        <v>69</v>
      </c>
      <c r="W280" s="194" t="str">
        <f>Tabela1[[#This Row],[Pré Albumina (g/dL)]]</f>
        <v>-</v>
      </c>
      <c r="X280" s="125" t="str">
        <f>Tabela1[[#This Row],[Pós Albumina (g/dL)]]</f>
        <v>-</v>
      </c>
      <c r="Y280" s="85" t="str">
        <f>Tabela1[[#This Row],[Pré TGP (g/dL)]]</f>
        <v>-</v>
      </c>
      <c r="Z280" s="85" t="str">
        <f>Tabela1[[#This Row],[Pós TGP (g/dL)]]</f>
        <v>-</v>
      </c>
      <c r="AA280" s="85" t="str">
        <f>Tabela1[[#This Row],[Pré GGT U/L]]</f>
        <v>-</v>
      </c>
      <c r="AB280" s="193" t="str">
        <f>Tabela1[[#This Row],[Pós GGT U/L]]</f>
        <v>-</v>
      </c>
      <c r="AC280" s="194">
        <f>Tabela1[[#This Row],[Pré Ac. Úrico (mg/dL)]]</f>
        <v>4.2</v>
      </c>
      <c r="AD280" s="125">
        <f>Tabela1[[#This Row],[Pós Ac. Úrico (mg/dL)2]]</f>
        <v>5</v>
      </c>
      <c r="AE28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8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80" s="85">
        <f>Tabela1[[#This Row],[Pré Ureia mg/dL]]</f>
        <v>42</v>
      </c>
      <c r="AH280" s="85">
        <f>Tabela1[[#This Row],[Pós Ureia mg/dL]]</f>
        <v>50</v>
      </c>
      <c r="AI280" s="125">
        <f>Tabela1[[#This Row],[Pré creatinina mg/dL]]</f>
        <v>0.9</v>
      </c>
      <c r="AJ280" s="125">
        <f>Tabela1[[#This Row],[Pós creatinina mg/dL]]</f>
        <v>0.9</v>
      </c>
      <c r="AK280" s="180">
        <f t="shared" si="16"/>
        <v>0</v>
      </c>
      <c r="AL280" s="125">
        <f>Tabela1[[#This Row],[Pré Fósforo mg/dL]]</f>
        <v>4.5</v>
      </c>
      <c r="AM280" s="125">
        <f>Tabela1[[#This Row],[Pós Fósforo mg/dL]]</f>
        <v>4.0999999999999996</v>
      </c>
      <c r="AN280" s="125">
        <f>Tabela1[[#This Row],[Pré Proteína Total (g/dL)]]</f>
        <v>4.7</v>
      </c>
      <c r="AO280" s="125">
        <f>Tabela1[[#This Row],[Pós Proteína Total (g/dL)]]</f>
        <v>7.1</v>
      </c>
      <c r="AP280" s="85">
        <f>Tabela1[[#This Row],[Pré FE (ug/dL)]]</f>
        <v>50</v>
      </c>
      <c r="AQ280" s="193">
        <f>Tabela1[[#This Row],[Pós FE (ug/dL)]]</f>
        <v>65</v>
      </c>
      <c r="AR280" s="194">
        <f>Tabela1[[#This Row],[Pré calcio mg/dL]]</f>
        <v>9.1999999999999993</v>
      </c>
      <c r="AS280" s="125">
        <f>Tabela1[[#This Row],[Pós calcio mg/dL]]</f>
        <v>9.4</v>
      </c>
      <c r="AT280" s="125">
        <f>Tabela1[[#This Row],[Pré Potássio mmol/L]]</f>
        <v>4.7</v>
      </c>
      <c r="AU280" s="125">
        <f>Tabela1[[#This Row],[Pós Potássio mmol/L]]</f>
        <v>4.5</v>
      </c>
      <c r="AV280" s="85">
        <f>Tabela1[[#This Row],[Glicose pré]]</f>
        <v>77</v>
      </c>
      <c r="AW280" s="85">
        <f>Tabela1[[#This Row],[Glicose pós]]</f>
        <v>114</v>
      </c>
      <c r="AX280" s="85">
        <f>Tabela1[[#This Row],[Pré Sódio mmol/L]]</f>
        <v>140</v>
      </c>
      <c r="AY280" s="85">
        <f>Tabela1[[#This Row],[Pós Sódio mmol/L]]</f>
        <v>143</v>
      </c>
      <c r="AZ280" s="125">
        <f>Tabela1[[#This Row],[Pré Magnésio mg/dL]]</f>
        <v>2</v>
      </c>
      <c r="BA280" s="125">
        <f>Tabela1[[#This Row],[Pós Magnésio mg/dL]]</f>
        <v>2.2999999999999998</v>
      </c>
      <c r="BB280" s="85">
        <f>Tabela1[[#This Row],[Pré Cloro mmol/L]]</f>
        <v>104</v>
      </c>
      <c r="BC280" s="85">
        <f>Tabela1[[#This Row],[Pós Cloro mmol/L]]</f>
        <v>105</v>
      </c>
      <c r="BD28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295.06144444444442</v>
      </c>
      <c r="BE28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303.9666666666667</v>
      </c>
      <c r="BF280" s="194">
        <f>Tabela1[[#This Row],[Pré RBC 10^6/mm³]]</f>
        <v>4.43</v>
      </c>
      <c r="BG280" s="125">
        <f>Tabela1[[#This Row],[Pós RBC 10^6/mm³]]</f>
        <v>4.43</v>
      </c>
      <c r="BH280" s="125">
        <f>Tabela1[[#This Row],[Pré HGB g/dL]]</f>
        <v>13.2</v>
      </c>
      <c r="BI280" s="125">
        <f>Tabela1[[#This Row],[Pós HGB g/dL]]</f>
        <v>13.1</v>
      </c>
      <c r="BJ280" s="125">
        <f>Tabela1[[#This Row],[Pré HCT %]]</f>
        <v>39.299999999999997</v>
      </c>
      <c r="BK280" s="125">
        <f>Tabela1[[#This Row],[Pós HCT %]]</f>
        <v>40.299999999999997</v>
      </c>
      <c r="BL280" s="125">
        <f>Tabela1[[#This Row],[Pré MCV fL]]</f>
        <v>88.6</v>
      </c>
      <c r="BM280" s="125">
        <f>Tabela1[[#This Row],[Pós MCV fL]]</f>
        <v>90.4</v>
      </c>
      <c r="BN280" s="125">
        <f>Tabela1[[#This Row],[Pré MCH pg]]</f>
        <v>29.9</v>
      </c>
      <c r="BO280" s="125">
        <f>Tabela1[[#This Row],[Pós MCH pg]]</f>
        <v>29.3</v>
      </c>
      <c r="BP280" s="125">
        <f>Tabela1[[#This Row],[Pré MCHC g/dL]]</f>
        <v>33.700000000000003</v>
      </c>
      <c r="BQ280" s="125">
        <f>Tabela1[[#This Row],[Pós MCHC g/dL]]</f>
        <v>32.5</v>
      </c>
      <c r="BR280" s="85">
        <f>Tabela1[[#This Row],[Pré PLT 10³/mm³]]</f>
        <v>347</v>
      </c>
      <c r="BS280" s="85">
        <f>Tabela1[[#This Row],[Pós PLT 10³/mm³]]</f>
        <v>297</v>
      </c>
      <c r="BT280" s="125">
        <f>Tabela1[[#This Row],[Pré RDW %]]</f>
        <v>14.4</v>
      </c>
      <c r="BU280" s="125">
        <f>Tabela1[[#This Row],[Pós RDW %]]</f>
        <v>13.8</v>
      </c>
      <c r="BV280" s="179">
        <f>Tabela1[[#This Row],[Pré RET %]]</f>
        <v>0.48</v>
      </c>
      <c r="BW280" s="196">
        <f>Tabela1[[#This Row],[Pós RET %]]</f>
        <v>0.37</v>
      </c>
      <c r="BX280" s="197">
        <f>Tabela1[[#This Row],[Pré WBC 10³/mm³]]</f>
        <v>4.6399999999999997</v>
      </c>
      <c r="BY280" s="179">
        <f>Tabela1[[#This Row],[Pós WBC 10³/mm³]]</f>
        <v>7.94</v>
      </c>
      <c r="BZ280" s="125">
        <f>Tabela1[[#This Row],[Pré NEUT %]]</f>
        <v>52.5</v>
      </c>
      <c r="CA280" s="125">
        <f>Tabela1[[#This Row],[Pós NEUT %]]</f>
        <v>71.2</v>
      </c>
      <c r="CB280" s="125">
        <f>Tabela1[[#This Row],[Pré LINF %]]</f>
        <v>37.4</v>
      </c>
      <c r="CC280" s="125">
        <f>Tabela1[[#This Row],[Pós LINF %]]</f>
        <v>21</v>
      </c>
      <c r="CD280" s="125">
        <f>Tabela1[[#This Row],[Pré MONO %]]</f>
        <v>8.4</v>
      </c>
      <c r="CE280" s="125">
        <f>Tabela1[[#This Row],[Pós MONO %]]</f>
        <v>7.7</v>
      </c>
      <c r="CF280" s="125">
        <f>Tabela1[[#This Row],[Pré EOS %]]</f>
        <v>0.2</v>
      </c>
      <c r="CG280" s="125">
        <f>Tabela1[[#This Row],[Pós EOS %]]</f>
        <v>0.01</v>
      </c>
      <c r="CH280" s="125">
        <f>Tabela1[[#This Row],[Pré BASO %]]</f>
        <v>1.5</v>
      </c>
      <c r="CI280" s="198">
        <f>Tabela1[[#This Row],[Pós BASO %]]</f>
        <v>0</v>
      </c>
      <c r="CJ280" s="199" t="str">
        <f t="shared" si="17"/>
        <v>NÃO</v>
      </c>
      <c r="CK280" s="200" t="str">
        <f t="shared" si="18"/>
        <v>SIM</v>
      </c>
      <c r="CL280" s="194">
        <f t="shared" si="19"/>
        <v>71.013225000000006</v>
      </c>
      <c r="CM280" s="125">
        <f>Tabela1[[#This Row],[MCT KG]]</f>
        <v>80.25</v>
      </c>
      <c r="CN280" s="85">
        <f>Tabela1[[#This Row],[ESTATURA]]</f>
        <v>179</v>
      </c>
      <c r="CO280" s="85">
        <f>Tabela1[[#This Row],[vo2max estimado]]</f>
        <v>49.57</v>
      </c>
      <c r="CP280" s="85">
        <f>Tabela1[[#This Row],[Handgrip     Dominante]]</f>
        <v>57</v>
      </c>
      <c r="CQ280" s="85">
        <f>Tabela1[[#This Row],[Handgrip Contrário]]</f>
        <v>52</v>
      </c>
      <c r="CR280" s="281">
        <f>Tabela1[[#This Row],[% gordura]]</f>
        <v>11.51</v>
      </c>
    </row>
    <row r="281" spans="1:96" ht="15.75" customHeight="1">
      <c r="A281" s="279">
        <f>Tabela1[[#This Row],[Ano]]</f>
        <v>2022</v>
      </c>
      <c r="B281" s="181" t="str">
        <f>Tabela1[[#This Row],[Missão]]</f>
        <v>Tonelero</v>
      </c>
      <c r="C281" s="181">
        <f>Tabela1[[#This Row],[Aluno]]</f>
        <v>3256</v>
      </c>
      <c r="D281" s="181">
        <f>Tabela1[[#This Row],[Idade]]</f>
        <v>29</v>
      </c>
      <c r="E281" s="182">
        <f>Tabela1[[#This Row],[Peso Kg]]</f>
        <v>83</v>
      </c>
      <c r="F281" s="191">
        <f>Tabela1[[#This Row],[Cor da pele]]</f>
        <v>1</v>
      </c>
      <c r="G281" s="192" t="str">
        <f>Tabela1[[#This Row],[ACTN3]]</f>
        <v>RX</v>
      </c>
      <c r="H281" s="85" t="str">
        <f>Tabela1[[#This Row],[AGT]]</f>
        <v>TT</v>
      </c>
      <c r="I281" s="85" t="str">
        <f>Tabela1[[#This Row],[ECA]]</f>
        <v>DD</v>
      </c>
      <c r="J281" s="85" t="str">
        <f>Tabela1[[#This Row],[BDKRB2]]</f>
        <v>(+9, +9)</v>
      </c>
      <c r="K281" s="85">
        <f>Tabela1[[#This Row],[Score Força%]]</f>
        <v>87.5</v>
      </c>
      <c r="L281" s="193">
        <f>Tabela1[[#This Row],[Score Resistência %]]</f>
        <v>12.5</v>
      </c>
      <c r="M281" s="192">
        <f>Tabela1[[#This Row],[Pré CK (U/L)]]</f>
        <v>356</v>
      </c>
      <c r="N281" s="85">
        <f>Tabela1[[#This Row],[Pós CK (U/L)]]</f>
        <v>435</v>
      </c>
      <c r="O281" s="85" t="str">
        <f>Tabela1[[#This Row],[Pré CK MB U/L]]</f>
        <v>-</v>
      </c>
      <c r="P281" s="85" t="str">
        <f>Tabela1[[#This Row],[Pós CK MB U/L]]</f>
        <v>-</v>
      </c>
      <c r="Q281" s="85">
        <f>Tabela1[[#This Row],[Pré Lactato (mmol/L)]]</f>
        <v>1.4</v>
      </c>
      <c r="R281" s="85">
        <f>Tabela1[[#This Row],[Pós Lactato (mmol/L)]]</f>
        <v>1.5</v>
      </c>
      <c r="S281" s="85">
        <f>Tabela1[[#This Row],[Pré LDH (U/L)]]</f>
        <v>261</v>
      </c>
      <c r="T281" s="85">
        <f>Tabela1[[#This Row],[Pós LDH (U/L)]]</f>
        <v>342</v>
      </c>
      <c r="U281" s="85">
        <f>Tabela1[[#This Row],[Pré AST (U/L)]]</f>
        <v>44</v>
      </c>
      <c r="V281" s="193">
        <f>Tabela1[[#This Row],[Pós AST (U/L)]]</f>
        <v>44</v>
      </c>
      <c r="W281" s="194" t="str">
        <f>Tabela1[[#This Row],[Pré Albumina (g/dL)]]</f>
        <v>-</v>
      </c>
      <c r="X281" s="125" t="str">
        <f>Tabela1[[#This Row],[Pós Albumina (g/dL)]]</f>
        <v>-</v>
      </c>
      <c r="Y281" s="85" t="str">
        <f>Tabela1[[#This Row],[Pré TGP (g/dL)]]</f>
        <v>-</v>
      </c>
      <c r="Z281" s="85" t="str">
        <f>Tabela1[[#This Row],[Pós TGP (g/dL)]]</f>
        <v>-</v>
      </c>
      <c r="AA281" s="85" t="str">
        <f>Tabela1[[#This Row],[Pré GGT U/L]]</f>
        <v>-</v>
      </c>
      <c r="AB281" s="193" t="str">
        <f>Tabela1[[#This Row],[Pós GGT U/L]]</f>
        <v>-</v>
      </c>
      <c r="AC281" s="194">
        <f>Tabela1[[#This Row],[Pré Ac. Úrico (mg/dL)]]</f>
        <v>3.6</v>
      </c>
      <c r="AD281" s="125">
        <f>Tabela1[[#This Row],[Pós Ac. Úrico (mg/dL)2]]</f>
        <v>3.9</v>
      </c>
      <c r="AE28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8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128.71280700150223</v>
      </c>
      <c r="AG281" s="85">
        <f>Tabela1[[#This Row],[Pré Ureia mg/dL]]</f>
        <v>26</v>
      </c>
      <c r="AH281" s="85">
        <f>Tabela1[[#This Row],[Pós Ureia mg/dL]]</f>
        <v>34</v>
      </c>
      <c r="AI281" s="125">
        <f>Tabela1[[#This Row],[Pré creatinina mg/dL]]</f>
        <v>0.8</v>
      </c>
      <c r="AJ281" s="125">
        <f>Tabela1[[#This Row],[Pós creatinina mg/dL]]</f>
        <v>0.7</v>
      </c>
      <c r="AK281" s="180">
        <f t="shared" si="16"/>
        <v>0</v>
      </c>
      <c r="AL281" s="125">
        <f>Tabela1[[#This Row],[Pré Fósforo mg/dL]]</f>
        <v>3.7</v>
      </c>
      <c r="AM281" s="125">
        <f>Tabela1[[#This Row],[Pós Fósforo mg/dL]]</f>
        <v>3.8</v>
      </c>
      <c r="AN281" s="125">
        <f>Tabela1[[#This Row],[Pré Proteína Total (g/dL)]]</f>
        <v>4.5</v>
      </c>
      <c r="AO281" s="125">
        <f>Tabela1[[#This Row],[Pós Proteína Total (g/dL)]]</f>
        <v>7.4</v>
      </c>
      <c r="AP281" s="85">
        <f>Tabela1[[#This Row],[Pré FE (ug/dL)]]</f>
        <v>78</v>
      </c>
      <c r="AQ281" s="193">
        <f>Tabela1[[#This Row],[Pós FE (ug/dL)]]</f>
        <v>45</v>
      </c>
      <c r="AR281" s="194">
        <f>Tabela1[[#This Row],[Pré calcio mg/dL]]</f>
        <v>10</v>
      </c>
      <c r="AS281" s="125">
        <f>Tabela1[[#This Row],[Pós calcio mg/dL]]</f>
        <v>9.1999999999999993</v>
      </c>
      <c r="AT281" s="125">
        <f>Tabela1[[#This Row],[Pré Potássio mmol/L]]</f>
        <v>4.5</v>
      </c>
      <c r="AU281" s="125">
        <f>Tabela1[[#This Row],[Pós Potássio mmol/L]]</f>
        <v>4.0999999999999996</v>
      </c>
      <c r="AV281" s="85">
        <f>Tabela1[[#This Row],[Glicose pré]]</f>
        <v>93</v>
      </c>
      <c r="AW281" s="85">
        <f>Tabela1[[#This Row],[Glicose pós]]</f>
        <v>85</v>
      </c>
      <c r="AX281" s="85">
        <f>Tabela1[[#This Row],[Pré Sódio mmol/L]]</f>
        <v>141</v>
      </c>
      <c r="AY281" s="85">
        <f>Tabela1[[#This Row],[Pós Sódio mmol/L]]</f>
        <v>143</v>
      </c>
      <c r="AZ281" s="125">
        <f>Tabela1[[#This Row],[Pré Magnésio mg/dL]]</f>
        <v>2.2999999999999998</v>
      </c>
      <c r="BA281" s="125">
        <f>Tabela1[[#This Row],[Pós Magnésio mg/dL]]</f>
        <v>2.4</v>
      </c>
      <c r="BB281" s="85">
        <f>Tabela1[[#This Row],[Pré Cloro mmol/L]]</f>
        <v>102</v>
      </c>
      <c r="BC281" s="85">
        <f>Tabela1[[#This Row],[Pós Cloro mmol/L]]</f>
        <v>104</v>
      </c>
      <c r="BD28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294.90499999999997</v>
      </c>
      <c r="BE28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298.70322222222222</v>
      </c>
      <c r="BF281" s="194">
        <f>Tabela1[[#This Row],[Pré RBC 10^6/mm³]]</f>
        <v>5.58</v>
      </c>
      <c r="BG281" s="125">
        <f>Tabela1[[#This Row],[Pós RBC 10^6/mm³]]</f>
        <v>5.17</v>
      </c>
      <c r="BH281" s="125">
        <f>Tabela1[[#This Row],[Pré HGB g/dL]]</f>
        <v>15</v>
      </c>
      <c r="BI281" s="125">
        <f>Tabela1[[#This Row],[Pós HGB g/dL]]</f>
        <v>14</v>
      </c>
      <c r="BJ281" s="125">
        <f>Tabela1[[#This Row],[Pré HCT %]]</f>
        <v>44.6</v>
      </c>
      <c r="BK281" s="125">
        <f>Tabela1[[#This Row],[Pós HCT %]]</f>
        <v>42.1</v>
      </c>
      <c r="BL281" s="125">
        <f>Tabela1[[#This Row],[Pré MCV fL]]</f>
        <v>80</v>
      </c>
      <c r="BM281" s="125">
        <f>Tabela1[[#This Row],[Pós MCV fL]]</f>
        <v>80.400000000000006</v>
      </c>
      <c r="BN281" s="125">
        <f>Tabela1[[#This Row],[Pré MCH pg]]</f>
        <v>26.9</v>
      </c>
      <c r="BO281" s="125">
        <f>Tabela1[[#This Row],[Pós MCH pg]]</f>
        <v>26.7</v>
      </c>
      <c r="BP281" s="125">
        <f>Tabela1[[#This Row],[Pré MCHC g/dL]]</f>
        <v>33.6</v>
      </c>
      <c r="BQ281" s="125">
        <f>Tabela1[[#This Row],[Pós MCHC g/dL]]</f>
        <v>33.200000000000003</v>
      </c>
      <c r="BR281" s="85">
        <f>Tabela1[[#This Row],[Pré PLT 10³/mm³]]</f>
        <v>343</v>
      </c>
      <c r="BS281" s="85">
        <f>Tabela1[[#This Row],[Pós PLT 10³/mm³]]</f>
        <v>305</v>
      </c>
      <c r="BT281" s="125">
        <f>Tabela1[[#This Row],[Pré RDW %]]</f>
        <v>14</v>
      </c>
      <c r="BU281" s="125">
        <f>Tabela1[[#This Row],[Pós RDW %]]</f>
        <v>12.7</v>
      </c>
      <c r="BV281" s="179">
        <f>Tabela1[[#This Row],[Pré RET %]]</f>
        <v>0.56000000000000005</v>
      </c>
      <c r="BW281" s="196">
        <f>Tabela1[[#This Row],[Pós RET %]]</f>
        <v>0.41</v>
      </c>
      <c r="BX281" s="197">
        <f>Tabela1[[#This Row],[Pré WBC 10³/mm³]]</f>
        <v>5.12</v>
      </c>
      <c r="BY281" s="179">
        <f>Tabela1[[#This Row],[Pós WBC 10³/mm³]]</f>
        <v>6.4</v>
      </c>
      <c r="BZ281" s="125">
        <f>Tabela1[[#This Row],[Pré NEUT %]]</f>
        <v>56.9</v>
      </c>
      <c r="CA281" s="125">
        <f>Tabela1[[#This Row],[Pós NEUT %]]</f>
        <v>67.2</v>
      </c>
      <c r="CB281" s="125">
        <f>Tabela1[[#This Row],[Pré LINF %]]</f>
        <v>29.9</v>
      </c>
      <c r="CC281" s="125">
        <f>Tabela1[[#This Row],[Pós LINF %]]</f>
        <v>22.3</v>
      </c>
      <c r="CD281" s="125">
        <f>Tabela1[[#This Row],[Pré MONO %]]</f>
        <v>8.6999999999999993</v>
      </c>
      <c r="CE281" s="125">
        <f>Tabela1[[#This Row],[Pós MONO %]]</f>
        <v>9.4</v>
      </c>
      <c r="CF281" s="125">
        <f>Tabela1[[#This Row],[Pré EOS %]]</f>
        <v>3.3</v>
      </c>
      <c r="CG281" s="125">
        <f>Tabela1[[#This Row],[Pós EOS %]]</f>
        <v>0.7</v>
      </c>
      <c r="CH281" s="125">
        <f>Tabela1[[#This Row],[Pré BASO %]]</f>
        <v>1.2</v>
      </c>
      <c r="CI281" s="198">
        <f>Tabela1[[#This Row],[Pós BASO %]]</f>
        <v>0.4</v>
      </c>
      <c r="CJ281" s="199" t="str">
        <f t="shared" si="17"/>
        <v>NÃO</v>
      </c>
      <c r="CK281" s="200" t="str">
        <f t="shared" si="18"/>
        <v>NÃO</v>
      </c>
      <c r="CL281" s="194">
        <f t="shared" si="19"/>
        <v>71.552219999999991</v>
      </c>
      <c r="CM281" s="125">
        <f>Tabela1[[#This Row],[MCT KG]]</f>
        <v>83.55</v>
      </c>
      <c r="CN281" s="85">
        <f>Tabela1[[#This Row],[ESTATURA]]</f>
        <v>182.6</v>
      </c>
      <c r="CO281" s="85">
        <f>Tabela1[[#This Row],[vo2max estimado]]</f>
        <v>51.94</v>
      </c>
      <c r="CP281" s="85">
        <f>Tabela1[[#This Row],[Handgrip     Dominante]]</f>
        <v>56</v>
      </c>
      <c r="CQ281" s="85">
        <f>Tabela1[[#This Row],[Handgrip Contrário]]</f>
        <v>52</v>
      </c>
      <c r="CR281" s="281">
        <f>Tabela1[[#This Row],[% gordura]]</f>
        <v>14.36</v>
      </c>
    </row>
    <row r="282" spans="1:96" ht="15.75" customHeight="1">
      <c r="A282" s="279">
        <f>Tabela1[[#This Row],[Ano]]</f>
        <v>2022</v>
      </c>
      <c r="B282" s="181" t="str">
        <f>Tabela1[[#This Row],[Missão]]</f>
        <v>Tonelero</v>
      </c>
      <c r="C282" s="181">
        <f>Tabela1[[#This Row],[Aluno]]</f>
        <v>3257</v>
      </c>
      <c r="D282" s="181">
        <f>Tabela1[[#This Row],[Idade]]</f>
        <v>28</v>
      </c>
      <c r="E282" s="182">
        <f>Tabela1[[#This Row],[Peso Kg]]</f>
        <v>92</v>
      </c>
      <c r="F282" s="191">
        <f>Tabela1[[#This Row],[Cor da pele]]</f>
        <v>2</v>
      </c>
      <c r="G282" s="192" t="str">
        <f>Tabela1[[#This Row],[ACTN3]]</f>
        <v>RX</v>
      </c>
      <c r="H282" s="85" t="str">
        <f>Tabela1[[#This Row],[AGT]]</f>
        <v>TT</v>
      </c>
      <c r="I282" s="85" t="str">
        <f>Tabela1[[#This Row],[ECA]]</f>
        <v>II</v>
      </c>
      <c r="J282" s="85" t="str">
        <f>Tabela1[[#This Row],[BDKRB2]]</f>
        <v>(+9, +9)</v>
      </c>
      <c r="K282" s="85">
        <f>Tabela1[[#This Row],[Score Força%]]</f>
        <v>62.5</v>
      </c>
      <c r="L282" s="193">
        <f>Tabela1[[#This Row],[Score Resistência %]]</f>
        <v>37.5</v>
      </c>
      <c r="M282" s="192">
        <f>Tabela1[[#This Row],[Pré CK (U/L)]]</f>
        <v>261</v>
      </c>
      <c r="N282" s="85">
        <f>Tabela1[[#This Row],[Pós CK (U/L)]]</f>
        <v>760</v>
      </c>
      <c r="O282" s="85" t="str">
        <f>Tabela1[[#This Row],[Pré CK MB U/L]]</f>
        <v>-</v>
      </c>
      <c r="P282" s="85" t="str">
        <f>Tabela1[[#This Row],[Pós CK MB U/L]]</f>
        <v>-</v>
      </c>
      <c r="Q282" s="85">
        <f>Tabela1[[#This Row],[Pré Lactato (mmol/L)]]</f>
        <v>2.1</v>
      </c>
      <c r="R282" s="85">
        <f>Tabela1[[#This Row],[Pós Lactato (mmol/L)]]</f>
        <v>1.9</v>
      </c>
      <c r="S282" s="85">
        <f>Tabela1[[#This Row],[Pré LDH (U/L)]]</f>
        <v>254</v>
      </c>
      <c r="T282" s="85">
        <f>Tabela1[[#This Row],[Pós LDH (U/L)]]</f>
        <v>333</v>
      </c>
      <c r="U282" s="85">
        <f>Tabela1[[#This Row],[Pré AST (U/L)]]</f>
        <v>53</v>
      </c>
      <c r="V282" s="193">
        <f>Tabela1[[#This Row],[Pós AST (U/L)]]</f>
        <v>88</v>
      </c>
      <c r="W282" s="194" t="str">
        <f>Tabela1[[#This Row],[Pré Albumina (g/dL)]]</f>
        <v>-</v>
      </c>
      <c r="X282" s="125" t="str">
        <f>Tabela1[[#This Row],[Pós Albumina (g/dL)]]</f>
        <v>-</v>
      </c>
      <c r="Y282" s="85" t="str">
        <f>Tabela1[[#This Row],[Pré TGP (g/dL)]]</f>
        <v>-</v>
      </c>
      <c r="Z282" s="85" t="str">
        <f>Tabela1[[#This Row],[Pós TGP (g/dL)]]</f>
        <v>-</v>
      </c>
      <c r="AA282" s="85" t="str">
        <f>Tabela1[[#This Row],[Pré GGT U/L]]</f>
        <v>-</v>
      </c>
      <c r="AB282" s="193" t="str">
        <f>Tabela1[[#This Row],[Pós GGT U/L]]</f>
        <v>-</v>
      </c>
      <c r="AC282" s="194">
        <f>Tabela1[[#This Row],[Pré Ac. Úrico (mg/dL)]]</f>
        <v>5.9</v>
      </c>
      <c r="AD282" s="125">
        <f>Tabela1[[#This Row],[Pós Ac. Úrico (mg/dL)2]]</f>
        <v>5.7</v>
      </c>
      <c r="AE28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8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82" s="85">
        <f>Tabela1[[#This Row],[Pré Ureia mg/dL]]</f>
        <v>31</v>
      </c>
      <c r="AH282" s="85">
        <f>Tabela1[[#This Row],[Pós Ureia mg/dL]]</f>
        <v>46</v>
      </c>
      <c r="AI282" s="125">
        <f>Tabela1[[#This Row],[Pré creatinina mg/dL]]</f>
        <v>0.8</v>
      </c>
      <c r="AJ282" s="125">
        <f>Tabela1[[#This Row],[Pós creatinina mg/dL]]</f>
        <v>0.9</v>
      </c>
      <c r="AK282" s="180">
        <f t="shared" si="16"/>
        <v>9.9999999999999978E-2</v>
      </c>
      <c r="AL282" s="125">
        <f>Tabela1[[#This Row],[Pré Fósforo mg/dL]]</f>
        <v>4.5</v>
      </c>
      <c r="AM282" s="125">
        <f>Tabela1[[#This Row],[Pós Fósforo mg/dL]]</f>
        <v>4</v>
      </c>
      <c r="AN282" s="125">
        <f>Tabela1[[#This Row],[Pré Proteína Total (g/dL)]]</f>
        <v>4.5</v>
      </c>
      <c r="AO282" s="125">
        <f>Tabela1[[#This Row],[Pós Proteína Total (g/dL)]]</f>
        <v>7.3</v>
      </c>
      <c r="AP282" s="85">
        <f>Tabela1[[#This Row],[Pré FE (ug/dL)]]</f>
        <v>53</v>
      </c>
      <c r="AQ282" s="193">
        <f>Tabela1[[#This Row],[Pós FE (ug/dL)]]</f>
        <v>65</v>
      </c>
      <c r="AR282" s="194">
        <f>Tabela1[[#This Row],[Pré calcio mg/dL]]</f>
        <v>9.3000000000000007</v>
      </c>
      <c r="AS282" s="125">
        <f>Tabela1[[#This Row],[Pós calcio mg/dL]]</f>
        <v>9.6</v>
      </c>
      <c r="AT282" s="125">
        <f>Tabela1[[#This Row],[Pré Potássio mmol/L]]</f>
        <v>4.5</v>
      </c>
      <c r="AU282" s="125">
        <f>Tabela1[[#This Row],[Pós Potássio mmol/L]]</f>
        <v>3.7</v>
      </c>
      <c r="AV282" s="85">
        <f>Tabela1[[#This Row],[Glicose pré]]</f>
        <v>95</v>
      </c>
      <c r="AW282" s="85">
        <f>Tabela1[[#This Row],[Glicose pós]]</f>
        <v>73</v>
      </c>
      <c r="AX282" s="85">
        <f>Tabela1[[#This Row],[Pré Sódio mmol/L]]</f>
        <v>141</v>
      </c>
      <c r="AY282" s="85">
        <f>Tabela1[[#This Row],[Pós Sódio mmol/L]]</f>
        <v>142</v>
      </c>
      <c r="AZ282" s="125">
        <f>Tabela1[[#This Row],[Pré Magnésio mg/dL]]</f>
        <v>1.9</v>
      </c>
      <c r="BA282" s="125">
        <f>Tabela1[[#This Row],[Pós Magnésio mg/dL]]</f>
        <v>2.1</v>
      </c>
      <c r="BB282" s="85">
        <f>Tabela1[[#This Row],[Pré Cloro mmol/L]]</f>
        <v>105</v>
      </c>
      <c r="BC282" s="85">
        <f>Tabela1[[#This Row],[Pós Cloro mmol/L]]</f>
        <v>104</v>
      </c>
      <c r="BD28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295.86611111111114</v>
      </c>
      <c r="BE28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297.33255555555559</v>
      </c>
      <c r="BF282" s="194">
        <f>Tabela1[[#This Row],[Pré RBC 10^6/mm³]]</f>
        <v>4.58</v>
      </c>
      <c r="BG282" s="125">
        <f>Tabela1[[#This Row],[Pós RBC 10^6/mm³]]</f>
        <v>4.76</v>
      </c>
      <c r="BH282" s="125">
        <f>Tabela1[[#This Row],[Pré HGB g/dL]]</f>
        <v>14.3</v>
      </c>
      <c r="BI282" s="125">
        <f>Tabela1[[#This Row],[Pós HGB g/dL]]</f>
        <v>14.8</v>
      </c>
      <c r="BJ282" s="125">
        <f>Tabela1[[#This Row],[Pré HCT %]]</f>
        <v>42.2</v>
      </c>
      <c r="BK282" s="125">
        <f>Tabela1[[#This Row],[Pós HCT %]]</f>
        <v>45.4</v>
      </c>
      <c r="BL282" s="125">
        <f>Tabela1[[#This Row],[Pré MCV fL]]</f>
        <v>92</v>
      </c>
      <c r="BM282" s="125">
        <f>Tabela1[[#This Row],[Pós MCV fL]]</f>
        <v>94.9</v>
      </c>
      <c r="BN282" s="125">
        <f>Tabela1[[#This Row],[Pré MCH pg]]</f>
        <v>31.3</v>
      </c>
      <c r="BO282" s="125">
        <f>Tabela1[[#This Row],[Pós MCH pg]]</f>
        <v>30.9</v>
      </c>
      <c r="BP282" s="125">
        <f>Tabela1[[#This Row],[Pré MCHC g/dL]]</f>
        <v>34</v>
      </c>
      <c r="BQ282" s="125">
        <f>Tabela1[[#This Row],[Pós MCHC g/dL]]</f>
        <v>32.5</v>
      </c>
      <c r="BR282" s="85">
        <f>Tabela1[[#This Row],[Pré PLT 10³/mm³]]</f>
        <v>284</v>
      </c>
      <c r="BS282" s="85">
        <f>Tabela1[[#This Row],[Pós PLT 10³/mm³]]</f>
        <v>289</v>
      </c>
      <c r="BT282" s="125">
        <f>Tabela1[[#This Row],[Pré RDW %]]</f>
        <v>13.8</v>
      </c>
      <c r="BU282" s="125">
        <f>Tabela1[[#This Row],[Pós RDW %]]</f>
        <v>12.8</v>
      </c>
      <c r="BV282" s="179">
        <f>Tabela1[[#This Row],[Pré RET %]]</f>
        <v>0.63</v>
      </c>
      <c r="BW282" s="196">
        <f>Tabela1[[#This Row],[Pós RET %]]</f>
        <v>0.67</v>
      </c>
      <c r="BX282" s="197">
        <f>Tabela1[[#This Row],[Pré WBC 10³/mm³]]</f>
        <v>2.74</v>
      </c>
      <c r="BY282" s="179">
        <f>Tabela1[[#This Row],[Pós WBC 10³/mm³]]</f>
        <v>4.09</v>
      </c>
      <c r="BZ282" s="125">
        <f>Tabela1[[#This Row],[Pré NEUT %]]</f>
        <v>20.6</v>
      </c>
      <c r="CA282" s="125">
        <f>Tabela1[[#This Row],[Pós NEUT %]]</f>
        <v>41</v>
      </c>
      <c r="CB282" s="125">
        <f>Tabela1[[#This Row],[Pré LINF %]]</f>
        <v>57</v>
      </c>
      <c r="CC282" s="125">
        <f>Tabela1[[#This Row],[Pós LINF %]]</f>
        <v>45.8</v>
      </c>
      <c r="CD282" s="125">
        <f>Tabela1[[#This Row],[Pré MONO %]]</f>
        <v>11.1</v>
      </c>
      <c r="CE282" s="125">
        <f>Tabela1[[#This Row],[Pós MONO %]]</f>
        <v>8.3000000000000007</v>
      </c>
      <c r="CF282" s="125">
        <f>Tabela1[[#This Row],[Pré EOS %]]</f>
        <v>9.1</v>
      </c>
      <c r="CG282" s="125">
        <f>Tabela1[[#This Row],[Pós EOS %]]</f>
        <v>4</v>
      </c>
      <c r="CH282" s="125">
        <f>Tabela1[[#This Row],[Pré BASO %]]</f>
        <v>2.2000000000000002</v>
      </c>
      <c r="CI282" s="198">
        <f>Tabela1[[#This Row],[Pós BASO %]]</f>
        <v>0.9</v>
      </c>
      <c r="CJ282" s="199" t="str">
        <f t="shared" si="17"/>
        <v>NÃO</v>
      </c>
      <c r="CK282" s="200" t="str">
        <f t="shared" si="18"/>
        <v>NÃO</v>
      </c>
      <c r="CL282" s="194">
        <f t="shared" si="19"/>
        <v>79.259819999999991</v>
      </c>
      <c r="CM282" s="125">
        <f>Tabela1[[#This Row],[MCT KG]]</f>
        <v>92.55</v>
      </c>
      <c r="CN282" s="85">
        <f>Tabela1[[#This Row],[ESTATURA]]</f>
        <v>183.2</v>
      </c>
      <c r="CO282" s="85">
        <f>Tabela1[[#This Row],[vo2max estimado]]</f>
        <v>45.83</v>
      </c>
      <c r="CP282" s="85">
        <f>Tabela1[[#This Row],[Handgrip     Dominante]]</f>
        <v>58</v>
      </c>
      <c r="CQ282" s="85">
        <f>Tabela1[[#This Row],[Handgrip Contrário]]</f>
        <v>62</v>
      </c>
      <c r="CR282" s="281">
        <f>Tabela1[[#This Row],[% gordura]]</f>
        <v>14.36</v>
      </c>
    </row>
    <row r="283" spans="1:96" ht="15.75" customHeight="1">
      <c r="A283" s="279">
        <f>Tabela1[[#This Row],[Ano]]</f>
        <v>2022</v>
      </c>
      <c r="B283" s="181" t="str">
        <f>Tabela1[[#This Row],[Missão]]</f>
        <v>Tonelero</v>
      </c>
      <c r="C283" s="181">
        <f>Tabela1[[#This Row],[Aluno]]</f>
        <v>3258</v>
      </c>
      <c r="D283" s="181">
        <f>Tabela1[[#This Row],[Idade]]</f>
        <v>26</v>
      </c>
      <c r="E283" s="182">
        <f>Tabela1[[#This Row],[Peso Kg]]</f>
        <v>82</v>
      </c>
      <c r="F283" s="191">
        <f>Tabela1[[#This Row],[Cor da pele]]</f>
        <v>1</v>
      </c>
      <c r="G283" s="192" t="str">
        <f>Tabela1[[#This Row],[ACTN3]]</f>
        <v>XX</v>
      </c>
      <c r="H283" s="85" t="str">
        <f>Tabela1[[#This Row],[AGT]]</f>
        <v>MT</v>
      </c>
      <c r="I283" s="85" t="str">
        <f>Tabela1[[#This Row],[ECA]]</f>
        <v>ID</v>
      </c>
      <c r="J283" s="85" t="str">
        <f>Tabela1[[#This Row],[BDKRB2]]</f>
        <v>(+9, -9)</v>
      </c>
      <c r="K283" s="85">
        <f>Tabela1[[#This Row],[Score Força%]]</f>
        <v>37.5</v>
      </c>
      <c r="L283" s="193">
        <f>Tabela1[[#This Row],[Score Resistência %]]</f>
        <v>62.5</v>
      </c>
      <c r="M283" s="192">
        <f>Tabela1[[#This Row],[Pré CK (U/L)]]</f>
        <v>233</v>
      </c>
      <c r="N283" s="85">
        <f>Tabela1[[#This Row],[Pós CK (U/L)]]</f>
        <v>812</v>
      </c>
      <c r="O283" s="85" t="str">
        <f>Tabela1[[#This Row],[Pré CK MB U/L]]</f>
        <v>-</v>
      </c>
      <c r="P283" s="85" t="str">
        <f>Tabela1[[#This Row],[Pós CK MB U/L]]</f>
        <v>-</v>
      </c>
      <c r="Q283" s="85">
        <f>Tabela1[[#This Row],[Pré Lactato (mmol/L)]]</f>
        <v>3.5</v>
      </c>
      <c r="R283" s="85">
        <f>Tabela1[[#This Row],[Pós Lactato (mmol/L)]]</f>
        <v>2.1</v>
      </c>
      <c r="S283" s="85">
        <f>Tabela1[[#This Row],[Pré LDH (U/L)]]</f>
        <v>241</v>
      </c>
      <c r="T283" s="85">
        <f>Tabela1[[#This Row],[Pós LDH (U/L)]]</f>
        <v>286</v>
      </c>
      <c r="U283" s="85">
        <f>Tabela1[[#This Row],[Pré AST (U/L)]]</f>
        <v>40</v>
      </c>
      <c r="V283" s="193">
        <f>Tabela1[[#This Row],[Pós AST (U/L)]]</f>
        <v>52</v>
      </c>
      <c r="W283" s="194" t="str">
        <f>Tabela1[[#This Row],[Pré Albumina (g/dL)]]</f>
        <v>-</v>
      </c>
      <c r="X283" s="125" t="str">
        <f>Tabela1[[#This Row],[Pós Albumina (g/dL)]]</f>
        <v>-</v>
      </c>
      <c r="Y283" s="85" t="str">
        <f>Tabela1[[#This Row],[Pré TGP (g/dL)]]</f>
        <v>-</v>
      </c>
      <c r="Z283" s="85" t="str">
        <f>Tabela1[[#This Row],[Pós TGP (g/dL)]]</f>
        <v>-</v>
      </c>
      <c r="AA283" s="85" t="str">
        <f>Tabela1[[#This Row],[Pré GGT U/L]]</f>
        <v>-</v>
      </c>
      <c r="AB283" s="193" t="str">
        <f>Tabela1[[#This Row],[Pós GGT U/L]]</f>
        <v>-</v>
      </c>
      <c r="AC283" s="194">
        <f>Tabela1[[#This Row],[Pré Ac. Úrico (mg/dL)]]</f>
        <v>4.5</v>
      </c>
      <c r="AD283" s="125">
        <f>Tabela1[[#This Row],[Pós Ac. Úrico (mg/dL)2]]</f>
        <v>5.4</v>
      </c>
      <c r="AE28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8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283" s="85">
        <f>Tabela1[[#This Row],[Pré Ureia mg/dL]]</f>
        <v>42</v>
      </c>
      <c r="AH283" s="85">
        <f>Tabela1[[#This Row],[Pós Ureia mg/dL]]</f>
        <v>43</v>
      </c>
      <c r="AI283" s="125">
        <f>Tabela1[[#This Row],[Pré creatinina mg/dL]]</f>
        <v>1</v>
      </c>
      <c r="AJ283" s="125">
        <f>Tabela1[[#This Row],[Pós creatinina mg/dL]]</f>
        <v>1</v>
      </c>
      <c r="AK283" s="180">
        <f t="shared" si="16"/>
        <v>0</v>
      </c>
      <c r="AL283" s="125">
        <f>Tabela1[[#This Row],[Pré Fósforo mg/dL]]</f>
        <v>4.8</v>
      </c>
      <c r="AM283" s="125">
        <f>Tabela1[[#This Row],[Pós Fósforo mg/dL]]</f>
        <v>3.8</v>
      </c>
      <c r="AN283" s="125">
        <f>Tabela1[[#This Row],[Pré Proteína Total (g/dL)]]</f>
        <v>7.5</v>
      </c>
      <c r="AO283" s="125">
        <f>Tabela1[[#This Row],[Pós Proteína Total (g/dL)]]</f>
        <v>7.4</v>
      </c>
      <c r="AP283" s="85">
        <f>Tabela1[[#This Row],[Pré FE (ug/dL)]]</f>
        <v>76</v>
      </c>
      <c r="AQ283" s="193">
        <f>Tabela1[[#This Row],[Pós FE (ug/dL)]]</f>
        <v>99</v>
      </c>
      <c r="AR283" s="194">
        <f>Tabela1[[#This Row],[Pré calcio mg/dL]]</f>
        <v>10.1</v>
      </c>
      <c r="AS283" s="125">
        <f>Tabela1[[#This Row],[Pós calcio mg/dL]]</f>
        <v>9.6999999999999993</v>
      </c>
      <c r="AT283" s="125">
        <f>Tabela1[[#This Row],[Pré Potássio mmol/L]]</f>
        <v>5</v>
      </c>
      <c r="AU283" s="125">
        <f>Tabela1[[#This Row],[Pós Potássio mmol/L]]</f>
        <v>4</v>
      </c>
      <c r="AV283" s="85">
        <f>Tabela1[[#This Row],[Glicose pré]]</f>
        <v>90</v>
      </c>
      <c r="AW283" s="85">
        <f>Tabela1[[#This Row],[Glicose pós]]</f>
        <v>97</v>
      </c>
      <c r="AX283" s="85">
        <f>Tabela1[[#This Row],[Pré Sódio mmol/L]]</f>
        <v>144</v>
      </c>
      <c r="AY283" s="85">
        <f>Tabela1[[#This Row],[Pós Sódio mmol/L]]</f>
        <v>141</v>
      </c>
      <c r="AZ283" s="125">
        <f>Tabela1[[#This Row],[Pré Magnésio mg/dL]]</f>
        <v>2.2000000000000002</v>
      </c>
      <c r="BA283" s="125">
        <f>Tabela1[[#This Row],[Pós Magnésio mg/dL]]</f>
        <v>2.2000000000000002</v>
      </c>
      <c r="BB283" s="85">
        <f>Tabela1[[#This Row],[Pré Cloro mmol/L]]</f>
        <v>104</v>
      </c>
      <c r="BC283" s="85">
        <f>Tabela1[[#This Row],[Pós Cloro mmol/L]]</f>
        <v>105</v>
      </c>
      <c r="BD28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303.89</v>
      </c>
      <c r="BE28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297.06388888888887</v>
      </c>
      <c r="BF283" s="194">
        <f>Tabela1[[#This Row],[Pré RBC 10^6/mm³]]</f>
        <v>5.05</v>
      </c>
      <c r="BG283" s="125">
        <f>Tabela1[[#This Row],[Pós RBC 10^6/mm³]]</f>
        <v>5.0199999999999996</v>
      </c>
      <c r="BH283" s="125">
        <f>Tabela1[[#This Row],[Pré HGB g/dL]]</f>
        <v>15.8</v>
      </c>
      <c r="BI283" s="125">
        <f>Tabela1[[#This Row],[Pós HGB g/dL]]</f>
        <v>15.7</v>
      </c>
      <c r="BJ283" s="125">
        <f>Tabela1[[#This Row],[Pré HCT %]]</f>
        <v>46.5</v>
      </c>
      <c r="BK283" s="125">
        <f>Tabela1[[#This Row],[Pós HCT %]]</f>
        <v>47.9</v>
      </c>
      <c r="BL283" s="125">
        <f>Tabela1[[#This Row],[Pré MCV fL]]</f>
        <v>92.2</v>
      </c>
      <c r="BM283" s="125">
        <f>Tabela1[[#This Row],[Pós MCV fL]]</f>
        <v>94.5</v>
      </c>
      <c r="BN283" s="125">
        <f>Tabela1[[#This Row],[Pré MCH pg]]</f>
        <v>31.3</v>
      </c>
      <c r="BO283" s="125">
        <f>Tabela1[[#This Row],[Pós MCH pg]]</f>
        <v>30.9</v>
      </c>
      <c r="BP283" s="125">
        <f>Tabela1[[#This Row],[Pré MCHC g/dL]]</f>
        <v>34</v>
      </c>
      <c r="BQ283" s="125">
        <f>Tabela1[[#This Row],[Pós MCHC g/dL]]</f>
        <v>32.799999999999997</v>
      </c>
      <c r="BR283" s="85">
        <f>Tabela1[[#This Row],[Pré PLT 10³/mm³]]</f>
        <v>342</v>
      </c>
      <c r="BS283" s="85">
        <f>Tabela1[[#This Row],[Pós PLT 10³/mm³]]</f>
        <v>308</v>
      </c>
      <c r="BT283" s="125">
        <f>Tabela1[[#This Row],[Pré RDW %]]</f>
        <v>14</v>
      </c>
      <c r="BU283" s="125">
        <f>Tabela1[[#This Row],[Pós RDW %]]</f>
        <v>12.9</v>
      </c>
      <c r="BV283" s="179">
        <f>Tabela1[[#This Row],[Pré RET %]]</f>
        <v>0.39</v>
      </c>
      <c r="BW283" s="196">
        <f>Tabela1[[#This Row],[Pós RET %]]</f>
        <v>0.3</v>
      </c>
      <c r="BX283" s="197">
        <f>Tabela1[[#This Row],[Pré WBC 10³/mm³]]</f>
        <v>7.67</v>
      </c>
      <c r="BY283" s="179">
        <f>Tabela1[[#This Row],[Pós WBC 10³/mm³]]</f>
        <v>10.57</v>
      </c>
      <c r="BZ283" s="125">
        <f>Tabela1[[#This Row],[Pré NEUT %]]</f>
        <v>51</v>
      </c>
      <c r="CA283" s="125">
        <f>Tabela1[[#This Row],[Pós NEUT %]]</f>
        <v>63.1</v>
      </c>
      <c r="CB283" s="125">
        <f>Tabela1[[#This Row],[Pré LINF %]]</f>
        <v>36.200000000000003</v>
      </c>
      <c r="CC283" s="125">
        <f>Tabela1[[#This Row],[Pós LINF %]]</f>
        <v>24.9</v>
      </c>
      <c r="CD283" s="125">
        <f>Tabela1[[#This Row],[Pré MONO %]]</f>
        <v>9.5</v>
      </c>
      <c r="CE283" s="125">
        <f>Tabela1[[#This Row],[Pós MONO %]]</f>
        <v>8.4</v>
      </c>
      <c r="CF283" s="125">
        <f>Tabela1[[#This Row],[Pré EOS %]]</f>
        <v>2.1</v>
      </c>
      <c r="CG283" s="125">
        <f>Tabela1[[#This Row],[Pós EOS %]]</f>
        <v>2.6</v>
      </c>
      <c r="CH283" s="125">
        <f>Tabela1[[#This Row],[Pré BASO %]]</f>
        <v>1.2</v>
      </c>
      <c r="CI283" s="198">
        <f>Tabela1[[#This Row],[Pós BASO %]]</f>
        <v>1</v>
      </c>
      <c r="CJ283" s="199" t="str">
        <f t="shared" si="17"/>
        <v>NÃO</v>
      </c>
      <c r="CK283" s="200" t="str">
        <f t="shared" si="18"/>
        <v>NÃO</v>
      </c>
      <c r="CL283" s="194">
        <f t="shared" si="19"/>
        <v>72.216679999999997</v>
      </c>
      <c r="CM283" s="125">
        <f>Tabela1[[#This Row],[MCT KG]]</f>
        <v>87.05</v>
      </c>
      <c r="CN283" s="85">
        <f>Tabela1[[#This Row],[ESTATURA]]</f>
        <v>173.3</v>
      </c>
      <c r="CO283" s="85">
        <f>Tabela1[[#This Row],[vo2max estimado]]</f>
        <v>46.36</v>
      </c>
      <c r="CP283" s="85">
        <f>Tabela1[[#This Row],[Handgrip     Dominante]]</f>
        <v>50</v>
      </c>
      <c r="CQ283" s="85">
        <f>Tabela1[[#This Row],[Handgrip Contrário]]</f>
        <v>46</v>
      </c>
      <c r="CR283" s="281">
        <f>Tabela1[[#This Row],[% gordura]]</f>
        <v>17.04</v>
      </c>
    </row>
    <row r="284" spans="1:96" ht="15.75" customHeight="1">
      <c r="A284" s="279">
        <f>Tabela1[[#This Row],[Ano]]</f>
        <v>2022</v>
      </c>
      <c r="B284" s="181" t="str">
        <f>Tabela1[[#This Row],[Missão]]</f>
        <v>Tonelero</v>
      </c>
      <c r="C284" s="181">
        <f>Tabela1[[#This Row],[Aluno]]</f>
        <v>3259</v>
      </c>
      <c r="D284" s="181">
        <f>Tabela1[[#This Row],[Idade]]</f>
        <v>25</v>
      </c>
      <c r="E284" s="182">
        <f>Tabela1[[#This Row],[Peso Kg]]</f>
        <v>68.7</v>
      </c>
      <c r="F284" s="191">
        <f>Tabela1[[#This Row],[Cor da pele]]</f>
        <v>1</v>
      </c>
      <c r="G284" s="192" t="str">
        <f>Tabela1[[#This Row],[ACTN3]]</f>
        <v>RR</v>
      </c>
      <c r="H284" s="85" t="str">
        <f>Tabela1[[#This Row],[AGT]]</f>
        <v>TT</v>
      </c>
      <c r="I284" s="85" t="str">
        <f>Tabela1[[#This Row],[ECA]]</f>
        <v>ID</v>
      </c>
      <c r="J284" s="85" t="str">
        <f>Tabela1[[#This Row],[BDKRB2]]</f>
        <v>(+9, -9)</v>
      </c>
      <c r="K284" s="85">
        <f>Tabela1[[#This Row],[Score Força%]]</f>
        <v>75</v>
      </c>
      <c r="L284" s="193">
        <f>Tabela1[[#This Row],[Score Resistência %]]</f>
        <v>25</v>
      </c>
      <c r="M284" s="192">
        <f>Tabela1[[#This Row],[Pré CK (U/L)]]</f>
        <v>322</v>
      </c>
      <c r="N284" s="85">
        <f>Tabela1[[#This Row],[Pós CK (U/L)]]</f>
        <v>1486</v>
      </c>
      <c r="O284" s="85" t="str">
        <f>Tabela1[[#This Row],[Pré CK MB U/L]]</f>
        <v>-</v>
      </c>
      <c r="P284" s="85" t="str">
        <f>Tabela1[[#This Row],[Pós CK MB U/L]]</f>
        <v>-</v>
      </c>
      <c r="Q284" s="85">
        <f>Tabela1[[#This Row],[Pré Lactato (mmol/L)]]</f>
        <v>1.8</v>
      </c>
      <c r="R284" s="85">
        <f>Tabela1[[#This Row],[Pós Lactato (mmol/L)]]</f>
        <v>2.2999999999999998</v>
      </c>
      <c r="S284" s="85">
        <f>Tabela1[[#This Row],[Pré LDH (U/L)]]</f>
        <v>222</v>
      </c>
      <c r="T284" s="85">
        <f>Tabela1[[#This Row],[Pós LDH (U/L)]]</f>
        <v>377</v>
      </c>
      <c r="U284" s="85">
        <f>Tabela1[[#This Row],[Pré AST (U/L)]]</f>
        <v>44</v>
      </c>
      <c r="V284" s="193">
        <f>Tabela1[[#This Row],[Pós AST (U/L)]]</f>
        <v>140</v>
      </c>
      <c r="W284" s="194" t="str">
        <f>Tabela1[[#This Row],[Pré Albumina (g/dL)]]</f>
        <v>-</v>
      </c>
      <c r="X284" s="125" t="str">
        <f>Tabela1[[#This Row],[Pós Albumina (g/dL)]]</f>
        <v>-</v>
      </c>
      <c r="Y284" s="85" t="str">
        <f>Tabela1[[#This Row],[Pré TGP (g/dL)]]</f>
        <v>-</v>
      </c>
      <c r="Z284" s="85" t="str">
        <f>Tabela1[[#This Row],[Pós TGP (g/dL)]]</f>
        <v>-</v>
      </c>
      <c r="AA284" s="85" t="str">
        <f>Tabela1[[#This Row],[Pré GGT U/L]]</f>
        <v>-</v>
      </c>
      <c r="AB284" s="193" t="str">
        <f>Tabela1[[#This Row],[Pós GGT U/L]]</f>
        <v>-</v>
      </c>
      <c r="AC284" s="194">
        <f>Tabela1[[#This Row],[Pré Ac. Úrico (mg/dL)]]</f>
        <v>4.7</v>
      </c>
      <c r="AD284" s="125">
        <f>Tabela1[[#This Row],[Pós Ac. Úrico (mg/dL)2]]</f>
        <v>6.3</v>
      </c>
      <c r="AE28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28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284" s="85">
        <f>Tabela1[[#This Row],[Pré Ureia mg/dL]]</f>
        <v>36</v>
      </c>
      <c r="AH284" s="85">
        <f>Tabela1[[#This Row],[Pós Ureia mg/dL]]</f>
        <v>56</v>
      </c>
      <c r="AI284" s="125">
        <f>Tabela1[[#This Row],[Pré creatinina mg/dL]]</f>
        <v>1.1000000000000001</v>
      </c>
      <c r="AJ284" s="125">
        <f>Tabela1[[#This Row],[Pós creatinina mg/dL]]</f>
        <v>1.2</v>
      </c>
      <c r="AK284" s="180">
        <f t="shared" si="16"/>
        <v>9.9999999999999867E-2</v>
      </c>
      <c r="AL284" s="125">
        <f>Tabela1[[#This Row],[Pré Fósforo mg/dL]]</f>
        <v>4.4000000000000004</v>
      </c>
      <c r="AM284" s="125">
        <f>Tabela1[[#This Row],[Pós Fósforo mg/dL]]</f>
        <v>3.9</v>
      </c>
      <c r="AN284" s="125">
        <f>Tabela1[[#This Row],[Pré Proteína Total (g/dL)]]</f>
        <v>6.5</v>
      </c>
      <c r="AO284" s="125">
        <f>Tabela1[[#This Row],[Pós Proteína Total (g/dL)]]</f>
        <v>7.2</v>
      </c>
      <c r="AP284" s="85">
        <f>Tabela1[[#This Row],[Pré FE (ug/dL)]]</f>
        <v>62</v>
      </c>
      <c r="AQ284" s="193">
        <f>Tabela1[[#This Row],[Pós FE (ug/dL)]]</f>
        <v>103</v>
      </c>
      <c r="AR284" s="194">
        <f>Tabela1[[#This Row],[Pré calcio mg/dL]]</f>
        <v>9.3000000000000007</v>
      </c>
      <c r="AS284" s="125">
        <f>Tabela1[[#This Row],[Pós calcio mg/dL]]</f>
        <v>10.199999999999999</v>
      </c>
      <c r="AT284" s="125">
        <f>Tabela1[[#This Row],[Pré Potássio mmol/L]]</f>
        <v>4.3</v>
      </c>
      <c r="AU284" s="125">
        <f>Tabela1[[#This Row],[Pós Potássio mmol/L]]</f>
        <v>4.7</v>
      </c>
      <c r="AV284" s="85">
        <f>Tabela1[[#This Row],[Glicose pré]]</f>
        <v>85</v>
      </c>
      <c r="AW284" s="85">
        <f>Tabela1[[#This Row],[Glicose pós]]</f>
        <v>121</v>
      </c>
      <c r="AX284" s="85" t="str">
        <f>Tabela1[[#This Row],[Pré Sódio mmol/L]]</f>
        <v>-</v>
      </c>
      <c r="AY284" s="85">
        <f>Tabela1[[#This Row],[Pós Sódio mmol/L]]</f>
        <v>157</v>
      </c>
      <c r="AZ284" s="125">
        <f>Tabela1[[#This Row],[Pré Magnésio mg/dL]]</f>
        <v>2</v>
      </c>
      <c r="BA284" s="125">
        <f>Tabela1[[#This Row],[Pós Magnésio mg/dL]]</f>
        <v>2.2999999999999998</v>
      </c>
      <c r="BB284" s="85" t="str">
        <f>Tabela1[[#This Row],[Pré Cloro mmol/L]]</f>
        <v>-</v>
      </c>
      <c r="BC284" s="85">
        <f>Tabela1[[#This Row],[Pós Cloro mmol/L]]</f>
        <v>120</v>
      </c>
      <c r="BD284" s="190" t="str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Dados Insuficientes</v>
      </c>
      <c r="BE28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331.82588888888887</v>
      </c>
      <c r="BF284" s="194">
        <f>Tabela1[[#This Row],[Pré RBC 10^6/mm³]]</f>
        <v>4.63</v>
      </c>
      <c r="BG284" s="125">
        <f>Tabela1[[#This Row],[Pós RBC 10^6/mm³]]</f>
        <v>4.62</v>
      </c>
      <c r="BH284" s="125">
        <f>Tabela1[[#This Row],[Pré HGB g/dL]]</f>
        <v>14.2</v>
      </c>
      <c r="BI284" s="125">
        <f>Tabela1[[#This Row],[Pós HGB g/dL]]</f>
        <v>14.1</v>
      </c>
      <c r="BJ284" s="125">
        <f>Tabela1[[#This Row],[Pré HCT %]]</f>
        <v>41.3</v>
      </c>
      <c r="BK284" s="125">
        <f>Tabela1[[#This Row],[Pós HCT %]]</f>
        <v>43.2</v>
      </c>
      <c r="BL284" s="125">
        <f>Tabela1[[#This Row],[Pré MCV fL]]</f>
        <v>89.2</v>
      </c>
      <c r="BM284" s="125">
        <f>Tabela1[[#This Row],[Pós MCV fL]]</f>
        <v>92.5</v>
      </c>
      <c r="BN284" s="125">
        <f>Tabela1[[#This Row],[Pré MCH pg]]</f>
        <v>30.7</v>
      </c>
      <c r="BO284" s="125">
        <f>Tabela1[[#This Row],[Pós MCH pg]]</f>
        <v>30.2</v>
      </c>
      <c r="BP284" s="125">
        <f>Tabela1[[#This Row],[Pré MCHC g/dL]]</f>
        <v>34.5</v>
      </c>
      <c r="BQ284" s="125">
        <f>Tabela1[[#This Row],[Pós MCHC g/dL]]</f>
        <v>32.6</v>
      </c>
      <c r="BR284" s="85">
        <f>Tabela1[[#This Row],[Pré PLT 10³/mm³]]</f>
        <v>252</v>
      </c>
      <c r="BS284" s="85">
        <f>Tabela1[[#This Row],[Pós PLT 10³/mm³]]</f>
        <v>238</v>
      </c>
      <c r="BT284" s="125">
        <f>Tabela1[[#This Row],[Pré RDW %]]</f>
        <v>14.2</v>
      </c>
      <c r="BU284" s="125">
        <f>Tabela1[[#This Row],[Pós RDW %]]</f>
        <v>13.4</v>
      </c>
      <c r="BV284" s="179">
        <f>Tabela1[[#This Row],[Pré RET %]]</f>
        <v>0.81</v>
      </c>
      <c r="BW284" s="196">
        <f>Tabela1[[#This Row],[Pós RET %]]</f>
        <v>1.24</v>
      </c>
      <c r="BX284" s="197">
        <f>Tabela1[[#This Row],[Pré WBC 10³/mm³]]</f>
        <v>5.16</v>
      </c>
      <c r="BY284" s="179">
        <f>Tabela1[[#This Row],[Pós WBC 10³/mm³]]</f>
        <v>9.6999999999999993</v>
      </c>
      <c r="BZ284" s="125">
        <f>Tabela1[[#This Row],[Pré NEUT %]]</f>
        <v>52</v>
      </c>
      <c r="CA284" s="125">
        <f>Tabela1[[#This Row],[Pós NEUT %]]</f>
        <v>78.900000000000006</v>
      </c>
      <c r="CB284" s="125">
        <f>Tabela1[[#This Row],[Pré LINF %]]</f>
        <v>32</v>
      </c>
      <c r="CC284" s="125">
        <f>Tabela1[[#This Row],[Pós LINF %]]</f>
        <v>14.6</v>
      </c>
      <c r="CD284" s="125">
        <f>Tabela1[[#This Row],[Pré MONO %]]</f>
        <v>10.7</v>
      </c>
      <c r="CE284" s="125">
        <f>Tabela1[[#This Row],[Pós MONO %]]</f>
        <v>5.5</v>
      </c>
      <c r="CF284" s="125">
        <f>Tabela1[[#This Row],[Pré EOS %]]</f>
        <v>4.0999999999999996</v>
      </c>
      <c r="CG284" s="125">
        <f>Tabela1[[#This Row],[Pós EOS %]]</f>
        <v>0.8</v>
      </c>
      <c r="CH284" s="125">
        <f>Tabela1[[#This Row],[Pré BASO %]]</f>
        <v>1.2</v>
      </c>
      <c r="CI284" s="198">
        <f>Tabela1[[#This Row],[Pós BASO %]]</f>
        <v>0.2</v>
      </c>
      <c r="CJ284" s="199" t="str">
        <f t="shared" si="17"/>
        <v>NÃO</v>
      </c>
      <c r="CK284" s="200" t="str">
        <f t="shared" si="18"/>
        <v>SIM</v>
      </c>
      <c r="CL284" s="194">
        <f t="shared" si="19"/>
        <v>66.786999999999992</v>
      </c>
      <c r="CM284" s="125">
        <f>Tabela1[[#This Row],[MCT KG]]</f>
        <v>71.05</v>
      </c>
      <c r="CN284" s="85">
        <f>Tabela1[[#This Row],[ESTATURA]]</f>
        <v>172.4</v>
      </c>
      <c r="CO284" s="85">
        <f>Tabela1[[#This Row],[vo2max estimado]]</f>
        <v>56.66</v>
      </c>
      <c r="CP284" s="85">
        <f>Tabela1[[#This Row],[Handgrip     Dominante]]</f>
        <v>58</v>
      </c>
      <c r="CQ284" s="85">
        <f>Tabela1[[#This Row],[Handgrip Contrário]]</f>
        <v>44</v>
      </c>
      <c r="CR284" s="281">
        <f>Tabela1[[#This Row],[% gordura]]</f>
        <v>6</v>
      </c>
    </row>
    <row r="285" spans="1:96" ht="15.75" customHeight="1">
      <c r="A285" s="279">
        <f>Tabela1[[#This Row],[Ano]]</f>
        <v>2022</v>
      </c>
      <c r="B285" s="181" t="str">
        <f>Tabela1[[#This Row],[Missão]]</f>
        <v>Tonelero</v>
      </c>
      <c r="C285" s="181">
        <f>Tabela1[[#This Row],[Aluno]]</f>
        <v>3260</v>
      </c>
      <c r="D285" s="181">
        <f>Tabela1[[#This Row],[Idade]]</f>
        <v>25</v>
      </c>
      <c r="E285" s="182">
        <f>Tabela1[[#This Row],[Peso Kg]]</f>
        <v>82</v>
      </c>
      <c r="F285" s="191">
        <f>Tabela1[[#This Row],[Cor da pele]]</f>
        <v>1</v>
      </c>
      <c r="G285" s="192" t="str">
        <f>Tabela1[[#This Row],[ACTN3]]</f>
        <v>RR</v>
      </c>
      <c r="H285" s="85" t="str">
        <f>Tabela1[[#This Row],[AGT]]</f>
        <v>MT</v>
      </c>
      <c r="I285" s="85" t="str">
        <f>Tabela1[[#This Row],[ECA]]</f>
        <v>ID</v>
      </c>
      <c r="J285" s="85" t="str">
        <f>Tabela1[[#This Row],[BDKRB2]]</f>
        <v>(+9, +9)</v>
      </c>
      <c r="K285" s="85">
        <f>Tabela1[[#This Row],[Score Força%]]</f>
        <v>75</v>
      </c>
      <c r="L285" s="193">
        <f>Tabela1[[#This Row],[Score Resistência %]]</f>
        <v>25</v>
      </c>
      <c r="M285" s="192">
        <f>Tabela1[[#This Row],[Pré CK (U/L)]]</f>
        <v>427</v>
      </c>
      <c r="N285" s="85" t="str">
        <f>Tabela1[[#This Row],[Pós CK (U/L)]]</f>
        <v>-</v>
      </c>
      <c r="O285" s="85" t="str">
        <f>Tabela1[[#This Row],[Pré CK MB U/L]]</f>
        <v>-</v>
      </c>
      <c r="P285" s="85" t="str">
        <f>Tabela1[[#This Row],[Pós CK MB U/L]]</f>
        <v>-</v>
      </c>
      <c r="Q285" s="85">
        <f>Tabela1[[#This Row],[Pré Lactato (mmol/L)]]</f>
        <v>2</v>
      </c>
      <c r="R285" s="85">
        <f>Tabela1[[#This Row],[Pós Lactato (mmol/L)]]</f>
        <v>1.8</v>
      </c>
      <c r="S285" s="85">
        <f>Tabela1[[#This Row],[Pré LDH (U/L)]]</f>
        <v>279</v>
      </c>
      <c r="T285" s="85">
        <f>Tabela1[[#This Row],[Pós LDH (U/L)]]</f>
        <v>814</v>
      </c>
      <c r="U285" s="85">
        <f>Tabela1[[#This Row],[Pré AST (U/L)]]</f>
        <v>63</v>
      </c>
      <c r="V285" s="193">
        <f>Tabela1[[#This Row],[Pós AST (U/L)]]</f>
        <v>432</v>
      </c>
      <c r="W285" s="194" t="str">
        <f>Tabela1[[#This Row],[Pré Albumina (g/dL)]]</f>
        <v>-</v>
      </c>
      <c r="X285" s="125" t="str">
        <f>Tabela1[[#This Row],[Pós Albumina (g/dL)]]</f>
        <v>-</v>
      </c>
      <c r="Y285" s="85" t="str">
        <f>Tabela1[[#This Row],[Pré TGP (g/dL)]]</f>
        <v>-</v>
      </c>
      <c r="Z285" s="85" t="str">
        <f>Tabela1[[#This Row],[Pós TGP (g/dL)]]</f>
        <v>-</v>
      </c>
      <c r="AA285" s="85" t="str">
        <f>Tabela1[[#This Row],[Pré GGT U/L]]</f>
        <v>-</v>
      </c>
      <c r="AB285" s="193" t="str">
        <f>Tabela1[[#This Row],[Pós GGT U/L]]</f>
        <v>-</v>
      </c>
      <c r="AC285" s="194">
        <f>Tabela1[[#This Row],[Pré Ac. Úrico (mg/dL)]]</f>
        <v>3.7</v>
      </c>
      <c r="AD285" s="125">
        <f>Tabela1[[#This Row],[Pós Ac. Úrico (mg/dL)2]]</f>
        <v>5.0999999999999996</v>
      </c>
      <c r="AE28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8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285" s="85">
        <f>Tabela1[[#This Row],[Pré Ureia mg/dL]]</f>
        <v>53</v>
      </c>
      <c r="AH285" s="85">
        <f>Tabela1[[#This Row],[Pós Ureia mg/dL]]</f>
        <v>66</v>
      </c>
      <c r="AI285" s="125">
        <f>Tabela1[[#This Row],[Pré creatinina mg/dL]]</f>
        <v>1</v>
      </c>
      <c r="AJ285" s="125">
        <f>Tabela1[[#This Row],[Pós creatinina mg/dL]]</f>
        <v>1.1000000000000001</v>
      </c>
      <c r="AK285" s="180">
        <f t="shared" si="16"/>
        <v>0.10000000000000009</v>
      </c>
      <c r="AL285" s="125">
        <f>Tabela1[[#This Row],[Pré Fósforo mg/dL]]</f>
        <v>3.7</v>
      </c>
      <c r="AM285" s="125">
        <f>Tabela1[[#This Row],[Pós Fósforo mg/dL]]</f>
        <v>3.8</v>
      </c>
      <c r="AN285" s="125">
        <f>Tabela1[[#This Row],[Pré Proteína Total (g/dL)]]</f>
        <v>4.0999999999999996</v>
      </c>
      <c r="AO285" s="125">
        <f>Tabela1[[#This Row],[Pós Proteína Total (g/dL)]]</f>
        <v>6.5</v>
      </c>
      <c r="AP285" s="85">
        <f>Tabela1[[#This Row],[Pré FE (ug/dL)]]</f>
        <v>50</v>
      </c>
      <c r="AQ285" s="193">
        <f>Tabela1[[#This Row],[Pós FE (ug/dL)]]</f>
        <v>46</v>
      </c>
      <c r="AR285" s="194">
        <f>Tabela1[[#This Row],[Pré calcio mg/dL]]</f>
        <v>9.1999999999999993</v>
      </c>
      <c r="AS285" s="125">
        <f>Tabela1[[#This Row],[Pós calcio mg/dL]]</f>
        <v>9.5</v>
      </c>
      <c r="AT285" s="125">
        <f>Tabela1[[#This Row],[Pré Potássio mmol/L]]</f>
        <v>4.0999999999999996</v>
      </c>
      <c r="AU285" s="125">
        <f>Tabela1[[#This Row],[Pós Potássio mmol/L]]</f>
        <v>4.4000000000000004</v>
      </c>
      <c r="AV285" s="85">
        <f>Tabela1[[#This Row],[Glicose pré]]</f>
        <v>91</v>
      </c>
      <c r="AW285" s="85">
        <f>Tabela1[[#This Row],[Glicose pós]]</f>
        <v>76</v>
      </c>
      <c r="AX285" s="85">
        <f>Tabela1[[#This Row],[Pré Sódio mmol/L]]</f>
        <v>143</v>
      </c>
      <c r="AY285" s="85">
        <f>Tabela1[[#This Row],[Pós Sódio mmol/L]]</f>
        <v>142</v>
      </c>
      <c r="AZ285" s="125">
        <f>Tabela1[[#This Row],[Pré Magnésio mg/dL]]</f>
        <v>1.9</v>
      </c>
      <c r="BA285" s="125">
        <f>Tabela1[[#This Row],[Pós Magnésio mg/dL]]</f>
        <v>2.4</v>
      </c>
      <c r="BB285" s="85">
        <f>Tabela1[[#This Row],[Pré Cloro mmol/L]]</f>
        <v>107</v>
      </c>
      <c r="BC285" s="85">
        <f>Tabela1[[#This Row],[Pós Cloro mmol/L]]</f>
        <v>104</v>
      </c>
      <c r="BD28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302.25322222222218</v>
      </c>
      <c r="BE28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302.15955555555558</v>
      </c>
      <c r="BF285" s="194">
        <f>Tabela1[[#This Row],[Pré RBC 10^6/mm³]]</f>
        <v>5.0199999999999996</v>
      </c>
      <c r="BG285" s="125">
        <f>Tabela1[[#This Row],[Pós RBC 10^6/mm³]]</f>
        <v>4.91</v>
      </c>
      <c r="BH285" s="125">
        <f>Tabela1[[#This Row],[Pré HGB g/dL]]</f>
        <v>13.8</v>
      </c>
      <c r="BI285" s="125">
        <f>Tabela1[[#This Row],[Pós HGB g/dL]]</f>
        <v>13.5</v>
      </c>
      <c r="BJ285" s="125">
        <f>Tabela1[[#This Row],[Pré HCT %]]</f>
        <v>42.2</v>
      </c>
      <c r="BK285" s="125">
        <f>Tabela1[[#This Row],[Pós HCT %]]</f>
        <v>41.6</v>
      </c>
      <c r="BL285" s="125">
        <f>Tabela1[[#This Row],[Pré MCV fL]]</f>
        <v>84.1</v>
      </c>
      <c r="BM285" s="125">
        <f>Tabela1[[#This Row],[Pós MCV fL]]</f>
        <v>84.5</v>
      </c>
      <c r="BN285" s="125">
        <f>Tabela1[[#This Row],[Pré MCH pg]]</f>
        <v>27.5</v>
      </c>
      <c r="BO285" s="125">
        <f>Tabela1[[#This Row],[Pós MCH pg]]</f>
        <v>27.3</v>
      </c>
      <c r="BP285" s="125">
        <f>Tabela1[[#This Row],[Pré MCHC g/dL]]</f>
        <v>32.700000000000003</v>
      </c>
      <c r="BQ285" s="125">
        <f>Tabela1[[#This Row],[Pós MCHC g/dL]]</f>
        <v>32.4</v>
      </c>
      <c r="BR285" s="85">
        <f>Tabela1[[#This Row],[Pré PLT 10³/mm³]]</f>
        <v>303</v>
      </c>
      <c r="BS285" s="85">
        <f>Tabela1[[#This Row],[Pós PLT 10³/mm³]]</f>
        <v>350</v>
      </c>
      <c r="BT285" s="125">
        <f>Tabela1[[#This Row],[Pré RDW %]]</f>
        <v>14.3</v>
      </c>
      <c r="BU285" s="125">
        <f>Tabela1[[#This Row],[Pós RDW %]]</f>
        <v>13.5</v>
      </c>
      <c r="BV285" s="179">
        <f>Tabela1[[#This Row],[Pré RET %]]</f>
        <v>0.44</v>
      </c>
      <c r="BW285" s="196">
        <f>Tabela1[[#This Row],[Pós RET %]]</f>
        <v>0.83</v>
      </c>
      <c r="BX285" s="197">
        <f>Tabela1[[#This Row],[Pré WBC 10³/mm³]]</f>
        <v>4.25</v>
      </c>
      <c r="BY285" s="179">
        <f>Tabela1[[#This Row],[Pós WBC 10³/mm³]]</f>
        <v>9.4</v>
      </c>
      <c r="BZ285" s="125">
        <f>Tabela1[[#This Row],[Pré NEUT %]]</f>
        <v>59.6</v>
      </c>
      <c r="CA285" s="125">
        <f>Tabela1[[#This Row],[Pós NEUT %]]</f>
        <v>75.2</v>
      </c>
      <c r="CB285" s="125">
        <f>Tabela1[[#This Row],[Pré LINF %]]</f>
        <v>27.5</v>
      </c>
      <c r="CC285" s="125">
        <f>Tabela1[[#This Row],[Pós LINF %]]</f>
        <v>18</v>
      </c>
      <c r="CD285" s="125">
        <f>Tabela1[[#This Row],[Pré MONO %]]</f>
        <v>8.6999999999999993</v>
      </c>
      <c r="CE285" s="125">
        <f>Tabela1[[#This Row],[Pós MONO %]]</f>
        <v>6.4</v>
      </c>
      <c r="CF285" s="125">
        <f>Tabela1[[#This Row],[Pré EOS %]]</f>
        <v>3</v>
      </c>
      <c r="CG285" s="125">
        <f>Tabela1[[#This Row],[Pós EOS %]]</f>
        <v>0.4</v>
      </c>
      <c r="CH285" s="125">
        <f>Tabela1[[#This Row],[Pré BASO %]]</f>
        <v>1.2</v>
      </c>
      <c r="CI285" s="198">
        <f>Tabela1[[#This Row],[Pós BASO %]]</f>
        <v>0</v>
      </c>
      <c r="CJ285" s="199" t="str">
        <f t="shared" si="17"/>
        <v>NÃO</v>
      </c>
      <c r="CK285" s="200" t="str">
        <f t="shared" si="18"/>
        <v>SIM</v>
      </c>
      <c r="CL285" s="194">
        <f t="shared" si="19"/>
        <v>72.202060000000003</v>
      </c>
      <c r="CM285" s="125">
        <f>Tabela1[[#This Row],[MCT KG]]</f>
        <v>78.2</v>
      </c>
      <c r="CN285" s="85">
        <f>Tabela1[[#This Row],[ESTATURA]]</f>
        <v>182.1</v>
      </c>
      <c r="CO285" s="85">
        <f>Tabela1[[#This Row],[vo2max estimado]]</f>
        <v>51.94</v>
      </c>
      <c r="CP285" s="85">
        <f>Tabela1[[#This Row],[Handgrip     Dominante]]</f>
        <v>62</v>
      </c>
      <c r="CQ285" s="85">
        <f>Tabela1[[#This Row],[Handgrip Contrário]]</f>
        <v>65</v>
      </c>
      <c r="CR285" s="281">
        <f>Tabela1[[#This Row],[% gordura]]</f>
        <v>7.67</v>
      </c>
    </row>
    <row r="286" spans="1:96" ht="15.75" customHeight="1">
      <c r="A286" s="279">
        <f>Tabela1[[#This Row],[Ano]]</f>
        <v>2022</v>
      </c>
      <c r="B286" s="181" t="str">
        <f>Tabela1[[#This Row],[Missão]]</f>
        <v>Marambaia</v>
      </c>
      <c r="C286" s="181">
        <f>Tabela1[[#This Row],[Aluno]]</f>
        <v>3236</v>
      </c>
      <c r="D286" s="181">
        <f>Tabela1[[#This Row],[Idade]]</f>
        <v>27</v>
      </c>
      <c r="E286" s="182">
        <f>Tabela1[[#This Row],[Peso Kg]]</f>
        <v>71</v>
      </c>
      <c r="F286" s="191">
        <f>Tabela1[[#This Row],[Cor da pele]]</f>
        <v>0</v>
      </c>
      <c r="G286" s="192" t="str">
        <f>Tabela1[[#This Row],[ACTN3]]</f>
        <v>RX</v>
      </c>
      <c r="H286" s="85" t="str">
        <f>Tabela1[[#This Row],[AGT]]</f>
        <v>MT</v>
      </c>
      <c r="I286" s="85" t="str">
        <f>Tabela1[[#This Row],[ECA]]</f>
        <v>ID</v>
      </c>
      <c r="J286" s="85" t="str">
        <f>Tabela1[[#This Row],[BDKRB2]]</f>
        <v>(+9, +9)</v>
      </c>
      <c r="K286" s="85">
        <f>Tabela1[[#This Row],[Score Força%]]</f>
        <v>62.5</v>
      </c>
      <c r="L286" s="193">
        <f>Tabela1[[#This Row],[Score Resistência %]]</f>
        <v>37.5</v>
      </c>
      <c r="M286" s="192">
        <f>Tabela1[[#This Row],[Pré CK (U/L)]]</f>
        <v>534</v>
      </c>
      <c r="N286" s="85">
        <f>Tabela1[[#This Row],[Pós CK (U/L)]]</f>
        <v>4743</v>
      </c>
      <c r="O286" s="85" t="str">
        <f>Tabela1[[#This Row],[Pré CK MB U/L]]</f>
        <v>-</v>
      </c>
      <c r="P286" s="85" t="str">
        <f>Tabela1[[#This Row],[Pós CK MB U/L]]</f>
        <v>-</v>
      </c>
      <c r="Q286" s="85">
        <f>Tabela1[[#This Row],[Pré Lactato (mmol/L)]]</f>
        <v>3.1</v>
      </c>
      <c r="R286" s="85">
        <f>Tabela1[[#This Row],[Pós Lactato (mmol/L)]]</f>
        <v>2</v>
      </c>
      <c r="S286" s="85">
        <f>Tabela1[[#This Row],[Pré LDH (U/L)]]</f>
        <v>324</v>
      </c>
      <c r="T286" s="85">
        <f>Tabela1[[#This Row],[Pós LDH (U/L)]]</f>
        <v>480</v>
      </c>
      <c r="U286" s="85">
        <f>Tabela1[[#This Row],[Pré AST (U/L)]]</f>
        <v>63</v>
      </c>
      <c r="V286" s="193">
        <f>Tabela1[[#This Row],[Pós AST (U/L)]]</f>
        <v>175</v>
      </c>
      <c r="W286" s="194" t="str">
        <f>Tabela1[[#This Row],[Pré Albumina (g/dL)]]</f>
        <v>-</v>
      </c>
      <c r="X286" s="125" t="str">
        <f>Tabela1[[#This Row],[Pós Albumina (g/dL)]]</f>
        <v>-</v>
      </c>
      <c r="Y286" s="85" t="str">
        <f>Tabela1[[#This Row],[Pré TGP (g/dL)]]</f>
        <v>-</v>
      </c>
      <c r="Z286" s="85" t="str">
        <f>Tabela1[[#This Row],[Pós TGP (g/dL)]]</f>
        <v>-</v>
      </c>
      <c r="AA286" s="85" t="str">
        <f>Tabela1[[#This Row],[Pré GGT U/L]]</f>
        <v>-</v>
      </c>
      <c r="AB286" s="193" t="str">
        <f>Tabela1[[#This Row],[Pós GGT U/L]]</f>
        <v>-</v>
      </c>
      <c r="AC286" s="194">
        <f>Tabela1[[#This Row],[Pré Ac. Úrico (mg/dL)]]</f>
        <v>3.2</v>
      </c>
      <c r="AD286" s="125">
        <f>Tabela1[[#This Row],[Pós Ac. Úrico (mg/dL)2]]</f>
        <v>4.5999999999999996</v>
      </c>
      <c r="AE28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28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286" s="85">
        <f>Tabela1[[#This Row],[Pré Ureia mg/dL]]</f>
        <v>51</v>
      </c>
      <c r="AH286" s="85">
        <f>Tabela1[[#This Row],[Pós Ureia mg/dL]]</f>
        <v>70</v>
      </c>
      <c r="AI286" s="125">
        <f>Tabela1[[#This Row],[Pré creatinina mg/dL]]</f>
        <v>0.8</v>
      </c>
      <c r="AJ286" s="125">
        <f>Tabela1[[#This Row],[Pós creatinina mg/dL]]</f>
        <v>1.1000000000000001</v>
      </c>
      <c r="AK286" s="180">
        <f t="shared" si="16"/>
        <v>0.30000000000000004</v>
      </c>
      <c r="AL286" s="125">
        <f>Tabela1[[#This Row],[Pré Fósforo mg/dL]]</f>
        <v>4.0999999999999996</v>
      </c>
      <c r="AM286" s="125">
        <f>Tabela1[[#This Row],[Pós Fósforo mg/dL]]</f>
        <v>5.8</v>
      </c>
      <c r="AN286" s="125">
        <f>Tabela1[[#This Row],[Pré Proteína Total (g/dL)]]</f>
        <v>7.2</v>
      </c>
      <c r="AO286" s="125">
        <f>Tabela1[[#This Row],[Pós Proteína Total (g/dL)]]</f>
        <v>6.4</v>
      </c>
      <c r="AP286" s="85">
        <f>Tabela1[[#This Row],[Pré FE (ug/dL)]]</f>
        <v>77</v>
      </c>
      <c r="AQ286" s="193">
        <f>Tabela1[[#This Row],[Pós FE (ug/dL)]]</f>
        <v>13</v>
      </c>
      <c r="AR286" s="194">
        <f>Tabela1[[#This Row],[Pré calcio mg/dL]]</f>
        <v>11.3</v>
      </c>
      <c r="AS286" s="125">
        <f>Tabela1[[#This Row],[Pós calcio mg/dL]]</f>
        <v>10.7</v>
      </c>
      <c r="AT286" s="125">
        <f>Tabela1[[#This Row],[Pré Potássio mmol/L]]</f>
        <v>4.5</v>
      </c>
      <c r="AU286" s="125">
        <f>Tabela1[[#This Row],[Pós Potássio mmol/L]]</f>
        <v>4.0999999999999996</v>
      </c>
      <c r="AV286" s="85">
        <f>Tabela1[[#This Row],[Glicose pré]]</f>
        <v>98</v>
      </c>
      <c r="AW286" s="85">
        <f>Tabela1[[#This Row],[Glicose pós]]</f>
        <v>109</v>
      </c>
      <c r="AX286" s="85">
        <f>Tabela1[[#This Row],[Pré Sódio mmol/L]]</f>
        <v>143</v>
      </c>
      <c r="AY286" s="85">
        <f>Tabela1[[#This Row],[Pós Sódio mmol/L]]</f>
        <v>138</v>
      </c>
      <c r="AZ286" s="125">
        <f>Tabela1[[#This Row],[Pré Magnésio mg/dL]]</f>
        <v>2</v>
      </c>
      <c r="BA286" s="125">
        <f>Tabela1[[#This Row],[Pós Magnésio mg/dL]]</f>
        <v>2</v>
      </c>
      <c r="BB286" s="85">
        <f>Tabela1[[#This Row],[Pré Cloro mmol/L]]</f>
        <v>105</v>
      </c>
      <c r="BC286" s="85">
        <f>Tabela1[[#This Row],[Pós Cloro mmol/L]]</f>
        <v>97</v>
      </c>
      <c r="BD28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303.11111111111114</v>
      </c>
      <c r="BE28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296.93655555555557</v>
      </c>
      <c r="BF286" s="194" t="str">
        <f>Tabela1[[#This Row],[Pré RBC 10^6/mm³]]</f>
        <v>-</v>
      </c>
      <c r="BG286" s="125" t="str">
        <f>Tabela1[[#This Row],[Pós RBC 10^6/mm³]]</f>
        <v>-</v>
      </c>
      <c r="BH286" s="125">
        <f>Tabela1[[#This Row],[Pré HGB g/dL]]</f>
        <v>14.5</v>
      </c>
      <c r="BI286" s="125">
        <f>Tabela1[[#This Row],[Pós HGB g/dL]]</f>
        <v>14.2</v>
      </c>
      <c r="BJ286" s="125">
        <f>Tabela1[[#This Row],[Pré HCT %]]</f>
        <v>45</v>
      </c>
      <c r="BK286" s="125">
        <f>Tabela1[[#This Row],[Pós HCT %]]</f>
        <v>44.1</v>
      </c>
      <c r="BL286" s="125">
        <f>Tabela1[[#This Row],[Pré MCV fL]]</f>
        <v>79.3</v>
      </c>
      <c r="BM286" s="125">
        <f>Tabela1[[#This Row],[Pós MCV fL]]</f>
        <v>80.400000000000006</v>
      </c>
      <c r="BN286" s="125">
        <f>Tabela1[[#This Row],[Pré MCH pg]]</f>
        <v>25.6</v>
      </c>
      <c r="BO286" s="125">
        <f>Tabela1[[#This Row],[Pós MCH pg]]</f>
        <v>25.9</v>
      </c>
      <c r="BP286" s="125">
        <f>Tabela1[[#This Row],[Pré MCHC g/dL]]</f>
        <v>32.299999999999997</v>
      </c>
      <c r="BQ286" s="125">
        <f>Tabela1[[#This Row],[Pós MCHC g/dL]]</f>
        <v>32.200000000000003</v>
      </c>
      <c r="BR286" s="85">
        <f>Tabela1[[#This Row],[Pré PLT 10³/mm³]]</f>
        <v>363</v>
      </c>
      <c r="BS286" s="85">
        <f>Tabela1[[#This Row],[Pós PLT 10³/mm³]]</f>
        <v>399</v>
      </c>
      <c r="BT286" s="125">
        <f>Tabela1[[#This Row],[Pré RDW %]]</f>
        <v>13.9</v>
      </c>
      <c r="BU286" s="125">
        <f>Tabela1[[#This Row],[Pós RDW %]]</f>
        <v>14</v>
      </c>
      <c r="BV286" s="179">
        <f>Tabela1[[#This Row],[Pré RET %]]</f>
        <v>0.79</v>
      </c>
      <c r="BW286" s="196">
        <f>Tabela1[[#This Row],[Pós RET %]]</f>
        <v>0.76</v>
      </c>
      <c r="BX286" s="197">
        <f>Tabela1[[#This Row],[Pré WBC 10³/mm³]]</f>
        <v>7.77</v>
      </c>
      <c r="BY286" s="179">
        <f>Tabela1[[#This Row],[Pós WBC 10³/mm³]]</f>
        <v>15.94</v>
      </c>
      <c r="BZ286" s="125">
        <f>Tabela1[[#This Row],[Pré NEUT %]]</f>
        <v>61.8</v>
      </c>
      <c r="CA286" s="125">
        <f>Tabela1[[#This Row],[Pós NEUT %]]</f>
        <v>11.59</v>
      </c>
      <c r="CB286" s="125">
        <f>Tabela1[[#This Row],[Pré LINF %]]</f>
        <v>61.8</v>
      </c>
      <c r="CC286" s="125">
        <f>Tabela1[[#This Row],[Pós LINF %]]</f>
        <v>11.59</v>
      </c>
      <c r="CD286" s="125">
        <f>Tabela1[[#This Row],[Pré MONO %]]</f>
        <v>10.8</v>
      </c>
      <c r="CE286" s="125">
        <f>Tabela1[[#This Row],[Pós MONO %]]</f>
        <v>1.73</v>
      </c>
      <c r="CF286" s="125">
        <f>Tabela1[[#This Row],[Pré EOS %]]</f>
        <v>1.5</v>
      </c>
      <c r="CG286" s="125">
        <f>Tabela1[[#This Row],[Pós EOS %]]</f>
        <v>0.05</v>
      </c>
      <c r="CH286" s="125">
        <f>Tabela1[[#This Row],[Pré BASO %]]</f>
        <v>1.3</v>
      </c>
      <c r="CI286" s="198">
        <f>Tabela1[[#This Row],[Pós BASO %]]</f>
        <v>0.06</v>
      </c>
      <c r="CJ286" s="199" t="str">
        <f t="shared" si="17"/>
        <v>SIM</v>
      </c>
      <c r="CK286" s="200" t="str">
        <f t="shared" si="18"/>
        <v>SIM</v>
      </c>
      <c r="CL286" s="194">
        <f t="shared" si="19"/>
        <v>69.121659999999991</v>
      </c>
      <c r="CM286" s="125">
        <f>Tabela1[[#This Row],[MCT KG]]</f>
        <v>77.3</v>
      </c>
      <c r="CN286" s="85">
        <f>Tabela1[[#This Row],[ESTATURA]]</f>
        <v>170.3</v>
      </c>
      <c r="CO286" s="85">
        <f>Tabela1[[#This Row],[vo2max estimado]]</f>
        <v>49.62</v>
      </c>
      <c r="CP286" s="85">
        <f>Tabela1[[#This Row],[Handgrip     Dominante]]</f>
        <v>50</v>
      </c>
      <c r="CQ286" s="85">
        <f>Tabela1[[#This Row],[Handgrip Contrário]]</f>
        <v>52</v>
      </c>
      <c r="CR286" s="281">
        <f>Tabela1[[#This Row],[% gordura]]</f>
        <v>10.58</v>
      </c>
    </row>
    <row r="287" spans="1:96" ht="15.75" customHeight="1">
      <c r="A287" s="279">
        <f>Tabela1[[#This Row],[Ano]]</f>
        <v>2022</v>
      </c>
      <c r="B287" s="181" t="str">
        <f>Tabela1[[#This Row],[Missão]]</f>
        <v>Marambaia</v>
      </c>
      <c r="C287" s="181">
        <f>Tabela1[[#This Row],[Aluno]]</f>
        <v>3237</v>
      </c>
      <c r="D287" s="181">
        <f>Tabela1[[#This Row],[Idade]]</f>
        <v>24</v>
      </c>
      <c r="E287" s="182">
        <f>Tabela1[[#This Row],[Peso Kg]]</f>
        <v>77</v>
      </c>
      <c r="F287" s="191">
        <f>Tabela1[[#This Row],[Cor da pele]]</f>
        <v>0</v>
      </c>
      <c r="G287" s="192" t="str">
        <f>Tabela1[[#This Row],[ACTN3]]</f>
        <v>RX</v>
      </c>
      <c r="H287" s="85" t="str">
        <f>Tabela1[[#This Row],[AGT]]</f>
        <v>MM</v>
      </c>
      <c r="I287" s="85" t="str">
        <f>Tabela1[[#This Row],[ECA]]</f>
        <v>II</v>
      </c>
      <c r="J287" s="85" t="str">
        <f>Tabela1[[#This Row],[BDKRB2]]</f>
        <v>(-9 , -9)</v>
      </c>
      <c r="K287" s="85">
        <f>Tabela1[[#This Row],[Score Força%]]</f>
        <v>12.5</v>
      </c>
      <c r="L287" s="193">
        <f>Tabela1[[#This Row],[Score Resistência %]]</f>
        <v>87.5</v>
      </c>
      <c r="M287" s="192">
        <f>Tabela1[[#This Row],[Pré CK (U/L)]]</f>
        <v>446</v>
      </c>
      <c r="N287" s="85">
        <f>Tabela1[[#This Row],[Pós CK (U/L)]]</f>
        <v>885</v>
      </c>
      <c r="O287" s="85" t="str">
        <f>Tabela1[[#This Row],[Pré CK MB U/L]]</f>
        <v>-</v>
      </c>
      <c r="P287" s="85" t="str">
        <f>Tabela1[[#This Row],[Pós CK MB U/L]]</f>
        <v>-</v>
      </c>
      <c r="Q287" s="85">
        <f>Tabela1[[#This Row],[Pré Lactato (mmol/L)]]</f>
        <v>3.4</v>
      </c>
      <c r="R287" s="85">
        <f>Tabela1[[#This Row],[Pós Lactato (mmol/L)]]</f>
        <v>2</v>
      </c>
      <c r="S287" s="85">
        <f>Tabela1[[#This Row],[Pré LDH (U/L)]]</f>
        <v>226</v>
      </c>
      <c r="T287" s="85">
        <f>Tabela1[[#This Row],[Pós LDH (U/L)]]</f>
        <v>267</v>
      </c>
      <c r="U287" s="85">
        <f>Tabela1[[#This Row],[Pré AST (U/L)]]</f>
        <v>44</v>
      </c>
      <c r="V287" s="193">
        <f>Tabela1[[#This Row],[Pós AST (U/L)]]</f>
        <v>70</v>
      </c>
      <c r="W287" s="194" t="str">
        <f>Tabela1[[#This Row],[Pré Albumina (g/dL)]]</f>
        <v>-</v>
      </c>
      <c r="X287" s="125" t="str">
        <f>Tabela1[[#This Row],[Pós Albumina (g/dL)]]</f>
        <v>-</v>
      </c>
      <c r="Y287" s="85" t="str">
        <f>Tabela1[[#This Row],[Pré TGP (g/dL)]]</f>
        <v>-</v>
      </c>
      <c r="Z287" s="85" t="str">
        <f>Tabela1[[#This Row],[Pós TGP (g/dL)]]</f>
        <v>-</v>
      </c>
      <c r="AA287" s="85" t="str">
        <f>Tabela1[[#This Row],[Pré GGT U/L]]</f>
        <v>-</v>
      </c>
      <c r="AB287" s="193" t="str">
        <f>Tabela1[[#This Row],[Pós GGT U/L]]</f>
        <v>-</v>
      </c>
      <c r="AC287" s="194">
        <f>Tabela1[[#This Row],[Pré Ac. Úrico (mg/dL)]]</f>
        <v>4.5</v>
      </c>
      <c r="AD287" s="125">
        <f>Tabela1[[#This Row],[Pós Ac. Úrico (mg/dL)2]]</f>
        <v>5.3</v>
      </c>
      <c r="AE28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8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287" s="85">
        <f>Tabela1[[#This Row],[Pré Ureia mg/dL]]</f>
        <v>58</v>
      </c>
      <c r="AH287" s="85">
        <f>Tabela1[[#This Row],[Pós Ureia mg/dL]]</f>
        <v>58</v>
      </c>
      <c r="AI287" s="125">
        <f>Tabela1[[#This Row],[Pré creatinina mg/dL]]</f>
        <v>0.9</v>
      </c>
      <c r="AJ287" s="125">
        <f>Tabela1[[#This Row],[Pós creatinina mg/dL]]</f>
        <v>1.1000000000000001</v>
      </c>
      <c r="AK287" s="180">
        <f t="shared" si="16"/>
        <v>0.20000000000000007</v>
      </c>
      <c r="AL287" s="125">
        <f>Tabela1[[#This Row],[Pré Fósforo mg/dL]]</f>
        <v>3.9</v>
      </c>
      <c r="AM287" s="125">
        <f>Tabela1[[#This Row],[Pós Fósforo mg/dL]]</f>
        <v>4.5999999999999996</v>
      </c>
      <c r="AN287" s="125">
        <f>Tabela1[[#This Row],[Pré Proteína Total (g/dL)]]</f>
        <v>6.9</v>
      </c>
      <c r="AO287" s="125">
        <f>Tabela1[[#This Row],[Pós Proteína Total (g/dL)]]</f>
        <v>6.5</v>
      </c>
      <c r="AP287" s="85">
        <f>Tabela1[[#This Row],[Pré FE (ug/dL)]]</f>
        <v>138</v>
      </c>
      <c r="AQ287" s="193">
        <f>Tabela1[[#This Row],[Pós FE (ug/dL)]]</f>
        <v>19</v>
      </c>
      <c r="AR287" s="194">
        <f>Tabela1[[#This Row],[Pré calcio mg/dL]]</f>
        <v>12</v>
      </c>
      <c r="AS287" s="125">
        <f>Tabela1[[#This Row],[Pós calcio mg/dL]]</f>
        <v>9.3000000000000007</v>
      </c>
      <c r="AT287" s="125">
        <f>Tabela1[[#This Row],[Pré Potássio mmol/L]]</f>
        <v>4.5</v>
      </c>
      <c r="AU287" s="125">
        <f>Tabela1[[#This Row],[Pós Potássio mmol/L]]</f>
        <v>3.9</v>
      </c>
      <c r="AV287" s="85">
        <f>Tabela1[[#This Row],[Glicose pré]]</f>
        <v>118</v>
      </c>
      <c r="AW287" s="85">
        <f>Tabela1[[#This Row],[Glicose pós]]</f>
        <v>97</v>
      </c>
      <c r="AX287" s="85">
        <f>Tabela1[[#This Row],[Pré Sódio mmol/L]]</f>
        <v>142</v>
      </c>
      <c r="AY287" s="85">
        <f>Tabela1[[#This Row],[Pós Sódio mmol/L]]</f>
        <v>139</v>
      </c>
      <c r="AZ287" s="125">
        <f>Tabela1[[#This Row],[Pré Magnésio mg/dL]]</f>
        <v>2.7</v>
      </c>
      <c r="BA287" s="125">
        <f>Tabela1[[#This Row],[Pós Magnésio mg/dL]]</f>
        <v>1.8</v>
      </c>
      <c r="BB287" s="85">
        <f>Tabela1[[#This Row],[Pré Cloro mmol/L]]</f>
        <v>118</v>
      </c>
      <c r="BC287" s="85">
        <f>Tabela1[[#This Row],[Pós Cloro mmol/L]]</f>
        <v>98</v>
      </c>
      <c r="BD28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303.69555555555559</v>
      </c>
      <c r="BE28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295.65788888888892</v>
      </c>
      <c r="BF287" s="194" t="str">
        <f>Tabela1[[#This Row],[Pré RBC 10^6/mm³]]</f>
        <v>-</v>
      </c>
      <c r="BG287" s="125" t="str">
        <f>Tabela1[[#This Row],[Pós RBC 10^6/mm³]]</f>
        <v>-</v>
      </c>
      <c r="BH287" s="125">
        <f>Tabela1[[#This Row],[Pré HGB g/dL]]</f>
        <v>14.2</v>
      </c>
      <c r="BI287" s="125">
        <f>Tabela1[[#This Row],[Pós HGB g/dL]]</f>
        <v>13.1</v>
      </c>
      <c r="BJ287" s="125">
        <f>Tabela1[[#This Row],[Pré HCT %]]</f>
        <v>44.3</v>
      </c>
      <c r="BK287" s="125">
        <f>Tabela1[[#This Row],[Pós HCT %]]</f>
        <v>39</v>
      </c>
      <c r="BL287" s="125">
        <f>Tabela1[[#This Row],[Pré MCV fL]]</f>
        <v>96.5</v>
      </c>
      <c r="BM287" s="125">
        <f>Tabela1[[#This Row],[Pós MCV fL]]</f>
        <v>95.8</v>
      </c>
      <c r="BN287" s="125">
        <f>Tabela1[[#This Row],[Pré MCH pg]]</f>
        <v>30.9</v>
      </c>
      <c r="BO287" s="125">
        <f>Tabela1[[#This Row],[Pós MCH pg]]</f>
        <v>32.200000000000003</v>
      </c>
      <c r="BP287" s="125">
        <f>Tabela1[[#This Row],[Pré MCHC g/dL]]</f>
        <v>32</v>
      </c>
      <c r="BQ287" s="125">
        <f>Tabela1[[#This Row],[Pós MCHC g/dL]]</f>
        <v>33.700000000000003</v>
      </c>
      <c r="BR287" s="85">
        <f>Tabela1[[#This Row],[Pré PLT 10³/mm³]]</f>
        <v>285</v>
      </c>
      <c r="BS287" s="85">
        <f>Tabela1[[#This Row],[Pós PLT 10³/mm³]]</f>
        <v>248</v>
      </c>
      <c r="BT287" s="125">
        <f>Tabela1[[#This Row],[Pré RDW %]]</f>
        <v>13.4</v>
      </c>
      <c r="BU287" s="125">
        <f>Tabela1[[#This Row],[Pós RDW %]]</f>
        <v>14.3</v>
      </c>
      <c r="BV287" s="179">
        <f>Tabela1[[#This Row],[Pré RET %]]</f>
        <v>1.21</v>
      </c>
      <c r="BW287" s="196">
        <f>Tabela1[[#This Row],[Pós RET %]]</f>
        <v>0.94</v>
      </c>
      <c r="BX287" s="197">
        <f>Tabela1[[#This Row],[Pré WBC 10³/mm³]]</f>
        <v>7.26</v>
      </c>
      <c r="BY287" s="179">
        <f>Tabela1[[#This Row],[Pós WBC 10³/mm³]]</f>
        <v>7.35</v>
      </c>
      <c r="BZ287" s="125">
        <f>Tabela1[[#This Row],[Pré NEUT %]]</f>
        <v>64</v>
      </c>
      <c r="CA287" s="125">
        <f>Tabela1[[#This Row],[Pós NEUT %]]</f>
        <v>5.78</v>
      </c>
      <c r="CB287" s="125">
        <f>Tabela1[[#This Row],[Pré LINF %]]</f>
        <v>64</v>
      </c>
      <c r="CC287" s="125">
        <f>Tabela1[[#This Row],[Pós LINF %]]</f>
        <v>5.78</v>
      </c>
      <c r="CD287" s="125">
        <f>Tabela1[[#This Row],[Pré MONO %]]</f>
        <v>8.6</v>
      </c>
      <c r="CE287" s="125">
        <f>Tabela1[[#This Row],[Pós MONO %]]</f>
        <v>0.66</v>
      </c>
      <c r="CF287" s="125">
        <f>Tabela1[[#This Row],[Pré EOS %]]</f>
        <v>1.4</v>
      </c>
      <c r="CG287" s="125">
        <f>Tabela1[[#This Row],[Pós EOS %]]</f>
        <v>0.01</v>
      </c>
      <c r="CH287" s="125">
        <f>Tabela1[[#This Row],[Pré BASO %]]</f>
        <v>0.7</v>
      </c>
      <c r="CI287" s="198">
        <f>Tabela1[[#This Row],[Pós BASO %]]</f>
        <v>0.03</v>
      </c>
      <c r="CJ287" s="199" t="str">
        <f t="shared" si="17"/>
        <v>NÃO</v>
      </c>
      <c r="CK287" s="200" t="str">
        <f t="shared" si="18"/>
        <v>NÃO</v>
      </c>
      <c r="CL287" s="194">
        <f t="shared" si="19"/>
        <v>70.724639999999994</v>
      </c>
      <c r="CM287" s="125">
        <f>Tabela1[[#This Row],[MCT KG]]</f>
        <v>77.599999999999994</v>
      </c>
      <c r="CN287" s="85">
        <f>Tabela1[[#This Row],[ESTATURA]]</f>
        <v>178</v>
      </c>
      <c r="CO287" s="85">
        <f>Tabela1[[#This Row],[vo2max estimado]]</f>
        <v>53.68</v>
      </c>
      <c r="CP287" s="85">
        <f>Tabela1[[#This Row],[Handgrip     Dominante]]</f>
        <v>51</v>
      </c>
      <c r="CQ287" s="85">
        <f>Tabela1[[#This Row],[Handgrip Contrário]]</f>
        <v>51</v>
      </c>
      <c r="CR287" s="281">
        <f>Tabela1[[#This Row],[% gordura]]</f>
        <v>8.86</v>
      </c>
    </row>
    <row r="288" spans="1:96" ht="15.75" customHeight="1">
      <c r="A288" s="279">
        <f>Tabela1[[#This Row],[Ano]]</f>
        <v>2022</v>
      </c>
      <c r="B288" s="181" t="str">
        <f>Tabela1[[#This Row],[Missão]]</f>
        <v>Marambaia</v>
      </c>
      <c r="C288" s="181">
        <f>Tabela1[[#This Row],[Aluno]]</f>
        <v>3238</v>
      </c>
      <c r="D288" s="181">
        <f>Tabela1[[#This Row],[Idade]]</f>
        <v>24</v>
      </c>
      <c r="E288" s="182">
        <f>Tabela1[[#This Row],[Peso Kg]]</f>
        <v>70</v>
      </c>
      <c r="F288" s="191">
        <f>Tabela1[[#This Row],[Cor da pele]]</f>
        <v>0</v>
      </c>
      <c r="G288" s="192" t="str">
        <f>Tabela1[[#This Row],[ACTN3]]</f>
        <v>XX</v>
      </c>
      <c r="H288" s="85" t="str">
        <f>Tabela1[[#This Row],[AGT]]</f>
        <v>TT</v>
      </c>
      <c r="I288" s="85" t="str">
        <f>Tabela1[[#This Row],[ECA]]</f>
        <v>II</v>
      </c>
      <c r="J288" s="85" t="str">
        <f>Tabela1[[#This Row],[BDKRB2]]</f>
        <v>(-9 , -9)</v>
      </c>
      <c r="K288" s="85">
        <f>Tabela1[[#This Row],[Score Força%]]</f>
        <v>25</v>
      </c>
      <c r="L288" s="193">
        <f>Tabela1[[#This Row],[Score Resistência %]]</f>
        <v>75</v>
      </c>
      <c r="M288" s="192">
        <f>Tabela1[[#This Row],[Pré CK (U/L)]]</f>
        <v>1253</v>
      </c>
      <c r="N288" s="85">
        <f>Tabela1[[#This Row],[Pós CK (U/L)]]</f>
        <v>1253</v>
      </c>
      <c r="O288" s="85" t="str">
        <f>Tabela1[[#This Row],[Pré CK MB U/L]]</f>
        <v>-</v>
      </c>
      <c r="P288" s="85" t="str">
        <f>Tabela1[[#This Row],[Pós CK MB U/L]]</f>
        <v>-</v>
      </c>
      <c r="Q288" s="85">
        <f>Tabela1[[#This Row],[Pré Lactato (mmol/L)]]</f>
        <v>3.3</v>
      </c>
      <c r="R288" s="85">
        <f>Tabela1[[#This Row],[Pós Lactato (mmol/L)]]</f>
        <v>3.9</v>
      </c>
      <c r="S288" s="85">
        <f>Tabela1[[#This Row],[Pré LDH (U/L)]]</f>
        <v>262</v>
      </c>
      <c r="T288" s="85">
        <f>Tabela1[[#This Row],[Pós LDH (U/L)]]</f>
        <v>371</v>
      </c>
      <c r="U288" s="85">
        <f>Tabela1[[#This Row],[Pré AST (U/L)]]</f>
        <v>61</v>
      </c>
      <c r="V288" s="193">
        <f>Tabela1[[#This Row],[Pós AST (U/L)]]</f>
        <v>84</v>
      </c>
      <c r="W288" s="194" t="str">
        <f>Tabela1[[#This Row],[Pré Albumina (g/dL)]]</f>
        <v>-</v>
      </c>
      <c r="X288" s="125" t="str">
        <f>Tabela1[[#This Row],[Pós Albumina (g/dL)]]</f>
        <v>-</v>
      </c>
      <c r="Y288" s="85" t="str">
        <f>Tabela1[[#This Row],[Pré TGP (g/dL)]]</f>
        <v>-</v>
      </c>
      <c r="Z288" s="85" t="str">
        <f>Tabela1[[#This Row],[Pós TGP (g/dL)]]</f>
        <v>-</v>
      </c>
      <c r="AA288" s="85" t="str">
        <f>Tabela1[[#This Row],[Pré GGT U/L]]</f>
        <v>-</v>
      </c>
      <c r="AB288" s="193" t="str">
        <f>Tabela1[[#This Row],[Pós GGT U/L]]</f>
        <v>-</v>
      </c>
      <c r="AC288" s="194">
        <f>Tabela1[[#This Row],[Pré Ac. Úrico (mg/dL)]]</f>
        <v>3.3</v>
      </c>
      <c r="AD288" s="125">
        <f>Tabela1[[#This Row],[Pós Ac. Úrico (mg/dL)2]]</f>
        <v>5.4</v>
      </c>
      <c r="AE28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76.739527424440993</v>
      </c>
      <c r="AF28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288" s="85">
        <f>Tabela1[[#This Row],[Pré Ureia mg/dL]]</f>
        <v>60</v>
      </c>
      <c r="AH288" s="85">
        <f>Tabela1[[#This Row],[Pós Ureia mg/dL]]</f>
        <v>60</v>
      </c>
      <c r="AI288" s="125">
        <f>Tabela1[[#This Row],[Pré creatinina mg/dL]]</f>
        <v>1.3</v>
      </c>
      <c r="AJ288" s="125">
        <f>Tabela1[[#This Row],[Pós creatinina mg/dL]]</f>
        <v>1.3</v>
      </c>
      <c r="AK288" s="180">
        <f t="shared" si="16"/>
        <v>0</v>
      </c>
      <c r="AL288" s="125">
        <f>Tabela1[[#This Row],[Pré Fósforo mg/dL]]</f>
        <v>6.3</v>
      </c>
      <c r="AM288" s="125">
        <f>Tabela1[[#This Row],[Pós Fósforo mg/dL]]</f>
        <v>6.3</v>
      </c>
      <c r="AN288" s="125">
        <f>Tabela1[[#This Row],[Pré Proteína Total (g/dL)]]</f>
        <v>8.1</v>
      </c>
      <c r="AO288" s="125">
        <f>Tabela1[[#This Row],[Pós Proteína Total (g/dL)]]</f>
        <v>7.7</v>
      </c>
      <c r="AP288" s="85">
        <f>Tabela1[[#This Row],[Pré FE (ug/dL)]]</f>
        <v>59</v>
      </c>
      <c r="AQ288" s="193">
        <f>Tabela1[[#This Row],[Pós FE (ug/dL)]]</f>
        <v>21</v>
      </c>
      <c r="AR288" s="194">
        <f>Tabela1[[#This Row],[Pré calcio mg/dL]]</f>
        <v>12.8</v>
      </c>
      <c r="AS288" s="125">
        <f>Tabela1[[#This Row],[Pós calcio mg/dL]]</f>
        <v>12.6</v>
      </c>
      <c r="AT288" s="125">
        <f>Tabela1[[#This Row],[Pré Potássio mmol/L]]</f>
        <v>4.5999999999999996</v>
      </c>
      <c r="AU288" s="125">
        <f>Tabela1[[#This Row],[Pós Potássio mmol/L]]</f>
        <v>4.5999999999999996</v>
      </c>
      <c r="AV288" s="85">
        <f>Tabela1[[#This Row],[Glicose pré]]</f>
        <v>82</v>
      </c>
      <c r="AW288" s="85">
        <f>Tabela1[[#This Row],[Glicose pós]]</f>
        <v>82</v>
      </c>
      <c r="AX288" s="85">
        <f>Tabela1[[#This Row],[Pré Sódio mmol/L]]</f>
        <v>141</v>
      </c>
      <c r="AY288" s="85">
        <f>Tabela1[[#This Row],[Pós Sódio mmol/L]]</f>
        <v>141</v>
      </c>
      <c r="AZ288" s="125">
        <f>Tabela1[[#This Row],[Pré Magnésio mg/dL]]</f>
        <v>2.6</v>
      </c>
      <c r="BA288" s="125">
        <f>Tabela1[[#This Row],[Pós Magnésio mg/dL]]</f>
        <v>2.6</v>
      </c>
      <c r="BB288" s="85">
        <f>Tabela1[[#This Row],[Pré Cloro mmol/L]]</f>
        <v>111</v>
      </c>
      <c r="BC288" s="85">
        <f>Tabela1[[#This Row],[Pós Cloro mmol/L]]</f>
        <v>113</v>
      </c>
      <c r="BD28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300.05488888888891</v>
      </c>
      <c r="BE28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300.05488888888891</v>
      </c>
      <c r="BF288" s="194" t="str">
        <f>Tabela1[[#This Row],[Pré RBC 10^6/mm³]]</f>
        <v>-</v>
      </c>
      <c r="BG288" s="125" t="str">
        <f>Tabela1[[#This Row],[Pós RBC 10^6/mm³]]</f>
        <v>-</v>
      </c>
      <c r="BH288" s="125">
        <f>Tabela1[[#This Row],[Pré HGB g/dL]]</f>
        <v>14.7</v>
      </c>
      <c r="BI288" s="125">
        <f>Tabela1[[#This Row],[Pós HGB g/dL]]</f>
        <v>14.1</v>
      </c>
      <c r="BJ288" s="125">
        <f>Tabela1[[#This Row],[Pré HCT %]]</f>
        <v>44.4</v>
      </c>
      <c r="BK288" s="125">
        <f>Tabela1[[#This Row],[Pós HCT %]]</f>
        <v>43.3</v>
      </c>
      <c r="BL288" s="125">
        <f>Tabela1[[#This Row],[Pré MCV fL]]</f>
        <v>81.5</v>
      </c>
      <c r="BM288" s="125">
        <f>Tabela1[[#This Row],[Pós MCV fL]]</f>
        <v>83.5</v>
      </c>
      <c r="BN288" s="125">
        <f>Tabela1[[#This Row],[Pré MCH pg]]</f>
        <v>27.1</v>
      </c>
      <c r="BO288" s="125">
        <f>Tabela1[[#This Row],[Pós MCH pg]]</f>
        <v>27.2</v>
      </c>
      <c r="BP288" s="125">
        <f>Tabela1[[#This Row],[Pré MCHC g/dL]]</f>
        <v>33.200000000000003</v>
      </c>
      <c r="BQ288" s="125">
        <f>Tabela1[[#This Row],[Pós MCHC g/dL]]</f>
        <v>32.6</v>
      </c>
      <c r="BR288" s="85">
        <f>Tabela1[[#This Row],[Pré PLT 10³/mm³]]</f>
        <v>424</v>
      </c>
      <c r="BS288" s="85">
        <f>Tabela1[[#This Row],[Pós PLT 10³/mm³]]</f>
        <v>483</v>
      </c>
      <c r="BT288" s="125">
        <f>Tabela1[[#This Row],[Pré RDW %]]</f>
        <v>13</v>
      </c>
      <c r="BU288" s="125">
        <f>Tabela1[[#This Row],[Pós RDW %]]</f>
        <v>13.9</v>
      </c>
      <c r="BV288" s="179">
        <f>Tabela1[[#This Row],[Pré RET %]]</f>
        <v>1.24</v>
      </c>
      <c r="BW288" s="196">
        <f>Tabela1[[#This Row],[Pós RET %]]</f>
        <v>1.1299999999999999</v>
      </c>
      <c r="BX288" s="197">
        <f>Tabela1[[#This Row],[Pré WBC 10³/mm³]]</f>
        <v>11.27</v>
      </c>
      <c r="BY288" s="179">
        <f>Tabela1[[#This Row],[Pós WBC 10³/mm³]]</f>
        <v>16.54</v>
      </c>
      <c r="BZ288" s="125">
        <f>Tabela1[[#This Row],[Pré NEUT %]]</f>
        <v>67.2</v>
      </c>
      <c r="CA288" s="125">
        <f>Tabela1[[#This Row],[Pós NEUT %]]</f>
        <v>12.83</v>
      </c>
      <c r="CB288" s="125">
        <f>Tabela1[[#This Row],[Pré LINF %]]</f>
        <v>67.2</v>
      </c>
      <c r="CC288" s="125">
        <f>Tabela1[[#This Row],[Pós LINF %]]</f>
        <v>12.83</v>
      </c>
      <c r="CD288" s="125">
        <f>Tabela1[[#This Row],[Pré MONO %]]</f>
        <v>8.4</v>
      </c>
      <c r="CE288" s="125">
        <f>Tabela1[[#This Row],[Pós MONO %]]</f>
        <v>1.21</v>
      </c>
      <c r="CF288" s="125">
        <f>Tabela1[[#This Row],[Pré EOS %]]</f>
        <v>2.2000000000000002</v>
      </c>
      <c r="CG288" s="125">
        <f>Tabela1[[#This Row],[Pós EOS %]]</f>
        <v>0.09</v>
      </c>
      <c r="CH288" s="125">
        <f>Tabela1[[#This Row],[Pré BASO %]]</f>
        <v>0.6</v>
      </c>
      <c r="CI288" s="198">
        <f>Tabela1[[#This Row],[Pós BASO %]]</f>
        <v>7.0000000000000007E-2</v>
      </c>
      <c r="CJ288" s="199" t="str">
        <f t="shared" si="17"/>
        <v>NÃO</v>
      </c>
      <c r="CK288" s="200" t="str">
        <f t="shared" si="18"/>
        <v>SIM</v>
      </c>
      <c r="CL288" s="194">
        <f t="shared" si="19"/>
        <v>66.241470000000007</v>
      </c>
      <c r="CM288" s="125">
        <f>Tabela1[[#This Row],[MCT KG]]</f>
        <v>71.900000000000006</v>
      </c>
      <c r="CN288" s="85">
        <f>Tabela1[[#This Row],[ESTATURA]]</f>
        <v>173.5</v>
      </c>
      <c r="CO288" s="85">
        <f>Tabela1[[#This Row],[vo2max estimado]]</f>
        <v>55.35</v>
      </c>
      <c r="CP288" s="85">
        <f>Tabela1[[#This Row],[Handgrip     Dominante]]</f>
        <v>54</v>
      </c>
      <c r="CQ288" s="85">
        <f>Tabela1[[#This Row],[Handgrip Contrário]]</f>
        <v>56</v>
      </c>
      <c r="CR288" s="281">
        <f>Tabela1[[#This Row],[% gordura]]</f>
        <v>7.87</v>
      </c>
    </row>
    <row r="289" spans="1:96" ht="15.75" customHeight="1">
      <c r="A289" s="279">
        <f>Tabela1[[#This Row],[Ano]]</f>
        <v>2022</v>
      </c>
      <c r="B289" s="181" t="str">
        <f>Tabela1[[#This Row],[Missão]]</f>
        <v>Marambaia</v>
      </c>
      <c r="C289" s="181">
        <f>Tabela1[[#This Row],[Aluno]]</f>
        <v>3239</v>
      </c>
      <c r="D289" s="181">
        <f>Tabela1[[#This Row],[Idade]]</f>
        <v>24</v>
      </c>
      <c r="E289" s="182">
        <f>Tabela1[[#This Row],[Peso Kg]]</f>
        <v>0</v>
      </c>
      <c r="F289" s="191">
        <f>Tabela1[[#This Row],[Cor da pele]]</f>
        <v>0</v>
      </c>
      <c r="G289" s="192" t="str">
        <f>Tabela1[[#This Row],[ACTN3]]</f>
        <v>RX</v>
      </c>
      <c r="H289" s="85" t="str">
        <f>Tabela1[[#This Row],[AGT]]</f>
        <v>TT</v>
      </c>
      <c r="I289" s="85" t="str">
        <f>Tabela1[[#This Row],[ECA]]</f>
        <v>DD</v>
      </c>
      <c r="J289" s="85" t="str">
        <f>Tabela1[[#This Row],[BDKRB2]]</f>
        <v>(+9, -9)</v>
      </c>
      <c r="K289" s="85">
        <f>Tabela1[[#This Row],[Score Força%]]</f>
        <v>75</v>
      </c>
      <c r="L289" s="193">
        <f>Tabela1[[#This Row],[Score Resistência %]]</f>
        <v>25</v>
      </c>
      <c r="M289" s="192">
        <f>Tabela1[[#This Row],[Pré CK (U/L)]]</f>
        <v>383</v>
      </c>
      <c r="N289" s="85">
        <f>Tabela1[[#This Row],[Pós CK (U/L)]]</f>
        <v>3195</v>
      </c>
      <c r="O289" s="85" t="str">
        <f>Tabela1[[#This Row],[Pré CK MB U/L]]</f>
        <v>-</v>
      </c>
      <c r="P289" s="85" t="str">
        <f>Tabela1[[#This Row],[Pós CK MB U/L]]</f>
        <v>-</v>
      </c>
      <c r="Q289" s="85">
        <f>Tabela1[[#This Row],[Pré Lactato (mmol/L)]]</f>
        <v>2.7</v>
      </c>
      <c r="R289" s="85">
        <f>Tabela1[[#This Row],[Pós Lactato (mmol/L)]]</f>
        <v>3.2</v>
      </c>
      <c r="S289" s="85">
        <f>Tabela1[[#This Row],[Pré LDH (U/L)]]</f>
        <v>315</v>
      </c>
      <c r="T289" s="85">
        <f>Tabela1[[#This Row],[Pós LDH (U/L)]]</f>
        <v>345</v>
      </c>
      <c r="U289" s="85">
        <f>Tabela1[[#This Row],[Pré AST (U/L)]]</f>
        <v>100</v>
      </c>
      <c r="V289" s="193">
        <f>Tabela1[[#This Row],[Pós AST (U/L)]]</f>
        <v>167</v>
      </c>
      <c r="W289" s="194" t="str">
        <f>Tabela1[[#This Row],[Pré Albumina (g/dL)]]</f>
        <v>-</v>
      </c>
      <c r="X289" s="125" t="str">
        <f>Tabela1[[#This Row],[Pós Albumina (g/dL)]]</f>
        <v>-</v>
      </c>
      <c r="Y289" s="85" t="str">
        <f>Tabela1[[#This Row],[Pré TGP (g/dL)]]</f>
        <v>-</v>
      </c>
      <c r="Z289" s="85" t="str">
        <f>Tabela1[[#This Row],[Pós TGP (g/dL)]]</f>
        <v>-</v>
      </c>
      <c r="AA289" s="85" t="str">
        <f>Tabela1[[#This Row],[Pré GGT U/L]]</f>
        <v>-</v>
      </c>
      <c r="AB289" s="193" t="str">
        <f>Tabela1[[#This Row],[Pós GGT U/L]]</f>
        <v>-</v>
      </c>
      <c r="AC289" s="194">
        <f>Tabela1[[#This Row],[Pré Ac. Úrico (mg/dL)]]</f>
        <v>5.7</v>
      </c>
      <c r="AD289" s="125">
        <f>Tabela1[[#This Row],[Pós Ac. Úrico (mg/dL)2]]</f>
        <v>5.4</v>
      </c>
      <c r="AE28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8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89" s="85">
        <f>Tabela1[[#This Row],[Pré Ureia mg/dL]]</f>
        <v>48</v>
      </c>
      <c r="AH289" s="85">
        <f>Tabela1[[#This Row],[Pós Ureia mg/dL]]</f>
        <v>61</v>
      </c>
      <c r="AI289" s="125">
        <f>Tabela1[[#This Row],[Pré creatinina mg/dL]]</f>
        <v>1</v>
      </c>
      <c r="AJ289" s="125">
        <f>Tabela1[[#This Row],[Pós creatinina mg/dL]]</f>
        <v>0.9</v>
      </c>
      <c r="AK289" s="180">
        <f t="shared" si="16"/>
        <v>0</v>
      </c>
      <c r="AL289" s="125">
        <f>Tabela1[[#This Row],[Pré Fósforo mg/dL]]</f>
        <v>4.3</v>
      </c>
      <c r="AM289" s="125">
        <f>Tabela1[[#This Row],[Pós Fósforo mg/dL]]</f>
        <v>5.0999999999999996</v>
      </c>
      <c r="AN289" s="125">
        <f>Tabela1[[#This Row],[Pré Proteína Total (g/dL)]]</f>
        <v>8</v>
      </c>
      <c r="AO289" s="125">
        <f>Tabela1[[#This Row],[Pós Proteína Total (g/dL)]]</f>
        <v>7.3</v>
      </c>
      <c r="AP289" s="85">
        <f>Tabela1[[#This Row],[Pré FE (ug/dL)]]</f>
        <v>108</v>
      </c>
      <c r="AQ289" s="193">
        <f>Tabela1[[#This Row],[Pós FE (ug/dL)]]</f>
        <v>50</v>
      </c>
      <c r="AR289" s="194">
        <f>Tabela1[[#This Row],[Pré calcio mg/dL]]</f>
        <v>13.9</v>
      </c>
      <c r="AS289" s="125">
        <f>Tabela1[[#This Row],[Pós calcio mg/dL]]</f>
        <v>13.6</v>
      </c>
      <c r="AT289" s="125">
        <f>Tabela1[[#This Row],[Pré Potássio mmol/L]]</f>
        <v>4.5999999999999996</v>
      </c>
      <c r="AU289" s="125">
        <f>Tabela1[[#This Row],[Pós Potássio mmol/L]]</f>
        <v>4.5</v>
      </c>
      <c r="AV289" s="85">
        <f>Tabela1[[#This Row],[Glicose pré]]</f>
        <v>107</v>
      </c>
      <c r="AW289" s="85">
        <f>Tabela1[[#This Row],[Glicose pós]]</f>
        <v>98</v>
      </c>
      <c r="AX289" s="85">
        <f>Tabela1[[#This Row],[Pré Sódio mmol/L]]</f>
        <v>139</v>
      </c>
      <c r="AY289" s="85">
        <f>Tabela1[[#This Row],[Pós Sódio mmol/L]]</f>
        <v>138</v>
      </c>
      <c r="AZ289" s="125">
        <f>Tabela1[[#This Row],[Pré Magnésio mg/dL]]</f>
        <v>2.2999999999999998</v>
      </c>
      <c r="BA289" s="125">
        <f>Tabela1[[#This Row],[Pós Magnésio mg/dL]]</f>
        <v>2.4</v>
      </c>
      <c r="BB289" s="85">
        <f>Tabela1[[#This Row],[Pré Cloro mmol/L]]</f>
        <v>127</v>
      </c>
      <c r="BC289" s="85">
        <f>Tabela1[[#This Row],[Pós Cloro mmol/L]]</f>
        <v>127</v>
      </c>
      <c r="BD28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295.93211111111111</v>
      </c>
      <c r="BE28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295.47777777777782</v>
      </c>
      <c r="BF289" s="194" t="str">
        <f>Tabela1[[#This Row],[Pré RBC 10^6/mm³]]</f>
        <v>-</v>
      </c>
      <c r="BG289" s="125" t="str">
        <f>Tabela1[[#This Row],[Pós RBC 10^6/mm³]]</f>
        <v>-</v>
      </c>
      <c r="BH289" s="125">
        <f>Tabela1[[#This Row],[Pré HGB g/dL]]</f>
        <v>13.2</v>
      </c>
      <c r="BI289" s="125">
        <f>Tabela1[[#This Row],[Pós HGB g/dL]]</f>
        <v>12</v>
      </c>
      <c r="BJ289" s="125">
        <f>Tabela1[[#This Row],[Pré HCT %]]</f>
        <v>40.6</v>
      </c>
      <c r="BK289" s="125">
        <f>Tabela1[[#This Row],[Pós HCT %]]</f>
        <v>35.9</v>
      </c>
      <c r="BL289" s="125">
        <f>Tabela1[[#This Row],[Pré MCV fL]]</f>
        <v>88.2</v>
      </c>
      <c r="BM289" s="125">
        <f>Tabela1[[#This Row],[Pós MCV fL]]</f>
        <v>88.6</v>
      </c>
      <c r="BN289" s="125">
        <f>Tabela1[[#This Row],[Pré MCH pg]]</f>
        <v>28.8</v>
      </c>
      <c r="BO289" s="125">
        <f>Tabela1[[#This Row],[Pós MCH pg]]</f>
        <v>29.5</v>
      </c>
      <c r="BP289" s="125">
        <f>Tabela1[[#This Row],[Pré MCHC g/dL]]</f>
        <v>32.6</v>
      </c>
      <c r="BQ289" s="125">
        <f>Tabela1[[#This Row],[Pós MCHC g/dL]]</f>
        <v>33.299999999999997</v>
      </c>
      <c r="BR289" s="85">
        <f>Tabela1[[#This Row],[Pré PLT 10³/mm³]]</f>
        <v>344</v>
      </c>
      <c r="BS289" s="85">
        <f>Tabela1[[#This Row],[Pós PLT 10³/mm³]]</f>
        <v>343</v>
      </c>
      <c r="BT289" s="125">
        <f>Tabela1[[#This Row],[Pré RDW %]]</f>
        <v>12.9</v>
      </c>
      <c r="BU289" s="125">
        <f>Tabela1[[#This Row],[Pós RDW %]]</f>
        <v>14</v>
      </c>
      <c r="BV289" s="179">
        <f>Tabela1[[#This Row],[Pré RET %]]</f>
        <v>0.46</v>
      </c>
      <c r="BW289" s="196">
        <f>Tabela1[[#This Row],[Pós RET %]]</f>
        <v>0.7</v>
      </c>
      <c r="BX289" s="197">
        <f>Tabela1[[#This Row],[Pré WBC 10³/mm³]]</f>
        <v>9.27</v>
      </c>
      <c r="BY289" s="179">
        <f>Tabela1[[#This Row],[Pós WBC 10³/mm³]]</f>
        <v>15.25</v>
      </c>
      <c r="BZ289" s="125">
        <f>Tabela1[[#This Row],[Pré NEUT %]]</f>
        <v>63.7</v>
      </c>
      <c r="CA289" s="125">
        <f>Tabela1[[#This Row],[Pós NEUT %]]</f>
        <v>11.29</v>
      </c>
      <c r="CB289" s="125">
        <f>Tabela1[[#This Row],[Pré LINF %]]</f>
        <v>63.7</v>
      </c>
      <c r="CC289" s="125">
        <f>Tabela1[[#This Row],[Pós LINF %]]</f>
        <v>11.29</v>
      </c>
      <c r="CD289" s="125">
        <f>Tabela1[[#This Row],[Pré MONO %]]</f>
        <v>14.8</v>
      </c>
      <c r="CE289" s="125">
        <f>Tabela1[[#This Row],[Pós MONO %]]</f>
        <v>1.06</v>
      </c>
      <c r="CF289" s="125">
        <f>Tabela1[[#This Row],[Pré EOS %]]</f>
        <v>0.8</v>
      </c>
      <c r="CG289" s="125">
        <f>Tabela1[[#This Row],[Pós EOS %]]</f>
        <v>0.04</v>
      </c>
      <c r="CH289" s="125">
        <f>Tabela1[[#This Row],[Pré BASO %]]</f>
        <v>0.5</v>
      </c>
      <c r="CI289" s="198">
        <f>Tabela1[[#This Row],[Pós BASO %]]</f>
        <v>7.0000000000000007E-2</v>
      </c>
      <c r="CJ289" s="199" t="str">
        <f t="shared" si="17"/>
        <v>NÃO</v>
      </c>
      <c r="CK289" s="200" t="str">
        <f t="shared" si="18"/>
        <v>SIM</v>
      </c>
      <c r="CL289" s="194">
        <f t="shared" si="19"/>
        <v>77.330865000000003</v>
      </c>
      <c r="CM289" s="125">
        <f>Tabela1[[#This Row],[MCT KG]]</f>
        <v>84.45</v>
      </c>
      <c r="CN289" s="85">
        <f>Tabela1[[#This Row],[ESTATURA]]</f>
        <v>187</v>
      </c>
      <c r="CO289" s="85">
        <f>Tabela1[[#This Row],[vo2max estimado]]</f>
        <v>0</v>
      </c>
      <c r="CP289" s="85">
        <f>Tabela1[[#This Row],[Handgrip     Dominante]]</f>
        <v>48</v>
      </c>
      <c r="CQ289" s="85">
        <f>Tabela1[[#This Row],[Handgrip Contrário]]</f>
        <v>52</v>
      </c>
      <c r="CR289" s="281">
        <f>Tabela1[[#This Row],[% gordura]]</f>
        <v>8.43</v>
      </c>
    </row>
    <row r="290" spans="1:96" ht="15.75" customHeight="1">
      <c r="A290" s="279">
        <f>Tabela1[[#This Row],[Ano]]</f>
        <v>2022</v>
      </c>
      <c r="B290" s="181" t="str">
        <f>Tabela1[[#This Row],[Missão]]</f>
        <v>Marambaia</v>
      </c>
      <c r="C290" s="181">
        <f>Tabela1[[#This Row],[Aluno]]</f>
        <v>3240</v>
      </c>
      <c r="D290" s="181">
        <f>Tabela1[[#This Row],[Idade]]</f>
        <v>27</v>
      </c>
      <c r="E290" s="182">
        <f>Tabela1[[#This Row],[Peso Kg]]</f>
        <v>0</v>
      </c>
      <c r="F290" s="191">
        <f>Tabela1[[#This Row],[Cor da pele]]</f>
        <v>0</v>
      </c>
      <c r="G290" s="192" t="str">
        <f>Tabela1[[#This Row],[ACTN3]]</f>
        <v>RR</v>
      </c>
      <c r="H290" s="85" t="str">
        <f>Tabela1[[#This Row],[AGT]]</f>
        <v>TT</v>
      </c>
      <c r="I290" s="85" t="str">
        <f>Tabela1[[#This Row],[ECA]]</f>
        <v>ID</v>
      </c>
      <c r="J290" s="85" t="str">
        <f>Tabela1[[#This Row],[BDKRB2]]</f>
        <v>(-9 , -9)</v>
      </c>
      <c r="K290" s="85">
        <f>Tabela1[[#This Row],[Score Força%]]</f>
        <v>62.5</v>
      </c>
      <c r="L290" s="193">
        <f>Tabela1[[#This Row],[Score Resistência %]]</f>
        <v>37.5</v>
      </c>
      <c r="M290" s="192">
        <f>Tabela1[[#This Row],[Pré CK (U/L)]]</f>
        <v>586</v>
      </c>
      <c r="N290" s="85">
        <f>Tabela1[[#This Row],[Pós CK (U/L)]]</f>
        <v>4013</v>
      </c>
      <c r="O290" s="85" t="str">
        <f>Tabela1[[#This Row],[Pré CK MB U/L]]</f>
        <v>-</v>
      </c>
      <c r="P290" s="85" t="str">
        <f>Tabela1[[#This Row],[Pós CK MB U/L]]</f>
        <v>-</v>
      </c>
      <c r="Q290" s="85">
        <f>Tabela1[[#This Row],[Pré Lactato (mmol/L)]]</f>
        <v>4.5</v>
      </c>
      <c r="R290" s="85">
        <f>Tabela1[[#This Row],[Pós Lactato (mmol/L)]]</f>
        <v>2.5</v>
      </c>
      <c r="S290" s="85">
        <f>Tabela1[[#This Row],[Pré LDH (U/L)]]</f>
        <v>330</v>
      </c>
      <c r="T290" s="85">
        <f>Tabela1[[#This Row],[Pós LDH (U/L)]]</f>
        <v>552</v>
      </c>
      <c r="U290" s="85">
        <f>Tabela1[[#This Row],[Pré AST (U/L)]]</f>
        <v>92</v>
      </c>
      <c r="V290" s="193">
        <f>Tabela1[[#This Row],[Pós AST (U/L)]]</f>
        <v>204</v>
      </c>
      <c r="W290" s="194" t="str">
        <f>Tabela1[[#This Row],[Pré Albumina (g/dL)]]</f>
        <v>-</v>
      </c>
      <c r="X290" s="125" t="str">
        <f>Tabela1[[#This Row],[Pós Albumina (g/dL)]]</f>
        <v>-</v>
      </c>
      <c r="Y290" s="85" t="str">
        <f>Tabela1[[#This Row],[Pré TGP (g/dL)]]</f>
        <v>-</v>
      </c>
      <c r="Z290" s="85" t="str">
        <f>Tabela1[[#This Row],[Pós TGP (g/dL)]]</f>
        <v>-</v>
      </c>
      <c r="AA290" s="85" t="str">
        <f>Tabela1[[#This Row],[Pré GGT U/L]]</f>
        <v>-</v>
      </c>
      <c r="AB290" s="193" t="str">
        <f>Tabela1[[#This Row],[Pós GGT U/L]]</f>
        <v>-</v>
      </c>
      <c r="AC290" s="194">
        <f>Tabela1[[#This Row],[Pré Ac. Úrico (mg/dL)]]</f>
        <v>4.2</v>
      </c>
      <c r="AD290" s="125">
        <f>Tabela1[[#This Row],[Pós Ac. Úrico (mg/dL)2]]</f>
        <v>6.5</v>
      </c>
      <c r="AE29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29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290" s="85">
        <f>Tabela1[[#This Row],[Pré Ureia mg/dL]]</f>
        <v>47</v>
      </c>
      <c r="AH290" s="85">
        <f>Tabela1[[#This Row],[Pós Ureia mg/dL]]</f>
        <v>59</v>
      </c>
      <c r="AI290" s="125">
        <f>Tabela1[[#This Row],[Pré creatinina mg/dL]]</f>
        <v>0.7</v>
      </c>
      <c r="AJ290" s="125">
        <f>Tabela1[[#This Row],[Pós creatinina mg/dL]]</f>
        <v>0.9</v>
      </c>
      <c r="AK290" s="180">
        <f t="shared" si="16"/>
        <v>0.20000000000000007</v>
      </c>
      <c r="AL290" s="125">
        <f>Tabela1[[#This Row],[Pré Fósforo mg/dL]]</f>
        <v>4.9000000000000004</v>
      </c>
      <c r="AM290" s="125">
        <f>Tabela1[[#This Row],[Pós Fósforo mg/dL]]</f>
        <v>5.9</v>
      </c>
      <c r="AN290" s="125">
        <f>Tabela1[[#This Row],[Pré Proteína Total (g/dL)]]</f>
        <v>7.2</v>
      </c>
      <c r="AO290" s="125">
        <f>Tabela1[[#This Row],[Pós Proteína Total (g/dL)]]</f>
        <v>7.7</v>
      </c>
      <c r="AP290" s="85">
        <f>Tabela1[[#This Row],[Pré FE (ug/dL)]]</f>
        <v>61</v>
      </c>
      <c r="AQ290" s="193">
        <f>Tabela1[[#This Row],[Pós FE (ug/dL)]]</f>
        <v>10</v>
      </c>
      <c r="AR290" s="194">
        <f>Tabela1[[#This Row],[Pré calcio mg/dL]]</f>
        <v>13.8</v>
      </c>
      <c r="AS290" s="125">
        <f>Tabela1[[#This Row],[Pós calcio mg/dL]]</f>
        <v>9.5</v>
      </c>
      <c r="AT290" s="125">
        <f>Tabela1[[#This Row],[Pré Potássio mmol/L]]</f>
        <v>5.0999999999999996</v>
      </c>
      <c r="AU290" s="125">
        <f>Tabela1[[#This Row],[Pós Potássio mmol/L]]</f>
        <v>4.5</v>
      </c>
      <c r="AV290" s="85">
        <f>Tabela1[[#This Row],[Glicose pré]]</f>
        <v>86</v>
      </c>
      <c r="AW290" s="85">
        <f>Tabela1[[#This Row],[Glicose pós]]</f>
        <v>69</v>
      </c>
      <c r="AX290" s="85">
        <f>Tabela1[[#This Row],[Pré Sódio mmol/L]]</f>
        <v>143</v>
      </c>
      <c r="AY290" s="85">
        <f>Tabela1[[#This Row],[Pós Sódio mmol/L]]</f>
        <v>137</v>
      </c>
      <c r="AZ290" s="125">
        <f>Tabela1[[#This Row],[Pré Magnésio mg/dL]]</f>
        <v>2.6</v>
      </c>
      <c r="BA290" s="125">
        <f>Tabela1[[#This Row],[Pós Magnésio mg/dL]]</f>
        <v>1.9</v>
      </c>
      <c r="BB290" s="85">
        <f>Tabela1[[#This Row],[Pré Cloro mmol/L]]</f>
        <v>125</v>
      </c>
      <c r="BC290" s="85">
        <f>Tabela1[[#This Row],[Pós Cloro mmol/L]]</f>
        <v>84</v>
      </c>
      <c r="BD29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302.79377777777779</v>
      </c>
      <c r="BE29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291.43166666666667</v>
      </c>
      <c r="BF290" s="194" t="str">
        <f>Tabela1[[#This Row],[Pré RBC 10^6/mm³]]</f>
        <v>-</v>
      </c>
      <c r="BG290" s="125" t="str">
        <f>Tabela1[[#This Row],[Pós RBC 10^6/mm³]]</f>
        <v>-</v>
      </c>
      <c r="BH290" s="125">
        <f>Tabela1[[#This Row],[Pré HGB g/dL]]</f>
        <v>13.8</v>
      </c>
      <c r="BI290" s="125">
        <f>Tabela1[[#This Row],[Pós HGB g/dL]]</f>
        <v>13.8</v>
      </c>
      <c r="BJ290" s="125">
        <f>Tabela1[[#This Row],[Pré HCT %]]</f>
        <v>41.8</v>
      </c>
      <c r="BK290" s="125">
        <f>Tabela1[[#This Row],[Pós HCT %]]</f>
        <v>42.5</v>
      </c>
      <c r="BL290" s="125">
        <f>Tabela1[[#This Row],[Pré MCV fL]]</f>
        <v>88.3</v>
      </c>
      <c r="BM290" s="125">
        <f>Tabela1[[#This Row],[Pós MCV fL]]</f>
        <v>90.2</v>
      </c>
      <c r="BN290" s="125">
        <f>Tabela1[[#This Row],[Pré MCH pg]]</f>
        <v>29.3</v>
      </c>
      <c r="BO290" s="125">
        <f>Tabela1[[#This Row],[Pós MCH pg]]</f>
        <v>29.3</v>
      </c>
      <c r="BP290" s="125">
        <f>Tabela1[[#This Row],[Pré MCHC g/dL]]</f>
        <v>33.1</v>
      </c>
      <c r="BQ290" s="125">
        <f>Tabela1[[#This Row],[Pós MCHC g/dL]]</f>
        <v>32.5</v>
      </c>
      <c r="BR290" s="85">
        <f>Tabela1[[#This Row],[Pré PLT 10³/mm³]]</f>
        <v>419</v>
      </c>
      <c r="BS290" s="85">
        <f>Tabela1[[#This Row],[Pós PLT 10³/mm³]]</f>
        <v>411</v>
      </c>
      <c r="BT290" s="125">
        <f>Tabela1[[#This Row],[Pré RDW %]]</f>
        <v>12.7</v>
      </c>
      <c r="BU290" s="125">
        <f>Tabela1[[#This Row],[Pós RDW %]]</f>
        <v>14.2</v>
      </c>
      <c r="BV290" s="179">
        <f>Tabela1[[#This Row],[Pré RET %]]</f>
        <v>0.95</v>
      </c>
      <c r="BW290" s="196">
        <f>Tabela1[[#This Row],[Pós RET %]]</f>
        <v>1.18</v>
      </c>
      <c r="BX290" s="197">
        <f>Tabela1[[#This Row],[Pré WBC 10³/mm³]]</f>
        <v>10.35</v>
      </c>
      <c r="BY290" s="179">
        <f>Tabela1[[#This Row],[Pós WBC 10³/mm³]]</f>
        <v>12.44</v>
      </c>
      <c r="BZ290" s="125">
        <f>Tabela1[[#This Row],[Pré NEUT %]]</f>
        <v>70.2</v>
      </c>
      <c r="CA290" s="125">
        <f>Tabela1[[#This Row],[Pós NEUT %]]</f>
        <v>9.0299999999999994</v>
      </c>
      <c r="CB290" s="125">
        <f>Tabela1[[#This Row],[Pré LINF %]]</f>
        <v>70.2</v>
      </c>
      <c r="CC290" s="125">
        <f>Tabela1[[#This Row],[Pós LINF %]]</f>
        <v>9.0299999999999994</v>
      </c>
      <c r="CD290" s="125">
        <f>Tabela1[[#This Row],[Pré MONO %]]</f>
        <v>7.1</v>
      </c>
      <c r="CE290" s="125">
        <f>Tabela1[[#This Row],[Pós MONO %]]</f>
        <v>1.19</v>
      </c>
      <c r="CF290" s="125">
        <f>Tabela1[[#This Row],[Pré EOS %]]</f>
        <v>1.9</v>
      </c>
      <c r="CG290" s="125">
        <f>Tabela1[[#This Row],[Pós EOS %]]</f>
        <v>0.03</v>
      </c>
      <c r="CH290" s="125">
        <f>Tabela1[[#This Row],[Pré BASO %]]</f>
        <v>0.3</v>
      </c>
      <c r="CI290" s="198">
        <f>Tabela1[[#This Row],[Pós BASO %]]</f>
        <v>0.08</v>
      </c>
      <c r="CJ290" s="199" t="str">
        <f t="shared" si="17"/>
        <v>NÃO</v>
      </c>
      <c r="CK290" s="200" t="str">
        <f t="shared" si="18"/>
        <v>SIM</v>
      </c>
      <c r="CL290" s="194">
        <f t="shared" si="19"/>
        <v>65.118300000000005</v>
      </c>
      <c r="CM290" s="125">
        <f>Tabela1[[#This Row],[MCT KG]]</f>
        <v>76.7</v>
      </c>
      <c r="CN290" s="85">
        <f>Tabela1[[#This Row],[ESTATURA]]</f>
        <v>171.5</v>
      </c>
      <c r="CO290" s="85">
        <f>Tabela1[[#This Row],[vo2max estimado]]</f>
        <v>47.49</v>
      </c>
      <c r="CP290" s="85">
        <f>Tabela1[[#This Row],[Handgrip     Dominante]]</f>
        <v>54</v>
      </c>
      <c r="CQ290" s="85">
        <f>Tabela1[[#This Row],[Handgrip Contrário]]</f>
        <v>48</v>
      </c>
      <c r="CR290" s="281">
        <f>Tabela1[[#This Row],[% gordura]]</f>
        <v>15.1</v>
      </c>
    </row>
    <row r="291" spans="1:96" ht="15.75" customHeight="1">
      <c r="A291" s="279">
        <f>Tabela1[[#This Row],[Ano]]</f>
        <v>2022</v>
      </c>
      <c r="B291" s="181" t="str">
        <f>Tabela1[[#This Row],[Missão]]</f>
        <v>Marambaia</v>
      </c>
      <c r="C291" s="181">
        <f>Tabela1[[#This Row],[Aluno]]</f>
        <v>3241</v>
      </c>
      <c r="D291" s="181">
        <f>Tabela1[[#This Row],[Idade]]</f>
        <v>25</v>
      </c>
      <c r="E291" s="182">
        <f>Tabela1[[#This Row],[Peso Kg]]</f>
        <v>0</v>
      </c>
      <c r="F291" s="191">
        <f>Tabela1[[#This Row],[Cor da pele]]</f>
        <v>0</v>
      </c>
      <c r="G291" s="192" t="str">
        <f>Tabela1[[#This Row],[ACTN3]]</f>
        <v>RR</v>
      </c>
      <c r="H291" s="85" t="str">
        <f>Tabela1[[#This Row],[AGT]]</f>
        <v>MT</v>
      </c>
      <c r="I291" s="85" t="str">
        <f>Tabela1[[#This Row],[ECA]]</f>
        <v>ID</v>
      </c>
      <c r="J291" s="85" t="str">
        <f>Tabela1[[#This Row],[BDKRB2]]</f>
        <v>(-9 , -9)</v>
      </c>
      <c r="K291" s="85">
        <f>Tabela1[[#This Row],[Score Força%]]</f>
        <v>50</v>
      </c>
      <c r="L291" s="193">
        <f>Tabela1[[#This Row],[Score Resistência %]]</f>
        <v>50</v>
      </c>
      <c r="M291" s="192">
        <f>Tabela1[[#This Row],[Pré CK (U/L)]]</f>
        <v>914</v>
      </c>
      <c r="N291" s="85">
        <f>Tabela1[[#This Row],[Pós CK (U/L)]]</f>
        <v>6198</v>
      </c>
      <c r="O291" s="85" t="str">
        <f>Tabela1[[#This Row],[Pré CK MB U/L]]</f>
        <v>-</v>
      </c>
      <c r="P291" s="85" t="str">
        <f>Tabela1[[#This Row],[Pós CK MB U/L]]</f>
        <v>-</v>
      </c>
      <c r="Q291" s="85">
        <f>Tabela1[[#This Row],[Pré Lactato (mmol/L)]]</f>
        <v>2.2999999999999998</v>
      </c>
      <c r="R291" s="85">
        <f>Tabela1[[#This Row],[Pós Lactato (mmol/L)]]</f>
        <v>1.8</v>
      </c>
      <c r="S291" s="85">
        <f>Tabela1[[#This Row],[Pré LDH (U/L)]]</f>
        <v>308</v>
      </c>
      <c r="T291" s="85">
        <f>Tabela1[[#This Row],[Pós LDH (U/L)]]</f>
        <v>480</v>
      </c>
      <c r="U291" s="85">
        <f>Tabela1[[#This Row],[Pré AST (U/L)]]</f>
        <v>109</v>
      </c>
      <c r="V291" s="193">
        <f>Tabela1[[#This Row],[Pós AST (U/L)]]</f>
        <v>217</v>
      </c>
      <c r="W291" s="194" t="str">
        <f>Tabela1[[#This Row],[Pré Albumina (g/dL)]]</f>
        <v>-</v>
      </c>
      <c r="X291" s="125" t="str">
        <f>Tabela1[[#This Row],[Pós Albumina (g/dL)]]</f>
        <v>-</v>
      </c>
      <c r="Y291" s="85" t="str">
        <f>Tabela1[[#This Row],[Pré TGP (g/dL)]]</f>
        <v>-</v>
      </c>
      <c r="Z291" s="85" t="str">
        <f>Tabela1[[#This Row],[Pós TGP (g/dL)]]</f>
        <v>-</v>
      </c>
      <c r="AA291" s="85" t="str">
        <f>Tabela1[[#This Row],[Pré GGT U/L]]</f>
        <v>-</v>
      </c>
      <c r="AB291" s="193" t="str">
        <f>Tabela1[[#This Row],[Pós GGT U/L]]</f>
        <v>-</v>
      </c>
      <c r="AC291" s="194">
        <f>Tabela1[[#This Row],[Pré Ac. Úrico (mg/dL)]]</f>
        <v>4.2</v>
      </c>
      <c r="AD291" s="125">
        <f>Tabela1[[#This Row],[Pós Ac. Úrico (mg/dL)2]]</f>
        <v>5.5</v>
      </c>
      <c r="AE29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9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291" s="85">
        <f>Tabela1[[#This Row],[Pré Ureia mg/dL]]</f>
        <v>56</v>
      </c>
      <c r="AH291" s="85">
        <f>Tabela1[[#This Row],[Pós Ureia mg/dL]]</f>
        <v>65</v>
      </c>
      <c r="AI291" s="125">
        <f>Tabela1[[#This Row],[Pré creatinina mg/dL]]</f>
        <v>0.9</v>
      </c>
      <c r="AJ291" s="125">
        <f>Tabela1[[#This Row],[Pós creatinina mg/dL]]</f>
        <v>1.2</v>
      </c>
      <c r="AK291" s="180">
        <f t="shared" si="16"/>
        <v>0.29999999999999993</v>
      </c>
      <c r="AL291" s="125">
        <f>Tabela1[[#This Row],[Pré Fósforo mg/dL]]</f>
        <v>4.0999999999999996</v>
      </c>
      <c r="AM291" s="125">
        <f>Tabela1[[#This Row],[Pós Fósforo mg/dL]]</f>
        <v>4.5</v>
      </c>
      <c r="AN291" s="125">
        <f>Tabela1[[#This Row],[Pré Proteína Total (g/dL)]]</f>
        <v>6.7</v>
      </c>
      <c r="AO291" s="125">
        <f>Tabela1[[#This Row],[Pós Proteína Total (g/dL)]]</f>
        <v>6.7</v>
      </c>
      <c r="AP291" s="85">
        <f>Tabela1[[#This Row],[Pré FE (ug/dL)]]</f>
        <v>43</v>
      </c>
      <c r="AQ291" s="193">
        <f>Tabela1[[#This Row],[Pós FE (ug/dL)]]</f>
        <v>10</v>
      </c>
      <c r="AR291" s="194">
        <f>Tabela1[[#This Row],[Pré calcio mg/dL]]</f>
        <v>10.3</v>
      </c>
      <c r="AS291" s="125">
        <f>Tabela1[[#This Row],[Pós calcio mg/dL]]</f>
        <v>9.6</v>
      </c>
      <c r="AT291" s="125">
        <f>Tabela1[[#This Row],[Pré Potássio mmol/L]]</f>
        <v>4.8</v>
      </c>
      <c r="AU291" s="125">
        <f>Tabela1[[#This Row],[Pós Potássio mmol/L]]</f>
        <v>4.5</v>
      </c>
      <c r="AV291" s="85">
        <f>Tabela1[[#This Row],[Glicose pré]]</f>
        <v>100</v>
      </c>
      <c r="AW291" s="85">
        <f>Tabela1[[#This Row],[Glicose pós]]</f>
        <v>96</v>
      </c>
      <c r="AX291" s="85">
        <f>Tabela1[[#This Row],[Pré Sódio mmol/L]]</f>
        <v>139</v>
      </c>
      <c r="AY291" s="85">
        <f>Tabela1[[#This Row],[Pós Sódio mmol/L]]</f>
        <v>140</v>
      </c>
      <c r="AZ291" s="125">
        <f>Tabela1[[#This Row],[Pré Magnésio mg/dL]]</f>
        <v>2.1</v>
      </c>
      <c r="BA291" s="125">
        <f>Tabela1[[#This Row],[Pós Magnésio mg/dL]]</f>
        <v>2.1</v>
      </c>
      <c r="BB291" s="85">
        <f>Tabela1[[#This Row],[Pré Cloro mmol/L]]</f>
        <v>105</v>
      </c>
      <c r="BC291" s="85">
        <f>Tabela1[[#This Row],[Pós Cloro mmol/L]]</f>
        <v>93</v>
      </c>
      <c r="BD29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297.19022222222225</v>
      </c>
      <c r="BE29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299.73666666666668</v>
      </c>
      <c r="BF291" s="194" t="str">
        <f>Tabela1[[#This Row],[Pré RBC 10^6/mm³]]</f>
        <v>-</v>
      </c>
      <c r="BG291" s="125" t="str">
        <f>Tabela1[[#This Row],[Pós RBC 10^6/mm³]]</f>
        <v>-</v>
      </c>
      <c r="BH291" s="125">
        <f>Tabela1[[#This Row],[Pré HGB g/dL]]</f>
        <v>12.8</v>
      </c>
      <c r="BI291" s="125">
        <f>Tabela1[[#This Row],[Pós HGB g/dL]]</f>
        <v>12.7</v>
      </c>
      <c r="BJ291" s="125">
        <f>Tabela1[[#This Row],[Pré HCT %]]</f>
        <v>39.200000000000003</v>
      </c>
      <c r="BK291" s="125">
        <f>Tabela1[[#This Row],[Pós HCT %]]</f>
        <v>37.9</v>
      </c>
      <c r="BL291" s="125">
        <f>Tabela1[[#This Row],[Pré MCV fL]]</f>
        <v>82.7</v>
      </c>
      <c r="BM291" s="125">
        <f>Tabela1[[#This Row],[Pós MCV fL]]</f>
        <v>84.1</v>
      </c>
      <c r="BN291" s="125">
        <f>Tabela1[[#This Row],[Pré MCH pg]]</f>
        <v>27</v>
      </c>
      <c r="BO291" s="125">
        <f>Tabela1[[#This Row],[Pós MCH pg]]</f>
        <v>28.1</v>
      </c>
      <c r="BP291" s="125">
        <f>Tabela1[[#This Row],[Pré MCHC g/dL]]</f>
        <v>32.6</v>
      </c>
      <c r="BQ291" s="125">
        <f>Tabela1[[#This Row],[Pós MCHC g/dL]]</f>
        <v>33.5</v>
      </c>
      <c r="BR291" s="85">
        <f>Tabela1[[#This Row],[Pré PLT 10³/mm³]]</f>
        <v>384</v>
      </c>
      <c r="BS291" s="85">
        <f>Tabela1[[#This Row],[Pós PLT 10³/mm³]]</f>
        <v>377</v>
      </c>
      <c r="BT291" s="125">
        <f>Tabela1[[#This Row],[Pré RDW %]]</f>
        <v>12.4</v>
      </c>
      <c r="BU291" s="125">
        <f>Tabela1[[#This Row],[Pós RDW %]]</f>
        <v>13.9</v>
      </c>
      <c r="BV291" s="179">
        <f>Tabela1[[#This Row],[Pré RET %]]</f>
        <v>1.42</v>
      </c>
      <c r="BW291" s="196">
        <f>Tabela1[[#This Row],[Pós RET %]]</f>
        <v>1.64</v>
      </c>
      <c r="BX291" s="197">
        <f>Tabela1[[#This Row],[Pré WBC 10³/mm³]]</f>
        <v>6.57</v>
      </c>
      <c r="BY291" s="179">
        <f>Tabela1[[#This Row],[Pós WBC 10³/mm³]]</f>
        <v>9.4700000000000006</v>
      </c>
      <c r="BZ291" s="125">
        <f>Tabela1[[#This Row],[Pré NEUT %]]</f>
        <v>55</v>
      </c>
      <c r="CA291" s="125">
        <f>Tabela1[[#This Row],[Pós NEUT %]]</f>
        <v>6.97</v>
      </c>
      <c r="CB291" s="125">
        <f>Tabela1[[#This Row],[Pré LINF %]]</f>
        <v>55</v>
      </c>
      <c r="CC291" s="125">
        <f>Tabela1[[#This Row],[Pós LINF %]]</f>
        <v>6.97</v>
      </c>
      <c r="CD291" s="125">
        <f>Tabela1[[#This Row],[Pré MONO %]]</f>
        <v>10</v>
      </c>
      <c r="CE291" s="125">
        <f>Tabela1[[#This Row],[Pós MONO %]]</f>
        <v>1.24</v>
      </c>
      <c r="CF291" s="125">
        <f>Tabela1[[#This Row],[Pré EOS %]]</f>
        <v>3.4</v>
      </c>
      <c r="CG291" s="125">
        <f>Tabela1[[#This Row],[Pós EOS %]]</f>
        <v>0.06</v>
      </c>
      <c r="CH291" s="125">
        <f>Tabela1[[#This Row],[Pré BASO %]]</f>
        <v>0.7</v>
      </c>
      <c r="CI291" s="198">
        <f>Tabela1[[#This Row],[Pós BASO %]]</f>
        <v>0.02</v>
      </c>
      <c r="CJ291" s="199" t="str">
        <f t="shared" si="17"/>
        <v>SIM</v>
      </c>
      <c r="CK291" s="200" t="str">
        <f t="shared" si="18"/>
        <v>SIM</v>
      </c>
      <c r="CL291" s="194">
        <f t="shared" si="19"/>
        <v>81.751800000000003</v>
      </c>
      <c r="CM291" s="125">
        <f>Tabela1[[#This Row],[MCT KG]]</f>
        <v>94</v>
      </c>
      <c r="CN291" s="85">
        <f>Tabela1[[#This Row],[ESTATURA]]</f>
        <v>176.5</v>
      </c>
      <c r="CO291" s="85">
        <f>Tabela1[[#This Row],[vo2max estimado]]</f>
        <v>46.18</v>
      </c>
      <c r="CP291" s="85">
        <f>Tabela1[[#This Row],[Handgrip     Dominante]]</f>
        <v>54</v>
      </c>
      <c r="CQ291" s="85">
        <f>Tabela1[[#This Row],[Handgrip Contrário]]</f>
        <v>60</v>
      </c>
      <c r="CR291" s="281">
        <f>Tabela1[[#This Row],[% gordura]]</f>
        <v>13.03</v>
      </c>
    </row>
    <row r="292" spans="1:96" ht="15.75" customHeight="1">
      <c r="A292" s="279">
        <f>Tabela1[[#This Row],[Ano]]</f>
        <v>2022</v>
      </c>
      <c r="B292" s="181" t="str">
        <f>Tabela1[[#This Row],[Missão]]</f>
        <v>Marambaia</v>
      </c>
      <c r="C292" s="181">
        <f>Tabela1[[#This Row],[Aluno]]</f>
        <v>3242</v>
      </c>
      <c r="D292" s="181">
        <f>Tabela1[[#This Row],[Idade]]</f>
        <v>33</v>
      </c>
      <c r="E292" s="182">
        <f>Tabela1[[#This Row],[Peso Kg]]</f>
        <v>0</v>
      </c>
      <c r="F292" s="191">
        <f>Tabela1[[#This Row],[Cor da pele]]</f>
        <v>0</v>
      </c>
      <c r="G292" s="192" t="str">
        <f>Tabela1[[#This Row],[ACTN3]]</f>
        <v>RR</v>
      </c>
      <c r="H292" s="85" t="str">
        <f>Tabela1[[#This Row],[AGT]]</f>
        <v>MT</v>
      </c>
      <c r="I292" s="85" t="str">
        <f>Tabela1[[#This Row],[ECA]]</f>
        <v>II</v>
      </c>
      <c r="J292" s="85" t="str">
        <f>Tabela1[[#This Row],[BDKRB2]]</f>
        <v>(+9, -9)</v>
      </c>
      <c r="K292" s="85">
        <f>Tabela1[[#This Row],[Score Força%]]</f>
        <v>50</v>
      </c>
      <c r="L292" s="193">
        <f>Tabela1[[#This Row],[Score Resistência %]]</f>
        <v>50</v>
      </c>
      <c r="M292" s="192">
        <f>Tabela1[[#This Row],[Pré CK (U/L)]]</f>
        <v>710</v>
      </c>
      <c r="N292" s="85">
        <f>Tabela1[[#This Row],[Pós CK (U/L)]]</f>
        <v>4260</v>
      </c>
      <c r="O292" s="85" t="str">
        <f>Tabela1[[#This Row],[Pré CK MB U/L]]</f>
        <v>-</v>
      </c>
      <c r="P292" s="85" t="str">
        <f>Tabela1[[#This Row],[Pós CK MB U/L]]</f>
        <v>-</v>
      </c>
      <c r="Q292" s="85">
        <f>Tabela1[[#This Row],[Pré Lactato (mmol/L)]]</f>
        <v>2.2000000000000002</v>
      </c>
      <c r="R292" s="85">
        <f>Tabela1[[#This Row],[Pós Lactato (mmol/L)]]</f>
        <v>4.3</v>
      </c>
      <c r="S292" s="85">
        <f>Tabela1[[#This Row],[Pré LDH (U/L)]]</f>
        <v>314</v>
      </c>
      <c r="T292" s="85">
        <f>Tabela1[[#This Row],[Pós LDH (U/L)]]</f>
        <v>482</v>
      </c>
      <c r="U292" s="85">
        <f>Tabela1[[#This Row],[Pré AST (U/L)]]</f>
        <v>61</v>
      </c>
      <c r="V292" s="193">
        <f>Tabela1[[#This Row],[Pós AST (U/L)]]</f>
        <v>153</v>
      </c>
      <c r="W292" s="194" t="str">
        <f>Tabela1[[#This Row],[Pré Albumina (g/dL)]]</f>
        <v>-</v>
      </c>
      <c r="X292" s="125" t="str">
        <f>Tabela1[[#This Row],[Pós Albumina (g/dL)]]</f>
        <v>-</v>
      </c>
      <c r="Y292" s="85" t="str">
        <f>Tabela1[[#This Row],[Pré TGP (g/dL)]]</f>
        <v>-</v>
      </c>
      <c r="Z292" s="85" t="str">
        <f>Tabela1[[#This Row],[Pós TGP (g/dL)]]</f>
        <v>-</v>
      </c>
      <c r="AA292" s="85" t="str">
        <f>Tabela1[[#This Row],[Pré GGT U/L]]</f>
        <v>-</v>
      </c>
      <c r="AB292" s="193" t="str">
        <f>Tabela1[[#This Row],[Pós GGT U/L]]</f>
        <v>-</v>
      </c>
      <c r="AC292" s="194">
        <f>Tabela1[[#This Row],[Pré Ac. Úrico (mg/dL)]]</f>
        <v>5.5</v>
      </c>
      <c r="AD292" s="125">
        <f>Tabela1[[#This Row],[Pós Ac. Úrico (mg/dL)2]]</f>
        <v>7.9</v>
      </c>
      <c r="AE29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9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64.63111261616406</v>
      </c>
      <c r="AG292" s="85">
        <f>Tabela1[[#This Row],[Pré Ureia mg/dL]]</f>
        <v>51</v>
      </c>
      <c r="AH292" s="85">
        <f>Tabela1[[#This Row],[Pós Ureia mg/dL]]</f>
        <v>77</v>
      </c>
      <c r="AI292" s="125">
        <f>Tabela1[[#This Row],[Pré creatinina mg/dL]]</f>
        <v>1</v>
      </c>
      <c r="AJ292" s="125">
        <f>Tabela1[[#This Row],[Pós creatinina mg/dL]]</f>
        <v>1.5</v>
      </c>
      <c r="AK292" s="180">
        <f t="shared" si="16"/>
        <v>0.5</v>
      </c>
      <c r="AL292" s="125">
        <f>Tabela1[[#This Row],[Pré Fósforo mg/dL]]</f>
        <v>3.8</v>
      </c>
      <c r="AM292" s="125">
        <f>Tabela1[[#This Row],[Pós Fósforo mg/dL]]</f>
        <v>5.2</v>
      </c>
      <c r="AN292" s="125">
        <f>Tabela1[[#This Row],[Pré Proteína Total (g/dL)]]</f>
        <v>7.3</v>
      </c>
      <c r="AO292" s="125">
        <f>Tabela1[[#This Row],[Pós Proteína Total (g/dL)]]</f>
        <v>7.1</v>
      </c>
      <c r="AP292" s="85">
        <f>Tabela1[[#This Row],[Pré FE (ug/dL)]]</f>
        <v>56</v>
      </c>
      <c r="AQ292" s="193">
        <f>Tabela1[[#This Row],[Pós FE (ug/dL)]]</f>
        <v>28</v>
      </c>
      <c r="AR292" s="194">
        <f>Tabela1[[#This Row],[Pré calcio mg/dL]]</f>
        <v>11.2</v>
      </c>
      <c r="AS292" s="125">
        <f>Tabela1[[#This Row],[Pós calcio mg/dL]]</f>
        <v>11.4</v>
      </c>
      <c r="AT292" s="125">
        <f>Tabela1[[#This Row],[Pré Potássio mmol/L]]</f>
        <v>4.5999999999999996</v>
      </c>
      <c r="AU292" s="125">
        <f>Tabela1[[#This Row],[Pós Potássio mmol/L]]</f>
        <v>4.8</v>
      </c>
      <c r="AV292" s="85">
        <f>Tabela1[[#This Row],[Glicose pré]]</f>
        <v>118</v>
      </c>
      <c r="AW292" s="85">
        <f>Tabela1[[#This Row],[Glicose pós]]</f>
        <v>81</v>
      </c>
      <c r="AX292" s="85">
        <f>Tabela1[[#This Row],[Pré Sódio mmol/L]]</f>
        <v>139</v>
      </c>
      <c r="AY292" s="85">
        <f>Tabela1[[#This Row],[Pós Sódio mmol/L]]</f>
        <v>141</v>
      </c>
      <c r="AZ292" s="125">
        <f>Tabela1[[#This Row],[Pré Magnésio mg/dL]]</f>
        <v>2</v>
      </c>
      <c r="BA292" s="125">
        <f>Tabela1[[#This Row],[Pós Magnésio mg/dL]]</f>
        <v>2</v>
      </c>
      <c r="BB292" s="85">
        <f>Tabela1[[#This Row],[Pré Cloro mmol/L]]</f>
        <v>103</v>
      </c>
      <c r="BC292" s="85">
        <f>Tabela1[[#This Row],[Pós Cloro mmol/L]]</f>
        <v>103</v>
      </c>
      <c r="BD29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297.1348888888889</v>
      </c>
      <c r="BE29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303.19633333333337</v>
      </c>
      <c r="BF292" s="194" t="str">
        <f>Tabela1[[#This Row],[Pré RBC 10^6/mm³]]</f>
        <v>-</v>
      </c>
      <c r="BG292" s="125" t="str">
        <f>Tabela1[[#This Row],[Pós RBC 10^6/mm³]]</f>
        <v>-</v>
      </c>
      <c r="BH292" s="125">
        <f>Tabela1[[#This Row],[Pré HGB g/dL]]</f>
        <v>13.5</v>
      </c>
      <c r="BI292" s="125">
        <f>Tabela1[[#This Row],[Pós HGB g/dL]]</f>
        <v>12.7</v>
      </c>
      <c r="BJ292" s="125">
        <f>Tabela1[[#This Row],[Pré HCT %]]</f>
        <v>41.5</v>
      </c>
      <c r="BK292" s="125">
        <f>Tabela1[[#This Row],[Pós HCT %]]</f>
        <v>39.200000000000003</v>
      </c>
      <c r="BL292" s="125">
        <f>Tabela1[[#This Row],[Pré MCV fL]]</f>
        <v>81.099999999999994</v>
      </c>
      <c r="BM292" s="125">
        <f>Tabela1[[#This Row],[Pós MCV fL]]</f>
        <v>82.3</v>
      </c>
      <c r="BN292" s="125">
        <f>Tabela1[[#This Row],[Pré MCH pg]]</f>
        <v>26.3</v>
      </c>
      <c r="BO292" s="125">
        <f>Tabela1[[#This Row],[Pós MCH pg]]</f>
        <v>26.7</v>
      </c>
      <c r="BP292" s="125">
        <f>Tabela1[[#This Row],[Pré MCHC g/dL]]</f>
        <v>32.4</v>
      </c>
      <c r="BQ292" s="125">
        <f>Tabela1[[#This Row],[Pós MCHC g/dL]]</f>
        <v>32.4</v>
      </c>
      <c r="BR292" s="85">
        <f>Tabela1[[#This Row],[Pré PLT 10³/mm³]]</f>
        <v>393</v>
      </c>
      <c r="BS292" s="85">
        <f>Tabela1[[#This Row],[Pós PLT 10³/mm³]]</f>
        <v>378</v>
      </c>
      <c r="BT292" s="125">
        <f>Tabela1[[#This Row],[Pré RDW %]]</f>
        <v>13.5</v>
      </c>
      <c r="BU292" s="125">
        <f>Tabela1[[#This Row],[Pós RDW %]]</f>
        <v>13.8</v>
      </c>
      <c r="BV292" s="179">
        <f>Tabela1[[#This Row],[Pré RET %]]</f>
        <v>0.84</v>
      </c>
      <c r="BW292" s="196">
        <f>Tabela1[[#This Row],[Pós RET %]]</f>
        <v>0.71</v>
      </c>
      <c r="BX292" s="197">
        <f>Tabela1[[#This Row],[Pré WBC 10³/mm³]]</f>
        <v>6.8</v>
      </c>
      <c r="BY292" s="179">
        <f>Tabela1[[#This Row],[Pós WBC 10³/mm³]]</f>
        <v>9.52</v>
      </c>
      <c r="BZ292" s="125">
        <f>Tabela1[[#This Row],[Pré NEUT %]]</f>
        <v>55.5</v>
      </c>
      <c r="CA292" s="125">
        <f>Tabela1[[#This Row],[Pós NEUT %]]</f>
        <v>7.64</v>
      </c>
      <c r="CB292" s="125">
        <f>Tabela1[[#This Row],[Pré LINF %]]</f>
        <v>55.5</v>
      </c>
      <c r="CC292" s="125">
        <f>Tabela1[[#This Row],[Pós LINF %]]</f>
        <v>7.64</v>
      </c>
      <c r="CD292" s="125">
        <f>Tabela1[[#This Row],[Pré MONO %]]</f>
        <v>12.6</v>
      </c>
      <c r="CE292" s="125">
        <f>Tabela1[[#This Row],[Pós MONO %]]</f>
        <v>0.67</v>
      </c>
      <c r="CF292" s="125">
        <f>Tabela1[[#This Row],[Pré EOS %]]</f>
        <v>7.9</v>
      </c>
      <c r="CG292" s="125">
        <f>Tabela1[[#This Row],[Pós EOS %]]</f>
        <v>0.02</v>
      </c>
      <c r="CH292" s="125">
        <f>Tabela1[[#This Row],[Pré BASO %]]</f>
        <v>1</v>
      </c>
      <c r="CI292" s="198">
        <f>Tabela1[[#This Row],[Pós BASO %]]</f>
        <v>0.05</v>
      </c>
      <c r="CJ292" s="199" t="str">
        <f t="shared" si="17"/>
        <v>SIM</v>
      </c>
      <c r="CK292" s="200" t="str">
        <f t="shared" si="18"/>
        <v>SIM</v>
      </c>
      <c r="CL292" s="194">
        <f t="shared" si="19"/>
        <v>77.466380000000001</v>
      </c>
      <c r="CM292" s="125">
        <f>Tabela1[[#This Row],[MCT KG]]</f>
        <v>97.1</v>
      </c>
      <c r="CN292" s="85">
        <f>Tabela1[[#This Row],[ESTATURA]]</f>
        <v>181</v>
      </c>
      <c r="CO292" s="85">
        <f>Tabela1[[#This Row],[vo2max estimado]]</f>
        <v>44.53</v>
      </c>
      <c r="CP292" s="85">
        <f>Tabela1[[#This Row],[Handgrip     Dominante]]</f>
        <v>66</v>
      </c>
      <c r="CQ292" s="85">
        <f>Tabela1[[#This Row],[Handgrip Contrário]]</f>
        <v>65</v>
      </c>
      <c r="CR292" s="281">
        <f>Tabela1[[#This Row],[% gordura]]</f>
        <v>20.22</v>
      </c>
    </row>
    <row r="293" spans="1:96" ht="15.75" customHeight="1">
      <c r="A293" s="279">
        <f>Tabela1[[#This Row],[Ano]]</f>
        <v>2022</v>
      </c>
      <c r="B293" s="181" t="str">
        <f>Tabela1[[#This Row],[Missão]]</f>
        <v>Marambaia</v>
      </c>
      <c r="C293" s="181">
        <f>Tabela1[[#This Row],[Aluno]]</f>
        <v>3243</v>
      </c>
      <c r="D293" s="181">
        <f>Tabela1[[#This Row],[Idade]]</f>
        <v>35</v>
      </c>
      <c r="E293" s="182">
        <f>Tabela1[[#This Row],[Peso Kg]]</f>
        <v>75</v>
      </c>
      <c r="F293" s="191">
        <f>Tabela1[[#This Row],[Cor da pele]]</f>
        <v>0</v>
      </c>
      <c r="G293" s="192" t="str">
        <f>Tabela1[[#This Row],[ACTN3]]</f>
        <v>RX</v>
      </c>
      <c r="H293" s="85" t="str">
        <f>Tabela1[[#This Row],[AGT]]</f>
        <v>MT</v>
      </c>
      <c r="I293" s="85" t="str">
        <f>Tabela1[[#This Row],[ECA]]</f>
        <v>ID</v>
      </c>
      <c r="J293" s="85" t="str">
        <f>Tabela1[[#This Row],[BDKRB2]]</f>
        <v>(-9 , -9)</v>
      </c>
      <c r="K293" s="85">
        <f>Tabela1[[#This Row],[Score Força%]]</f>
        <v>37.5</v>
      </c>
      <c r="L293" s="193">
        <f>Tabela1[[#This Row],[Score Resistência %]]</f>
        <v>62.5</v>
      </c>
      <c r="M293" s="192">
        <f>Tabela1[[#This Row],[Pré CK (U/L)]]</f>
        <v>6153</v>
      </c>
      <c r="N293" s="85">
        <f>Tabela1[[#This Row],[Pós CK (U/L)]]</f>
        <v>9377</v>
      </c>
      <c r="O293" s="85" t="str">
        <f>Tabela1[[#This Row],[Pré CK MB U/L]]</f>
        <v>-</v>
      </c>
      <c r="P293" s="85" t="str">
        <f>Tabela1[[#This Row],[Pós CK MB U/L]]</f>
        <v>-</v>
      </c>
      <c r="Q293" s="85">
        <f>Tabela1[[#This Row],[Pré Lactato (mmol/L)]]</f>
        <v>2.8</v>
      </c>
      <c r="R293" s="85">
        <f>Tabela1[[#This Row],[Pós Lactato (mmol/L)]]</f>
        <v>2.9</v>
      </c>
      <c r="S293" s="85">
        <f>Tabela1[[#This Row],[Pré LDH (U/L)]]</f>
        <v>974</v>
      </c>
      <c r="T293" s="85">
        <f>Tabela1[[#This Row],[Pós LDH (U/L)]]</f>
        <v>1199</v>
      </c>
      <c r="U293" s="85">
        <f>Tabela1[[#This Row],[Pré AST (U/L)]]</f>
        <v>424</v>
      </c>
      <c r="V293" s="193">
        <f>Tabela1[[#This Row],[Pós AST (U/L)]]</f>
        <v>419</v>
      </c>
      <c r="W293" s="194" t="str">
        <f>Tabela1[[#This Row],[Pré Albumina (g/dL)]]</f>
        <v>-</v>
      </c>
      <c r="X293" s="125" t="str">
        <f>Tabela1[[#This Row],[Pós Albumina (g/dL)]]</f>
        <v>-</v>
      </c>
      <c r="Y293" s="85" t="str">
        <f>Tabela1[[#This Row],[Pré TGP (g/dL)]]</f>
        <v>-</v>
      </c>
      <c r="Z293" s="85" t="str">
        <f>Tabela1[[#This Row],[Pós TGP (g/dL)]]</f>
        <v>-</v>
      </c>
      <c r="AA293" s="85" t="str">
        <f>Tabela1[[#This Row],[Pré GGT U/L]]</f>
        <v>-</v>
      </c>
      <c r="AB293" s="193" t="str">
        <f>Tabela1[[#This Row],[Pós GGT U/L]]</f>
        <v>-</v>
      </c>
      <c r="AC293" s="194">
        <f>Tabela1[[#This Row],[Pré Ac. Úrico (mg/dL)]]</f>
        <v>5.7</v>
      </c>
      <c r="AD293" s="125">
        <f>Tabela1[[#This Row],[Pós Ac. Úrico (mg/dL)2]]</f>
        <v>6.5</v>
      </c>
      <c r="AE29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9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293" s="85">
        <f>Tabela1[[#This Row],[Pré Ureia mg/dL]]</f>
        <v>54</v>
      </c>
      <c r="AH293" s="85">
        <f>Tabela1[[#This Row],[Pós Ureia mg/dL]]</f>
        <v>65</v>
      </c>
      <c r="AI293" s="125">
        <f>Tabela1[[#This Row],[Pré creatinina mg/dL]]</f>
        <v>1</v>
      </c>
      <c r="AJ293" s="125">
        <f>Tabela1[[#This Row],[Pós creatinina mg/dL]]</f>
        <v>1.3</v>
      </c>
      <c r="AK293" s="180">
        <f t="shared" si="16"/>
        <v>0.30000000000000004</v>
      </c>
      <c r="AL293" s="125">
        <f>Tabela1[[#This Row],[Pré Fósforo mg/dL]]</f>
        <v>4.3</v>
      </c>
      <c r="AM293" s="125">
        <f>Tabela1[[#This Row],[Pós Fósforo mg/dL]]</f>
        <v>5.6</v>
      </c>
      <c r="AN293" s="125">
        <f>Tabela1[[#This Row],[Pré Proteína Total (g/dL)]]</f>
        <v>8.1999999999999993</v>
      </c>
      <c r="AO293" s="125">
        <f>Tabela1[[#This Row],[Pós Proteína Total (g/dL)]]</f>
        <v>7.9</v>
      </c>
      <c r="AP293" s="85">
        <f>Tabela1[[#This Row],[Pré FE (ug/dL)]]</f>
        <v>129</v>
      </c>
      <c r="AQ293" s="193">
        <f>Tabela1[[#This Row],[Pós FE (ug/dL)]]</f>
        <v>18</v>
      </c>
      <c r="AR293" s="194">
        <f>Tabela1[[#This Row],[Pré calcio mg/dL]]</f>
        <v>12.3</v>
      </c>
      <c r="AS293" s="125">
        <f>Tabela1[[#This Row],[Pós calcio mg/dL]]</f>
        <v>11.4</v>
      </c>
      <c r="AT293" s="125">
        <f>Tabela1[[#This Row],[Pré Potássio mmol/L]]</f>
        <v>4.5</v>
      </c>
      <c r="AU293" s="125">
        <f>Tabela1[[#This Row],[Pós Potássio mmol/L]]</f>
        <v>4.5</v>
      </c>
      <c r="AV293" s="85">
        <f>Tabela1[[#This Row],[Glicose pré]]</f>
        <v>80</v>
      </c>
      <c r="AW293" s="85">
        <f>Tabela1[[#This Row],[Glicose pós]]</f>
        <v>108</v>
      </c>
      <c r="AX293" s="85">
        <f>Tabela1[[#This Row],[Pré Sódio mmol/L]]</f>
        <v>137</v>
      </c>
      <c r="AY293" s="85">
        <f>Tabela1[[#This Row],[Pós Sódio mmol/L]]</f>
        <v>137</v>
      </c>
      <c r="AZ293" s="125">
        <f>Tabela1[[#This Row],[Pré Magnésio mg/dL]]</f>
        <v>2.2999999999999998</v>
      </c>
      <c r="BA293" s="125">
        <f>Tabela1[[#This Row],[Pós Magnésio mg/dL]]</f>
        <v>2.4</v>
      </c>
      <c r="BB293" s="85">
        <f>Tabela1[[#This Row],[Pré Cloro mmol/L]]</f>
        <v>110</v>
      </c>
      <c r="BC293" s="85">
        <f>Tabela1[[#This Row],[Pós Cloro mmol/L]]</f>
        <v>94</v>
      </c>
      <c r="BD29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291.30111111111108</v>
      </c>
      <c r="BE29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294.92333333333329</v>
      </c>
      <c r="BF293" s="194" t="str">
        <f>Tabela1[[#This Row],[Pré RBC 10^6/mm³]]</f>
        <v>-</v>
      </c>
      <c r="BG293" s="125" t="str">
        <f>Tabela1[[#This Row],[Pós RBC 10^6/mm³]]</f>
        <v>-</v>
      </c>
      <c r="BH293" s="125">
        <f>Tabela1[[#This Row],[Pré HGB g/dL]]</f>
        <v>16</v>
      </c>
      <c r="BI293" s="125">
        <f>Tabela1[[#This Row],[Pós HGB g/dL]]</f>
        <v>14.8</v>
      </c>
      <c r="BJ293" s="125">
        <f>Tabela1[[#This Row],[Pré HCT %]]</f>
        <v>49.1</v>
      </c>
      <c r="BK293" s="125">
        <f>Tabela1[[#This Row],[Pós HCT %]]</f>
        <v>45.4</v>
      </c>
      <c r="BL293" s="125">
        <f>Tabela1[[#This Row],[Pré MCV fL]]</f>
        <v>97.3</v>
      </c>
      <c r="BM293" s="125">
        <f>Tabela1[[#This Row],[Pós MCV fL]]</f>
        <v>96.3</v>
      </c>
      <c r="BN293" s="125">
        <f>Tabela1[[#This Row],[Pré MCH pg]]</f>
        <v>31.7</v>
      </c>
      <c r="BO293" s="125">
        <f>Tabela1[[#This Row],[Pós MCH pg]]</f>
        <v>31.4</v>
      </c>
      <c r="BP293" s="125">
        <f>Tabela1[[#This Row],[Pré MCHC g/dL]]</f>
        <v>32.5</v>
      </c>
      <c r="BQ293" s="125">
        <f>Tabela1[[#This Row],[Pós MCHC g/dL]]</f>
        <v>32.6</v>
      </c>
      <c r="BR293" s="85">
        <f>Tabela1[[#This Row],[Pré PLT 10³/mm³]]</f>
        <v>322</v>
      </c>
      <c r="BS293" s="85">
        <f>Tabela1[[#This Row],[Pós PLT 10³/mm³]]</f>
        <v>333</v>
      </c>
      <c r="BT293" s="125">
        <f>Tabela1[[#This Row],[Pré RDW %]]</f>
        <v>12.7</v>
      </c>
      <c r="BU293" s="125">
        <f>Tabela1[[#This Row],[Pós RDW %]]</f>
        <v>14.5</v>
      </c>
      <c r="BV293" s="179">
        <f>Tabela1[[#This Row],[Pré RET %]]</f>
        <v>1.43</v>
      </c>
      <c r="BW293" s="196">
        <f>Tabela1[[#This Row],[Pós RET %]]</f>
        <v>1.62</v>
      </c>
      <c r="BX293" s="197">
        <f>Tabela1[[#This Row],[Pré WBC 10³/mm³]]</f>
        <v>6.09</v>
      </c>
      <c r="BY293" s="179">
        <f>Tabela1[[#This Row],[Pós WBC 10³/mm³]]</f>
        <v>11.32</v>
      </c>
      <c r="BZ293" s="125">
        <f>Tabela1[[#This Row],[Pré NEUT %]]</f>
        <v>72.099999999999994</v>
      </c>
      <c r="CA293" s="125">
        <f>Tabela1[[#This Row],[Pós NEUT %]]</f>
        <v>6.64</v>
      </c>
      <c r="CB293" s="125">
        <f>Tabela1[[#This Row],[Pré LINF %]]</f>
        <v>72.099999999999994</v>
      </c>
      <c r="CC293" s="125">
        <f>Tabela1[[#This Row],[Pós LINF %]]</f>
        <v>6.64</v>
      </c>
      <c r="CD293" s="125">
        <f>Tabela1[[#This Row],[Pré MONO %]]</f>
        <v>6.7</v>
      </c>
      <c r="CE293" s="125">
        <f>Tabela1[[#This Row],[Pós MONO %]]</f>
        <v>1.05</v>
      </c>
      <c r="CF293" s="125">
        <f>Tabela1[[#This Row],[Pré EOS %]]</f>
        <v>0.5</v>
      </c>
      <c r="CG293" s="125">
        <f>Tabela1[[#This Row],[Pós EOS %]]</f>
        <v>0.04</v>
      </c>
      <c r="CH293" s="125">
        <f>Tabela1[[#This Row],[Pré BASO %]]</f>
        <v>0.8</v>
      </c>
      <c r="CI293" s="198">
        <f>Tabela1[[#This Row],[Pós BASO %]]</f>
        <v>0.04</v>
      </c>
      <c r="CJ293" s="199" t="str">
        <f t="shared" si="17"/>
        <v>SIM</v>
      </c>
      <c r="CK293" s="200" t="str">
        <f t="shared" si="18"/>
        <v>SIM</v>
      </c>
      <c r="CL293" s="194">
        <f t="shared" si="19"/>
        <v>73.247245000000007</v>
      </c>
      <c r="CM293" s="125">
        <f>Tabela1[[#This Row],[MCT KG]]</f>
        <v>77.650000000000006</v>
      </c>
      <c r="CN293" s="85">
        <f>Tabela1[[#This Row],[ESTATURA]]</f>
        <v>184.2</v>
      </c>
      <c r="CO293" s="85">
        <f>Tabela1[[#This Row],[vo2max estimado]]</f>
        <v>54.09</v>
      </c>
      <c r="CP293" s="85">
        <f>Tabela1[[#This Row],[Handgrip     Dominante]]</f>
        <v>56</v>
      </c>
      <c r="CQ293" s="85">
        <f>Tabela1[[#This Row],[Handgrip Contrário]]</f>
        <v>52</v>
      </c>
      <c r="CR293" s="281">
        <f>Tabela1[[#This Row],[% gordura]]</f>
        <v>5.67</v>
      </c>
    </row>
    <row r="294" spans="1:96" ht="15.75" customHeight="1">
      <c r="A294" s="279">
        <f>Tabela1[[#This Row],[Ano]]</f>
        <v>2022</v>
      </c>
      <c r="B294" s="181" t="str">
        <f>Tabela1[[#This Row],[Missão]]</f>
        <v>Marambaia</v>
      </c>
      <c r="C294" s="181">
        <f>Tabela1[[#This Row],[Aluno]]</f>
        <v>3244</v>
      </c>
      <c r="D294" s="181">
        <f>Tabela1[[#This Row],[Idade]]</f>
        <v>34</v>
      </c>
      <c r="E294" s="182">
        <f>Tabela1[[#This Row],[Peso Kg]]</f>
        <v>65</v>
      </c>
      <c r="F294" s="191">
        <f>Tabela1[[#This Row],[Cor da pele]]</f>
        <v>0</v>
      </c>
      <c r="G294" s="192" t="str">
        <f>Tabela1[[#This Row],[ACTN3]]</f>
        <v>-</v>
      </c>
      <c r="H294" s="85" t="str">
        <f>Tabela1[[#This Row],[AGT]]</f>
        <v>-</v>
      </c>
      <c r="I294" s="85" t="str">
        <f>Tabela1[[#This Row],[ECA]]</f>
        <v>-</v>
      </c>
      <c r="J294" s="85" t="str">
        <f>Tabela1[[#This Row],[BDKRB2]]</f>
        <v>-</v>
      </c>
      <c r="K294" s="85" t="str">
        <f>Tabela1[[#This Row],[Score Força%]]</f>
        <v>-</v>
      </c>
      <c r="L294" s="193" t="str">
        <f>Tabela1[[#This Row],[Score Resistência %]]</f>
        <v>-</v>
      </c>
      <c r="M294" s="192">
        <f>Tabela1[[#This Row],[Pré CK (U/L)]]</f>
        <v>672</v>
      </c>
      <c r="N294" s="85">
        <f>Tabela1[[#This Row],[Pós CK (U/L)]]</f>
        <v>7844</v>
      </c>
      <c r="O294" s="85" t="str">
        <f>Tabela1[[#This Row],[Pré CK MB U/L]]</f>
        <v>-</v>
      </c>
      <c r="P294" s="85" t="str">
        <f>Tabela1[[#This Row],[Pós CK MB U/L]]</f>
        <v>-</v>
      </c>
      <c r="Q294" s="85">
        <f>Tabela1[[#This Row],[Pré Lactato (mmol/L)]]</f>
        <v>2</v>
      </c>
      <c r="R294" s="85">
        <f>Tabela1[[#This Row],[Pós Lactato (mmol/L)]]</f>
        <v>3.6</v>
      </c>
      <c r="S294" s="85">
        <f>Tabela1[[#This Row],[Pré LDH (U/L)]]</f>
        <v>271</v>
      </c>
      <c r="T294" s="85">
        <f>Tabela1[[#This Row],[Pós LDH (U/L)]]</f>
        <v>642</v>
      </c>
      <c r="U294" s="85">
        <f>Tabela1[[#This Row],[Pré AST (U/L)]]</f>
        <v>46</v>
      </c>
      <c r="V294" s="193">
        <f>Tabela1[[#This Row],[Pós AST (U/L)]]</f>
        <v>332</v>
      </c>
      <c r="W294" s="194" t="str">
        <f>Tabela1[[#This Row],[Pré Albumina (g/dL)]]</f>
        <v>-</v>
      </c>
      <c r="X294" s="125" t="str">
        <f>Tabela1[[#This Row],[Pós Albumina (g/dL)]]</f>
        <v>-</v>
      </c>
      <c r="Y294" s="85" t="str">
        <f>Tabela1[[#This Row],[Pré TGP (g/dL)]]</f>
        <v>-</v>
      </c>
      <c r="Z294" s="85" t="str">
        <f>Tabela1[[#This Row],[Pós TGP (g/dL)]]</f>
        <v>-</v>
      </c>
      <c r="AA294" s="85" t="str">
        <f>Tabela1[[#This Row],[Pré GGT U/L]]</f>
        <v>-</v>
      </c>
      <c r="AB294" s="193" t="str">
        <f>Tabela1[[#This Row],[Pós GGT U/L]]</f>
        <v>-</v>
      </c>
      <c r="AC294" s="194">
        <f>Tabela1[[#This Row],[Pré Ac. Úrico (mg/dL)]]</f>
        <v>5</v>
      </c>
      <c r="AD294" s="125">
        <f>Tabela1[[#This Row],[Pós Ac. Úrico (mg/dL)2]]</f>
        <v>7.5</v>
      </c>
      <c r="AE29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9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55.617624739760828</v>
      </c>
      <c r="AG294" s="85">
        <f>Tabela1[[#This Row],[Pré Ureia mg/dL]]</f>
        <v>53</v>
      </c>
      <c r="AH294" s="85">
        <f>Tabela1[[#This Row],[Pós Ureia mg/dL]]</f>
        <v>96</v>
      </c>
      <c r="AI294" s="125">
        <f>Tabela1[[#This Row],[Pré creatinina mg/dL]]</f>
        <v>0.9</v>
      </c>
      <c r="AJ294" s="125">
        <f>Tabela1[[#This Row],[Pós creatinina mg/dL]]</f>
        <v>1.7</v>
      </c>
      <c r="AK294" s="180">
        <f t="shared" si="16"/>
        <v>0.79999999999999993</v>
      </c>
      <c r="AL294" s="125">
        <f>Tabela1[[#This Row],[Pré Fósforo mg/dL]]</f>
        <v>3.6</v>
      </c>
      <c r="AM294" s="125">
        <f>Tabela1[[#This Row],[Pós Fósforo mg/dL]]</f>
        <v>4.5</v>
      </c>
      <c r="AN294" s="125">
        <f>Tabela1[[#This Row],[Pré Proteína Total (g/dL)]]</f>
        <v>7.8</v>
      </c>
      <c r="AO294" s="125">
        <f>Tabela1[[#This Row],[Pós Proteína Total (g/dL)]]</f>
        <v>8</v>
      </c>
      <c r="AP294" s="85">
        <f>Tabela1[[#This Row],[Pré FE (ug/dL)]]</f>
        <v>76</v>
      </c>
      <c r="AQ294" s="193">
        <f>Tabela1[[#This Row],[Pós FE (ug/dL)]]</f>
        <v>10</v>
      </c>
      <c r="AR294" s="194">
        <f>Tabela1[[#This Row],[Pré calcio mg/dL]]</f>
        <v>10.8</v>
      </c>
      <c r="AS294" s="125">
        <f>Tabela1[[#This Row],[Pós calcio mg/dL]]</f>
        <v>12.8</v>
      </c>
      <c r="AT294" s="125">
        <f>Tabela1[[#This Row],[Pré Potássio mmol/L]]</f>
        <v>3.9</v>
      </c>
      <c r="AU294" s="125">
        <f>Tabela1[[#This Row],[Pós Potássio mmol/L]]</f>
        <v>5.2</v>
      </c>
      <c r="AV294" s="85">
        <f>Tabela1[[#This Row],[Glicose pré]]</f>
        <v>85</v>
      </c>
      <c r="AW294" s="85">
        <f>Tabela1[[#This Row],[Glicose pós]]</f>
        <v>91</v>
      </c>
      <c r="AX294" s="85">
        <f>Tabela1[[#This Row],[Pré Sódio mmol/L]]</f>
        <v>141</v>
      </c>
      <c r="AY294" s="85">
        <f>Tabela1[[#This Row],[Pós Sódio mmol/L]]</f>
        <v>136</v>
      </c>
      <c r="AZ294" s="125">
        <f>Tabela1[[#This Row],[Pré Magnésio mg/dL]]</f>
        <v>2</v>
      </c>
      <c r="BA294" s="125">
        <f>Tabela1[[#This Row],[Pós Magnésio mg/dL]]</f>
        <v>1.8</v>
      </c>
      <c r="BB294" s="85">
        <f>Tabela1[[#This Row],[Pré Cloro mmol/L]]</f>
        <v>107</v>
      </c>
      <c r="BC294" s="85">
        <f>Tabela1[[#This Row],[Pós Cloro mmol/L]]</f>
        <v>115</v>
      </c>
      <c r="BD29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297.77788888888887</v>
      </c>
      <c r="BE29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298.44588888888887</v>
      </c>
      <c r="BF294" s="194" t="str">
        <f>Tabela1[[#This Row],[Pré RBC 10^6/mm³]]</f>
        <v>-</v>
      </c>
      <c r="BG294" s="125" t="str">
        <f>Tabela1[[#This Row],[Pós RBC 10^6/mm³]]</f>
        <v>-</v>
      </c>
      <c r="BH294" s="125">
        <f>Tabela1[[#This Row],[Pré HGB g/dL]]</f>
        <v>13.5</v>
      </c>
      <c r="BI294" s="125">
        <f>Tabela1[[#This Row],[Pós HGB g/dL]]</f>
        <v>14.2</v>
      </c>
      <c r="BJ294" s="125">
        <f>Tabela1[[#This Row],[Pré HCT %]]</f>
        <v>41.3</v>
      </c>
      <c r="BK294" s="125">
        <f>Tabela1[[#This Row],[Pós HCT %]]</f>
        <v>42.2</v>
      </c>
      <c r="BL294" s="125">
        <f>Tabela1[[#This Row],[Pré MCV fL]]</f>
        <v>87.4</v>
      </c>
      <c r="BM294" s="125">
        <f>Tabela1[[#This Row],[Pós MCV fL]]</f>
        <v>88</v>
      </c>
      <c r="BN294" s="125">
        <f>Tabela1[[#This Row],[Pré MCH pg]]</f>
        <v>28.6</v>
      </c>
      <c r="BO294" s="125">
        <f>Tabela1[[#This Row],[Pós MCH pg]]</f>
        <v>29.5</v>
      </c>
      <c r="BP294" s="125">
        <f>Tabela1[[#This Row],[Pré MCHC g/dL]]</f>
        <v>32.799999999999997</v>
      </c>
      <c r="BQ294" s="125">
        <f>Tabela1[[#This Row],[Pós MCHC g/dL]]</f>
        <v>33.6</v>
      </c>
      <c r="BR294" s="85">
        <f>Tabela1[[#This Row],[Pré PLT 10³/mm³]]</f>
        <v>287</v>
      </c>
      <c r="BS294" s="85">
        <f>Tabela1[[#This Row],[Pós PLT 10³/mm³]]</f>
        <v>299</v>
      </c>
      <c r="BT294" s="125">
        <f>Tabela1[[#This Row],[Pré RDW %]]</f>
        <v>12.9</v>
      </c>
      <c r="BU294" s="125">
        <f>Tabela1[[#This Row],[Pós RDW %]]</f>
        <v>14</v>
      </c>
      <c r="BV294" s="179">
        <f>Tabela1[[#This Row],[Pré RET %]]</f>
        <v>0.79</v>
      </c>
      <c r="BW294" s="196">
        <f>Tabela1[[#This Row],[Pós RET %]]</f>
        <v>0.67</v>
      </c>
      <c r="BX294" s="197">
        <f>Tabela1[[#This Row],[Pré WBC 10³/mm³]]</f>
        <v>6.72</v>
      </c>
      <c r="BY294" s="179">
        <f>Tabela1[[#This Row],[Pós WBC 10³/mm³]]</f>
        <v>11.18</v>
      </c>
      <c r="BZ294" s="125">
        <f>Tabela1[[#This Row],[Pré NEUT %]]</f>
        <v>63.6</v>
      </c>
      <c r="CA294" s="125">
        <f>Tabela1[[#This Row],[Pós NEUT %]]</f>
        <v>8.84</v>
      </c>
      <c r="CB294" s="125">
        <f>Tabela1[[#This Row],[Pré LINF %]]</f>
        <v>63.6</v>
      </c>
      <c r="CC294" s="125">
        <f>Tabela1[[#This Row],[Pós LINF %]]</f>
        <v>8.84</v>
      </c>
      <c r="CD294" s="125">
        <f>Tabela1[[#This Row],[Pré MONO %]]</f>
        <v>13.7</v>
      </c>
      <c r="CE294" s="125">
        <f>Tabela1[[#This Row],[Pós MONO %]]</f>
        <v>0.98</v>
      </c>
      <c r="CF294" s="125">
        <f>Tabela1[[#This Row],[Pré EOS %]]</f>
        <v>2.6</v>
      </c>
      <c r="CG294" s="125">
        <f>Tabela1[[#This Row],[Pós EOS %]]</f>
        <v>0.03</v>
      </c>
      <c r="CH294" s="125">
        <f>Tabela1[[#This Row],[Pré BASO %]]</f>
        <v>0.7</v>
      </c>
      <c r="CI294" s="198">
        <f>Tabela1[[#This Row],[Pós BASO %]]</f>
        <v>0.03</v>
      </c>
      <c r="CJ294" s="199" t="str">
        <f t="shared" si="17"/>
        <v>SIM</v>
      </c>
      <c r="CK294" s="200" t="str">
        <f t="shared" si="18"/>
        <v>SIM</v>
      </c>
      <c r="CL294" s="194">
        <f t="shared" si="19"/>
        <v>60.020625000000003</v>
      </c>
      <c r="CM294" s="125">
        <f>Tabela1[[#This Row],[MCT KG]]</f>
        <v>67.25</v>
      </c>
      <c r="CN294" s="85">
        <f>Tabela1[[#This Row],[ESTATURA]]</f>
        <v>168.5</v>
      </c>
      <c r="CO294" s="85">
        <f>Tabela1[[#This Row],[vo2max estimado]]</f>
        <v>53.38</v>
      </c>
      <c r="CP294" s="85">
        <f>Tabela1[[#This Row],[Handgrip     Dominante]]</f>
        <v>54</v>
      </c>
      <c r="CQ294" s="85">
        <f>Tabela1[[#This Row],[Handgrip Contrário]]</f>
        <v>54</v>
      </c>
      <c r="CR294" s="281">
        <f>Tabela1[[#This Row],[% gordura]]</f>
        <v>10.75</v>
      </c>
    </row>
    <row r="295" spans="1:96" ht="15.75" customHeight="1">
      <c r="A295" s="279">
        <f>Tabela1[[#This Row],[Ano]]</f>
        <v>2022</v>
      </c>
      <c r="B295" s="181" t="str">
        <f>Tabela1[[#This Row],[Missão]]</f>
        <v>Marambaia</v>
      </c>
      <c r="C295" s="181">
        <f>Tabela1[[#This Row],[Aluno]]</f>
        <v>3246</v>
      </c>
      <c r="D295" s="181">
        <f>Tabela1[[#This Row],[Idade]]</f>
        <v>32</v>
      </c>
      <c r="E295" s="182">
        <f>Tabela1[[#This Row],[Peso Kg]]</f>
        <v>80</v>
      </c>
      <c r="F295" s="191">
        <f>Tabela1[[#This Row],[Cor da pele]]</f>
        <v>0</v>
      </c>
      <c r="G295" s="192" t="str">
        <f>Tabela1[[#This Row],[ACTN3]]</f>
        <v>-</v>
      </c>
      <c r="H295" s="85" t="str">
        <f>Tabela1[[#This Row],[AGT]]</f>
        <v>-</v>
      </c>
      <c r="I295" s="85" t="str">
        <f>Tabela1[[#This Row],[ECA]]</f>
        <v>-</v>
      </c>
      <c r="J295" s="85" t="str">
        <f>Tabela1[[#This Row],[BDKRB2]]</f>
        <v>-</v>
      </c>
      <c r="K295" s="85" t="str">
        <f>Tabela1[[#This Row],[Score Força%]]</f>
        <v>-</v>
      </c>
      <c r="L295" s="193" t="str">
        <f>Tabela1[[#This Row],[Score Resistência %]]</f>
        <v>-</v>
      </c>
      <c r="M295" s="192">
        <f>Tabela1[[#This Row],[Pré CK (U/L)]]</f>
        <v>308</v>
      </c>
      <c r="N295" s="85">
        <f>Tabela1[[#This Row],[Pós CK (U/L)]]</f>
        <v>2459</v>
      </c>
      <c r="O295" s="85" t="str">
        <f>Tabela1[[#This Row],[Pré CK MB U/L]]</f>
        <v>-</v>
      </c>
      <c r="P295" s="85" t="str">
        <f>Tabela1[[#This Row],[Pós CK MB U/L]]</f>
        <v>-</v>
      </c>
      <c r="Q295" s="85">
        <f>Tabela1[[#This Row],[Pré Lactato (mmol/L)]]</f>
        <v>2</v>
      </c>
      <c r="R295" s="85">
        <f>Tabela1[[#This Row],[Pós Lactato (mmol/L)]]</f>
        <v>2.2999999999999998</v>
      </c>
      <c r="S295" s="85">
        <f>Tabela1[[#This Row],[Pré LDH (U/L)]]</f>
        <v>349</v>
      </c>
      <c r="T295" s="85">
        <f>Tabela1[[#This Row],[Pós LDH (U/L)]]</f>
        <v>386</v>
      </c>
      <c r="U295" s="85">
        <f>Tabela1[[#This Row],[Pré AST (U/L)]]</f>
        <v>68</v>
      </c>
      <c r="V295" s="193">
        <f>Tabela1[[#This Row],[Pós AST (U/L)]]</f>
        <v>115</v>
      </c>
      <c r="W295" s="194" t="str">
        <f>Tabela1[[#This Row],[Pré Albumina (g/dL)]]</f>
        <v>-</v>
      </c>
      <c r="X295" s="125" t="str">
        <f>Tabela1[[#This Row],[Pós Albumina (g/dL)]]</f>
        <v>-</v>
      </c>
      <c r="Y295" s="85" t="str">
        <f>Tabela1[[#This Row],[Pré TGP (g/dL)]]</f>
        <v>-</v>
      </c>
      <c r="Z295" s="85" t="str">
        <f>Tabela1[[#This Row],[Pós TGP (g/dL)]]</f>
        <v>-</v>
      </c>
      <c r="AA295" s="85" t="str">
        <f>Tabela1[[#This Row],[Pré GGT U/L]]</f>
        <v>-</v>
      </c>
      <c r="AB295" s="193" t="str">
        <f>Tabela1[[#This Row],[Pós GGT U/L]]</f>
        <v>-</v>
      </c>
      <c r="AC295" s="194">
        <f>Tabela1[[#This Row],[Pré Ac. Úrico (mg/dL)]]</f>
        <v>3.8</v>
      </c>
      <c r="AD295" s="125">
        <f>Tabela1[[#This Row],[Pós Ac. Úrico (mg/dL)2]]</f>
        <v>6.7</v>
      </c>
      <c r="AE29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9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295" s="85">
        <f>Tabela1[[#This Row],[Pré Ureia mg/dL]]</f>
        <v>59</v>
      </c>
      <c r="AH295" s="85">
        <f>Tabela1[[#This Row],[Pós Ureia mg/dL]]</f>
        <v>76</v>
      </c>
      <c r="AI295" s="125">
        <f>Tabela1[[#This Row],[Pré creatinina mg/dL]]</f>
        <v>0.9</v>
      </c>
      <c r="AJ295" s="125">
        <f>Tabela1[[#This Row],[Pós creatinina mg/dL]]</f>
        <v>1.2</v>
      </c>
      <c r="AK295" s="180">
        <f t="shared" si="16"/>
        <v>0.29999999999999993</v>
      </c>
      <c r="AL295" s="125">
        <f>Tabela1[[#This Row],[Pré Fósforo mg/dL]]</f>
        <v>4.4000000000000004</v>
      </c>
      <c r="AM295" s="125">
        <f>Tabela1[[#This Row],[Pós Fósforo mg/dL]]</f>
        <v>5.6</v>
      </c>
      <c r="AN295" s="125">
        <f>Tabela1[[#This Row],[Pré Proteína Total (g/dL)]]</f>
        <v>7.4</v>
      </c>
      <c r="AO295" s="125">
        <f>Tabela1[[#This Row],[Pós Proteína Total (g/dL)]]</f>
        <v>7.9</v>
      </c>
      <c r="AP295" s="85">
        <f>Tabela1[[#This Row],[Pré FE (ug/dL)]]</f>
        <v>36</v>
      </c>
      <c r="AQ295" s="193">
        <f>Tabela1[[#This Row],[Pós FE (ug/dL)]]</f>
        <v>11</v>
      </c>
      <c r="AR295" s="194">
        <f>Tabela1[[#This Row],[Pré calcio mg/dL]]</f>
        <v>8.9</v>
      </c>
      <c r="AS295" s="125">
        <f>Tabela1[[#This Row],[Pós calcio mg/dL]]</f>
        <v>11.1</v>
      </c>
      <c r="AT295" s="125">
        <f>Tabela1[[#This Row],[Pré Potássio mmol/L]]</f>
        <v>5</v>
      </c>
      <c r="AU295" s="125">
        <f>Tabela1[[#This Row],[Pós Potássio mmol/L]]</f>
        <v>5.0999999999999996</v>
      </c>
      <c r="AV295" s="85">
        <f>Tabela1[[#This Row],[Glicose pré]]</f>
        <v>109</v>
      </c>
      <c r="AW295" s="85">
        <f>Tabela1[[#This Row],[Glicose pós]]</f>
        <v>83</v>
      </c>
      <c r="AX295" s="85">
        <f>Tabela1[[#This Row],[Pré Sódio mmol/L]]</f>
        <v>140</v>
      </c>
      <c r="AY295" s="85">
        <f>Tabela1[[#This Row],[Pós Sódio mmol/L]]</f>
        <v>142</v>
      </c>
      <c r="AZ295" s="125">
        <f>Tabela1[[#This Row],[Pré Magnésio mg/dL]]</f>
        <v>1.9</v>
      </c>
      <c r="BA295" s="125">
        <f>Tabela1[[#This Row],[Pós Magnésio mg/dL]]</f>
        <v>2.1</v>
      </c>
      <c r="BB295" s="85">
        <f>Tabela1[[#This Row],[Pré Cloro mmol/L]]</f>
        <v>84</v>
      </c>
      <c r="BC295" s="85">
        <f>Tabela1[[#This Row],[Pós Cloro mmol/L]]</f>
        <v>99</v>
      </c>
      <c r="BD29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300.49722222222221</v>
      </c>
      <c r="BE29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305.57544444444449</v>
      </c>
      <c r="BF295" s="194" t="str">
        <f>Tabela1[[#This Row],[Pré RBC 10^6/mm³]]</f>
        <v>-</v>
      </c>
      <c r="BG295" s="125" t="str">
        <f>Tabela1[[#This Row],[Pós RBC 10^6/mm³]]</f>
        <v>-</v>
      </c>
      <c r="BH295" s="125">
        <f>Tabela1[[#This Row],[Pré HGB g/dL]]</f>
        <v>13.6</v>
      </c>
      <c r="BI295" s="125">
        <f>Tabela1[[#This Row],[Pós HGB g/dL]]</f>
        <v>13.7</v>
      </c>
      <c r="BJ295" s="125">
        <f>Tabela1[[#This Row],[Pré HCT %]]</f>
        <v>41.4</v>
      </c>
      <c r="BK295" s="125">
        <f>Tabela1[[#This Row],[Pós HCT %]]</f>
        <v>41.1</v>
      </c>
      <c r="BL295" s="125">
        <f>Tabela1[[#This Row],[Pré MCV fL]]</f>
        <v>81.2</v>
      </c>
      <c r="BM295" s="125">
        <f>Tabela1[[#This Row],[Pós MCV fL]]</f>
        <v>82.4</v>
      </c>
      <c r="BN295" s="125">
        <f>Tabela1[[#This Row],[Pré MCH pg]]</f>
        <v>26.7</v>
      </c>
      <c r="BO295" s="125">
        <f>Tabela1[[#This Row],[Pós MCH pg]]</f>
        <v>27.3</v>
      </c>
      <c r="BP295" s="125">
        <f>Tabela1[[#This Row],[Pré MCHC g/dL]]</f>
        <v>32.799999999999997</v>
      </c>
      <c r="BQ295" s="125">
        <f>Tabela1[[#This Row],[Pós MCHC g/dL]]</f>
        <v>33.200000000000003</v>
      </c>
      <c r="BR295" s="85">
        <f>Tabela1[[#This Row],[Pré PLT 10³/mm³]]</f>
        <v>448</v>
      </c>
      <c r="BS295" s="85">
        <f>Tabela1[[#This Row],[Pós PLT 10³/mm³]]</f>
        <v>425</v>
      </c>
      <c r="BT295" s="125">
        <f>Tabela1[[#This Row],[Pré RDW %]]</f>
        <v>12.7</v>
      </c>
      <c r="BU295" s="125">
        <f>Tabela1[[#This Row],[Pós RDW %]]</f>
        <v>13.9</v>
      </c>
      <c r="BV295" s="179">
        <f>Tabela1[[#This Row],[Pré RET %]]</f>
        <v>1.08</v>
      </c>
      <c r="BW295" s="196">
        <f>Tabela1[[#This Row],[Pós RET %]]</f>
        <v>0.7</v>
      </c>
      <c r="BX295" s="197">
        <f>Tabela1[[#This Row],[Pré WBC 10³/mm³]]</f>
        <v>8.1999999999999993</v>
      </c>
      <c r="BY295" s="179">
        <f>Tabela1[[#This Row],[Pós WBC 10³/mm³]]</f>
        <v>9.35</v>
      </c>
      <c r="BZ295" s="125">
        <f>Tabela1[[#This Row],[Pré NEUT %]]</f>
        <v>67.599999999999994</v>
      </c>
      <c r="CA295" s="125">
        <f>Tabela1[[#This Row],[Pós NEUT %]]</f>
        <v>6.89</v>
      </c>
      <c r="CB295" s="125">
        <f>Tabela1[[#This Row],[Pré LINF %]]</f>
        <v>67.599999999999994</v>
      </c>
      <c r="CC295" s="125">
        <f>Tabela1[[#This Row],[Pós LINF %]]</f>
        <v>6.89</v>
      </c>
      <c r="CD295" s="125">
        <f>Tabela1[[#This Row],[Pré MONO %]]</f>
        <v>9.3000000000000007</v>
      </c>
      <c r="CE295" s="125">
        <f>Tabela1[[#This Row],[Pós MONO %]]</f>
        <v>0.79</v>
      </c>
      <c r="CF295" s="125">
        <f>Tabela1[[#This Row],[Pré EOS %]]</f>
        <v>1.2</v>
      </c>
      <c r="CG295" s="125">
        <f>Tabela1[[#This Row],[Pós EOS %]]</f>
        <v>0.03</v>
      </c>
      <c r="CH295" s="125">
        <f>Tabela1[[#This Row],[Pré BASO %]]</f>
        <v>0.4</v>
      </c>
      <c r="CI295" s="198">
        <f>Tabela1[[#This Row],[Pós BASO %]]</f>
        <v>0.06</v>
      </c>
      <c r="CJ295" s="199" t="str">
        <f t="shared" si="17"/>
        <v>SIM</v>
      </c>
      <c r="CK295" s="200" t="str">
        <f t="shared" si="18"/>
        <v>SIM</v>
      </c>
      <c r="CL295" s="194">
        <f t="shared" si="19"/>
        <v>70.071784999999991</v>
      </c>
      <c r="CM295" s="125">
        <f>Tabela1[[#This Row],[MCT KG]]</f>
        <v>81.849999999999994</v>
      </c>
      <c r="CN295" s="85">
        <f>Tabela1[[#This Row],[ESTATURA]]</f>
        <v>181</v>
      </c>
      <c r="CO295" s="85">
        <f>Tabela1[[#This Row],[vo2max estimado]]</f>
        <v>52.98</v>
      </c>
      <c r="CP295" s="85">
        <f>Tabela1[[#This Row],[Handgrip     Dominante]]</f>
        <v>60</v>
      </c>
      <c r="CQ295" s="85">
        <f>Tabela1[[#This Row],[Handgrip Contrário]]</f>
        <v>60</v>
      </c>
      <c r="CR295" s="281">
        <f>Tabela1[[#This Row],[% gordura]]</f>
        <v>14.39</v>
      </c>
    </row>
    <row r="296" spans="1:96" ht="15.75" customHeight="1">
      <c r="A296" s="279">
        <f>Tabela1[[#This Row],[Ano]]</f>
        <v>2022</v>
      </c>
      <c r="B296" s="181" t="str">
        <f>Tabela1[[#This Row],[Missão]]</f>
        <v>Marambaia</v>
      </c>
      <c r="C296" s="181">
        <f>Tabela1[[#This Row],[Aluno]]</f>
        <v>3247</v>
      </c>
      <c r="D296" s="181">
        <f>Tabela1[[#This Row],[Idade]]</f>
        <v>35</v>
      </c>
      <c r="E296" s="182">
        <f>Tabela1[[#This Row],[Peso Kg]]</f>
        <v>75</v>
      </c>
      <c r="F296" s="191">
        <f>Tabela1[[#This Row],[Cor da pele]]</f>
        <v>0</v>
      </c>
      <c r="G296" s="192" t="str">
        <f>Tabela1[[#This Row],[ACTN3]]</f>
        <v>RX</v>
      </c>
      <c r="H296" s="85" t="str">
        <f>Tabela1[[#This Row],[AGT]]</f>
        <v>MM</v>
      </c>
      <c r="I296" s="85" t="str">
        <f>Tabela1[[#This Row],[ECA]]</f>
        <v>ID</v>
      </c>
      <c r="J296" s="85" t="str">
        <f>Tabela1[[#This Row],[BDKRB2]]</f>
        <v>(+9, +9)</v>
      </c>
      <c r="K296" s="85">
        <f>Tabela1[[#This Row],[Score Força%]]</f>
        <v>50</v>
      </c>
      <c r="L296" s="193">
        <f>Tabela1[[#This Row],[Score Resistência %]]</f>
        <v>50</v>
      </c>
      <c r="M296" s="192">
        <f>Tabela1[[#This Row],[Pré CK (U/L)]]</f>
        <v>289</v>
      </c>
      <c r="N296" s="85">
        <f>Tabela1[[#This Row],[Pós CK (U/L)]]</f>
        <v>1402</v>
      </c>
      <c r="O296" s="85" t="str">
        <f>Tabela1[[#This Row],[Pré CK MB U/L]]</f>
        <v>-</v>
      </c>
      <c r="P296" s="85" t="str">
        <f>Tabela1[[#This Row],[Pós CK MB U/L]]</f>
        <v>-</v>
      </c>
      <c r="Q296" s="85">
        <f>Tabela1[[#This Row],[Pré Lactato (mmol/L)]]</f>
        <v>2.2000000000000002</v>
      </c>
      <c r="R296" s="85">
        <f>Tabela1[[#This Row],[Pós Lactato (mmol/L)]]</f>
        <v>2.1</v>
      </c>
      <c r="S296" s="85">
        <f>Tabela1[[#This Row],[Pré LDH (U/L)]]</f>
        <v>280</v>
      </c>
      <c r="T296" s="85">
        <f>Tabela1[[#This Row],[Pós LDH (U/L)]]</f>
        <v>407</v>
      </c>
      <c r="U296" s="85">
        <f>Tabela1[[#This Row],[Pré AST (U/L)]]</f>
        <v>88</v>
      </c>
      <c r="V296" s="193">
        <f>Tabela1[[#This Row],[Pós AST (U/L)]]</f>
        <v>122</v>
      </c>
      <c r="W296" s="194" t="str">
        <f>Tabela1[[#This Row],[Pré Albumina (g/dL)]]</f>
        <v>-</v>
      </c>
      <c r="X296" s="125" t="str">
        <f>Tabela1[[#This Row],[Pós Albumina (g/dL)]]</f>
        <v>-</v>
      </c>
      <c r="Y296" s="85" t="str">
        <f>Tabela1[[#This Row],[Pré TGP (g/dL)]]</f>
        <v>-</v>
      </c>
      <c r="Z296" s="85" t="str">
        <f>Tabela1[[#This Row],[Pós TGP (g/dL)]]</f>
        <v>-</v>
      </c>
      <c r="AA296" s="85" t="str">
        <f>Tabela1[[#This Row],[Pré GGT U/L]]</f>
        <v>-</v>
      </c>
      <c r="AB296" s="193" t="str">
        <f>Tabela1[[#This Row],[Pós GGT U/L]]</f>
        <v>-</v>
      </c>
      <c r="AC296" s="194">
        <f>Tabela1[[#This Row],[Pré Ac. Úrico (mg/dL)]]</f>
        <v>4.7</v>
      </c>
      <c r="AD296" s="125">
        <f>Tabela1[[#This Row],[Pós Ac. Úrico (mg/dL)2]]</f>
        <v>4.5999999999999996</v>
      </c>
      <c r="AE29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29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296" s="85">
        <f>Tabela1[[#This Row],[Pré Ureia mg/dL]]</f>
        <v>61</v>
      </c>
      <c r="AH296" s="85">
        <f>Tabela1[[#This Row],[Pós Ureia mg/dL]]</f>
        <v>63</v>
      </c>
      <c r="AI296" s="125">
        <f>Tabela1[[#This Row],[Pré creatinina mg/dL]]</f>
        <v>1.1000000000000001</v>
      </c>
      <c r="AJ296" s="125">
        <f>Tabela1[[#This Row],[Pós creatinina mg/dL]]</f>
        <v>1.2</v>
      </c>
      <c r="AK296" s="180">
        <f t="shared" si="16"/>
        <v>9.9999999999999867E-2</v>
      </c>
      <c r="AL296" s="125">
        <f>Tabela1[[#This Row],[Pré Fósforo mg/dL]]</f>
        <v>5</v>
      </c>
      <c r="AM296" s="125">
        <f>Tabela1[[#This Row],[Pós Fósforo mg/dL]]</f>
        <v>4.9000000000000004</v>
      </c>
      <c r="AN296" s="125">
        <f>Tabela1[[#This Row],[Pré Proteína Total (g/dL)]]</f>
        <v>6.9</v>
      </c>
      <c r="AO296" s="125">
        <f>Tabela1[[#This Row],[Pós Proteína Total (g/dL)]]</f>
        <v>7.1</v>
      </c>
      <c r="AP296" s="85">
        <f>Tabela1[[#This Row],[Pré FE (ug/dL)]]</f>
        <v>95</v>
      </c>
      <c r="AQ296" s="193">
        <f>Tabela1[[#This Row],[Pós FE (ug/dL)]]</f>
        <v>79</v>
      </c>
      <c r="AR296" s="194">
        <f>Tabela1[[#This Row],[Pré calcio mg/dL]]</f>
        <v>13.5</v>
      </c>
      <c r="AS296" s="125">
        <f>Tabela1[[#This Row],[Pós calcio mg/dL]]</f>
        <v>9</v>
      </c>
      <c r="AT296" s="125">
        <f>Tabela1[[#This Row],[Pré Potássio mmol/L]]</f>
        <v>4.5999999999999996</v>
      </c>
      <c r="AU296" s="125">
        <f>Tabela1[[#This Row],[Pós Potássio mmol/L]]</f>
        <v>4.7</v>
      </c>
      <c r="AV296" s="85">
        <f>Tabela1[[#This Row],[Glicose pré]]</f>
        <v>92</v>
      </c>
      <c r="AW296" s="85">
        <f>Tabela1[[#This Row],[Glicose pós]]</f>
        <v>104</v>
      </c>
      <c r="AX296" s="85">
        <f>Tabela1[[#This Row],[Pré Sódio mmol/L]]</f>
        <v>142</v>
      </c>
      <c r="AY296" s="85">
        <f>Tabela1[[#This Row],[Pós Sódio mmol/L]]</f>
        <v>143</v>
      </c>
      <c r="AZ296" s="125">
        <f>Tabela1[[#This Row],[Pré Magnésio mg/dL]]</f>
        <v>2.4</v>
      </c>
      <c r="BA296" s="125">
        <f>Tabela1[[#This Row],[Pós Magnésio mg/dL]]</f>
        <v>1.8</v>
      </c>
      <c r="BB296" s="85">
        <f>Tabela1[[#This Row],[Pré Cloro mmol/L]]</f>
        <v>126</v>
      </c>
      <c r="BC296" s="85">
        <f>Tabela1[[#This Row],[Pós Cloro mmol/L]]</f>
        <v>88</v>
      </c>
      <c r="BD29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302.72044444444447</v>
      </c>
      <c r="BE29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305.86644444444443</v>
      </c>
      <c r="BF296" s="194" t="str">
        <f>Tabela1[[#This Row],[Pré RBC 10^6/mm³]]</f>
        <v>-</v>
      </c>
      <c r="BG296" s="125" t="str">
        <f>Tabela1[[#This Row],[Pós RBC 10^6/mm³]]</f>
        <v>-</v>
      </c>
      <c r="BH296" s="125">
        <f>Tabela1[[#This Row],[Pré HGB g/dL]]</f>
        <v>15.5</v>
      </c>
      <c r="BI296" s="125">
        <f>Tabela1[[#This Row],[Pós HGB g/dL]]</f>
        <v>15.4</v>
      </c>
      <c r="BJ296" s="125">
        <f>Tabela1[[#This Row],[Pré HCT %]]</f>
        <v>47.5</v>
      </c>
      <c r="BK296" s="125">
        <f>Tabela1[[#This Row],[Pós HCT %]]</f>
        <v>46.7</v>
      </c>
      <c r="BL296" s="125">
        <f>Tabela1[[#This Row],[Pré MCV fL]]</f>
        <v>91.9</v>
      </c>
      <c r="BM296" s="125">
        <f>Tabela1[[#This Row],[Pós MCV fL]]</f>
        <v>91.6</v>
      </c>
      <c r="BN296" s="125">
        <f>Tabela1[[#This Row],[Pré MCH pg]]</f>
        <v>29.9</v>
      </c>
      <c r="BO296" s="125">
        <f>Tabela1[[#This Row],[Pós MCH pg]]</f>
        <v>30.1</v>
      </c>
      <c r="BP296" s="125">
        <f>Tabela1[[#This Row],[Pré MCHC g/dL]]</f>
        <v>32.6</v>
      </c>
      <c r="BQ296" s="125">
        <f>Tabela1[[#This Row],[Pós MCHC g/dL]]</f>
        <v>32.9</v>
      </c>
      <c r="BR296" s="85">
        <f>Tabela1[[#This Row],[Pré PLT 10³/mm³]]</f>
        <v>235</v>
      </c>
      <c r="BS296" s="85">
        <f>Tabela1[[#This Row],[Pós PLT 10³/mm³]]</f>
        <v>217</v>
      </c>
      <c r="BT296" s="125">
        <f>Tabela1[[#This Row],[Pré RDW %]]</f>
        <v>14.7</v>
      </c>
      <c r="BU296" s="125">
        <f>Tabela1[[#This Row],[Pós RDW %]]</f>
        <v>15.3</v>
      </c>
      <c r="BV296" s="179">
        <f>Tabela1[[#This Row],[Pré RET %]]</f>
        <v>1.05</v>
      </c>
      <c r="BW296" s="196">
        <f>Tabela1[[#This Row],[Pós RET %]]</f>
        <v>1</v>
      </c>
      <c r="BX296" s="197">
        <f>Tabela1[[#This Row],[Pré WBC 10³/mm³]]</f>
        <v>9.17</v>
      </c>
      <c r="BY296" s="179">
        <f>Tabela1[[#This Row],[Pós WBC 10³/mm³]]</f>
        <v>13.16</v>
      </c>
      <c r="BZ296" s="125">
        <f>Tabela1[[#This Row],[Pré NEUT %]]</f>
        <v>55.7</v>
      </c>
      <c r="CA296" s="125">
        <f>Tabela1[[#This Row],[Pós NEUT %]]</f>
        <v>10.130000000000001</v>
      </c>
      <c r="CB296" s="125">
        <f>Tabela1[[#This Row],[Pré LINF %]]</f>
        <v>55.7</v>
      </c>
      <c r="CC296" s="125">
        <f>Tabela1[[#This Row],[Pós LINF %]]</f>
        <v>10.130000000000001</v>
      </c>
      <c r="CD296" s="125">
        <f>Tabela1[[#This Row],[Pré MONO %]]</f>
        <v>9.9</v>
      </c>
      <c r="CE296" s="125">
        <f>Tabela1[[#This Row],[Pós MONO %]]</f>
        <v>1</v>
      </c>
      <c r="CF296" s="125">
        <f>Tabela1[[#This Row],[Pré EOS %]]</f>
        <v>1.2</v>
      </c>
      <c r="CG296" s="125">
        <f>Tabela1[[#This Row],[Pós EOS %]]</f>
        <v>0.02</v>
      </c>
      <c r="CH296" s="125">
        <f>Tabela1[[#This Row],[Pré BASO %]]</f>
        <v>0.9</v>
      </c>
      <c r="CI296" s="198">
        <f>Tabela1[[#This Row],[Pós BASO %]]</f>
        <v>7.0000000000000007E-2</v>
      </c>
      <c r="CJ296" s="199" t="str">
        <f t="shared" si="17"/>
        <v>NÃO</v>
      </c>
      <c r="CK296" s="200" t="str">
        <f t="shared" si="18"/>
        <v>SIM</v>
      </c>
      <c r="CL296" s="194">
        <f t="shared" si="19"/>
        <v>65.962705</v>
      </c>
      <c r="CM296" s="125">
        <f>Tabela1[[#This Row],[MCT KG]]</f>
        <v>75.55</v>
      </c>
      <c r="CN296" s="85">
        <f>Tabela1[[#This Row],[ESTATURA]]</f>
        <v>177.5</v>
      </c>
      <c r="CO296" s="85">
        <f>Tabela1[[#This Row],[vo2max estimado]]</f>
        <v>50.61</v>
      </c>
      <c r="CP296" s="85">
        <f>Tabela1[[#This Row],[Handgrip     Dominante]]</f>
        <v>56</v>
      </c>
      <c r="CQ296" s="85">
        <f>Tabela1[[#This Row],[Handgrip Contrário]]</f>
        <v>50</v>
      </c>
      <c r="CR296" s="281">
        <f>Tabela1[[#This Row],[% gordura]]</f>
        <v>12.69</v>
      </c>
    </row>
    <row r="297" spans="1:96" ht="15.75" customHeight="1">
      <c r="A297" s="279">
        <f>Tabela1[[#This Row],[Ano]]</f>
        <v>2022</v>
      </c>
      <c r="B297" s="181" t="str">
        <f>Tabela1[[#This Row],[Missão]]</f>
        <v>Marambaia</v>
      </c>
      <c r="C297" s="181">
        <f>Tabela1[[#This Row],[Aluno]]</f>
        <v>3248</v>
      </c>
      <c r="D297" s="181">
        <f>Tabela1[[#This Row],[Idade]]</f>
        <v>31</v>
      </c>
      <c r="E297" s="182">
        <f>Tabela1[[#This Row],[Peso Kg]]</f>
        <v>0</v>
      </c>
      <c r="F297" s="191">
        <f>Tabela1[[#This Row],[Cor da pele]]</f>
        <v>0</v>
      </c>
      <c r="G297" s="192" t="str">
        <f>Tabela1[[#This Row],[ACTN3]]</f>
        <v>XX</v>
      </c>
      <c r="H297" s="85" t="str">
        <f>Tabela1[[#This Row],[AGT]]</f>
        <v>MT</v>
      </c>
      <c r="I297" s="85" t="str">
        <f>Tabela1[[#This Row],[ECA]]</f>
        <v>ID</v>
      </c>
      <c r="J297" s="85" t="str">
        <f>Tabela1[[#This Row],[BDKRB2]]</f>
        <v>(+9, +9)</v>
      </c>
      <c r="K297" s="85">
        <f>Tabela1[[#This Row],[Score Força%]]</f>
        <v>50</v>
      </c>
      <c r="L297" s="193">
        <f>Tabela1[[#This Row],[Score Resistência %]]</f>
        <v>50</v>
      </c>
      <c r="M297" s="192">
        <f>Tabela1[[#This Row],[Pré CK (U/L)]]</f>
        <v>640</v>
      </c>
      <c r="N297" s="85">
        <f>Tabela1[[#This Row],[Pós CK (U/L)]]</f>
        <v>1044</v>
      </c>
      <c r="O297" s="85" t="str">
        <f>Tabela1[[#This Row],[Pré CK MB U/L]]</f>
        <v>-</v>
      </c>
      <c r="P297" s="85" t="str">
        <f>Tabela1[[#This Row],[Pós CK MB U/L]]</f>
        <v>-</v>
      </c>
      <c r="Q297" s="85">
        <f>Tabela1[[#This Row],[Pré Lactato (mmol/L)]]</f>
        <v>2.2000000000000002</v>
      </c>
      <c r="R297" s="85">
        <f>Tabela1[[#This Row],[Pós Lactato (mmol/L)]]</f>
        <v>2.6</v>
      </c>
      <c r="S297" s="85">
        <f>Tabela1[[#This Row],[Pré LDH (U/L)]]</f>
        <v>386</v>
      </c>
      <c r="T297" s="85">
        <f>Tabela1[[#This Row],[Pós LDH (U/L)]]</f>
        <v>391</v>
      </c>
      <c r="U297" s="85">
        <f>Tabela1[[#This Row],[Pré AST (U/L)]]</f>
        <v>105</v>
      </c>
      <c r="V297" s="193">
        <f>Tabela1[[#This Row],[Pós AST (U/L)]]</f>
        <v>127</v>
      </c>
      <c r="W297" s="194" t="str">
        <f>Tabela1[[#This Row],[Pré Albumina (g/dL)]]</f>
        <v>-</v>
      </c>
      <c r="X297" s="125" t="str">
        <f>Tabela1[[#This Row],[Pós Albumina (g/dL)]]</f>
        <v>-</v>
      </c>
      <c r="Y297" s="85" t="str">
        <f>Tabela1[[#This Row],[Pré TGP (g/dL)]]</f>
        <v>-</v>
      </c>
      <c r="Z297" s="85" t="str">
        <f>Tabela1[[#This Row],[Pós TGP (g/dL)]]</f>
        <v>-</v>
      </c>
      <c r="AA297" s="85" t="str">
        <f>Tabela1[[#This Row],[Pré GGT U/L]]</f>
        <v>-</v>
      </c>
      <c r="AB297" s="193" t="str">
        <f>Tabela1[[#This Row],[Pós GGT U/L]]</f>
        <v>-</v>
      </c>
      <c r="AC297" s="194">
        <f>Tabela1[[#This Row],[Pré Ac. Úrico (mg/dL)]]</f>
        <v>4.9000000000000004</v>
      </c>
      <c r="AD297" s="125">
        <f>Tabela1[[#This Row],[Pós Ac. Úrico (mg/dL)2]]</f>
        <v>6.5</v>
      </c>
      <c r="AE29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9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297" s="85">
        <f>Tabela1[[#This Row],[Pré Ureia mg/dL]]</f>
        <v>61</v>
      </c>
      <c r="AH297" s="85">
        <f>Tabela1[[#This Row],[Pós Ureia mg/dL]]</f>
        <v>67</v>
      </c>
      <c r="AI297" s="125">
        <f>Tabela1[[#This Row],[Pré creatinina mg/dL]]</f>
        <v>0.9</v>
      </c>
      <c r="AJ297" s="125">
        <f>Tabela1[[#This Row],[Pós creatinina mg/dL]]</f>
        <v>1.1000000000000001</v>
      </c>
      <c r="AK297" s="180">
        <f t="shared" si="16"/>
        <v>0.20000000000000007</v>
      </c>
      <c r="AL297" s="125">
        <f>Tabela1[[#This Row],[Pré Fósforo mg/dL]]</f>
        <v>3.9</v>
      </c>
      <c r="AM297" s="125">
        <f>Tabela1[[#This Row],[Pós Fósforo mg/dL]]</f>
        <v>5.3</v>
      </c>
      <c r="AN297" s="125">
        <f>Tabela1[[#This Row],[Pré Proteína Total (g/dL)]]</f>
        <v>7.6</v>
      </c>
      <c r="AO297" s="125">
        <f>Tabela1[[#This Row],[Pós Proteína Total (g/dL)]]</f>
        <v>7.5</v>
      </c>
      <c r="AP297" s="85">
        <f>Tabela1[[#This Row],[Pré FE (ug/dL)]]</f>
        <v>123</v>
      </c>
      <c r="AQ297" s="193">
        <f>Tabela1[[#This Row],[Pós FE (ug/dL)]]</f>
        <v>20</v>
      </c>
      <c r="AR297" s="194">
        <f>Tabela1[[#This Row],[Pré calcio mg/dL]]</f>
        <v>11.5</v>
      </c>
      <c r="AS297" s="125">
        <f>Tabela1[[#This Row],[Pós calcio mg/dL]]</f>
        <v>13.2</v>
      </c>
      <c r="AT297" s="125">
        <f>Tabela1[[#This Row],[Pré Potássio mmol/L]]</f>
        <v>5.0999999999999996</v>
      </c>
      <c r="AU297" s="125">
        <f>Tabela1[[#This Row],[Pós Potássio mmol/L]]</f>
        <v>4.9000000000000004</v>
      </c>
      <c r="AV297" s="85">
        <f>Tabela1[[#This Row],[Glicose pré]]</f>
        <v>106</v>
      </c>
      <c r="AW297" s="85">
        <f>Tabela1[[#This Row],[Glicose pós]]</f>
        <v>114</v>
      </c>
      <c r="AX297" s="85">
        <f>Tabela1[[#This Row],[Pré Sódio mmol/L]]</f>
        <v>140</v>
      </c>
      <c r="AY297" s="85">
        <f>Tabela1[[#This Row],[Pós Sódio mmol/L]]</f>
        <v>143</v>
      </c>
      <c r="AZ297" s="125">
        <f>Tabela1[[#This Row],[Pré Magnésio mg/dL]]</f>
        <v>2.1</v>
      </c>
      <c r="BA297" s="125">
        <f>Tabela1[[#This Row],[Pós Magnésio mg/dL]]</f>
        <v>2.5</v>
      </c>
      <c r="BB297" s="85">
        <f>Tabela1[[#This Row],[Pré Cloro mmol/L]]</f>
        <v>105</v>
      </c>
      <c r="BC297" s="85">
        <f>Tabela1[[#This Row],[Pós Cloro mmol/L]]</f>
        <v>118</v>
      </c>
      <c r="BD29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300.82488888888895</v>
      </c>
      <c r="BE29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307.5440000000001</v>
      </c>
      <c r="BF297" s="194" t="str">
        <f>Tabela1[[#This Row],[Pré RBC 10^6/mm³]]</f>
        <v>-</v>
      </c>
      <c r="BG297" s="125" t="str">
        <f>Tabela1[[#This Row],[Pós RBC 10^6/mm³]]</f>
        <v>-</v>
      </c>
      <c r="BH297" s="125">
        <f>Tabela1[[#This Row],[Pré HGB g/dL]]</f>
        <v>15.5</v>
      </c>
      <c r="BI297" s="125">
        <f>Tabela1[[#This Row],[Pós HGB g/dL]]</f>
        <v>14.9</v>
      </c>
      <c r="BJ297" s="125">
        <f>Tabela1[[#This Row],[Pré HCT %]]</f>
        <v>48.2</v>
      </c>
      <c r="BK297" s="125">
        <f>Tabela1[[#This Row],[Pós HCT %]]</f>
        <v>44.7</v>
      </c>
      <c r="BL297" s="125">
        <f>Tabela1[[#This Row],[Pré MCV fL]]</f>
        <v>94.6</v>
      </c>
      <c r="BM297" s="125">
        <f>Tabela1[[#This Row],[Pós MCV fL]]</f>
        <v>93.2</v>
      </c>
      <c r="BN297" s="125">
        <f>Tabela1[[#This Row],[Pré MCH pg]]</f>
        <v>30.4</v>
      </c>
      <c r="BO297" s="125">
        <f>Tabela1[[#This Row],[Pós MCH pg]]</f>
        <v>31</v>
      </c>
      <c r="BP297" s="125">
        <f>Tabela1[[#This Row],[Pré MCHC g/dL]]</f>
        <v>32.200000000000003</v>
      </c>
      <c r="BQ297" s="125">
        <f>Tabela1[[#This Row],[Pós MCHC g/dL]]</f>
        <v>33.299999999999997</v>
      </c>
      <c r="BR297" s="85">
        <f>Tabela1[[#This Row],[Pré PLT 10³/mm³]]</f>
        <v>248</v>
      </c>
      <c r="BS297" s="85">
        <f>Tabela1[[#This Row],[Pós PLT 10³/mm³]]</f>
        <v>251</v>
      </c>
      <c r="BT297" s="125">
        <f>Tabela1[[#This Row],[Pré RDW %]]</f>
        <v>12.9</v>
      </c>
      <c r="BU297" s="125">
        <f>Tabela1[[#This Row],[Pós RDW %]]</f>
        <v>13.6</v>
      </c>
      <c r="BV297" s="179">
        <f>Tabela1[[#This Row],[Pré RET %]]</f>
        <v>0.57999999999999996</v>
      </c>
      <c r="BW297" s="196">
        <f>Tabela1[[#This Row],[Pós RET %]]</f>
        <v>0.59</v>
      </c>
      <c r="BX297" s="197">
        <f>Tabela1[[#This Row],[Pré WBC 10³/mm³]]</f>
        <v>7.25</v>
      </c>
      <c r="BY297" s="179">
        <f>Tabela1[[#This Row],[Pós WBC 10³/mm³]]</f>
        <v>7.63</v>
      </c>
      <c r="BZ297" s="125">
        <f>Tabela1[[#This Row],[Pré NEUT %]]</f>
        <v>58.9</v>
      </c>
      <c r="CA297" s="125">
        <f>Tabela1[[#This Row],[Pós NEUT %]]</f>
        <v>5.43</v>
      </c>
      <c r="CB297" s="125">
        <f>Tabela1[[#This Row],[Pré LINF %]]</f>
        <v>58.9</v>
      </c>
      <c r="CC297" s="125">
        <f>Tabela1[[#This Row],[Pós LINF %]]</f>
        <v>5.43</v>
      </c>
      <c r="CD297" s="125">
        <f>Tabela1[[#This Row],[Pré MONO %]]</f>
        <v>11.3</v>
      </c>
      <c r="CE297" s="125">
        <f>Tabela1[[#This Row],[Pós MONO %]]</f>
        <v>0.71</v>
      </c>
      <c r="CF297" s="125">
        <f>Tabela1[[#This Row],[Pré EOS %]]</f>
        <v>1.9</v>
      </c>
      <c r="CG297" s="125">
        <f>Tabela1[[#This Row],[Pós EOS %]]</f>
        <v>0.04</v>
      </c>
      <c r="CH297" s="125">
        <f>Tabela1[[#This Row],[Pré BASO %]]</f>
        <v>0.5</v>
      </c>
      <c r="CI297" s="198">
        <f>Tabela1[[#This Row],[Pós BASO %]]</f>
        <v>0.04</v>
      </c>
      <c r="CJ297" s="199" t="str">
        <f t="shared" si="17"/>
        <v>NÃO</v>
      </c>
      <c r="CK297" s="200" t="str">
        <f t="shared" si="18"/>
        <v>SIM</v>
      </c>
      <c r="CL297" s="194">
        <f t="shared" si="19"/>
        <v>71.403599999999997</v>
      </c>
      <c r="CM297" s="125">
        <f>Tabela1[[#This Row],[MCT KG]]</f>
        <v>78.5</v>
      </c>
      <c r="CN297" s="85">
        <f>Tabela1[[#This Row],[ESTATURA]]</f>
        <v>173.5</v>
      </c>
      <c r="CO297" s="85">
        <f>Tabela1[[#This Row],[vo2max estimado]]</f>
        <v>51.8</v>
      </c>
      <c r="CP297" s="85">
        <f>Tabela1[[#This Row],[Handgrip     Dominante]]</f>
        <v>57</v>
      </c>
      <c r="CQ297" s="85">
        <f>Tabela1[[#This Row],[Handgrip Contrário]]</f>
        <v>60</v>
      </c>
      <c r="CR297" s="281">
        <f>Tabela1[[#This Row],[% gordura]]</f>
        <v>9.0399999999999991</v>
      </c>
    </row>
    <row r="298" spans="1:96" ht="15.75" customHeight="1">
      <c r="A298" s="279">
        <f>Tabela1[[#This Row],[Ano]]</f>
        <v>2022</v>
      </c>
      <c r="B298" s="181" t="str">
        <f>Tabela1[[#This Row],[Missão]]</f>
        <v>Marambaia</v>
      </c>
      <c r="C298" s="181">
        <f>Tabela1[[#This Row],[Aluno]]</f>
        <v>3249</v>
      </c>
      <c r="D298" s="181">
        <f>Tabela1[[#This Row],[Idade]]</f>
        <v>32</v>
      </c>
      <c r="E298" s="182">
        <f>Tabela1[[#This Row],[Peso Kg]]</f>
        <v>86</v>
      </c>
      <c r="F298" s="191">
        <f>Tabela1[[#This Row],[Cor da pele]]</f>
        <v>0</v>
      </c>
      <c r="G298" s="192" t="str">
        <f>Tabela1[[#This Row],[ACTN3]]</f>
        <v>RR</v>
      </c>
      <c r="H298" s="85" t="str">
        <f>Tabela1[[#This Row],[AGT]]</f>
        <v>TT</v>
      </c>
      <c r="I298" s="85" t="str">
        <f>Tabela1[[#This Row],[ECA]]</f>
        <v>ID</v>
      </c>
      <c r="J298" s="85" t="str">
        <f>Tabela1[[#This Row],[BDKRB2]]</f>
        <v>(+9, +9)</v>
      </c>
      <c r="K298" s="85">
        <f>Tabela1[[#This Row],[Score Força%]]</f>
        <v>87.5</v>
      </c>
      <c r="L298" s="193">
        <f>Tabela1[[#This Row],[Score Resistência %]]</f>
        <v>12.5</v>
      </c>
      <c r="M298" s="192">
        <f>Tabela1[[#This Row],[Pré CK (U/L)]]</f>
        <v>659</v>
      </c>
      <c r="N298" s="85">
        <f>Tabela1[[#This Row],[Pós CK (U/L)]]</f>
        <v>11779</v>
      </c>
      <c r="O298" s="85" t="str">
        <f>Tabela1[[#This Row],[Pré CK MB U/L]]</f>
        <v>-</v>
      </c>
      <c r="P298" s="85" t="str">
        <f>Tabela1[[#This Row],[Pós CK MB U/L]]</f>
        <v>-</v>
      </c>
      <c r="Q298" s="85">
        <f>Tabela1[[#This Row],[Pré Lactato (mmol/L)]]</f>
        <v>2.8</v>
      </c>
      <c r="R298" s="85">
        <f>Tabela1[[#This Row],[Pós Lactato (mmol/L)]]</f>
        <v>2.7</v>
      </c>
      <c r="S298" s="85">
        <f>Tabela1[[#This Row],[Pré LDH (U/L)]]</f>
        <v>333</v>
      </c>
      <c r="T298" s="85">
        <f>Tabela1[[#This Row],[Pós LDH (U/L)]]</f>
        <v>713</v>
      </c>
      <c r="U298" s="85">
        <f>Tabela1[[#This Row],[Pré AST (U/L)]]</f>
        <v>57</v>
      </c>
      <c r="V298" s="193">
        <f>Tabela1[[#This Row],[Pós AST (U/L)]]</f>
        <v>297</v>
      </c>
      <c r="W298" s="194" t="str">
        <f>Tabela1[[#This Row],[Pré Albumina (g/dL)]]</f>
        <v>-</v>
      </c>
      <c r="X298" s="125" t="str">
        <f>Tabela1[[#This Row],[Pós Albumina (g/dL)]]</f>
        <v>-</v>
      </c>
      <c r="Y298" s="85" t="str">
        <f>Tabela1[[#This Row],[Pré TGP (g/dL)]]</f>
        <v>-</v>
      </c>
      <c r="Z298" s="85" t="str">
        <f>Tabela1[[#This Row],[Pós TGP (g/dL)]]</f>
        <v>-</v>
      </c>
      <c r="AA298" s="85" t="str">
        <f>Tabela1[[#This Row],[Pré GGT U/L]]</f>
        <v>-</v>
      </c>
      <c r="AB298" s="193" t="str">
        <f>Tabela1[[#This Row],[Pós GGT U/L]]</f>
        <v>-</v>
      </c>
      <c r="AC298" s="194">
        <f>Tabela1[[#This Row],[Pré Ac. Úrico (mg/dL)]]</f>
        <v>5.9</v>
      </c>
      <c r="AD298" s="125">
        <f>Tabela1[[#This Row],[Pós Ac. Úrico (mg/dL)2]]</f>
        <v>8.1999999999999993</v>
      </c>
      <c r="AE29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29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298" s="85">
        <f>Tabela1[[#This Row],[Pré Ureia mg/dL]]</f>
        <v>57</v>
      </c>
      <c r="AH298" s="85">
        <f>Tabela1[[#This Row],[Pós Ureia mg/dL]]</f>
        <v>87</v>
      </c>
      <c r="AI298" s="125">
        <f>Tabela1[[#This Row],[Pré creatinina mg/dL]]</f>
        <v>1</v>
      </c>
      <c r="AJ298" s="125">
        <f>Tabela1[[#This Row],[Pós creatinina mg/dL]]</f>
        <v>1.2</v>
      </c>
      <c r="AK298" s="180">
        <f t="shared" si="16"/>
        <v>0.19999999999999996</v>
      </c>
      <c r="AL298" s="125">
        <f>Tabela1[[#This Row],[Pré Fósforo mg/dL]]</f>
        <v>3.5</v>
      </c>
      <c r="AM298" s="125">
        <f>Tabela1[[#This Row],[Pós Fósforo mg/dL]]</f>
        <v>6.1</v>
      </c>
      <c r="AN298" s="125">
        <f>Tabela1[[#This Row],[Pré Proteína Total (g/dL)]]</f>
        <v>7.1</v>
      </c>
      <c r="AO298" s="125">
        <f>Tabela1[[#This Row],[Pós Proteína Total (g/dL)]]</f>
        <v>7.1</v>
      </c>
      <c r="AP298" s="85">
        <f>Tabela1[[#This Row],[Pré FE (ug/dL)]]</f>
        <v>110</v>
      </c>
      <c r="AQ298" s="193">
        <f>Tabela1[[#This Row],[Pós FE (ug/dL)]]</f>
        <v>10</v>
      </c>
      <c r="AR298" s="194">
        <f>Tabela1[[#This Row],[Pré calcio mg/dL]]</f>
        <v>13.6</v>
      </c>
      <c r="AS298" s="125">
        <f>Tabela1[[#This Row],[Pós calcio mg/dL]]</f>
        <v>11.1</v>
      </c>
      <c r="AT298" s="125">
        <f>Tabela1[[#This Row],[Pré Potássio mmol/L]]</f>
        <v>4</v>
      </c>
      <c r="AU298" s="125">
        <f>Tabela1[[#This Row],[Pós Potássio mmol/L]]</f>
        <v>4.5</v>
      </c>
      <c r="AV298" s="85">
        <f>Tabela1[[#This Row],[Glicose pré]]</f>
        <v>107</v>
      </c>
      <c r="AW298" s="85">
        <f>Tabela1[[#This Row],[Glicose pós]]</f>
        <v>101</v>
      </c>
      <c r="AX298" s="85">
        <f>Tabela1[[#This Row],[Pré Sódio mmol/L]]</f>
        <v>140</v>
      </c>
      <c r="AY298" s="85">
        <f>Tabela1[[#This Row],[Pós Sódio mmol/L]]</f>
        <v>144</v>
      </c>
      <c r="AZ298" s="125">
        <f>Tabela1[[#This Row],[Pré Magnésio mg/dL]]</f>
        <v>2.8</v>
      </c>
      <c r="BA298" s="125">
        <f>Tabela1[[#This Row],[Pós Magnésio mg/dL]]</f>
        <v>2.4</v>
      </c>
      <c r="BB298" s="85">
        <f>Tabela1[[#This Row],[Pré Cloro mmol/L]]</f>
        <v>126</v>
      </c>
      <c r="BC298" s="85">
        <f>Tabela1[[#This Row],[Pós Cloro mmol/L]]</f>
        <v>102</v>
      </c>
      <c r="BD29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298.17611111111114</v>
      </c>
      <c r="BE29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311.16277777777782</v>
      </c>
      <c r="BF298" s="194" t="str">
        <f>Tabela1[[#This Row],[Pré RBC 10^6/mm³]]</f>
        <v>-</v>
      </c>
      <c r="BG298" s="125" t="str">
        <f>Tabela1[[#This Row],[Pós RBC 10^6/mm³]]</f>
        <v>-</v>
      </c>
      <c r="BH298" s="125">
        <f>Tabela1[[#This Row],[Pré HGB g/dL]]</f>
        <v>14.9</v>
      </c>
      <c r="BI298" s="125">
        <f>Tabela1[[#This Row],[Pós HGB g/dL]]</f>
        <v>13.9</v>
      </c>
      <c r="BJ298" s="125">
        <f>Tabela1[[#This Row],[Pré HCT %]]</f>
        <v>45.3</v>
      </c>
      <c r="BK298" s="125">
        <f>Tabela1[[#This Row],[Pós HCT %]]</f>
        <v>40.9</v>
      </c>
      <c r="BL298" s="125">
        <f>Tabela1[[#This Row],[Pré MCV fL]]</f>
        <v>93.4</v>
      </c>
      <c r="BM298" s="125">
        <f>Tabela1[[#This Row],[Pós MCV fL]]</f>
        <v>93.6</v>
      </c>
      <c r="BN298" s="125">
        <f>Tabela1[[#This Row],[Pré MCH pg]]</f>
        <v>30.6</v>
      </c>
      <c r="BO298" s="125">
        <f>Tabela1[[#This Row],[Pós MCH pg]]</f>
        <v>31.7</v>
      </c>
      <c r="BP298" s="125">
        <f>Tabela1[[#This Row],[Pré MCHC g/dL]]</f>
        <v>32.799999999999997</v>
      </c>
      <c r="BQ298" s="125">
        <f>Tabela1[[#This Row],[Pós MCHC g/dL]]</f>
        <v>33.9</v>
      </c>
      <c r="BR298" s="85">
        <f>Tabela1[[#This Row],[Pré PLT 10³/mm³]]</f>
        <v>295</v>
      </c>
      <c r="BS298" s="85">
        <f>Tabela1[[#This Row],[Pós PLT 10³/mm³]]</f>
        <v>304</v>
      </c>
      <c r="BT298" s="125">
        <f>Tabela1[[#This Row],[Pré RDW %]]</f>
        <v>13.3</v>
      </c>
      <c r="BU298" s="125">
        <f>Tabela1[[#This Row],[Pós RDW %]]</f>
        <v>14.5</v>
      </c>
      <c r="BV298" s="179">
        <f>Tabela1[[#This Row],[Pré RET %]]</f>
        <v>1.29</v>
      </c>
      <c r="BW298" s="196">
        <f>Tabela1[[#This Row],[Pós RET %]]</f>
        <v>0.97</v>
      </c>
      <c r="BX298" s="197">
        <f>Tabela1[[#This Row],[Pré WBC 10³/mm³]]</f>
        <v>9.5</v>
      </c>
      <c r="BY298" s="179">
        <f>Tabela1[[#This Row],[Pós WBC 10³/mm³]]</f>
        <v>13.29</v>
      </c>
      <c r="BZ298" s="125">
        <f>Tabela1[[#This Row],[Pré NEUT %]]</f>
        <v>8.6999999999999993</v>
      </c>
      <c r="CA298" s="125">
        <f>Tabela1[[#This Row],[Pós NEUT %]]</f>
        <v>10.7</v>
      </c>
      <c r="CB298" s="125">
        <f>Tabela1[[#This Row],[Pré LINF %]]</f>
        <v>8.6999999999999993</v>
      </c>
      <c r="CC298" s="125">
        <f>Tabela1[[#This Row],[Pós LINF %]]</f>
        <v>10.7</v>
      </c>
      <c r="CD298" s="125">
        <f>Tabela1[[#This Row],[Pré MONO %]]</f>
        <v>8.6999999999999993</v>
      </c>
      <c r="CE298" s="125">
        <f>Tabela1[[#This Row],[Pós MONO %]]</f>
        <v>1.25</v>
      </c>
      <c r="CF298" s="125">
        <f>Tabela1[[#This Row],[Pré EOS %]]</f>
        <v>2.1</v>
      </c>
      <c r="CG298" s="125">
        <f>Tabela1[[#This Row],[Pós EOS %]]</f>
        <v>0.02</v>
      </c>
      <c r="CH298" s="125">
        <f>Tabela1[[#This Row],[Pré BASO %]]</f>
        <v>0.2</v>
      </c>
      <c r="CI298" s="198">
        <f>Tabela1[[#This Row],[Pós BASO %]]</f>
        <v>0.03</v>
      </c>
      <c r="CJ298" s="199" t="str">
        <f t="shared" si="17"/>
        <v>NÃO</v>
      </c>
      <c r="CK298" s="200" t="str">
        <f t="shared" si="18"/>
        <v>SIM</v>
      </c>
      <c r="CL298" s="194">
        <f t="shared" si="19"/>
        <v>71.568749999999994</v>
      </c>
      <c r="CM298" s="125">
        <f>Tabela1[[#This Row],[MCT KG]]</f>
        <v>82.5</v>
      </c>
      <c r="CN298" s="85">
        <f>Tabela1[[#This Row],[ESTATURA]]</f>
        <v>174</v>
      </c>
      <c r="CO298" s="85">
        <f>Tabela1[[#This Row],[vo2max estimado]]</f>
        <v>50.33</v>
      </c>
      <c r="CP298" s="85">
        <f>Tabela1[[#This Row],[Handgrip     Dominante]]</f>
        <v>56</v>
      </c>
      <c r="CQ298" s="85">
        <f>Tabela1[[#This Row],[Handgrip Contrário]]</f>
        <v>53</v>
      </c>
      <c r="CR298" s="281">
        <f>Tabela1[[#This Row],[% gordura]]</f>
        <v>13.25</v>
      </c>
    </row>
    <row r="299" spans="1:96" ht="15.75" customHeight="1">
      <c r="A299" s="279">
        <f>Tabela1[[#This Row],[Ano]]</f>
        <v>2022</v>
      </c>
      <c r="B299" s="181" t="str">
        <f>Tabela1[[#This Row],[Missão]]</f>
        <v>Marambaia</v>
      </c>
      <c r="C299" s="181">
        <f>Tabela1[[#This Row],[Aluno]]</f>
        <v>3250</v>
      </c>
      <c r="D299" s="181">
        <f>Tabela1[[#This Row],[Idade]]</f>
        <v>33</v>
      </c>
      <c r="E299" s="182">
        <f>Tabela1[[#This Row],[Peso Kg]]</f>
        <v>0</v>
      </c>
      <c r="F299" s="191">
        <f>Tabela1[[#This Row],[Cor da pele]]</f>
        <v>0</v>
      </c>
      <c r="G299" s="192" t="str">
        <f>Tabela1[[#This Row],[ACTN3]]</f>
        <v>RR</v>
      </c>
      <c r="H299" s="85" t="str">
        <f>Tabela1[[#This Row],[AGT]]</f>
        <v>MT</v>
      </c>
      <c r="I299" s="85" t="str">
        <f>Tabela1[[#This Row],[ECA]]</f>
        <v>ID</v>
      </c>
      <c r="J299" s="85" t="str">
        <f>Tabela1[[#This Row],[BDKRB2]]</f>
        <v>(+9, +9)</v>
      </c>
      <c r="K299" s="85">
        <f>Tabela1[[#This Row],[Score Força%]]</f>
        <v>75</v>
      </c>
      <c r="L299" s="193">
        <f>Tabela1[[#This Row],[Score Resistência %]]</f>
        <v>25</v>
      </c>
      <c r="M299" s="192">
        <f>Tabela1[[#This Row],[Pré CK (U/L)]]</f>
        <v>856</v>
      </c>
      <c r="N299" s="85" t="str">
        <f>Tabela1[[#This Row],[Pós CK (U/L)]]</f>
        <v>-</v>
      </c>
      <c r="O299" s="85" t="str">
        <f>Tabela1[[#This Row],[Pré CK MB U/L]]</f>
        <v>-</v>
      </c>
      <c r="P299" s="85" t="str">
        <f>Tabela1[[#This Row],[Pós CK MB U/L]]</f>
        <v>-</v>
      </c>
      <c r="Q299" s="85">
        <f>Tabela1[[#This Row],[Pré Lactato (mmol/L)]]</f>
        <v>3</v>
      </c>
      <c r="R299" s="85">
        <f>Tabela1[[#This Row],[Pós Lactato (mmol/L)]]</f>
        <v>3</v>
      </c>
      <c r="S299" s="85">
        <f>Tabela1[[#This Row],[Pré LDH (U/L)]]</f>
        <v>376</v>
      </c>
      <c r="T299" s="85">
        <f>Tabela1[[#This Row],[Pós LDH (U/L)]]</f>
        <v>548</v>
      </c>
      <c r="U299" s="85">
        <f>Tabela1[[#This Row],[Pré AST (U/L)]]</f>
        <v>135</v>
      </c>
      <c r="V299" s="193">
        <f>Tabela1[[#This Row],[Pós AST (U/L)]]</f>
        <v>245</v>
      </c>
      <c r="W299" s="194" t="str">
        <f>Tabela1[[#This Row],[Pré Albumina (g/dL)]]</f>
        <v>-</v>
      </c>
      <c r="X299" s="125" t="str">
        <f>Tabela1[[#This Row],[Pós Albumina (g/dL)]]</f>
        <v>-</v>
      </c>
      <c r="Y299" s="85" t="str">
        <f>Tabela1[[#This Row],[Pré TGP (g/dL)]]</f>
        <v>-</v>
      </c>
      <c r="Z299" s="85" t="str">
        <f>Tabela1[[#This Row],[Pós TGP (g/dL)]]</f>
        <v>-</v>
      </c>
      <c r="AA299" s="85" t="str">
        <f>Tabela1[[#This Row],[Pré GGT U/L]]</f>
        <v>-</v>
      </c>
      <c r="AB299" s="193" t="str">
        <f>Tabela1[[#This Row],[Pós GGT U/L]]</f>
        <v>-</v>
      </c>
      <c r="AC299" s="194">
        <f>Tabela1[[#This Row],[Pré Ac. Úrico (mg/dL)]]</f>
        <v>4.5</v>
      </c>
      <c r="AD299" s="125">
        <f>Tabela1[[#This Row],[Pós Ac. Úrico (mg/dL)2]]</f>
        <v>6.9</v>
      </c>
      <c r="AE29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29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299" s="85">
        <f>Tabela1[[#This Row],[Pré Ureia mg/dL]]</f>
        <v>51</v>
      </c>
      <c r="AH299" s="85">
        <f>Tabela1[[#This Row],[Pós Ureia mg/dL]]</f>
        <v>70</v>
      </c>
      <c r="AI299" s="125">
        <f>Tabela1[[#This Row],[Pré creatinina mg/dL]]</f>
        <v>0.9</v>
      </c>
      <c r="AJ299" s="125">
        <f>Tabela1[[#This Row],[Pós creatinina mg/dL]]</f>
        <v>1.2</v>
      </c>
      <c r="AK299" s="180">
        <f t="shared" si="16"/>
        <v>0.29999999999999993</v>
      </c>
      <c r="AL299" s="125">
        <f>Tabela1[[#This Row],[Pré Fósforo mg/dL]]</f>
        <v>3.3</v>
      </c>
      <c r="AM299" s="125">
        <f>Tabela1[[#This Row],[Pós Fósforo mg/dL]]</f>
        <v>5</v>
      </c>
      <c r="AN299" s="125">
        <f>Tabela1[[#This Row],[Pré Proteína Total (g/dL)]]</f>
        <v>6.3</v>
      </c>
      <c r="AO299" s="125">
        <f>Tabela1[[#This Row],[Pós Proteína Total (g/dL)]]</f>
        <v>6.7</v>
      </c>
      <c r="AP299" s="85">
        <f>Tabela1[[#This Row],[Pré FE (ug/dL)]]</f>
        <v>66</v>
      </c>
      <c r="AQ299" s="193">
        <f>Tabela1[[#This Row],[Pós FE (ug/dL)]]</f>
        <v>18</v>
      </c>
      <c r="AR299" s="194">
        <f>Tabela1[[#This Row],[Pré calcio mg/dL]]</f>
        <v>12.1</v>
      </c>
      <c r="AS299" s="125">
        <f>Tabela1[[#This Row],[Pós calcio mg/dL]]</f>
        <v>12.8</v>
      </c>
      <c r="AT299" s="125">
        <f>Tabela1[[#This Row],[Pré Potássio mmol/L]]</f>
        <v>4.4000000000000004</v>
      </c>
      <c r="AU299" s="125">
        <f>Tabela1[[#This Row],[Pós Potássio mmol/L]]</f>
        <v>4.3</v>
      </c>
      <c r="AV299" s="85">
        <f>Tabela1[[#This Row],[Glicose pré]]</f>
        <v>89</v>
      </c>
      <c r="AW299" s="85">
        <f>Tabela1[[#This Row],[Glicose pós]]</f>
        <v>133</v>
      </c>
      <c r="AX299" s="85">
        <f>Tabela1[[#This Row],[Pré Sódio mmol/L]]</f>
        <v>140</v>
      </c>
      <c r="AY299" s="85">
        <f>Tabela1[[#This Row],[Pós Sódio mmol/L]]</f>
        <v>140</v>
      </c>
      <c r="AZ299" s="125">
        <f>Tabela1[[#This Row],[Pré Magnésio mg/dL]]</f>
        <v>2.7</v>
      </c>
      <c r="BA299" s="125">
        <f>Tabela1[[#This Row],[Pós Magnésio mg/dL]]</f>
        <v>2.7</v>
      </c>
      <c r="BB299" s="85">
        <f>Tabela1[[#This Row],[Pré Cloro mmol/L]]</f>
        <v>122</v>
      </c>
      <c r="BC299" s="85">
        <f>Tabela1[[#This Row],[Pós Cloro mmol/L]]</f>
        <v>123</v>
      </c>
      <c r="BD29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296.77011111111113</v>
      </c>
      <c r="BE29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302.56188888888892</v>
      </c>
      <c r="BF299" s="194" t="str">
        <f>Tabela1[[#This Row],[Pré RBC 10^6/mm³]]</f>
        <v>-</v>
      </c>
      <c r="BG299" s="125" t="str">
        <f>Tabela1[[#This Row],[Pós RBC 10^6/mm³]]</f>
        <v>-</v>
      </c>
      <c r="BH299" s="125">
        <f>Tabela1[[#This Row],[Pré HGB g/dL]]</f>
        <v>12.4</v>
      </c>
      <c r="BI299" s="125">
        <f>Tabela1[[#This Row],[Pós HGB g/dL]]</f>
        <v>12.9</v>
      </c>
      <c r="BJ299" s="125">
        <f>Tabela1[[#This Row],[Pré HCT %]]</f>
        <v>38</v>
      </c>
      <c r="BK299" s="125">
        <f>Tabela1[[#This Row],[Pós HCT %]]</f>
        <v>38</v>
      </c>
      <c r="BL299" s="125">
        <f>Tabela1[[#This Row],[Pré MCV fL]]</f>
        <v>89.7</v>
      </c>
      <c r="BM299" s="125">
        <f>Tabela1[[#This Row],[Pós MCV fL]]</f>
        <v>90.8</v>
      </c>
      <c r="BN299" s="125">
        <f>Tabela1[[#This Row],[Pré MCH pg]]</f>
        <v>29.3</v>
      </c>
      <c r="BO299" s="125">
        <f>Tabela1[[#This Row],[Pós MCH pg]]</f>
        <v>30.9</v>
      </c>
      <c r="BP299" s="125">
        <f>Tabela1[[#This Row],[Pré MCHC g/dL]]</f>
        <v>32.700000000000003</v>
      </c>
      <c r="BQ299" s="125">
        <f>Tabela1[[#This Row],[Pós MCHC g/dL]]</f>
        <v>34</v>
      </c>
      <c r="BR299" s="85">
        <f>Tabela1[[#This Row],[Pré PLT 10³/mm³]]</f>
        <v>352</v>
      </c>
      <c r="BS299" s="85">
        <f>Tabela1[[#This Row],[Pós PLT 10³/mm³]]</f>
        <v>385</v>
      </c>
      <c r="BT299" s="125">
        <f>Tabela1[[#This Row],[Pré RDW %]]</f>
        <v>13.2</v>
      </c>
      <c r="BU299" s="125">
        <f>Tabela1[[#This Row],[Pós RDW %]]</f>
        <v>14.5</v>
      </c>
      <c r="BV299" s="179">
        <f>Tabela1[[#This Row],[Pré RET %]]</f>
        <v>1.1000000000000001</v>
      </c>
      <c r="BW299" s="196">
        <f>Tabela1[[#This Row],[Pós RET %]]</f>
        <v>1.19</v>
      </c>
      <c r="BX299" s="197">
        <f>Tabela1[[#This Row],[Pré WBC 10³/mm³]]</f>
        <v>5.45</v>
      </c>
      <c r="BY299" s="179">
        <f>Tabela1[[#This Row],[Pós WBC 10³/mm³]]</f>
        <v>12.31</v>
      </c>
      <c r="BZ299" s="125">
        <f>Tabela1[[#This Row],[Pré NEUT %]]</f>
        <v>58</v>
      </c>
      <c r="CA299" s="125">
        <f>Tabela1[[#This Row],[Pós NEUT %]]</f>
        <v>9.6</v>
      </c>
      <c r="CB299" s="125">
        <f>Tabela1[[#This Row],[Pré LINF %]]</f>
        <v>58</v>
      </c>
      <c r="CC299" s="125">
        <f>Tabela1[[#This Row],[Pós LINF %]]</f>
        <v>9.6</v>
      </c>
      <c r="CD299" s="125">
        <f>Tabela1[[#This Row],[Pré MONO %]]</f>
        <v>12.4</v>
      </c>
      <c r="CE299" s="125">
        <f>Tabela1[[#This Row],[Pós MONO %]]</f>
        <v>0.79</v>
      </c>
      <c r="CF299" s="125">
        <f>Tabela1[[#This Row],[Pré EOS %]]</f>
        <v>2</v>
      </c>
      <c r="CG299" s="125">
        <f>Tabela1[[#This Row],[Pós EOS %]]</f>
        <v>0.03</v>
      </c>
      <c r="CH299" s="125">
        <f>Tabela1[[#This Row],[Pré BASO %]]</f>
        <v>0.6</v>
      </c>
      <c r="CI299" s="198">
        <f>Tabela1[[#This Row],[Pós BASO %]]</f>
        <v>7.0000000000000007E-2</v>
      </c>
      <c r="CJ299" s="199" t="str">
        <f t="shared" si="17"/>
        <v>SIM</v>
      </c>
      <c r="CK299" s="200" t="str">
        <f t="shared" si="18"/>
        <v>SIM</v>
      </c>
      <c r="CL299" s="194">
        <f t="shared" si="19"/>
        <v>64.357799999999997</v>
      </c>
      <c r="CM299" s="125">
        <f>Tabela1[[#This Row],[MCT KG]]</f>
        <v>74</v>
      </c>
      <c r="CN299" s="85">
        <f>Tabela1[[#This Row],[ESTATURA]]</f>
        <v>172</v>
      </c>
      <c r="CO299" s="85">
        <f>Tabela1[[#This Row],[vo2max estimado]]</f>
        <v>52.46</v>
      </c>
      <c r="CP299" s="85">
        <f>Tabela1[[#This Row],[Handgrip     Dominante]]</f>
        <v>60</v>
      </c>
      <c r="CQ299" s="85">
        <f>Tabela1[[#This Row],[Handgrip Contrário]]</f>
        <v>58</v>
      </c>
      <c r="CR299" s="281">
        <f>Tabela1[[#This Row],[% gordura]]</f>
        <v>13.03</v>
      </c>
    </row>
    <row r="300" spans="1:96" ht="15.75" customHeight="1">
      <c r="A300" s="279">
        <f>Tabela1[[#This Row],[Ano]]</f>
        <v>2022</v>
      </c>
      <c r="B300" s="181" t="str">
        <f>Tabela1[[#This Row],[Missão]]</f>
        <v>Marambaia</v>
      </c>
      <c r="C300" s="181">
        <f>Tabela1[[#This Row],[Aluno]]</f>
        <v>3251</v>
      </c>
      <c r="D300" s="181">
        <f>Tabela1[[#This Row],[Idade]]</f>
        <v>31</v>
      </c>
      <c r="E300" s="182">
        <f>Tabela1[[#This Row],[Peso Kg]]</f>
        <v>80</v>
      </c>
      <c r="F300" s="191">
        <f>Tabela1[[#This Row],[Cor da pele]]</f>
        <v>0</v>
      </c>
      <c r="G300" s="192" t="str">
        <f>Tabela1[[#This Row],[ACTN3]]</f>
        <v>RX</v>
      </c>
      <c r="H300" s="85" t="str">
        <f>Tabela1[[#This Row],[AGT]]</f>
        <v>MT</v>
      </c>
      <c r="I300" s="85" t="str">
        <f>Tabela1[[#This Row],[ECA]]</f>
        <v>II</v>
      </c>
      <c r="J300" s="85" t="str">
        <f>Tabela1[[#This Row],[BDKRB2]]</f>
        <v>(+9, +9)</v>
      </c>
      <c r="K300" s="85">
        <f>Tabela1[[#This Row],[Score Força%]]</f>
        <v>50</v>
      </c>
      <c r="L300" s="193">
        <f>Tabela1[[#This Row],[Score Resistência %]]</f>
        <v>50</v>
      </c>
      <c r="M300" s="192">
        <f>Tabela1[[#This Row],[Pré CK (U/L)]]</f>
        <v>757</v>
      </c>
      <c r="N300" s="85">
        <f>Tabela1[[#This Row],[Pós CK (U/L)]]</f>
        <v>1109</v>
      </c>
      <c r="O300" s="85" t="str">
        <f>Tabela1[[#This Row],[Pré CK MB U/L]]</f>
        <v>-</v>
      </c>
      <c r="P300" s="85" t="str">
        <f>Tabela1[[#This Row],[Pós CK MB U/L]]</f>
        <v>-</v>
      </c>
      <c r="Q300" s="85">
        <f>Tabela1[[#This Row],[Pré Lactato (mmol/L)]]</f>
        <v>2.8</v>
      </c>
      <c r="R300" s="85">
        <f>Tabela1[[#This Row],[Pós Lactato (mmol/L)]]</f>
        <v>1.8</v>
      </c>
      <c r="S300" s="85">
        <f>Tabela1[[#This Row],[Pré LDH (U/L)]]</f>
        <v>254</v>
      </c>
      <c r="T300" s="85">
        <f>Tabela1[[#This Row],[Pós LDH (U/L)]]</f>
        <v>271</v>
      </c>
      <c r="U300" s="85">
        <f>Tabela1[[#This Row],[Pré AST (U/L)]]</f>
        <v>83</v>
      </c>
      <c r="V300" s="193">
        <f>Tabela1[[#This Row],[Pós AST (U/L)]]</f>
        <v>91</v>
      </c>
      <c r="W300" s="194" t="str">
        <f>Tabela1[[#This Row],[Pré Albumina (g/dL)]]</f>
        <v>-</v>
      </c>
      <c r="X300" s="125" t="str">
        <f>Tabela1[[#This Row],[Pós Albumina (g/dL)]]</f>
        <v>-</v>
      </c>
      <c r="Y300" s="85" t="str">
        <f>Tabela1[[#This Row],[Pré TGP (g/dL)]]</f>
        <v>-</v>
      </c>
      <c r="Z300" s="85" t="str">
        <f>Tabela1[[#This Row],[Pós TGP (g/dL)]]</f>
        <v>-</v>
      </c>
      <c r="AA300" s="85" t="str">
        <f>Tabela1[[#This Row],[Pré GGT U/L]]</f>
        <v>-</v>
      </c>
      <c r="AB300" s="193" t="str">
        <f>Tabela1[[#This Row],[Pós GGT U/L]]</f>
        <v>-</v>
      </c>
      <c r="AC300" s="194">
        <f>Tabela1[[#This Row],[Pré Ac. Úrico (mg/dL)]]</f>
        <v>5.0999999999999996</v>
      </c>
      <c r="AD300" s="125">
        <f>Tabela1[[#This Row],[Pós Ac. Úrico (mg/dL)2]]</f>
        <v>6.7</v>
      </c>
      <c r="AE30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0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300" s="85">
        <f>Tabela1[[#This Row],[Pré Ureia mg/dL]]</f>
        <v>39</v>
      </c>
      <c r="AH300" s="85">
        <f>Tabela1[[#This Row],[Pós Ureia mg/dL]]</f>
        <v>49</v>
      </c>
      <c r="AI300" s="125">
        <f>Tabela1[[#This Row],[Pré creatinina mg/dL]]</f>
        <v>0.9</v>
      </c>
      <c r="AJ300" s="125">
        <f>Tabela1[[#This Row],[Pós creatinina mg/dL]]</f>
        <v>1.2</v>
      </c>
      <c r="AK300" s="180">
        <f t="shared" si="16"/>
        <v>0.29999999999999993</v>
      </c>
      <c r="AL300" s="125">
        <f>Tabela1[[#This Row],[Pré Fósforo mg/dL]]</f>
        <v>4.0999999999999996</v>
      </c>
      <c r="AM300" s="125">
        <f>Tabela1[[#This Row],[Pós Fósforo mg/dL]]</f>
        <v>5.0999999999999996</v>
      </c>
      <c r="AN300" s="125">
        <f>Tabela1[[#This Row],[Pré Proteína Total (g/dL)]]</f>
        <v>7.1</v>
      </c>
      <c r="AO300" s="125">
        <f>Tabela1[[#This Row],[Pós Proteína Total (g/dL)]]</f>
        <v>6.5</v>
      </c>
      <c r="AP300" s="85">
        <f>Tabela1[[#This Row],[Pré FE (ug/dL)]]</f>
        <v>56</v>
      </c>
      <c r="AQ300" s="193">
        <f>Tabela1[[#This Row],[Pós FE (ug/dL)]]</f>
        <v>29</v>
      </c>
      <c r="AR300" s="194">
        <f>Tabela1[[#This Row],[Pré calcio mg/dL]]</f>
        <v>10</v>
      </c>
      <c r="AS300" s="125">
        <f>Tabela1[[#This Row],[Pós calcio mg/dL]]</f>
        <v>13.4</v>
      </c>
      <c r="AT300" s="125">
        <f>Tabela1[[#This Row],[Pré Potássio mmol/L]]</f>
        <v>4.3</v>
      </c>
      <c r="AU300" s="125">
        <f>Tabela1[[#This Row],[Pós Potássio mmol/L]]</f>
        <v>4.9000000000000004</v>
      </c>
      <c r="AV300" s="85">
        <f>Tabela1[[#This Row],[Glicose pré]]</f>
        <v>103</v>
      </c>
      <c r="AW300" s="85">
        <f>Tabela1[[#This Row],[Glicose pós]]</f>
        <v>113</v>
      </c>
      <c r="AX300" s="85">
        <f>Tabela1[[#This Row],[Pré Sódio mmol/L]]</f>
        <v>138</v>
      </c>
      <c r="AY300" s="85">
        <f>Tabela1[[#This Row],[Pós Sódio mmol/L]]</f>
        <v>141</v>
      </c>
      <c r="AZ300" s="125">
        <f>Tabela1[[#This Row],[Pré Magnésio mg/dL]]</f>
        <v>1.9</v>
      </c>
      <c r="BA300" s="125">
        <f>Tabela1[[#This Row],[Pós Magnésio mg/dL]]</f>
        <v>2.5</v>
      </c>
      <c r="BB300" s="85">
        <f>Tabela1[[#This Row],[Pré Cloro mmol/L]]</f>
        <v>101</v>
      </c>
      <c r="BC300" s="85">
        <f>Tabela1[[#This Row],[Pós Cloro mmol/L]]</f>
        <v>132</v>
      </c>
      <c r="BD30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291.75855555555563</v>
      </c>
      <c r="BE30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300.76011111111114</v>
      </c>
      <c r="BF300" s="194" t="str">
        <f>Tabela1[[#This Row],[Pré RBC 10^6/mm³]]</f>
        <v>-</v>
      </c>
      <c r="BG300" s="125" t="str">
        <f>Tabela1[[#This Row],[Pós RBC 10^6/mm³]]</f>
        <v>-</v>
      </c>
      <c r="BH300" s="125">
        <f>Tabela1[[#This Row],[Pré HGB g/dL]]</f>
        <v>13.2</v>
      </c>
      <c r="BI300" s="125">
        <f>Tabela1[[#This Row],[Pós HGB g/dL]]</f>
        <v>12.9</v>
      </c>
      <c r="BJ300" s="125">
        <f>Tabela1[[#This Row],[Pré HCT %]]</f>
        <v>40</v>
      </c>
      <c r="BK300" s="125">
        <f>Tabela1[[#This Row],[Pós HCT %]]</f>
        <v>39.200000000000003</v>
      </c>
      <c r="BL300" s="125">
        <f>Tabela1[[#This Row],[Pré MCV fL]]</f>
        <v>89.4</v>
      </c>
      <c r="BM300" s="125">
        <f>Tabela1[[#This Row],[Pós MCV fL]]</f>
        <v>90.2</v>
      </c>
      <c r="BN300" s="125">
        <f>Tabela1[[#This Row],[Pré MCH pg]]</f>
        <v>29.5</v>
      </c>
      <c r="BO300" s="125">
        <f>Tabela1[[#This Row],[Pós MCH pg]]</f>
        <v>29.7</v>
      </c>
      <c r="BP300" s="125">
        <f>Tabela1[[#This Row],[Pré MCHC g/dL]]</f>
        <v>33</v>
      </c>
      <c r="BQ300" s="125">
        <f>Tabela1[[#This Row],[Pós MCHC g/dL]]</f>
        <v>33</v>
      </c>
      <c r="BR300" s="85">
        <f>Tabela1[[#This Row],[Pré PLT 10³/mm³]]</f>
        <v>324</v>
      </c>
      <c r="BS300" s="85">
        <f>Tabela1[[#This Row],[Pós PLT 10³/mm³]]</f>
        <v>281</v>
      </c>
      <c r="BT300" s="125">
        <f>Tabela1[[#This Row],[Pré RDW %]]</f>
        <v>14.1</v>
      </c>
      <c r="BU300" s="125">
        <f>Tabela1[[#This Row],[Pós RDW %]]</f>
        <v>14.6</v>
      </c>
      <c r="BV300" s="179">
        <f>Tabela1[[#This Row],[Pré RET %]]</f>
        <v>0.98</v>
      </c>
      <c r="BW300" s="196">
        <f>Tabela1[[#This Row],[Pós RET %]]</f>
        <v>0.79</v>
      </c>
      <c r="BX300" s="197">
        <f>Tabela1[[#This Row],[Pré WBC 10³/mm³]]</f>
        <v>6.79</v>
      </c>
      <c r="BY300" s="179">
        <f>Tabela1[[#This Row],[Pós WBC 10³/mm³]]</f>
        <v>6.48</v>
      </c>
      <c r="BZ300" s="125">
        <f>Tabela1[[#This Row],[Pré NEUT %]]</f>
        <v>64.7</v>
      </c>
      <c r="CA300" s="125">
        <f>Tabela1[[#This Row],[Pós NEUT %]]</f>
        <v>3.73</v>
      </c>
      <c r="CB300" s="125">
        <f>Tabela1[[#This Row],[Pré LINF %]]</f>
        <v>64.7</v>
      </c>
      <c r="CC300" s="125">
        <f>Tabela1[[#This Row],[Pós LINF %]]</f>
        <v>3.73</v>
      </c>
      <c r="CD300" s="125">
        <f>Tabela1[[#This Row],[Pré MONO %]]</f>
        <v>9.9</v>
      </c>
      <c r="CE300" s="125">
        <f>Tabela1[[#This Row],[Pós MONO %]]</f>
        <v>0.66</v>
      </c>
      <c r="CF300" s="125">
        <f>Tabela1[[#This Row],[Pré EOS %]]</f>
        <v>1.7</v>
      </c>
      <c r="CG300" s="125">
        <f>Tabela1[[#This Row],[Pós EOS %]]</f>
        <v>0.09</v>
      </c>
      <c r="CH300" s="125">
        <f>Tabela1[[#This Row],[Pré BASO %]]</f>
        <v>0.5</v>
      </c>
      <c r="CI300" s="198">
        <f>Tabela1[[#This Row],[Pós BASO %]]</f>
        <v>0.04</v>
      </c>
      <c r="CJ300" s="199" t="str">
        <f t="shared" si="17"/>
        <v>SIM</v>
      </c>
      <c r="CK300" s="200" t="str">
        <f t="shared" si="18"/>
        <v>SIM</v>
      </c>
      <c r="CL300" s="194">
        <f t="shared" si="19"/>
        <v>75.540360000000007</v>
      </c>
      <c r="CM300" s="125">
        <f>Tabela1[[#This Row],[MCT KG]]</f>
        <v>81.2</v>
      </c>
      <c r="CN300" s="85">
        <f>Tabela1[[#This Row],[ESTATURA]]</f>
        <v>174</v>
      </c>
      <c r="CO300" s="85">
        <f>Tabela1[[#This Row],[vo2max estimado]]</f>
        <v>49.27</v>
      </c>
      <c r="CP300" s="85">
        <f>Tabela1[[#This Row],[Handgrip     Dominante]]</f>
        <v>64</v>
      </c>
      <c r="CQ300" s="85">
        <f>Tabela1[[#This Row],[Handgrip Contrário]]</f>
        <v>64</v>
      </c>
      <c r="CR300" s="281">
        <f>Tabela1[[#This Row],[% gordura]]</f>
        <v>6.97</v>
      </c>
    </row>
    <row r="301" spans="1:96" ht="15.75" customHeight="1">
      <c r="A301" s="279">
        <f>Tabela1[[#This Row],[Ano]]</f>
        <v>2022</v>
      </c>
      <c r="B301" s="181" t="str">
        <f>Tabela1[[#This Row],[Missão]]</f>
        <v>Marambaia</v>
      </c>
      <c r="C301" s="181">
        <f>Tabela1[[#This Row],[Aluno]]</f>
        <v>3254</v>
      </c>
      <c r="D301" s="181">
        <f>Tabela1[[#This Row],[Idade]]</f>
        <v>32</v>
      </c>
      <c r="E301" s="182">
        <f>Tabela1[[#This Row],[Peso Kg]]</f>
        <v>71</v>
      </c>
      <c r="F301" s="191">
        <f>Tabela1[[#This Row],[Cor da pele]]</f>
        <v>0</v>
      </c>
      <c r="G301" s="192" t="str">
        <f>Tabela1[[#This Row],[ACTN3]]</f>
        <v>-</v>
      </c>
      <c r="H301" s="85" t="str">
        <f>Tabela1[[#This Row],[AGT]]</f>
        <v>-</v>
      </c>
      <c r="I301" s="85" t="str">
        <f>Tabela1[[#This Row],[ECA]]</f>
        <v>-</v>
      </c>
      <c r="J301" s="85" t="str">
        <f>Tabela1[[#This Row],[BDKRB2]]</f>
        <v>-</v>
      </c>
      <c r="K301" s="85" t="str">
        <f>Tabela1[[#This Row],[Score Força%]]</f>
        <v>-</v>
      </c>
      <c r="L301" s="193" t="str">
        <f>Tabela1[[#This Row],[Score Resistência %]]</f>
        <v>-</v>
      </c>
      <c r="M301" s="192">
        <f>Tabela1[[#This Row],[Pré CK (U/L)]]</f>
        <v>502</v>
      </c>
      <c r="N301" s="85">
        <f>Tabela1[[#This Row],[Pós CK (U/L)]]</f>
        <v>1531</v>
      </c>
      <c r="O301" s="85" t="str">
        <f>Tabela1[[#This Row],[Pré CK MB U/L]]</f>
        <v>-</v>
      </c>
      <c r="P301" s="85" t="str">
        <f>Tabela1[[#This Row],[Pós CK MB U/L]]</f>
        <v>-</v>
      </c>
      <c r="Q301" s="85">
        <f>Tabela1[[#This Row],[Pré Lactato (mmol/L)]]</f>
        <v>3.6</v>
      </c>
      <c r="R301" s="85">
        <f>Tabela1[[#This Row],[Pós Lactato (mmol/L)]]</f>
        <v>2.8</v>
      </c>
      <c r="S301" s="85">
        <f>Tabela1[[#This Row],[Pré LDH (U/L)]]</f>
        <v>316</v>
      </c>
      <c r="T301" s="85">
        <f>Tabela1[[#This Row],[Pós LDH (U/L)]]</f>
        <v>413</v>
      </c>
      <c r="U301" s="85">
        <f>Tabela1[[#This Row],[Pré AST (U/L)]]</f>
        <v>111</v>
      </c>
      <c r="V301" s="193">
        <f>Tabela1[[#This Row],[Pós AST (U/L)]]</f>
        <v>141</v>
      </c>
      <c r="W301" s="194" t="str">
        <f>Tabela1[[#This Row],[Pré Albumina (g/dL)]]</f>
        <v>-</v>
      </c>
      <c r="X301" s="125" t="str">
        <f>Tabela1[[#This Row],[Pós Albumina (g/dL)]]</f>
        <v>-</v>
      </c>
      <c r="Y301" s="85" t="str">
        <f>Tabela1[[#This Row],[Pré TGP (g/dL)]]</f>
        <v>-</v>
      </c>
      <c r="Z301" s="85" t="str">
        <f>Tabela1[[#This Row],[Pós TGP (g/dL)]]</f>
        <v>-</v>
      </c>
      <c r="AA301" s="85" t="str">
        <f>Tabela1[[#This Row],[Pré GGT U/L]]</f>
        <v>-</v>
      </c>
      <c r="AB301" s="193" t="str">
        <f>Tabela1[[#This Row],[Pós GGT U/L]]</f>
        <v>-</v>
      </c>
      <c r="AC301" s="194">
        <f>Tabela1[[#This Row],[Pré Ac. Úrico (mg/dL)]]</f>
        <v>5.3</v>
      </c>
      <c r="AD301" s="125">
        <f>Tabela1[[#This Row],[Pós Ac. Úrico (mg/dL)2]]</f>
        <v>8.1</v>
      </c>
      <c r="AE30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0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70.209761921634552</v>
      </c>
      <c r="AG301" s="85">
        <f>Tabela1[[#This Row],[Pré Ureia mg/dL]]</f>
        <v>46</v>
      </c>
      <c r="AH301" s="85">
        <f>Tabela1[[#This Row],[Pós Ureia mg/dL]]</f>
        <v>78</v>
      </c>
      <c r="AI301" s="125">
        <f>Tabela1[[#This Row],[Pré creatinina mg/dL]]</f>
        <v>0.9</v>
      </c>
      <c r="AJ301" s="125">
        <f>Tabela1[[#This Row],[Pós creatinina mg/dL]]</f>
        <v>1.4</v>
      </c>
      <c r="AK301" s="180">
        <f t="shared" si="16"/>
        <v>0.49999999999999989</v>
      </c>
      <c r="AL301" s="125">
        <f>Tabela1[[#This Row],[Pré Fósforo mg/dL]]</f>
        <v>5</v>
      </c>
      <c r="AM301" s="125">
        <f>Tabela1[[#This Row],[Pós Fósforo mg/dL]]</f>
        <v>7.4</v>
      </c>
      <c r="AN301" s="125">
        <f>Tabela1[[#This Row],[Pré Proteína Total (g/dL)]]</f>
        <v>8.6999999999999993</v>
      </c>
      <c r="AO301" s="125">
        <f>Tabela1[[#This Row],[Pós Proteína Total (g/dL)]]</f>
        <v>8.9</v>
      </c>
      <c r="AP301" s="85">
        <f>Tabela1[[#This Row],[Pré FE (ug/dL)]]</f>
        <v>82</v>
      </c>
      <c r="AQ301" s="193">
        <f>Tabela1[[#This Row],[Pós FE (ug/dL)]]</f>
        <v>10</v>
      </c>
      <c r="AR301" s="194">
        <f>Tabela1[[#This Row],[Pré calcio mg/dL]]</f>
        <v>13.2</v>
      </c>
      <c r="AS301" s="125">
        <f>Tabela1[[#This Row],[Pós calcio mg/dL]]</f>
        <v>14.2</v>
      </c>
      <c r="AT301" s="125">
        <f>Tabela1[[#This Row],[Pré Potássio mmol/L]]</f>
        <v>4.2</v>
      </c>
      <c r="AU301" s="125">
        <f>Tabela1[[#This Row],[Pós Potássio mmol/L]]</f>
        <v>5.6</v>
      </c>
      <c r="AV301" s="85">
        <f>Tabela1[[#This Row],[Glicose pré]]</f>
        <v>91</v>
      </c>
      <c r="AW301" s="85">
        <f>Tabela1[[#This Row],[Glicose pós]]</f>
        <v>96</v>
      </c>
      <c r="AX301" s="85">
        <f>Tabela1[[#This Row],[Pré Sódio mmol/L]]</f>
        <v>142</v>
      </c>
      <c r="AY301" s="85">
        <f>Tabela1[[#This Row],[Pós Sódio mmol/L]]</f>
        <v>141</v>
      </c>
      <c r="AZ301" s="125">
        <f>Tabela1[[#This Row],[Pré Magnésio mg/dL]]</f>
        <v>2.7</v>
      </c>
      <c r="BA301" s="125">
        <f>Tabela1[[#This Row],[Pós Magnésio mg/dL]]</f>
        <v>2.9</v>
      </c>
      <c r="BB301" s="85">
        <f>Tabela1[[#This Row],[Pré Cloro mmol/L]]</f>
        <v>134</v>
      </c>
      <c r="BC301" s="85">
        <f>Tabela1[[#This Row],[Pós Cloro mmol/L]]</f>
        <v>136</v>
      </c>
      <c r="BD30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299.41255555555557</v>
      </c>
      <c r="BE30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305.80933333333331</v>
      </c>
      <c r="BF301" s="194" t="str">
        <f>Tabela1[[#This Row],[Pré RBC 10^6/mm³]]</f>
        <v>-</v>
      </c>
      <c r="BG301" s="125" t="str">
        <f>Tabela1[[#This Row],[Pós RBC 10^6/mm³]]</f>
        <v>-</v>
      </c>
      <c r="BH301" s="125">
        <f>Tabela1[[#This Row],[Pré HGB g/dL]]</f>
        <v>14.2</v>
      </c>
      <c r="BI301" s="125">
        <f>Tabela1[[#This Row],[Pós HGB g/dL]]</f>
        <v>14</v>
      </c>
      <c r="BJ301" s="125">
        <f>Tabela1[[#This Row],[Pré HCT %]]</f>
        <v>43.9</v>
      </c>
      <c r="BK301" s="125">
        <f>Tabela1[[#This Row],[Pós HCT %]]</f>
        <v>43</v>
      </c>
      <c r="BL301" s="125">
        <f>Tabela1[[#This Row],[Pré MCV fL]]</f>
        <v>88.7</v>
      </c>
      <c r="BM301" s="125">
        <f>Tabela1[[#This Row],[Pós MCV fL]]</f>
        <v>89.7</v>
      </c>
      <c r="BN301" s="125">
        <f>Tabela1[[#This Row],[Pré MCH pg]]</f>
        <v>28.6</v>
      </c>
      <c r="BO301" s="125">
        <f>Tabela1[[#This Row],[Pós MCH pg]]</f>
        <v>29.1</v>
      </c>
      <c r="BP301" s="125">
        <f>Tabela1[[#This Row],[Pré MCHC g/dL]]</f>
        <v>32.299999999999997</v>
      </c>
      <c r="BQ301" s="125">
        <f>Tabela1[[#This Row],[Pós MCHC g/dL]]</f>
        <v>32.5</v>
      </c>
      <c r="BR301" s="85">
        <f>Tabela1[[#This Row],[Pré PLT 10³/mm³]]</f>
        <v>361</v>
      </c>
      <c r="BS301" s="85">
        <f>Tabela1[[#This Row],[Pós PLT 10³/mm³]]</f>
        <v>368</v>
      </c>
      <c r="BT301" s="125">
        <f>Tabela1[[#This Row],[Pré RDW %]]</f>
        <v>12.9</v>
      </c>
      <c r="BU301" s="125">
        <f>Tabela1[[#This Row],[Pós RDW %]]</f>
        <v>14.7</v>
      </c>
      <c r="BV301" s="179">
        <f>Tabela1[[#This Row],[Pré RET %]]</f>
        <v>0.67</v>
      </c>
      <c r="BW301" s="196">
        <f>Tabela1[[#This Row],[Pós RET %]]</f>
        <v>0.86</v>
      </c>
      <c r="BX301" s="197">
        <f>Tabela1[[#This Row],[Pré WBC 10³/mm³]]</f>
        <v>13.26</v>
      </c>
      <c r="BY301" s="179">
        <f>Tabela1[[#This Row],[Pós WBC 10³/mm³]]</f>
        <v>17.309999999999999</v>
      </c>
      <c r="BZ301" s="125">
        <f>Tabela1[[#This Row],[Pré NEUT %]]</f>
        <v>69.099999999999994</v>
      </c>
      <c r="CA301" s="125">
        <f>Tabela1[[#This Row],[Pós NEUT %]]</f>
        <v>12.28</v>
      </c>
      <c r="CB301" s="125">
        <f>Tabela1[[#This Row],[Pré LINF %]]</f>
        <v>69.099999999999994</v>
      </c>
      <c r="CC301" s="125">
        <f>Tabela1[[#This Row],[Pós LINF %]]</f>
        <v>12.28</v>
      </c>
      <c r="CD301" s="125">
        <f>Tabela1[[#This Row],[Pré MONO %]]</f>
        <v>8.1</v>
      </c>
      <c r="CE301" s="125">
        <f>Tabela1[[#This Row],[Pós MONO %]]</f>
        <v>1.41</v>
      </c>
      <c r="CF301" s="125">
        <f>Tabela1[[#This Row],[Pré EOS %]]</f>
        <v>1</v>
      </c>
      <c r="CG301" s="125">
        <f>Tabela1[[#This Row],[Pós EOS %]]</f>
        <v>0.05</v>
      </c>
      <c r="CH301" s="125">
        <f>Tabela1[[#This Row],[Pré BASO %]]</f>
        <v>0.2</v>
      </c>
      <c r="CI301" s="198">
        <f>Tabela1[[#This Row],[Pós BASO %]]</f>
        <v>7.0000000000000007E-2</v>
      </c>
      <c r="CJ301" s="199" t="str">
        <f t="shared" si="17"/>
        <v>SIM</v>
      </c>
      <c r="CK301" s="200" t="str">
        <f t="shared" si="18"/>
        <v>SIM</v>
      </c>
      <c r="CL301" s="194">
        <f t="shared" si="19"/>
        <v>64.545389999999998</v>
      </c>
      <c r="CM301" s="125">
        <f>Tabela1[[#This Row],[MCT KG]]</f>
        <v>74.55</v>
      </c>
      <c r="CN301" s="85">
        <f>Tabela1[[#This Row],[ESTATURA]]</f>
        <v>176.6</v>
      </c>
      <c r="CO301" s="85">
        <f>Tabela1[[#This Row],[vo2max estimado]]</f>
        <v>49.15</v>
      </c>
      <c r="CP301" s="85">
        <f>Tabela1[[#This Row],[Handgrip     Dominante]]</f>
        <v>58</v>
      </c>
      <c r="CQ301" s="85">
        <f>Tabela1[[#This Row],[Handgrip Contrário]]</f>
        <v>56</v>
      </c>
      <c r="CR301" s="281">
        <f>Tabela1[[#This Row],[% gordura]]</f>
        <v>13.42</v>
      </c>
    </row>
    <row r="302" spans="1:96" ht="15.75" customHeight="1">
      <c r="A302" s="279">
        <f>Tabela1[[#This Row],[Ano]]</f>
        <v>2022</v>
      </c>
      <c r="B302" s="181" t="str">
        <f>Tabela1[[#This Row],[Missão]]</f>
        <v>Marambaia</v>
      </c>
      <c r="C302" s="181">
        <f>Tabela1[[#This Row],[Aluno]]</f>
        <v>3255</v>
      </c>
      <c r="D302" s="181">
        <f>Tabela1[[#This Row],[Idade]]</f>
        <v>28</v>
      </c>
      <c r="E302" s="182">
        <f>Tabela1[[#This Row],[Peso Kg]]</f>
        <v>0</v>
      </c>
      <c r="F302" s="191">
        <f>Tabela1[[#This Row],[Cor da pele]]</f>
        <v>0</v>
      </c>
      <c r="G302" s="192" t="str">
        <f>Tabela1[[#This Row],[ACTN3]]</f>
        <v>RR</v>
      </c>
      <c r="H302" s="85" t="str">
        <f>Tabela1[[#This Row],[AGT]]</f>
        <v>MT</v>
      </c>
      <c r="I302" s="85" t="str">
        <f>Tabela1[[#This Row],[ECA]]</f>
        <v>ID</v>
      </c>
      <c r="J302" s="85" t="str">
        <f>Tabela1[[#This Row],[BDKRB2]]</f>
        <v>(-9 , -9)</v>
      </c>
      <c r="K302" s="85">
        <f>Tabela1[[#This Row],[Score Força%]]</f>
        <v>50</v>
      </c>
      <c r="L302" s="193">
        <f>Tabela1[[#This Row],[Score Resistência %]]</f>
        <v>50</v>
      </c>
      <c r="M302" s="192">
        <f>Tabela1[[#This Row],[Pré CK (U/L)]]</f>
        <v>448</v>
      </c>
      <c r="N302" s="85">
        <f>Tabela1[[#This Row],[Pós CK (U/L)]]</f>
        <v>3067</v>
      </c>
      <c r="O302" s="85" t="str">
        <f>Tabela1[[#This Row],[Pré CK MB U/L]]</f>
        <v>-</v>
      </c>
      <c r="P302" s="85" t="str">
        <f>Tabela1[[#This Row],[Pós CK MB U/L]]</f>
        <v>-</v>
      </c>
      <c r="Q302" s="85">
        <f>Tabela1[[#This Row],[Pré Lactato (mmol/L)]]</f>
        <v>3</v>
      </c>
      <c r="R302" s="85">
        <f>Tabela1[[#This Row],[Pós Lactato (mmol/L)]]</f>
        <v>2.2000000000000002</v>
      </c>
      <c r="S302" s="85">
        <f>Tabela1[[#This Row],[Pré LDH (U/L)]]</f>
        <v>298</v>
      </c>
      <c r="T302" s="85">
        <f>Tabela1[[#This Row],[Pós LDH (U/L)]]</f>
        <v>450</v>
      </c>
      <c r="U302" s="85">
        <f>Tabela1[[#This Row],[Pré AST (U/L)]]</f>
        <v>51</v>
      </c>
      <c r="V302" s="193">
        <f>Tabela1[[#This Row],[Pós AST (U/L)]]</f>
        <v>132</v>
      </c>
      <c r="W302" s="194" t="str">
        <f>Tabela1[[#This Row],[Pré Albumina (g/dL)]]</f>
        <v>-</v>
      </c>
      <c r="X302" s="125" t="str">
        <f>Tabela1[[#This Row],[Pós Albumina (g/dL)]]</f>
        <v>-</v>
      </c>
      <c r="Y302" s="85" t="str">
        <f>Tabela1[[#This Row],[Pré TGP (g/dL)]]</f>
        <v>-</v>
      </c>
      <c r="Z302" s="85" t="str">
        <f>Tabela1[[#This Row],[Pós TGP (g/dL)]]</f>
        <v>-</v>
      </c>
      <c r="AA302" s="85" t="str">
        <f>Tabela1[[#This Row],[Pré GGT U/L]]</f>
        <v>-</v>
      </c>
      <c r="AB302" s="193" t="str">
        <f>Tabela1[[#This Row],[Pós GGT U/L]]</f>
        <v>-</v>
      </c>
      <c r="AC302" s="194">
        <f>Tabela1[[#This Row],[Pré Ac. Úrico (mg/dL)]]</f>
        <v>4.4000000000000004</v>
      </c>
      <c r="AD302" s="125">
        <f>Tabela1[[#This Row],[Pós Ac. Úrico (mg/dL)2]]</f>
        <v>3.5</v>
      </c>
      <c r="AE30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30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302" s="85">
        <f>Tabela1[[#This Row],[Pré Ureia mg/dL]]</f>
        <v>44</v>
      </c>
      <c r="AH302" s="85">
        <f>Tabela1[[#This Row],[Pós Ureia mg/dL]]</f>
        <v>54</v>
      </c>
      <c r="AI302" s="125">
        <f>Tabela1[[#This Row],[Pré creatinina mg/dL]]</f>
        <v>1</v>
      </c>
      <c r="AJ302" s="125">
        <f>Tabela1[[#This Row],[Pós creatinina mg/dL]]</f>
        <v>1.1000000000000001</v>
      </c>
      <c r="AK302" s="180">
        <f t="shared" si="16"/>
        <v>0.10000000000000009</v>
      </c>
      <c r="AL302" s="125">
        <f>Tabela1[[#This Row],[Pré Fósforo mg/dL]]</f>
        <v>4.0999999999999996</v>
      </c>
      <c r="AM302" s="125">
        <f>Tabela1[[#This Row],[Pós Fósforo mg/dL]]</f>
        <v>5.6</v>
      </c>
      <c r="AN302" s="125">
        <f>Tabela1[[#This Row],[Pré Proteína Total (g/dL)]]</f>
        <v>7.9</v>
      </c>
      <c r="AO302" s="125">
        <f>Tabela1[[#This Row],[Pós Proteína Total (g/dL)]]</f>
        <v>7.7</v>
      </c>
      <c r="AP302" s="85">
        <f>Tabela1[[#This Row],[Pré FE (ug/dL)]]</f>
        <v>21</v>
      </c>
      <c r="AQ302" s="193">
        <f>Tabela1[[#This Row],[Pós FE (ug/dL)]]</f>
        <v>46</v>
      </c>
      <c r="AR302" s="194">
        <f>Tabela1[[#This Row],[Pré calcio mg/dL]]</f>
        <v>11.5</v>
      </c>
      <c r="AS302" s="125">
        <f>Tabela1[[#This Row],[Pós calcio mg/dL]]</f>
        <v>12.9</v>
      </c>
      <c r="AT302" s="125">
        <f>Tabela1[[#This Row],[Pré Potássio mmol/L]]</f>
        <v>4.3</v>
      </c>
      <c r="AU302" s="125">
        <f>Tabela1[[#This Row],[Pós Potássio mmol/L]]</f>
        <v>4.5</v>
      </c>
      <c r="AV302" s="85">
        <f>Tabela1[[#This Row],[Glicose pré]]</f>
        <v>117</v>
      </c>
      <c r="AW302" s="85">
        <f>Tabela1[[#This Row],[Glicose pós]]</f>
        <v>97</v>
      </c>
      <c r="AX302" s="85">
        <f>Tabela1[[#This Row],[Pré Sódio mmol/L]]</f>
        <v>137</v>
      </c>
      <c r="AY302" s="85">
        <f>Tabela1[[#This Row],[Pós Sódio mmol/L]]</f>
        <v>144</v>
      </c>
      <c r="AZ302" s="125">
        <f>Tabela1[[#This Row],[Pré Magnésio mg/dL]]</f>
        <v>2.4</v>
      </c>
      <c r="BA302" s="125">
        <f>Tabela1[[#This Row],[Pós Magnésio mg/dL]]</f>
        <v>2.8</v>
      </c>
      <c r="BB302" s="85">
        <f>Tabela1[[#This Row],[Pré Cloro mmol/L]]</f>
        <v>105</v>
      </c>
      <c r="BC302" s="85">
        <f>Tabela1[[#This Row],[Pós Cloro mmol/L]]</f>
        <v>118</v>
      </c>
      <c r="BD30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291.62633333333338</v>
      </c>
      <c r="BE30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305.40722222222223</v>
      </c>
      <c r="BF302" s="194" t="str">
        <f>Tabela1[[#This Row],[Pré RBC 10^6/mm³]]</f>
        <v>-</v>
      </c>
      <c r="BG302" s="125" t="str">
        <f>Tabela1[[#This Row],[Pós RBC 10^6/mm³]]</f>
        <v>-</v>
      </c>
      <c r="BH302" s="125">
        <f>Tabela1[[#This Row],[Pré HGB g/dL]]</f>
        <v>14.1</v>
      </c>
      <c r="BI302" s="125">
        <f>Tabela1[[#This Row],[Pós HGB g/dL]]</f>
        <v>13.4</v>
      </c>
      <c r="BJ302" s="125">
        <f>Tabela1[[#This Row],[Pré HCT %]]</f>
        <v>43.4</v>
      </c>
      <c r="BK302" s="125">
        <f>Tabela1[[#This Row],[Pós HCT %]]</f>
        <v>42</v>
      </c>
      <c r="BL302" s="125">
        <f>Tabela1[[#This Row],[Pré MCV fL]]</f>
        <v>90.8</v>
      </c>
      <c r="BM302" s="125">
        <f>Tabela1[[#This Row],[Pós MCV fL]]</f>
        <v>91.2</v>
      </c>
      <c r="BN302" s="125">
        <f>Tabela1[[#This Row],[Pré MCH pg]]</f>
        <v>29.4</v>
      </c>
      <c r="BO302" s="125">
        <f>Tabela1[[#This Row],[Pós MCH pg]]</f>
        <v>29.2</v>
      </c>
      <c r="BP302" s="125">
        <f>Tabela1[[#This Row],[Pré MCHC g/dL]]</f>
        <v>32.4</v>
      </c>
      <c r="BQ302" s="125">
        <f>Tabela1[[#This Row],[Pós MCHC g/dL]]</f>
        <v>32</v>
      </c>
      <c r="BR302" s="85">
        <f>Tabela1[[#This Row],[Pré PLT 10³/mm³]]</f>
        <v>295</v>
      </c>
      <c r="BS302" s="85">
        <f>Tabela1[[#This Row],[Pós PLT 10³/mm³]]</f>
        <v>344</v>
      </c>
      <c r="BT302" s="125">
        <f>Tabela1[[#This Row],[Pré RDW %]]</f>
        <v>14.1</v>
      </c>
      <c r="BU302" s="125">
        <f>Tabela1[[#This Row],[Pós RDW %]]</f>
        <v>14.2</v>
      </c>
      <c r="BV302" s="179">
        <f>Tabela1[[#This Row],[Pré RET %]]</f>
        <v>0.56999999999999995</v>
      </c>
      <c r="BW302" s="196">
        <f>Tabela1[[#This Row],[Pós RET %]]</f>
        <v>0.63</v>
      </c>
      <c r="BX302" s="197">
        <f>Tabela1[[#This Row],[Pré WBC 10³/mm³]]</f>
        <v>11.73</v>
      </c>
      <c r="BY302" s="179">
        <f>Tabela1[[#This Row],[Pós WBC 10³/mm³]]</f>
        <v>9.02</v>
      </c>
      <c r="BZ302" s="125">
        <f>Tabela1[[#This Row],[Pré NEUT %]]</f>
        <v>75.599999999999994</v>
      </c>
      <c r="CA302" s="125">
        <f>Tabela1[[#This Row],[Pós NEUT %]]</f>
        <v>5.72</v>
      </c>
      <c r="CB302" s="125">
        <f>Tabela1[[#This Row],[Pré LINF %]]</f>
        <v>75.599999999999994</v>
      </c>
      <c r="CC302" s="125">
        <f>Tabela1[[#This Row],[Pós LINF %]]</f>
        <v>5.72</v>
      </c>
      <c r="CD302" s="125">
        <f>Tabela1[[#This Row],[Pré MONO %]]</f>
        <v>10.5</v>
      </c>
      <c r="CE302" s="125">
        <f>Tabela1[[#This Row],[Pós MONO %]]</f>
        <v>0.68</v>
      </c>
      <c r="CF302" s="125">
        <f>Tabela1[[#This Row],[Pré EOS %]]</f>
        <v>0.2</v>
      </c>
      <c r="CG302" s="125">
        <f>Tabela1[[#This Row],[Pós EOS %]]</f>
        <v>0.01</v>
      </c>
      <c r="CH302" s="125">
        <f>Tabela1[[#This Row],[Pré BASO %]]</f>
        <v>0</v>
      </c>
      <c r="CI302" s="198">
        <f>Tabela1[[#This Row],[Pós BASO %]]</f>
        <v>0.08</v>
      </c>
      <c r="CJ302" s="199" t="str">
        <f t="shared" si="17"/>
        <v>NÃO</v>
      </c>
      <c r="CK302" s="200" t="str">
        <f t="shared" si="18"/>
        <v>SIM</v>
      </c>
      <c r="CL302" s="194">
        <f t="shared" si="19"/>
        <v>71.013225000000006</v>
      </c>
      <c r="CM302" s="125">
        <f>Tabela1[[#This Row],[MCT KG]]</f>
        <v>80.25</v>
      </c>
      <c r="CN302" s="85">
        <f>Tabela1[[#This Row],[ESTATURA]]</f>
        <v>179</v>
      </c>
      <c r="CO302" s="85">
        <f>Tabela1[[#This Row],[vo2max estimado]]</f>
        <v>49.57</v>
      </c>
      <c r="CP302" s="85">
        <f>Tabela1[[#This Row],[Handgrip     Dominante]]</f>
        <v>57</v>
      </c>
      <c r="CQ302" s="85">
        <f>Tabela1[[#This Row],[Handgrip Contrário]]</f>
        <v>52</v>
      </c>
      <c r="CR302" s="281">
        <f>Tabela1[[#This Row],[% gordura]]</f>
        <v>11.51</v>
      </c>
    </row>
    <row r="303" spans="1:96" ht="15.75" customHeight="1">
      <c r="A303" s="279">
        <f>Tabela1[[#This Row],[Ano]]</f>
        <v>2022</v>
      </c>
      <c r="B303" s="181" t="str">
        <f>Tabela1[[#This Row],[Missão]]</f>
        <v>Marambaia</v>
      </c>
      <c r="C303" s="181">
        <f>Tabela1[[#This Row],[Aluno]]</f>
        <v>3256</v>
      </c>
      <c r="D303" s="181">
        <f>Tabela1[[#This Row],[Idade]]</f>
        <v>29</v>
      </c>
      <c r="E303" s="182">
        <f>Tabela1[[#This Row],[Peso Kg]]</f>
        <v>0</v>
      </c>
      <c r="F303" s="191">
        <f>Tabela1[[#This Row],[Cor da pele]]</f>
        <v>0</v>
      </c>
      <c r="G303" s="192" t="str">
        <f>Tabela1[[#This Row],[ACTN3]]</f>
        <v>RX</v>
      </c>
      <c r="H303" s="85" t="str">
        <f>Tabela1[[#This Row],[AGT]]</f>
        <v>TT</v>
      </c>
      <c r="I303" s="85" t="str">
        <f>Tabela1[[#This Row],[ECA]]</f>
        <v>DD</v>
      </c>
      <c r="J303" s="85" t="str">
        <f>Tabela1[[#This Row],[BDKRB2]]</f>
        <v>(+9, +9)</v>
      </c>
      <c r="K303" s="85">
        <f>Tabela1[[#This Row],[Score Força%]]</f>
        <v>87.5</v>
      </c>
      <c r="L303" s="193">
        <f>Tabela1[[#This Row],[Score Resistência %]]</f>
        <v>12.5</v>
      </c>
      <c r="M303" s="192">
        <f>Tabela1[[#This Row],[Pré CK (U/L)]]</f>
        <v>400</v>
      </c>
      <c r="N303" s="85">
        <f>Tabela1[[#This Row],[Pós CK (U/L)]]</f>
        <v>481</v>
      </c>
      <c r="O303" s="85" t="str">
        <f>Tabela1[[#This Row],[Pré CK MB U/L]]</f>
        <v>-</v>
      </c>
      <c r="P303" s="85" t="str">
        <f>Tabela1[[#This Row],[Pós CK MB U/L]]</f>
        <v>-</v>
      </c>
      <c r="Q303" s="85">
        <f>Tabela1[[#This Row],[Pré Lactato (mmol/L)]]</f>
        <v>2.8</v>
      </c>
      <c r="R303" s="85">
        <f>Tabela1[[#This Row],[Pós Lactato (mmol/L)]]</f>
        <v>3.1</v>
      </c>
      <c r="S303" s="85">
        <f>Tabela1[[#This Row],[Pré LDH (U/L)]]</f>
        <v>299</v>
      </c>
      <c r="T303" s="85">
        <f>Tabela1[[#This Row],[Pós LDH (U/L)]]</f>
        <v>339</v>
      </c>
      <c r="U303" s="85">
        <f>Tabela1[[#This Row],[Pré AST (U/L)]]</f>
        <v>54</v>
      </c>
      <c r="V303" s="193">
        <f>Tabela1[[#This Row],[Pós AST (U/L)]]</f>
        <v>61</v>
      </c>
      <c r="W303" s="194" t="str">
        <f>Tabela1[[#This Row],[Pré Albumina (g/dL)]]</f>
        <v>-</v>
      </c>
      <c r="X303" s="125" t="str">
        <f>Tabela1[[#This Row],[Pós Albumina (g/dL)]]</f>
        <v>-</v>
      </c>
      <c r="Y303" s="85" t="str">
        <f>Tabela1[[#This Row],[Pré TGP (g/dL)]]</f>
        <v>-</v>
      </c>
      <c r="Z303" s="85" t="str">
        <f>Tabela1[[#This Row],[Pós TGP (g/dL)]]</f>
        <v>-</v>
      </c>
      <c r="AA303" s="85" t="str">
        <f>Tabela1[[#This Row],[Pré GGT U/L]]</f>
        <v>-</v>
      </c>
      <c r="AB303" s="193" t="str">
        <f>Tabela1[[#This Row],[Pós GGT U/L]]</f>
        <v>-</v>
      </c>
      <c r="AC303" s="194">
        <f>Tabela1[[#This Row],[Pré Ac. Úrico (mg/dL)]]</f>
        <v>4</v>
      </c>
      <c r="AD303" s="125">
        <f>Tabela1[[#This Row],[Pós Ac. Úrico (mg/dL)2]]</f>
        <v>5.7</v>
      </c>
      <c r="AE30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0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303" s="85">
        <f>Tabela1[[#This Row],[Pré Ureia mg/dL]]</f>
        <v>45</v>
      </c>
      <c r="AH303" s="85">
        <f>Tabela1[[#This Row],[Pós Ureia mg/dL]]</f>
        <v>59</v>
      </c>
      <c r="AI303" s="125">
        <f>Tabela1[[#This Row],[Pré creatinina mg/dL]]</f>
        <v>0.8</v>
      </c>
      <c r="AJ303" s="125">
        <f>Tabela1[[#This Row],[Pós creatinina mg/dL]]</f>
        <v>1</v>
      </c>
      <c r="AK303" s="180">
        <f t="shared" si="16"/>
        <v>0.19999999999999996</v>
      </c>
      <c r="AL303" s="125">
        <f>Tabela1[[#This Row],[Pré Fósforo mg/dL]]</f>
        <v>4.5999999999999996</v>
      </c>
      <c r="AM303" s="125">
        <f>Tabela1[[#This Row],[Pós Fósforo mg/dL]]</f>
        <v>6</v>
      </c>
      <c r="AN303" s="125">
        <f>Tabela1[[#This Row],[Pré Proteína Total (g/dL)]]</f>
        <v>8.6999999999999993</v>
      </c>
      <c r="AO303" s="125">
        <f>Tabela1[[#This Row],[Pós Proteína Total (g/dL)]]</f>
        <v>8.6</v>
      </c>
      <c r="AP303" s="85">
        <f>Tabela1[[#This Row],[Pré FE (ug/dL)]]</f>
        <v>92</v>
      </c>
      <c r="AQ303" s="193">
        <f>Tabela1[[#This Row],[Pós FE (ug/dL)]]</f>
        <v>22</v>
      </c>
      <c r="AR303" s="194">
        <f>Tabela1[[#This Row],[Pré calcio mg/dL]]</f>
        <v>13.9</v>
      </c>
      <c r="AS303" s="125">
        <f>Tabela1[[#This Row],[Pós calcio mg/dL]]</f>
        <v>13.2</v>
      </c>
      <c r="AT303" s="125">
        <f>Tabela1[[#This Row],[Pré Potássio mmol/L]]</f>
        <v>5.0999999999999996</v>
      </c>
      <c r="AU303" s="125">
        <f>Tabela1[[#This Row],[Pós Potássio mmol/L]]</f>
        <v>5.0999999999999996</v>
      </c>
      <c r="AV303" s="85">
        <f>Tabela1[[#This Row],[Glicose pré]]</f>
        <v>94</v>
      </c>
      <c r="AW303" s="85">
        <f>Tabela1[[#This Row],[Glicose pós]]</f>
        <v>109</v>
      </c>
      <c r="AX303" s="85">
        <f>Tabela1[[#This Row],[Pré Sódio mmol/L]]</f>
        <v>140</v>
      </c>
      <c r="AY303" s="85">
        <f>Tabela1[[#This Row],[Pós Sódio mmol/L]]</f>
        <v>141</v>
      </c>
      <c r="AZ303" s="125">
        <f>Tabela1[[#This Row],[Pré Magnésio mg/dL]]</f>
        <v>2.9</v>
      </c>
      <c r="BA303" s="125">
        <f>Tabela1[[#This Row],[Pós Magnésio mg/dL]]</f>
        <v>3.2</v>
      </c>
      <c r="BB303" s="85">
        <f>Tabela1[[#This Row],[Pré Cloro mmol/L]]</f>
        <v>122</v>
      </c>
      <c r="BC303" s="85">
        <f>Tabela1[[#This Row],[Pós Cloro mmol/L]]</f>
        <v>121</v>
      </c>
      <c r="BD30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297.39155555555556</v>
      </c>
      <c r="BE30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302.5432222222222</v>
      </c>
      <c r="BF303" s="194" t="str">
        <f>Tabela1[[#This Row],[Pré RBC 10^6/mm³]]</f>
        <v>-</v>
      </c>
      <c r="BG303" s="125" t="str">
        <f>Tabela1[[#This Row],[Pós RBC 10^6/mm³]]</f>
        <v>-</v>
      </c>
      <c r="BH303" s="125">
        <f>Tabela1[[#This Row],[Pré HGB g/dL]]</f>
        <v>15.2</v>
      </c>
      <c r="BI303" s="125">
        <f>Tabela1[[#This Row],[Pós HGB g/dL]]</f>
        <v>15.7</v>
      </c>
      <c r="BJ303" s="125">
        <f>Tabela1[[#This Row],[Pré HCT %]]</f>
        <v>47.1</v>
      </c>
      <c r="BK303" s="125">
        <f>Tabela1[[#This Row],[Pós HCT %]]</f>
        <v>46.7</v>
      </c>
      <c r="BL303" s="125">
        <f>Tabela1[[#This Row],[Pré MCV fL]]</f>
        <v>81</v>
      </c>
      <c r="BM303" s="125">
        <f>Tabela1[[#This Row],[Pós MCV fL]]</f>
        <v>82.6</v>
      </c>
      <c r="BN303" s="125">
        <f>Tabela1[[#This Row],[Pré MCH pg]]</f>
        <v>26.2</v>
      </c>
      <c r="BO303" s="125">
        <f>Tabela1[[#This Row],[Pós MCH pg]]</f>
        <v>27.7</v>
      </c>
      <c r="BP303" s="125">
        <f>Tabela1[[#This Row],[Pré MCHC g/dL]]</f>
        <v>32.299999999999997</v>
      </c>
      <c r="BQ303" s="125">
        <f>Tabela1[[#This Row],[Pós MCHC g/dL]]</f>
        <v>33.6</v>
      </c>
      <c r="BR303" s="85">
        <f>Tabela1[[#This Row],[Pré PLT 10³/mm³]]</f>
        <v>356</v>
      </c>
      <c r="BS303" s="85">
        <f>Tabela1[[#This Row],[Pós PLT 10³/mm³]]</f>
        <v>321</v>
      </c>
      <c r="BT303" s="125">
        <f>Tabela1[[#This Row],[Pré RDW %]]</f>
        <v>12.9</v>
      </c>
      <c r="BU303" s="125">
        <f>Tabela1[[#This Row],[Pós RDW %]]</f>
        <v>13.9</v>
      </c>
      <c r="BV303" s="179">
        <f>Tabela1[[#This Row],[Pré RET %]]</f>
        <v>0.82</v>
      </c>
      <c r="BW303" s="196">
        <f>Tabela1[[#This Row],[Pós RET %]]</f>
        <v>0.71</v>
      </c>
      <c r="BX303" s="197">
        <f>Tabela1[[#This Row],[Pré WBC 10³/mm³]]</f>
        <v>8.32</v>
      </c>
      <c r="BY303" s="179">
        <f>Tabela1[[#This Row],[Pós WBC 10³/mm³]]</f>
        <v>8.25</v>
      </c>
      <c r="BZ303" s="125">
        <f>Tabela1[[#This Row],[Pré NEUT %]]</f>
        <v>67.400000000000006</v>
      </c>
      <c r="CA303" s="125">
        <f>Tabela1[[#This Row],[Pós NEUT %]]</f>
        <v>5.95</v>
      </c>
      <c r="CB303" s="125">
        <f>Tabela1[[#This Row],[Pré LINF %]]</f>
        <v>67.400000000000006</v>
      </c>
      <c r="CC303" s="125">
        <f>Tabela1[[#This Row],[Pós LINF %]]</f>
        <v>5.95</v>
      </c>
      <c r="CD303" s="125">
        <f>Tabela1[[#This Row],[Pré MONO %]]</f>
        <v>7.9</v>
      </c>
      <c r="CE303" s="125">
        <f>Tabela1[[#This Row],[Pós MONO %]]</f>
        <v>0.68</v>
      </c>
      <c r="CF303" s="125">
        <f>Tabela1[[#This Row],[Pré EOS %]]</f>
        <v>2.7</v>
      </c>
      <c r="CG303" s="125">
        <f>Tabela1[[#This Row],[Pós EOS %]]</f>
        <v>0.02</v>
      </c>
      <c r="CH303" s="125">
        <f>Tabela1[[#This Row],[Pré BASO %]]</f>
        <v>0.3</v>
      </c>
      <c r="CI303" s="198">
        <f>Tabela1[[#This Row],[Pós BASO %]]</f>
        <v>0.04</v>
      </c>
      <c r="CJ303" s="199" t="str">
        <f t="shared" si="17"/>
        <v>NÃO</v>
      </c>
      <c r="CK303" s="200" t="str">
        <f t="shared" si="18"/>
        <v>NÃO</v>
      </c>
      <c r="CL303" s="194">
        <f t="shared" si="19"/>
        <v>71.552219999999991</v>
      </c>
      <c r="CM303" s="125">
        <f>Tabela1[[#This Row],[MCT KG]]</f>
        <v>83.55</v>
      </c>
      <c r="CN303" s="85">
        <f>Tabela1[[#This Row],[ESTATURA]]</f>
        <v>182.6</v>
      </c>
      <c r="CO303" s="85">
        <f>Tabela1[[#This Row],[vo2max estimado]]</f>
        <v>51.94</v>
      </c>
      <c r="CP303" s="85">
        <f>Tabela1[[#This Row],[Handgrip     Dominante]]</f>
        <v>56</v>
      </c>
      <c r="CQ303" s="85">
        <f>Tabela1[[#This Row],[Handgrip Contrário]]</f>
        <v>52</v>
      </c>
      <c r="CR303" s="281">
        <f>Tabela1[[#This Row],[% gordura]]</f>
        <v>14.36</v>
      </c>
    </row>
    <row r="304" spans="1:96" ht="15.75" customHeight="1">
      <c r="A304" s="279">
        <f>Tabela1[[#This Row],[Ano]]</f>
        <v>2022</v>
      </c>
      <c r="B304" s="181" t="str">
        <f>Tabela1[[#This Row],[Missão]]</f>
        <v>Marambaia</v>
      </c>
      <c r="C304" s="181">
        <f>Tabela1[[#This Row],[Aluno]]</f>
        <v>3257</v>
      </c>
      <c r="D304" s="181">
        <f>Tabela1[[#This Row],[Idade]]</f>
        <v>28</v>
      </c>
      <c r="E304" s="182">
        <f>Tabela1[[#This Row],[Peso Kg]]</f>
        <v>0</v>
      </c>
      <c r="F304" s="191">
        <f>Tabela1[[#This Row],[Cor da pele]]</f>
        <v>0</v>
      </c>
      <c r="G304" s="192" t="str">
        <f>Tabela1[[#This Row],[ACTN3]]</f>
        <v>RX</v>
      </c>
      <c r="H304" s="85" t="str">
        <f>Tabela1[[#This Row],[AGT]]</f>
        <v>TT</v>
      </c>
      <c r="I304" s="85" t="str">
        <f>Tabela1[[#This Row],[ECA]]</f>
        <v>II</v>
      </c>
      <c r="J304" s="85" t="str">
        <f>Tabela1[[#This Row],[BDKRB2]]</f>
        <v>(+9, +9)</v>
      </c>
      <c r="K304" s="85">
        <f>Tabela1[[#This Row],[Score Força%]]</f>
        <v>62.5</v>
      </c>
      <c r="L304" s="193">
        <f>Tabela1[[#This Row],[Score Resistência %]]</f>
        <v>37.5</v>
      </c>
      <c r="M304" s="192">
        <f>Tabela1[[#This Row],[Pré CK (U/L)]]</f>
        <v>625</v>
      </c>
      <c r="N304" s="85">
        <f>Tabela1[[#This Row],[Pós CK (U/L)]]</f>
        <v>673</v>
      </c>
      <c r="O304" s="85" t="str">
        <f>Tabela1[[#This Row],[Pré CK MB U/L]]</f>
        <v>-</v>
      </c>
      <c r="P304" s="85" t="str">
        <f>Tabela1[[#This Row],[Pós CK MB U/L]]</f>
        <v>-</v>
      </c>
      <c r="Q304" s="85">
        <f>Tabela1[[#This Row],[Pré Lactato (mmol/L)]]</f>
        <v>1.6</v>
      </c>
      <c r="R304" s="85">
        <f>Tabela1[[#This Row],[Pós Lactato (mmol/L)]]</f>
        <v>1.7</v>
      </c>
      <c r="S304" s="85">
        <f>Tabela1[[#This Row],[Pré LDH (U/L)]]</f>
        <v>332</v>
      </c>
      <c r="T304" s="85">
        <f>Tabela1[[#This Row],[Pós LDH (U/L)]]</f>
        <v>344</v>
      </c>
      <c r="U304" s="85">
        <f>Tabela1[[#This Row],[Pré AST (U/L)]]</f>
        <v>115</v>
      </c>
      <c r="V304" s="193">
        <f>Tabela1[[#This Row],[Pós AST (U/L)]]</f>
        <v>99</v>
      </c>
      <c r="W304" s="194" t="str">
        <f>Tabela1[[#This Row],[Pré Albumina (g/dL)]]</f>
        <v>-</v>
      </c>
      <c r="X304" s="125" t="str">
        <f>Tabela1[[#This Row],[Pós Albumina (g/dL)]]</f>
        <v>-</v>
      </c>
      <c r="Y304" s="85" t="str">
        <f>Tabela1[[#This Row],[Pré TGP (g/dL)]]</f>
        <v>-</v>
      </c>
      <c r="Z304" s="85" t="str">
        <f>Tabela1[[#This Row],[Pós TGP (g/dL)]]</f>
        <v>-</v>
      </c>
      <c r="AA304" s="85" t="str">
        <f>Tabela1[[#This Row],[Pré GGT U/L]]</f>
        <v>-</v>
      </c>
      <c r="AB304" s="193" t="str">
        <f>Tabela1[[#This Row],[Pós GGT U/L]]</f>
        <v>-</v>
      </c>
      <c r="AC304" s="194">
        <f>Tabela1[[#This Row],[Pré Ac. Úrico (mg/dL)]]</f>
        <v>5.4</v>
      </c>
      <c r="AD304" s="125">
        <f>Tabela1[[#This Row],[Pós Ac. Úrico (mg/dL)2]]</f>
        <v>5.2</v>
      </c>
      <c r="AE30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0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304" s="85">
        <f>Tabela1[[#This Row],[Pré Ureia mg/dL]]</f>
        <v>37</v>
      </c>
      <c r="AH304" s="85">
        <f>Tabela1[[#This Row],[Pós Ureia mg/dL]]</f>
        <v>37</v>
      </c>
      <c r="AI304" s="125">
        <f>Tabela1[[#This Row],[Pré creatinina mg/dL]]</f>
        <v>0.8</v>
      </c>
      <c r="AJ304" s="125">
        <f>Tabela1[[#This Row],[Pós creatinina mg/dL]]</f>
        <v>0.9</v>
      </c>
      <c r="AK304" s="180">
        <f t="shared" si="16"/>
        <v>9.9999999999999978E-2</v>
      </c>
      <c r="AL304" s="125">
        <f>Tabela1[[#This Row],[Pré Fósforo mg/dL]]</f>
        <v>4.2</v>
      </c>
      <c r="AM304" s="125">
        <f>Tabela1[[#This Row],[Pós Fósforo mg/dL]]</f>
        <v>4.4000000000000004</v>
      </c>
      <c r="AN304" s="125">
        <f>Tabela1[[#This Row],[Pré Proteína Total (g/dL)]]</f>
        <v>7.7</v>
      </c>
      <c r="AO304" s="125">
        <f>Tabela1[[#This Row],[Pós Proteína Total (g/dL)]]</f>
        <v>7.3</v>
      </c>
      <c r="AP304" s="85">
        <f>Tabela1[[#This Row],[Pré FE (ug/dL)]]</f>
        <v>41</v>
      </c>
      <c r="AQ304" s="193">
        <f>Tabela1[[#This Row],[Pós FE (ug/dL)]]</f>
        <v>10</v>
      </c>
      <c r="AR304" s="194">
        <f>Tabela1[[#This Row],[Pré calcio mg/dL]]</f>
        <v>12.2</v>
      </c>
      <c r="AS304" s="125">
        <f>Tabela1[[#This Row],[Pós calcio mg/dL]]</f>
        <v>11.9</v>
      </c>
      <c r="AT304" s="125">
        <f>Tabela1[[#This Row],[Pré Potássio mmol/L]]</f>
        <v>4</v>
      </c>
      <c r="AU304" s="125">
        <f>Tabela1[[#This Row],[Pós Potássio mmol/L]]</f>
        <v>4</v>
      </c>
      <c r="AV304" s="85">
        <f>Tabela1[[#This Row],[Glicose pré]]</f>
        <v>99</v>
      </c>
      <c r="AW304" s="85">
        <f>Tabela1[[#This Row],[Glicose pós]]</f>
        <v>115</v>
      </c>
      <c r="AX304" s="85">
        <f>Tabela1[[#This Row],[Pré Sódio mmol/L]]</f>
        <v>141</v>
      </c>
      <c r="AY304" s="85">
        <f>Tabela1[[#This Row],[Pós Sódio mmol/L]]</f>
        <v>143</v>
      </c>
      <c r="AZ304" s="125">
        <f>Tabela1[[#This Row],[Pré Magnésio mg/dL]]</f>
        <v>2.6</v>
      </c>
      <c r="BA304" s="125">
        <f>Tabela1[[#This Row],[Pós Magnésio mg/dL]]</f>
        <v>2.4</v>
      </c>
      <c r="BB304" s="85">
        <f>Tabela1[[#This Row],[Pré Cloro mmol/L]]</f>
        <v>125</v>
      </c>
      <c r="BC304" s="85">
        <f>Tabela1[[#This Row],[Pós Cloro mmol/L]]</f>
        <v>117</v>
      </c>
      <c r="BD30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296.19166666666666</v>
      </c>
      <c r="BE30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300.93388888888893</v>
      </c>
      <c r="BF304" s="194" t="str">
        <f>Tabela1[[#This Row],[Pré RBC 10^6/mm³]]</f>
        <v>-</v>
      </c>
      <c r="BG304" s="125" t="str">
        <f>Tabela1[[#This Row],[Pós RBC 10^6/mm³]]</f>
        <v>-</v>
      </c>
      <c r="BH304" s="125">
        <f>Tabela1[[#This Row],[Pré HGB g/dL]]</f>
        <v>15.3</v>
      </c>
      <c r="BI304" s="125">
        <f>Tabela1[[#This Row],[Pós HGB g/dL]]</f>
        <v>14.3</v>
      </c>
      <c r="BJ304" s="125">
        <f>Tabela1[[#This Row],[Pré HCT %]]</f>
        <v>46.8</v>
      </c>
      <c r="BK304" s="125">
        <f>Tabela1[[#This Row],[Pós HCT %]]</f>
        <v>43.3</v>
      </c>
      <c r="BL304" s="125">
        <f>Tabela1[[#This Row],[Pré MCV fL]]</f>
        <v>94.3</v>
      </c>
      <c r="BM304" s="125">
        <f>Tabela1[[#This Row],[Pós MCV fL]]</f>
        <v>94.4</v>
      </c>
      <c r="BN304" s="125">
        <f>Tabela1[[#This Row],[Pré MCH pg]]</f>
        <v>30.8</v>
      </c>
      <c r="BO304" s="125">
        <f>Tabela1[[#This Row],[Pós MCH pg]]</f>
        <v>31.1</v>
      </c>
      <c r="BP304" s="125">
        <f>Tabela1[[#This Row],[Pré MCHC g/dL]]</f>
        <v>32.6</v>
      </c>
      <c r="BQ304" s="125">
        <f>Tabela1[[#This Row],[Pós MCHC g/dL]]</f>
        <v>32.9</v>
      </c>
      <c r="BR304" s="85">
        <f>Tabela1[[#This Row],[Pré PLT 10³/mm³]]</f>
        <v>259</v>
      </c>
      <c r="BS304" s="85">
        <f>Tabela1[[#This Row],[Pós PLT 10³/mm³]]</f>
        <v>267</v>
      </c>
      <c r="BT304" s="125">
        <f>Tabela1[[#This Row],[Pré RDW %]]</f>
        <v>13</v>
      </c>
      <c r="BU304" s="125">
        <f>Tabela1[[#This Row],[Pós RDW %]]</f>
        <v>14.1</v>
      </c>
      <c r="BV304" s="179">
        <f>Tabela1[[#This Row],[Pré RET %]]</f>
        <v>0.65</v>
      </c>
      <c r="BW304" s="196">
        <f>Tabela1[[#This Row],[Pós RET %]]</f>
        <v>0.64</v>
      </c>
      <c r="BX304" s="197">
        <f>Tabela1[[#This Row],[Pré WBC 10³/mm³]]</f>
        <v>3.72</v>
      </c>
      <c r="BY304" s="179">
        <f>Tabela1[[#This Row],[Pós WBC 10³/mm³]]</f>
        <v>7.82</v>
      </c>
      <c r="BZ304" s="125">
        <f>Tabela1[[#This Row],[Pré NEUT %]]</f>
        <v>40.1</v>
      </c>
      <c r="CA304" s="125">
        <f>Tabela1[[#This Row],[Pós NEUT %]]</f>
        <v>5.15</v>
      </c>
      <c r="CB304" s="125">
        <f>Tabela1[[#This Row],[Pré LINF %]]</f>
        <v>40.1</v>
      </c>
      <c r="CC304" s="125">
        <f>Tabela1[[#This Row],[Pós LINF %]]</f>
        <v>5.15</v>
      </c>
      <c r="CD304" s="125">
        <f>Tabela1[[#This Row],[Pré MONO %]]</f>
        <v>18.2</v>
      </c>
      <c r="CE304" s="125">
        <f>Tabela1[[#This Row],[Pós MONO %]]</f>
        <v>0.76</v>
      </c>
      <c r="CF304" s="125">
        <f>Tabela1[[#This Row],[Pré EOS %]]</f>
        <v>5.3</v>
      </c>
      <c r="CG304" s="125">
        <f>Tabela1[[#This Row],[Pós EOS %]]</f>
        <v>0.05</v>
      </c>
      <c r="CH304" s="125">
        <f>Tabela1[[#This Row],[Pré BASO %]]</f>
        <v>2.2000000000000002</v>
      </c>
      <c r="CI304" s="198">
        <f>Tabela1[[#This Row],[Pós BASO %]]</f>
        <v>0.06</v>
      </c>
      <c r="CJ304" s="199" t="str">
        <f t="shared" si="17"/>
        <v>NÃO</v>
      </c>
      <c r="CK304" s="200" t="str">
        <f t="shared" si="18"/>
        <v>NÃO</v>
      </c>
      <c r="CL304" s="194">
        <f t="shared" si="19"/>
        <v>79.259819999999991</v>
      </c>
      <c r="CM304" s="125">
        <f>Tabela1[[#This Row],[MCT KG]]</f>
        <v>92.55</v>
      </c>
      <c r="CN304" s="85">
        <f>Tabela1[[#This Row],[ESTATURA]]</f>
        <v>183.2</v>
      </c>
      <c r="CO304" s="85">
        <f>Tabela1[[#This Row],[vo2max estimado]]</f>
        <v>45.83</v>
      </c>
      <c r="CP304" s="85">
        <f>Tabela1[[#This Row],[Handgrip     Dominante]]</f>
        <v>58</v>
      </c>
      <c r="CQ304" s="85">
        <f>Tabela1[[#This Row],[Handgrip Contrário]]</f>
        <v>62</v>
      </c>
      <c r="CR304" s="281">
        <f>Tabela1[[#This Row],[% gordura]]</f>
        <v>14.36</v>
      </c>
    </row>
    <row r="305" spans="1:96" ht="15.75" customHeight="1">
      <c r="A305" s="279">
        <f>Tabela1[[#This Row],[Ano]]</f>
        <v>2022</v>
      </c>
      <c r="B305" s="181" t="str">
        <f>Tabela1[[#This Row],[Missão]]</f>
        <v>Marambaia</v>
      </c>
      <c r="C305" s="181">
        <f>Tabela1[[#This Row],[Aluno]]</f>
        <v>3258</v>
      </c>
      <c r="D305" s="181">
        <f>Tabela1[[#This Row],[Idade]]</f>
        <v>26</v>
      </c>
      <c r="E305" s="182">
        <f>Tabela1[[#This Row],[Peso Kg]]</f>
        <v>83</v>
      </c>
      <c r="F305" s="191">
        <f>Tabela1[[#This Row],[Cor da pele]]</f>
        <v>0</v>
      </c>
      <c r="G305" s="192" t="str">
        <f>Tabela1[[#This Row],[ACTN3]]</f>
        <v>XX</v>
      </c>
      <c r="H305" s="85" t="str">
        <f>Tabela1[[#This Row],[AGT]]</f>
        <v>MT</v>
      </c>
      <c r="I305" s="85" t="str">
        <f>Tabela1[[#This Row],[ECA]]</f>
        <v>ID</v>
      </c>
      <c r="J305" s="85" t="str">
        <f>Tabela1[[#This Row],[BDKRB2]]</f>
        <v>(+9, -9)</v>
      </c>
      <c r="K305" s="85">
        <f>Tabela1[[#This Row],[Score Força%]]</f>
        <v>37.5</v>
      </c>
      <c r="L305" s="193">
        <f>Tabela1[[#This Row],[Score Resistência %]]</f>
        <v>62.5</v>
      </c>
      <c r="M305" s="192">
        <f>Tabela1[[#This Row],[Pré CK (U/L)]]</f>
        <v>1276</v>
      </c>
      <c r="N305" s="85">
        <f>Tabela1[[#This Row],[Pós CK (U/L)]]</f>
        <v>1063</v>
      </c>
      <c r="O305" s="85" t="str">
        <f>Tabela1[[#This Row],[Pré CK MB U/L]]</f>
        <v>-</v>
      </c>
      <c r="P305" s="85" t="str">
        <f>Tabela1[[#This Row],[Pós CK MB U/L]]</f>
        <v>-</v>
      </c>
      <c r="Q305" s="85">
        <f>Tabela1[[#This Row],[Pré Lactato (mmol/L)]]</f>
        <v>2.1</v>
      </c>
      <c r="R305" s="85">
        <f>Tabela1[[#This Row],[Pós Lactato (mmol/L)]]</f>
        <v>2.6</v>
      </c>
      <c r="S305" s="85">
        <f>Tabela1[[#This Row],[Pré LDH (U/L)]]</f>
        <v>295</v>
      </c>
      <c r="T305" s="85">
        <f>Tabela1[[#This Row],[Pós LDH (U/L)]]</f>
        <v>308</v>
      </c>
      <c r="U305" s="85">
        <f>Tabela1[[#This Row],[Pré AST (U/L)]]</f>
        <v>96</v>
      </c>
      <c r="V305" s="193">
        <f>Tabela1[[#This Row],[Pós AST (U/L)]]</f>
        <v>92</v>
      </c>
      <c r="W305" s="194" t="str">
        <f>Tabela1[[#This Row],[Pré Albumina (g/dL)]]</f>
        <v>-</v>
      </c>
      <c r="X305" s="125" t="str">
        <f>Tabela1[[#This Row],[Pós Albumina (g/dL)]]</f>
        <v>-</v>
      </c>
      <c r="Y305" s="85" t="str">
        <f>Tabela1[[#This Row],[Pré TGP (g/dL)]]</f>
        <v>-</v>
      </c>
      <c r="Z305" s="85" t="str">
        <f>Tabela1[[#This Row],[Pós TGP (g/dL)]]</f>
        <v>-</v>
      </c>
      <c r="AA305" s="85" t="str">
        <f>Tabela1[[#This Row],[Pré GGT U/L]]</f>
        <v>-</v>
      </c>
      <c r="AB305" s="193" t="str">
        <f>Tabela1[[#This Row],[Pós GGT U/L]]</f>
        <v>-</v>
      </c>
      <c r="AC305" s="194">
        <f>Tabela1[[#This Row],[Pré Ac. Úrico (mg/dL)]]</f>
        <v>5.4</v>
      </c>
      <c r="AD305" s="125">
        <f>Tabela1[[#This Row],[Pós Ac. Úrico (mg/dL)2]]</f>
        <v>6.4</v>
      </c>
      <c r="AE30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30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305" s="85">
        <f>Tabela1[[#This Row],[Pré Ureia mg/dL]]</f>
        <v>53</v>
      </c>
      <c r="AH305" s="85">
        <f>Tabela1[[#This Row],[Pós Ureia mg/dL]]</f>
        <v>59</v>
      </c>
      <c r="AI305" s="125">
        <f>Tabela1[[#This Row],[Pré creatinina mg/dL]]</f>
        <v>1</v>
      </c>
      <c r="AJ305" s="125">
        <f>Tabela1[[#This Row],[Pós creatinina mg/dL]]</f>
        <v>1.3</v>
      </c>
      <c r="AK305" s="180">
        <f t="shared" si="16"/>
        <v>0.30000000000000004</v>
      </c>
      <c r="AL305" s="125">
        <f>Tabela1[[#This Row],[Pré Fósforo mg/dL]]</f>
        <v>3.8</v>
      </c>
      <c r="AM305" s="125">
        <f>Tabela1[[#This Row],[Pós Fósforo mg/dL]]</f>
        <v>5.4</v>
      </c>
      <c r="AN305" s="125">
        <f>Tabela1[[#This Row],[Pré Proteína Total (g/dL)]]</f>
        <v>8</v>
      </c>
      <c r="AO305" s="125">
        <f>Tabela1[[#This Row],[Pós Proteína Total (g/dL)]]</f>
        <v>8.4</v>
      </c>
      <c r="AP305" s="85">
        <f>Tabela1[[#This Row],[Pré FE (ug/dL)]]</f>
        <v>146</v>
      </c>
      <c r="AQ305" s="193">
        <f>Tabela1[[#This Row],[Pós FE (ug/dL)]]</f>
        <v>58</v>
      </c>
      <c r="AR305" s="194">
        <f>Tabela1[[#This Row],[Pré calcio mg/dL]]</f>
        <v>13.5</v>
      </c>
      <c r="AS305" s="125">
        <f>Tabela1[[#This Row],[Pós calcio mg/dL]]</f>
        <v>14</v>
      </c>
      <c r="AT305" s="125">
        <f>Tabela1[[#This Row],[Pré Potássio mmol/L]]</f>
        <v>4.3</v>
      </c>
      <c r="AU305" s="125">
        <f>Tabela1[[#This Row],[Pós Potássio mmol/L]]</f>
        <v>5</v>
      </c>
      <c r="AV305" s="85">
        <f>Tabela1[[#This Row],[Glicose pré]]</f>
        <v>102</v>
      </c>
      <c r="AW305" s="85">
        <f>Tabela1[[#This Row],[Glicose pós]]</f>
        <v>91</v>
      </c>
      <c r="AX305" s="85">
        <f>Tabela1[[#This Row],[Pré Sódio mmol/L]]</f>
        <v>141</v>
      </c>
      <c r="AY305" s="85">
        <f>Tabela1[[#This Row],[Pós Sódio mmol/L]]</f>
        <v>147</v>
      </c>
      <c r="AZ305" s="125">
        <f>Tabela1[[#This Row],[Pré Magnésio mg/dL]]</f>
        <v>2.6</v>
      </c>
      <c r="BA305" s="125">
        <f>Tabela1[[#This Row],[Pós Magnésio mg/dL]]</f>
        <v>3</v>
      </c>
      <c r="BB305" s="85">
        <f>Tabela1[[#This Row],[Pré Cloro mmol/L]]</f>
        <v>129</v>
      </c>
      <c r="BC305" s="85">
        <f>Tabela1[[#This Row],[Pós Cloro mmol/L]]</f>
        <v>134</v>
      </c>
      <c r="BD30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299.608</v>
      </c>
      <c r="BE30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312.36722222222221</v>
      </c>
      <c r="BF305" s="194" t="str">
        <f>Tabela1[[#This Row],[Pré RBC 10^6/mm³]]</f>
        <v>-</v>
      </c>
      <c r="BG305" s="125" t="str">
        <f>Tabela1[[#This Row],[Pós RBC 10^6/mm³]]</f>
        <v>-</v>
      </c>
      <c r="BH305" s="125">
        <f>Tabela1[[#This Row],[Pré HGB g/dL]]</f>
        <v>15.7</v>
      </c>
      <c r="BI305" s="125">
        <f>Tabela1[[#This Row],[Pós HGB g/dL]]</f>
        <v>15.6</v>
      </c>
      <c r="BJ305" s="125">
        <f>Tabela1[[#This Row],[Pré HCT %]]</f>
        <v>48.6</v>
      </c>
      <c r="BK305" s="125">
        <f>Tabela1[[#This Row],[Pós HCT %]]</f>
        <v>48.2</v>
      </c>
      <c r="BL305" s="125">
        <f>Tabela1[[#This Row],[Pré MCV fL]]</f>
        <v>94.4</v>
      </c>
      <c r="BM305" s="125">
        <f>Tabela1[[#This Row],[Pós MCV fL]]</f>
        <v>94.5</v>
      </c>
      <c r="BN305" s="125">
        <f>Tabela1[[#This Row],[Pré MCH pg]]</f>
        <v>30.5</v>
      </c>
      <c r="BO305" s="125">
        <f>Tabela1[[#This Row],[Pós MCH pg]]</f>
        <v>30.6</v>
      </c>
      <c r="BP305" s="125">
        <f>Tabela1[[#This Row],[Pré MCHC g/dL]]</f>
        <v>32.299999999999997</v>
      </c>
      <c r="BQ305" s="125">
        <f>Tabela1[[#This Row],[Pós MCHC g/dL]]</f>
        <v>32.4</v>
      </c>
      <c r="BR305" s="85">
        <f>Tabela1[[#This Row],[Pré PLT 10³/mm³]]</f>
        <v>286</v>
      </c>
      <c r="BS305" s="85">
        <f>Tabela1[[#This Row],[Pós PLT 10³/mm³]]</f>
        <v>291</v>
      </c>
      <c r="BT305" s="125">
        <f>Tabela1[[#This Row],[Pré RDW %]]</f>
        <v>12.9</v>
      </c>
      <c r="BU305" s="125">
        <f>Tabela1[[#This Row],[Pós RDW %]]</f>
        <v>14.1</v>
      </c>
      <c r="BV305" s="179">
        <f>Tabela1[[#This Row],[Pré RET %]]</f>
        <v>0.38</v>
      </c>
      <c r="BW305" s="196">
        <f>Tabela1[[#This Row],[Pós RET %]]</f>
        <v>0.46</v>
      </c>
      <c r="BX305" s="197">
        <f>Tabela1[[#This Row],[Pré WBC 10³/mm³]]</f>
        <v>7.79</v>
      </c>
      <c r="BY305" s="179">
        <f>Tabela1[[#This Row],[Pós WBC 10³/mm³]]</f>
        <v>10.66</v>
      </c>
      <c r="BZ305" s="125">
        <f>Tabela1[[#This Row],[Pré NEUT %]]</f>
        <v>58.3</v>
      </c>
      <c r="CA305" s="125">
        <f>Tabela1[[#This Row],[Pós NEUT %]]</f>
        <v>6.97</v>
      </c>
      <c r="CB305" s="125">
        <f>Tabela1[[#This Row],[Pré LINF %]]</f>
        <v>58.3</v>
      </c>
      <c r="CC305" s="125">
        <f>Tabela1[[#This Row],[Pós LINF %]]</f>
        <v>6.97</v>
      </c>
      <c r="CD305" s="125">
        <f>Tabela1[[#This Row],[Pré MONO %]]</f>
        <v>8.4</v>
      </c>
      <c r="CE305" s="125">
        <f>Tabela1[[#This Row],[Pós MONO %]]</f>
        <v>1.0900000000000001</v>
      </c>
      <c r="CF305" s="125">
        <f>Tabela1[[#This Row],[Pré EOS %]]</f>
        <v>1.6</v>
      </c>
      <c r="CG305" s="125">
        <f>Tabela1[[#This Row],[Pós EOS %]]</f>
        <v>0.06</v>
      </c>
      <c r="CH305" s="125">
        <f>Tabela1[[#This Row],[Pré BASO %]]</f>
        <v>0.9</v>
      </c>
      <c r="CI305" s="198">
        <f>Tabela1[[#This Row],[Pós BASO %]]</f>
        <v>7.0000000000000007E-2</v>
      </c>
      <c r="CJ305" s="199" t="str">
        <f t="shared" si="17"/>
        <v>SIM</v>
      </c>
      <c r="CK305" s="200" t="str">
        <f t="shared" si="18"/>
        <v>SIM</v>
      </c>
      <c r="CL305" s="194">
        <f t="shared" si="19"/>
        <v>72.216679999999997</v>
      </c>
      <c r="CM305" s="125">
        <f>Tabela1[[#This Row],[MCT KG]]</f>
        <v>87.05</v>
      </c>
      <c r="CN305" s="85">
        <f>Tabela1[[#This Row],[ESTATURA]]</f>
        <v>173.3</v>
      </c>
      <c r="CO305" s="85">
        <f>Tabela1[[#This Row],[vo2max estimado]]</f>
        <v>46.36</v>
      </c>
      <c r="CP305" s="85">
        <f>Tabela1[[#This Row],[Handgrip     Dominante]]</f>
        <v>50</v>
      </c>
      <c r="CQ305" s="85">
        <f>Tabela1[[#This Row],[Handgrip Contrário]]</f>
        <v>46</v>
      </c>
      <c r="CR305" s="281">
        <f>Tabela1[[#This Row],[% gordura]]</f>
        <v>17.04</v>
      </c>
    </row>
    <row r="306" spans="1:96" ht="15.75" customHeight="1">
      <c r="A306" s="279">
        <f>Tabela1[[#This Row],[Ano]]</f>
        <v>2022</v>
      </c>
      <c r="B306" s="181" t="str">
        <f>Tabela1[[#This Row],[Missão]]</f>
        <v>Marambaia</v>
      </c>
      <c r="C306" s="181">
        <f>Tabela1[[#This Row],[Aluno]]</f>
        <v>3259</v>
      </c>
      <c r="D306" s="181">
        <f>Tabela1[[#This Row],[Idade]]</f>
        <v>25</v>
      </c>
      <c r="E306" s="182">
        <f>Tabela1[[#This Row],[Peso Kg]]</f>
        <v>70</v>
      </c>
      <c r="F306" s="191">
        <f>Tabela1[[#This Row],[Cor da pele]]</f>
        <v>0</v>
      </c>
      <c r="G306" s="192" t="str">
        <f>Tabela1[[#This Row],[ACTN3]]</f>
        <v>RR</v>
      </c>
      <c r="H306" s="85" t="str">
        <f>Tabela1[[#This Row],[AGT]]</f>
        <v>TT</v>
      </c>
      <c r="I306" s="85" t="str">
        <f>Tabela1[[#This Row],[ECA]]</f>
        <v>ID</v>
      </c>
      <c r="J306" s="85" t="str">
        <f>Tabela1[[#This Row],[BDKRB2]]</f>
        <v>(+9, -9)</v>
      </c>
      <c r="K306" s="85">
        <f>Tabela1[[#This Row],[Score Força%]]</f>
        <v>75</v>
      </c>
      <c r="L306" s="193">
        <f>Tabela1[[#This Row],[Score Resistência %]]</f>
        <v>25</v>
      </c>
      <c r="M306" s="192">
        <f>Tabela1[[#This Row],[Pré CK (U/L)]]</f>
        <v>3803</v>
      </c>
      <c r="N306" s="85">
        <f>Tabela1[[#This Row],[Pós CK (U/L)]]</f>
        <v>15498</v>
      </c>
      <c r="O306" s="85" t="str">
        <f>Tabela1[[#This Row],[Pré CK MB U/L]]</f>
        <v>-</v>
      </c>
      <c r="P306" s="85" t="str">
        <f>Tabela1[[#This Row],[Pós CK MB U/L]]</f>
        <v>-</v>
      </c>
      <c r="Q306" s="85">
        <f>Tabela1[[#This Row],[Pré Lactato (mmol/L)]]</f>
        <v>1.2</v>
      </c>
      <c r="R306" s="85">
        <f>Tabela1[[#This Row],[Pós Lactato (mmol/L)]]</f>
        <v>1.3</v>
      </c>
      <c r="S306" s="85">
        <f>Tabela1[[#This Row],[Pré LDH (U/L)]]</f>
        <v>375</v>
      </c>
      <c r="T306" s="85">
        <f>Tabela1[[#This Row],[Pós LDH (U/L)]]</f>
        <v>861</v>
      </c>
      <c r="U306" s="85">
        <f>Tabela1[[#This Row],[Pré AST (U/L)]]</f>
        <v>165</v>
      </c>
      <c r="V306" s="193">
        <f>Tabela1[[#This Row],[Pós AST (U/L)]]</f>
        <v>496</v>
      </c>
      <c r="W306" s="194" t="str">
        <f>Tabela1[[#This Row],[Pré Albumina (g/dL)]]</f>
        <v>-</v>
      </c>
      <c r="X306" s="125" t="str">
        <f>Tabela1[[#This Row],[Pós Albumina (g/dL)]]</f>
        <v>-</v>
      </c>
      <c r="Y306" s="85" t="str">
        <f>Tabela1[[#This Row],[Pré TGP (g/dL)]]</f>
        <v>-</v>
      </c>
      <c r="Z306" s="85" t="str">
        <f>Tabela1[[#This Row],[Pós TGP (g/dL)]]</f>
        <v>-</v>
      </c>
      <c r="AA306" s="85" t="str">
        <f>Tabela1[[#This Row],[Pré GGT U/L]]</f>
        <v>-</v>
      </c>
      <c r="AB306" s="193" t="str">
        <f>Tabela1[[#This Row],[Pós GGT U/L]]</f>
        <v>-</v>
      </c>
      <c r="AC306" s="194">
        <f>Tabela1[[#This Row],[Pré Ac. Úrico (mg/dL)]]</f>
        <v>4.9000000000000004</v>
      </c>
      <c r="AD306" s="125">
        <f>Tabela1[[#This Row],[Pós Ac. Úrico (mg/dL)2]]</f>
        <v>6.4</v>
      </c>
      <c r="AE30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0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306" s="85">
        <f>Tabela1[[#This Row],[Pré Ureia mg/dL]]</f>
        <v>50</v>
      </c>
      <c r="AH306" s="85">
        <f>Tabela1[[#This Row],[Pós Ureia mg/dL]]</f>
        <v>60</v>
      </c>
      <c r="AI306" s="125">
        <f>Tabela1[[#This Row],[Pré creatinina mg/dL]]</f>
        <v>0.9</v>
      </c>
      <c r="AJ306" s="125">
        <f>Tabela1[[#This Row],[Pós creatinina mg/dL]]</f>
        <v>1.1000000000000001</v>
      </c>
      <c r="AK306" s="180">
        <f t="shared" si="16"/>
        <v>0.20000000000000007</v>
      </c>
      <c r="AL306" s="125">
        <f>Tabela1[[#This Row],[Pré Fósforo mg/dL]]</f>
        <v>4.5999999999999996</v>
      </c>
      <c r="AM306" s="125">
        <f>Tabela1[[#This Row],[Pós Fósforo mg/dL]]</f>
        <v>5.7</v>
      </c>
      <c r="AN306" s="125">
        <f>Tabela1[[#This Row],[Pré Proteína Total (g/dL)]]</f>
        <v>7.9</v>
      </c>
      <c r="AO306" s="125">
        <f>Tabela1[[#This Row],[Pós Proteína Total (g/dL)]]</f>
        <v>7.7</v>
      </c>
      <c r="AP306" s="85">
        <f>Tabela1[[#This Row],[Pré FE (ug/dL)]]</f>
        <v>116</v>
      </c>
      <c r="AQ306" s="193">
        <f>Tabela1[[#This Row],[Pós FE (ug/dL)]]</f>
        <v>39</v>
      </c>
      <c r="AR306" s="194">
        <f>Tabela1[[#This Row],[Pré calcio mg/dL]]</f>
        <v>11.3</v>
      </c>
      <c r="AS306" s="125">
        <f>Tabela1[[#This Row],[Pós calcio mg/dL]]</f>
        <v>10.9</v>
      </c>
      <c r="AT306" s="125">
        <f>Tabela1[[#This Row],[Pré Potássio mmol/L]]</f>
        <v>4.5999999999999996</v>
      </c>
      <c r="AU306" s="125">
        <f>Tabela1[[#This Row],[Pós Potássio mmol/L]]</f>
        <v>4.9000000000000004</v>
      </c>
      <c r="AV306" s="85">
        <f>Tabela1[[#This Row],[Glicose pré]]</f>
        <v>85</v>
      </c>
      <c r="AW306" s="85">
        <f>Tabela1[[#This Row],[Glicose pós]]</f>
        <v>110</v>
      </c>
      <c r="AX306" s="85">
        <f>Tabela1[[#This Row],[Pré Sódio mmol/L]]</f>
        <v>140</v>
      </c>
      <c r="AY306" s="85">
        <f>Tabela1[[#This Row],[Pós Sódio mmol/L]]</f>
        <v>142</v>
      </c>
      <c r="AZ306" s="125">
        <f>Tabela1[[#This Row],[Pré Magnésio mg/dL]]</f>
        <v>2.1</v>
      </c>
      <c r="BA306" s="125">
        <f>Tabela1[[#This Row],[Pós Magnésio mg/dL]]</f>
        <v>2.4</v>
      </c>
      <c r="BB306" s="85">
        <f>Tabela1[[#This Row],[Pré Cloro mmol/L]]</f>
        <v>106</v>
      </c>
      <c r="BC306" s="85">
        <f>Tabela1[[#This Row],[Pós Cloro mmol/L]]</f>
        <v>97</v>
      </c>
      <c r="BD30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296.71988888888887</v>
      </c>
      <c r="BE30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304.26177777777781</v>
      </c>
      <c r="BF306" s="194" t="str">
        <f>Tabela1[[#This Row],[Pré RBC 10^6/mm³]]</f>
        <v>-</v>
      </c>
      <c r="BG306" s="125" t="str">
        <f>Tabela1[[#This Row],[Pós RBC 10^6/mm³]]</f>
        <v>-</v>
      </c>
      <c r="BH306" s="125">
        <f>Tabela1[[#This Row],[Pré HGB g/dL]]</f>
        <v>14.8</v>
      </c>
      <c r="BI306" s="125">
        <f>Tabela1[[#This Row],[Pós HGB g/dL]]</f>
        <v>15</v>
      </c>
      <c r="BJ306" s="125">
        <f>Tabela1[[#This Row],[Pré HCT %]]</f>
        <v>46.1</v>
      </c>
      <c r="BK306" s="125">
        <f>Tabela1[[#This Row],[Pós HCT %]]</f>
        <v>45.7</v>
      </c>
      <c r="BL306" s="125">
        <f>Tabela1[[#This Row],[Pré MCV fL]]</f>
        <v>93</v>
      </c>
      <c r="BM306" s="125">
        <f>Tabela1[[#This Row],[Pós MCV fL]]</f>
        <v>93.4</v>
      </c>
      <c r="BN306" s="125">
        <f>Tabela1[[#This Row],[Pré MCH pg]]</f>
        <v>29.8</v>
      </c>
      <c r="BO306" s="125">
        <f>Tabela1[[#This Row],[Pós MCH pg]]</f>
        <v>30.7</v>
      </c>
      <c r="BP306" s="125">
        <f>Tabela1[[#This Row],[Pré MCHC g/dL]]</f>
        <v>32.1</v>
      </c>
      <c r="BQ306" s="125">
        <f>Tabela1[[#This Row],[Pós MCHC g/dL]]</f>
        <v>32.799999999999997</v>
      </c>
      <c r="BR306" s="85">
        <f>Tabela1[[#This Row],[Pré PLT 10³/mm³]]</f>
        <v>233</v>
      </c>
      <c r="BS306" s="85">
        <f>Tabela1[[#This Row],[Pós PLT 10³/mm³]]</f>
        <v>253</v>
      </c>
      <c r="BT306" s="125">
        <f>Tabela1[[#This Row],[Pré RDW %]]</f>
        <v>13.3</v>
      </c>
      <c r="BU306" s="125">
        <f>Tabela1[[#This Row],[Pós RDW %]]</f>
        <v>15</v>
      </c>
      <c r="BV306" s="179">
        <f>Tabela1[[#This Row],[Pré RET %]]</f>
        <v>1.57</v>
      </c>
      <c r="BW306" s="196">
        <f>Tabela1[[#This Row],[Pós RET %]]</f>
        <v>1.39</v>
      </c>
      <c r="BX306" s="197">
        <f>Tabela1[[#This Row],[Pré WBC 10³/mm³]]</f>
        <v>9.4600000000000009</v>
      </c>
      <c r="BY306" s="179">
        <f>Tabela1[[#This Row],[Pós WBC 10³/mm³]]</f>
        <v>13.63</v>
      </c>
      <c r="BZ306" s="125">
        <f>Tabela1[[#This Row],[Pré NEUT %]]</f>
        <v>69.400000000000006</v>
      </c>
      <c r="CA306" s="125">
        <f>Tabela1[[#This Row],[Pós NEUT %]]</f>
        <v>10.9</v>
      </c>
      <c r="CB306" s="125">
        <f>Tabela1[[#This Row],[Pré LINF %]]</f>
        <v>69.400000000000006</v>
      </c>
      <c r="CC306" s="125">
        <f>Tabela1[[#This Row],[Pós LINF %]]</f>
        <v>10.9</v>
      </c>
      <c r="CD306" s="125">
        <f>Tabela1[[#This Row],[Pré MONO %]]</f>
        <v>9.1</v>
      </c>
      <c r="CE306" s="125">
        <f>Tabela1[[#This Row],[Pós MONO %]]</f>
        <v>0.96</v>
      </c>
      <c r="CF306" s="125">
        <f>Tabela1[[#This Row],[Pré EOS %]]</f>
        <v>2.9</v>
      </c>
      <c r="CG306" s="125">
        <f>Tabela1[[#This Row],[Pós EOS %]]</f>
        <v>0.04</v>
      </c>
      <c r="CH306" s="125">
        <f>Tabela1[[#This Row],[Pré BASO %]]</f>
        <v>0.5</v>
      </c>
      <c r="CI306" s="198">
        <f>Tabela1[[#This Row],[Pós BASO %]]</f>
        <v>0.04</v>
      </c>
      <c r="CJ306" s="199" t="str">
        <f t="shared" si="17"/>
        <v>NÃO</v>
      </c>
      <c r="CK306" s="200" t="str">
        <f t="shared" si="18"/>
        <v>SIM</v>
      </c>
      <c r="CL306" s="194">
        <f t="shared" si="19"/>
        <v>66.786999999999992</v>
      </c>
      <c r="CM306" s="125">
        <f>Tabela1[[#This Row],[MCT KG]]</f>
        <v>71.05</v>
      </c>
      <c r="CN306" s="85">
        <f>Tabela1[[#This Row],[ESTATURA]]</f>
        <v>172.4</v>
      </c>
      <c r="CO306" s="85">
        <f>Tabela1[[#This Row],[vo2max estimado]]</f>
        <v>56.66</v>
      </c>
      <c r="CP306" s="85">
        <f>Tabela1[[#This Row],[Handgrip     Dominante]]</f>
        <v>58</v>
      </c>
      <c r="CQ306" s="85">
        <f>Tabela1[[#This Row],[Handgrip Contrário]]</f>
        <v>44</v>
      </c>
      <c r="CR306" s="281">
        <f>Tabela1[[#This Row],[% gordura]]</f>
        <v>6</v>
      </c>
    </row>
    <row r="307" spans="1:96" ht="15.75" customHeight="1">
      <c r="A307" s="279">
        <f>Tabela1[[#This Row],[Ano]]</f>
        <v>2022</v>
      </c>
      <c r="B307" s="181" t="str">
        <f>Tabela1[[#This Row],[Missão]]</f>
        <v>Marambaia</v>
      </c>
      <c r="C307" s="181">
        <f>Tabela1[[#This Row],[Aluno]]</f>
        <v>3260</v>
      </c>
      <c r="D307" s="181">
        <f>Tabela1[[#This Row],[Idade]]</f>
        <v>25</v>
      </c>
      <c r="E307" s="182">
        <f>Tabela1[[#This Row],[Peso Kg]]</f>
        <v>77</v>
      </c>
      <c r="F307" s="191">
        <f>Tabela1[[#This Row],[Cor da pele]]</f>
        <v>0</v>
      </c>
      <c r="G307" s="192" t="str">
        <f>Tabela1[[#This Row],[ACTN3]]</f>
        <v>RR</v>
      </c>
      <c r="H307" s="85" t="str">
        <f>Tabela1[[#This Row],[AGT]]</f>
        <v>MT</v>
      </c>
      <c r="I307" s="85" t="str">
        <f>Tabela1[[#This Row],[ECA]]</f>
        <v>ID</v>
      </c>
      <c r="J307" s="85" t="str">
        <f>Tabela1[[#This Row],[BDKRB2]]</f>
        <v>(+9, +9)</v>
      </c>
      <c r="K307" s="85">
        <f>Tabela1[[#This Row],[Score Força%]]</f>
        <v>75</v>
      </c>
      <c r="L307" s="193">
        <f>Tabela1[[#This Row],[Score Resistência %]]</f>
        <v>25</v>
      </c>
      <c r="M307" s="192">
        <f>Tabela1[[#This Row],[Pré CK (U/L)]]</f>
        <v>2318</v>
      </c>
      <c r="N307" s="85">
        <f>Tabela1[[#This Row],[Pós CK (U/L)]]</f>
        <v>3724</v>
      </c>
      <c r="O307" s="85" t="str">
        <f>Tabela1[[#This Row],[Pré CK MB U/L]]</f>
        <v>-</v>
      </c>
      <c r="P307" s="85" t="str">
        <f>Tabela1[[#This Row],[Pós CK MB U/L]]</f>
        <v>-</v>
      </c>
      <c r="Q307" s="85">
        <f>Tabela1[[#This Row],[Pré Lactato (mmol/L)]]</f>
        <v>1.5</v>
      </c>
      <c r="R307" s="85">
        <f>Tabela1[[#This Row],[Pós Lactato (mmol/L)]]</f>
        <v>2</v>
      </c>
      <c r="S307" s="85">
        <f>Tabela1[[#This Row],[Pré LDH (U/L)]]</f>
        <v>383</v>
      </c>
      <c r="T307" s="85">
        <f>Tabela1[[#This Row],[Pós LDH (U/L)]]</f>
        <v>446</v>
      </c>
      <c r="U307" s="85">
        <f>Tabela1[[#This Row],[Pré AST (U/L)]]</f>
        <v>143</v>
      </c>
      <c r="V307" s="193">
        <f>Tabela1[[#This Row],[Pós AST (U/L)]]</f>
        <v>183</v>
      </c>
      <c r="W307" s="194" t="str">
        <f>Tabela1[[#This Row],[Pré Albumina (g/dL)]]</f>
        <v>-</v>
      </c>
      <c r="X307" s="125" t="str">
        <f>Tabela1[[#This Row],[Pós Albumina (g/dL)]]</f>
        <v>-</v>
      </c>
      <c r="Y307" s="85" t="str">
        <f>Tabela1[[#This Row],[Pré TGP (g/dL)]]</f>
        <v>-</v>
      </c>
      <c r="Z307" s="85" t="str">
        <f>Tabela1[[#This Row],[Pós TGP (g/dL)]]</f>
        <v>-</v>
      </c>
      <c r="AA307" s="85" t="str">
        <f>Tabela1[[#This Row],[Pré GGT U/L]]</f>
        <v>-</v>
      </c>
      <c r="AB307" s="193" t="str">
        <f>Tabela1[[#This Row],[Pós GGT U/L]]</f>
        <v>-</v>
      </c>
      <c r="AC307" s="194">
        <f>Tabela1[[#This Row],[Pré Ac. Úrico (mg/dL)]]</f>
        <v>5.0999999999999996</v>
      </c>
      <c r="AD307" s="125">
        <f>Tabela1[[#This Row],[Pós Ac. Úrico (mg/dL)2]]</f>
        <v>5.4</v>
      </c>
      <c r="AE30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84.476059599302445</v>
      </c>
      <c r="AF30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307" s="85">
        <f>Tabela1[[#This Row],[Pré Ureia mg/dL]]</f>
        <v>73</v>
      </c>
      <c r="AH307" s="85">
        <f>Tabela1[[#This Row],[Pós Ureia mg/dL]]</f>
        <v>69</v>
      </c>
      <c r="AI307" s="125">
        <f>Tabela1[[#This Row],[Pré creatinina mg/dL]]</f>
        <v>1.2</v>
      </c>
      <c r="AJ307" s="125">
        <f>Tabela1[[#This Row],[Pós creatinina mg/dL]]</f>
        <v>1.3</v>
      </c>
      <c r="AK307" s="180">
        <f t="shared" si="16"/>
        <v>0.10000000000000009</v>
      </c>
      <c r="AL307" s="125">
        <f>Tabela1[[#This Row],[Pré Fósforo mg/dL]]</f>
        <v>4.0999999999999996</v>
      </c>
      <c r="AM307" s="125">
        <f>Tabela1[[#This Row],[Pós Fósforo mg/dL]]</f>
        <v>4.8</v>
      </c>
      <c r="AN307" s="125">
        <f>Tabela1[[#This Row],[Pré Proteína Total (g/dL)]]</f>
        <v>7.3</v>
      </c>
      <c r="AO307" s="125">
        <f>Tabela1[[#This Row],[Pós Proteína Total (g/dL)]]</f>
        <v>6.6</v>
      </c>
      <c r="AP307" s="85">
        <f>Tabela1[[#This Row],[Pré FE (ug/dL)]]</f>
        <v>70</v>
      </c>
      <c r="AQ307" s="193">
        <f>Tabela1[[#This Row],[Pós FE (ug/dL)]]</f>
        <v>12</v>
      </c>
      <c r="AR307" s="194">
        <f>Tabela1[[#This Row],[Pré calcio mg/dL]]</f>
        <v>11.1</v>
      </c>
      <c r="AS307" s="125">
        <f>Tabela1[[#This Row],[Pós calcio mg/dL]]</f>
        <v>11.1</v>
      </c>
      <c r="AT307" s="125">
        <f>Tabela1[[#This Row],[Pré Potássio mmol/L]]</f>
        <v>4.5999999999999996</v>
      </c>
      <c r="AU307" s="125">
        <f>Tabela1[[#This Row],[Pós Potássio mmol/L]]</f>
        <v>4.5999999999999996</v>
      </c>
      <c r="AV307" s="85">
        <f>Tabela1[[#This Row],[Glicose pré]]</f>
        <v>84</v>
      </c>
      <c r="AW307" s="85">
        <f>Tabela1[[#This Row],[Glicose pós]]</f>
        <v>95</v>
      </c>
      <c r="AX307" s="85">
        <f>Tabela1[[#This Row],[Pré Sódio mmol/L]]</f>
        <v>143</v>
      </c>
      <c r="AY307" s="85">
        <f>Tabela1[[#This Row],[Pós Sódio mmol/L]]</f>
        <v>146</v>
      </c>
      <c r="AZ307" s="125">
        <f>Tabela1[[#This Row],[Pré Magnésio mg/dL]]</f>
        <v>2.6</v>
      </c>
      <c r="BA307" s="125">
        <f>Tabela1[[#This Row],[Pós Magnésio mg/dL]]</f>
        <v>2.6</v>
      </c>
      <c r="BB307" s="85">
        <f>Tabela1[[#This Row],[Pré Cloro mmol/L]]</f>
        <v>106</v>
      </c>
      <c r="BC307" s="85">
        <f>Tabela1[[#This Row],[Pós Cloro mmol/L]]</f>
        <v>108</v>
      </c>
      <c r="BD30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306.06933333333336</v>
      </c>
      <c r="BE30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311.68544444444444</v>
      </c>
      <c r="BF307" s="194" t="str">
        <f>Tabela1[[#This Row],[Pré RBC 10^6/mm³]]</f>
        <v>-</v>
      </c>
      <c r="BG307" s="125" t="str">
        <f>Tabela1[[#This Row],[Pós RBC 10^6/mm³]]</f>
        <v>-</v>
      </c>
      <c r="BH307" s="125">
        <f>Tabela1[[#This Row],[Pré HGB g/dL]]</f>
        <v>15.1</v>
      </c>
      <c r="BI307" s="125">
        <f>Tabela1[[#This Row],[Pós HGB g/dL]]</f>
        <v>13.9</v>
      </c>
      <c r="BJ307" s="125">
        <f>Tabela1[[#This Row],[Pré HCT %]]</f>
        <v>46.2</v>
      </c>
      <c r="BK307" s="125">
        <f>Tabela1[[#This Row],[Pós HCT %]]</f>
        <v>42.4</v>
      </c>
      <c r="BL307" s="125">
        <f>Tabela1[[#This Row],[Pré MCV fL]]</f>
        <v>84.6</v>
      </c>
      <c r="BM307" s="125">
        <f>Tabela1[[#This Row],[Pós MCV fL]]</f>
        <v>86.3</v>
      </c>
      <c r="BN307" s="125">
        <f>Tabela1[[#This Row],[Pré MCH pg]]</f>
        <v>27.6</v>
      </c>
      <c r="BO307" s="125">
        <f>Tabela1[[#This Row],[Pós MCH pg]]</f>
        <v>28.2</v>
      </c>
      <c r="BP307" s="125">
        <f>Tabela1[[#This Row],[Pré MCHC g/dL]]</f>
        <v>32.6</v>
      </c>
      <c r="BQ307" s="125">
        <f>Tabela1[[#This Row],[Pós MCHC g/dL]]</f>
        <v>32.700000000000003</v>
      </c>
      <c r="BR307" s="85">
        <f>Tabela1[[#This Row],[Pré PLT 10³/mm³]]</f>
        <v>354</v>
      </c>
      <c r="BS307" s="85">
        <f>Tabela1[[#This Row],[Pós PLT 10³/mm³]]</f>
        <v>320</v>
      </c>
      <c r="BT307" s="125">
        <f>Tabela1[[#This Row],[Pré RDW %]]</f>
        <v>13.5</v>
      </c>
      <c r="BU307" s="125">
        <f>Tabela1[[#This Row],[Pós RDW %]]</f>
        <v>14.5</v>
      </c>
      <c r="BV307" s="179">
        <f>Tabela1[[#This Row],[Pré RET %]]</f>
        <v>0.71</v>
      </c>
      <c r="BW307" s="196">
        <f>Tabela1[[#This Row],[Pós RET %]]</f>
        <v>0.86</v>
      </c>
      <c r="BX307" s="197">
        <f>Tabela1[[#This Row],[Pré WBC 10³/mm³]]</f>
        <v>5.14</v>
      </c>
      <c r="BY307" s="179">
        <f>Tabela1[[#This Row],[Pós WBC 10³/mm³]]</f>
        <v>8.44</v>
      </c>
      <c r="BZ307" s="125">
        <f>Tabela1[[#This Row],[Pré NEUT %]]</f>
        <v>61.1</v>
      </c>
      <c r="CA307" s="125">
        <f>Tabela1[[#This Row],[Pós NEUT %]]</f>
        <v>5.77</v>
      </c>
      <c r="CB307" s="125">
        <f>Tabela1[[#This Row],[Pré LINF %]]</f>
        <v>61.1</v>
      </c>
      <c r="CC307" s="125">
        <f>Tabela1[[#This Row],[Pós LINF %]]</f>
        <v>5.77</v>
      </c>
      <c r="CD307" s="125">
        <f>Tabela1[[#This Row],[Pré MONO %]]</f>
        <v>10.8</v>
      </c>
      <c r="CE307" s="125">
        <f>Tabela1[[#This Row],[Pós MONO %]]</f>
        <v>0.97</v>
      </c>
      <c r="CF307" s="125">
        <f>Tabela1[[#This Row],[Pré EOS %]]</f>
        <v>0.7</v>
      </c>
      <c r="CG307" s="125">
        <f>Tabela1[[#This Row],[Pós EOS %]]</f>
        <v>0.01</v>
      </c>
      <c r="CH307" s="125">
        <f>Tabela1[[#This Row],[Pré BASO %]]</f>
        <v>0.3</v>
      </c>
      <c r="CI307" s="198">
        <f>Tabela1[[#This Row],[Pós BASO %]]</f>
        <v>0.05</v>
      </c>
      <c r="CJ307" s="199" t="str">
        <f t="shared" si="17"/>
        <v>NÃO</v>
      </c>
      <c r="CK307" s="200" t="str">
        <f t="shared" si="18"/>
        <v>SIM</v>
      </c>
      <c r="CL307" s="194">
        <f t="shared" si="19"/>
        <v>72.202060000000003</v>
      </c>
      <c r="CM307" s="125">
        <f>Tabela1[[#This Row],[MCT KG]]</f>
        <v>78.2</v>
      </c>
      <c r="CN307" s="85">
        <f>Tabela1[[#This Row],[ESTATURA]]</f>
        <v>182.1</v>
      </c>
      <c r="CO307" s="85">
        <f>Tabela1[[#This Row],[vo2max estimado]]</f>
        <v>51.94</v>
      </c>
      <c r="CP307" s="85">
        <f>Tabela1[[#This Row],[Handgrip     Dominante]]</f>
        <v>62</v>
      </c>
      <c r="CQ307" s="85">
        <f>Tabela1[[#This Row],[Handgrip Contrário]]</f>
        <v>65</v>
      </c>
      <c r="CR307" s="281">
        <f>Tabela1[[#This Row],[% gordura]]</f>
        <v>7.67</v>
      </c>
    </row>
    <row r="308" spans="1:96" ht="15.75" customHeight="1">
      <c r="A308" s="279">
        <f>Tabela1[[#This Row],[Ano]]</f>
        <v>2022</v>
      </c>
      <c r="B308" s="181" t="str">
        <f>Tabela1[[#This Row],[Missão]]</f>
        <v>Ladário</v>
      </c>
      <c r="C308" s="181">
        <f>Tabela1[[#This Row],[Aluno]]</f>
        <v>3236</v>
      </c>
      <c r="D308" s="181">
        <f>Tabela1[[#This Row],[Idade]]</f>
        <v>27</v>
      </c>
      <c r="E308" s="182">
        <f>Tabela1[[#This Row],[Peso Kg]]</f>
        <v>72</v>
      </c>
      <c r="F308" s="191">
        <f>Tabela1[[#This Row],[Cor da pele]]</f>
        <v>0</v>
      </c>
      <c r="G308" s="192" t="str">
        <f>Tabela1[[#This Row],[ACTN3]]</f>
        <v>RX</v>
      </c>
      <c r="H308" s="85" t="str">
        <f>Tabela1[[#This Row],[AGT]]</f>
        <v>MT</v>
      </c>
      <c r="I308" s="85" t="str">
        <f>Tabela1[[#This Row],[ECA]]</f>
        <v>ID</v>
      </c>
      <c r="J308" s="85" t="str">
        <f>Tabela1[[#This Row],[BDKRB2]]</f>
        <v>(+9, +9)</v>
      </c>
      <c r="K308" s="85">
        <f>Tabela1[[#This Row],[Score Força%]]</f>
        <v>62.5</v>
      </c>
      <c r="L308" s="193">
        <f>Tabela1[[#This Row],[Score Resistência %]]</f>
        <v>37.5</v>
      </c>
      <c r="M308" s="192">
        <f>Tabela1[[#This Row],[Pré CK (U/L)]]</f>
        <v>218</v>
      </c>
      <c r="N308" s="85">
        <f>Tabela1[[#This Row],[Pós CK (U/L)]]</f>
        <v>141</v>
      </c>
      <c r="O308" s="85" t="str">
        <f>Tabela1[[#This Row],[Pré CK MB U/L]]</f>
        <v>-</v>
      </c>
      <c r="P308" s="85" t="str">
        <f>Tabela1[[#This Row],[Pós CK MB U/L]]</f>
        <v>-</v>
      </c>
      <c r="Q308" s="85">
        <f>Tabela1[[#This Row],[Pré Lactato (mmol/L)]]</f>
        <v>2.9</v>
      </c>
      <c r="R308" s="85">
        <f>Tabela1[[#This Row],[Pós Lactato (mmol/L)]]</f>
        <v>3.6</v>
      </c>
      <c r="S308" s="85">
        <f>Tabela1[[#This Row],[Pré LDH (U/L)]]</f>
        <v>213</v>
      </c>
      <c r="T308" s="85">
        <f>Tabela1[[#This Row],[Pós LDH (U/L)]]</f>
        <v>223</v>
      </c>
      <c r="U308" s="85">
        <f>Tabela1[[#This Row],[Pré AST (U/L)]]</f>
        <v>32</v>
      </c>
      <c r="V308" s="193">
        <f>Tabela1[[#This Row],[Pós AST (U/L)]]</f>
        <v>27</v>
      </c>
      <c r="W308" s="194" t="str">
        <f>Tabela1[[#This Row],[Pré Albumina (g/dL)]]</f>
        <v>-</v>
      </c>
      <c r="X308" s="125" t="str">
        <f>Tabela1[[#This Row],[Pós Albumina (g/dL)]]</f>
        <v>-</v>
      </c>
      <c r="Y308" s="85" t="str">
        <f>Tabela1[[#This Row],[Pré TGP (g/dL)]]</f>
        <v>-</v>
      </c>
      <c r="Z308" s="85" t="str">
        <f>Tabela1[[#This Row],[Pós TGP (g/dL)]]</f>
        <v>-</v>
      </c>
      <c r="AA308" s="85" t="str">
        <f>Tabela1[[#This Row],[Pré GGT U/L]]</f>
        <v>-</v>
      </c>
      <c r="AB308" s="193" t="str">
        <f>Tabela1[[#This Row],[Pós GGT U/L]]</f>
        <v>-</v>
      </c>
      <c r="AC308" s="194">
        <f>Tabela1[[#This Row],[Pré Ac. Úrico (mg/dL)]]</f>
        <v>4.0999999999999996</v>
      </c>
      <c r="AD308" s="125">
        <f>Tabela1[[#This Row],[Pós Ac. Úrico (mg/dL)2]]</f>
        <v>5.8</v>
      </c>
      <c r="AE30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0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308" s="85">
        <f>Tabela1[[#This Row],[Pré Ureia mg/dL]]</f>
        <v>29</v>
      </c>
      <c r="AH308" s="85">
        <f>Tabela1[[#This Row],[Pós Ureia mg/dL]]</f>
        <v>45</v>
      </c>
      <c r="AI308" s="125">
        <f>Tabela1[[#This Row],[Pré creatinina mg/dL]]</f>
        <v>0.9</v>
      </c>
      <c r="AJ308" s="125">
        <f>Tabela1[[#This Row],[Pós creatinina mg/dL]]</f>
        <v>1.2</v>
      </c>
      <c r="AK308" s="180">
        <f t="shared" si="16"/>
        <v>0.29999999999999993</v>
      </c>
      <c r="AL308" s="125">
        <f>Tabela1[[#This Row],[Pré Fósforo mg/dL]]</f>
        <v>4.5999999999999996</v>
      </c>
      <c r="AM308" s="125">
        <f>Tabela1[[#This Row],[Pós Fósforo mg/dL]]</f>
        <v>5.2</v>
      </c>
      <c r="AN308" s="125">
        <f>Tabela1[[#This Row],[Pré Proteína Total (g/dL)]]</f>
        <v>6.8</v>
      </c>
      <c r="AO308" s="125">
        <f>Tabela1[[#This Row],[Pós Proteína Total (g/dL)]]</f>
        <v>7.6</v>
      </c>
      <c r="AP308" s="85">
        <f>Tabela1[[#This Row],[Pré FE (ug/dL)]]</f>
        <v>32</v>
      </c>
      <c r="AQ308" s="193">
        <f>Tabela1[[#This Row],[Pós FE (ug/dL)]]</f>
        <v>73</v>
      </c>
      <c r="AR308" s="194">
        <f>Tabela1[[#This Row],[Pré calcio mg/dL]]</f>
        <v>9</v>
      </c>
      <c r="AS308" s="125">
        <f>Tabela1[[#This Row],[Pós calcio mg/dL]]</f>
        <v>9.6999999999999993</v>
      </c>
      <c r="AT308" s="125">
        <f>Tabela1[[#This Row],[Pré Potássio mmol/L]]</f>
        <v>4.2</v>
      </c>
      <c r="AU308" s="125">
        <f>Tabela1[[#This Row],[Pós Potássio mmol/L]]</f>
        <v>4.7</v>
      </c>
      <c r="AV308" s="85">
        <f>Tabela1[[#This Row],[Glicose pré]]</f>
        <v>98</v>
      </c>
      <c r="AW308" s="85">
        <f>Tabela1[[#This Row],[Glicose pós]]</f>
        <v>87</v>
      </c>
      <c r="AX308" s="85">
        <f>Tabela1[[#This Row],[Pré Sódio mmol/L]]</f>
        <v>142</v>
      </c>
      <c r="AY308" s="85">
        <f>Tabela1[[#This Row],[Pós Sódio mmol/L]]</f>
        <v>147</v>
      </c>
      <c r="AZ308" s="125">
        <f>Tabela1[[#This Row],[Pré Magnésio mg/dL]]</f>
        <v>2.1</v>
      </c>
      <c r="BA308" s="125">
        <f>Tabela1[[#This Row],[Pós Magnésio mg/dL]]</f>
        <v>2.4</v>
      </c>
      <c r="BB308" s="85">
        <f>Tabela1[[#This Row],[Pré Cloro mmol/L]]</f>
        <v>85</v>
      </c>
      <c r="BC308" s="85">
        <f>Tabela1[[#This Row],[Pós Cloro mmol/L]]</f>
        <v>86</v>
      </c>
      <c r="BD30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297.02644444444445</v>
      </c>
      <c r="BE30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309.22033333333331</v>
      </c>
      <c r="BF308" s="194">
        <f>Tabela1[[#This Row],[Pré RBC 10^6/mm³]]</f>
        <v>5.4</v>
      </c>
      <c r="BG308" s="125" t="str">
        <f>Tabela1[[#This Row],[Pós RBC 10^6/mm³]]</f>
        <v>-</v>
      </c>
      <c r="BH308" s="125">
        <f>Tabela1[[#This Row],[Pré HGB g/dL]]</f>
        <v>14.2</v>
      </c>
      <c r="BI308" s="125" t="str">
        <f>Tabela1[[#This Row],[Pós HGB g/dL]]</f>
        <v>-</v>
      </c>
      <c r="BJ308" s="125">
        <f>Tabela1[[#This Row],[Pré HCT %]]</f>
        <v>42.7</v>
      </c>
      <c r="BK308" s="125" t="str">
        <f>Tabela1[[#This Row],[Pós HCT %]]</f>
        <v>-</v>
      </c>
      <c r="BL308" s="125">
        <f>Tabela1[[#This Row],[Pré MCV fL]]</f>
        <v>79.099999999999994</v>
      </c>
      <c r="BM308" s="125" t="str">
        <f>Tabela1[[#This Row],[Pós MCV fL]]</f>
        <v>-</v>
      </c>
      <c r="BN308" s="125">
        <f>Tabela1[[#This Row],[Pré MCH pg]]</f>
        <v>26.3</v>
      </c>
      <c r="BO308" s="125" t="str">
        <f>Tabela1[[#This Row],[Pós MCH pg]]</f>
        <v>-</v>
      </c>
      <c r="BP308" s="125">
        <f>Tabela1[[#This Row],[Pré MCHC g/dL]]</f>
        <v>33.299999999999997</v>
      </c>
      <c r="BQ308" s="125" t="str">
        <f>Tabela1[[#This Row],[Pós MCHC g/dL]]</f>
        <v>-</v>
      </c>
      <c r="BR308" s="85">
        <f>Tabela1[[#This Row],[Pré PLT 10³/mm³]]</f>
        <v>295</v>
      </c>
      <c r="BS308" s="85" t="str">
        <f>Tabela1[[#This Row],[Pós PLT 10³/mm³]]</f>
        <v>-</v>
      </c>
      <c r="BT308" s="125">
        <f>Tabela1[[#This Row],[Pré RDW %]]</f>
        <v>15</v>
      </c>
      <c r="BU308" s="125" t="str">
        <f>Tabela1[[#This Row],[Pós RDW %]]</f>
        <v>-</v>
      </c>
      <c r="BV308" s="179" t="str">
        <f>Tabela1[[#This Row],[Pré RET %]]</f>
        <v>-</v>
      </c>
      <c r="BW308" s="196" t="str">
        <f>Tabela1[[#This Row],[Pós RET %]]</f>
        <v>-</v>
      </c>
      <c r="BX308" s="197">
        <f>Tabela1[[#This Row],[Pré WBC 10³/mm³]]</f>
        <v>7.87</v>
      </c>
      <c r="BY308" s="179" t="str">
        <f>Tabela1[[#This Row],[Pós WBC 10³/mm³]]</f>
        <v>-</v>
      </c>
      <c r="BZ308" s="125">
        <f>Tabela1[[#This Row],[Pré NEUT %]]</f>
        <v>65.599999999999994</v>
      </c>
      <c r="CA308" s="125" t="str">
        <f>Tabela1[[#This Row],[Pós NEUT %]]</f>
        <v>-</v>
      </c>
      <c r="CB308" s="125">
        <f>Tabela1[[#This Row],[Pré LINF %]]</f>
        <v>18.8</v>
      </c>
      <c r="CC308" s="125" t="str">
        <f>Tabela1[[#This Row],[Pós LINF %]]</f>
        <v>-</v>
      </c>
      <c r="CD308" s="125">
        <f>Tabela1[[#This Row],[Pré MONO %]]</f>
        <v>9.4</v>
      </c>
      <c r="CE308" s="125" t="str">
        <f>Tabela1[[#This Row],[Pós MONO %]]</f>
        <v>-</v>
      </c>
      <c r="CF308" s="125">
        <f>Tabela1[[#This Row],[Pré EOS %]]</f>
        <v>5.7</v>
      </c>
      <c r="CG308" s="125" t="str">
        <f>Tabela1[[#This Row],[Pós EOS %]]</f>
        <v>-</v>
      </c>
      <c r="CH308" s="125">
        <f>Tabela1[[#This Row],[Pré BASO %]]</f>
        <v>0.5</v>
      </c>
      <c r="CI308" s="198" t="str">
        <f>Tabela1[[#This Row],[Pós BASO %]]</f>
        <v>-</v>
      </c>
      <c r="CJ308" s="199" t="str">
        <f t="shared" si="17"/>
        <v>SIM</v>
      </c>
      <c r="CK308" s="200" t="str">
        <f t="shared" si="18"/>
        <v>NÃO</v>
      </c>
      <c r="CL308" s="194">
        <f t="shared" si="19"/>
        <v>69.121659999999991</v>
      </c>
      <c r="CM308" s="125">
        <f>Tabela1[[#This Row],[MCT KG]]</f>
        <v>77.3</v>
      </c>
      <c r="CN308" s="85">
        <f>Tabela1[[#This Row],[ESTATURA]]</f>
        <v>170.3</v>
      </c>
      <c r="CO308" s="85">
        <f>Tabela1[[#This Row],[vo2max estimado]]</f>
        <v>49.62</v>
      </c>
      <c r="CP308" s="85">
        <f>Tabela1[[#This Row],[Handgrip     Dominante]]</f>
        <v>50</v>
      </c>
      <c r="CQ308" s="85">
        <f>Tabela1[[#This Row],[Handgrip Contrário]]</f>
        <v>52</v>
      </c>
      <c r="CR308" s="281">
        <f>Tabela1[[#This Row],[% gordura]]</f>
        <v>10.58</v>
      </c>
    </row>
    <row r="309" spans="1:96" ht="15.75" customHeight="1">
      <c r="A309" s="279">
        <f>Tabela1[[#This Row],[Ano]]</f>
        <v>2022</v>
      </c>
      <c r="B309" s="181" t="str">
        <f>Tabela1[[#This Row],[Missão]]</f>
        <v>Ladário</v>
      </c>
      <c r="C309" s="181">
        <f>Tabela1[[#This Row],[Aluno]]</f>
        <v>3237</v>
      </c>
      <c r="D309" s="181">
        <f>Tabela1[[#This Row],[Idade]]</f>
        <v>24</v>
      </c>
      <c r="E309" s="182">
        <f>Tabela1[[#This Row],[Peso Kg]]</f>
        <v>77</v>
      </c>
      <c r="F309" s="191">
        <f>Tabela1[[#This Row],[Cor da pele]]</f>
        <v>0</v>
      </c>
      <c r="G309" s="192" t="str">
        <f>Tabela1[[#This Row],[ACTN3]]</f>
        <v>RX</v>
      </c>
      <c r="H309" s="85" t="str">
        <f>Tabela1[[#This Row],[AGT]]</f>
        <v>MM</v>
      </c>
      <c r="I309" s="85" t="str">
        <f>Tabela1[[#This Row],[ECA]]</f>
        <v>II</v>
      </c>
      <c r="J309" s="85" t="str">
        <f>Tabela1[[#This Row],[BDKRB2]]</f>
        <v>(-9 , -9)</v>
      </c>
      <c r="K309" s="85">
        <f>Tabela1[[#This Row],[Score Força%]]</f>
        <v>12.5</v>
      </c>
      <c r="L309" s="193">
        <f>Tabela1[[#This Row],[Score Resistência %]]</f>
        <v>87.5</v>
      </c>
      <c r="M309" s="192">
        <f>Tabela1[[#This Row],[Pré CK (U/L)]]</f>
        <v>226</v>
      </c>
      <c r="N309" s="85">
        <f>Tabela1[[#This Row],[Pós CK (U/L)]]</f>
        <v>117</v>
      </c>
      <c r="O309" s="85" t="str">
        <f>Tabela1[[#This Row],[Pré CK MB U/L]]</f>
        <v>-</v>
      </c>
      <c r="P309" s="85" t="str">
        <f>Tabela1[[#This Row],[Pós CK MB U/L]]</f>
        <v>-</v>
      </c>
      <c r="Q309" s="85">
        <f>Tabela1[[#This Row],[Pré Lactato (mmol/L)]]</f>
        <v>4.4000000000000004</v>
      </c>
      <c r="R309" s="85">
        <f>Tabela1[[#This Row],[Pós Lactato (mmol/L)]]</f>
        <v>3.8</v>
      </c>
      <c r="S309" s="85">
        <f>Tabela1[[#This Row],[Pré LDH (U/L)]]</f>
        <v>163</v>
      </c>
      <c r="T309" s="85">
        <f>Tabela1[[#This Row],[Pós LDH (U/L)]]</f>
        <v>160</v>
      </c>
      <c r="U309" s="85">
        <f>Tabela1[[#This Row],[Pré AST (U/L)]]</f>
        <v>36</v>
      </c>
      <c r="V309" s="193">
        <f>Tabela1[[#This Row],[Pós AST (U/L)]]</f>
        <v>21</v>
      </c>
      <c r="W309" s="194" t="str">
        <f>Tabela1[[#This Row],[Pré Albumina (g/dL)]]</f>
        <v>-</v>
      </c>
      <c r="X309" s="125" t="str">
        <f>Tabela1[[#This Row],[Pós Albumina (g/dL)]]</f>
        <v>-</v>
      </c>
      <c r="Y309" s="85" t="str">
        <f>Tabela1[[#This Row],[Pré TGP (g/dL)]]</f>
        <v>-</v>
      </c>
      <c r="Z309" s="85" t="str">
        <f>Tabela1[[#This Row],[Pós TGP (g/dL)]]</f>
        <v>-</v>
      </c>
      <c r="AA309" s="85" t="str">
        <f>Tabela1[[#This Row],[Pré GGT U/L]]</f>
        <v>-</v>
      </c>
      <c r="AB309" s="193" t="str">
        <f>Tabela1[[#This Row],[Pós GGT U/L]]</f>
        <v>-</v>
      </c>
      <c r="AC309" s="194">
        <f>Tabela1[[#This Row],[Pré Ac. Úrico (mg/dL)]]</f>
        <v>5.8</v>
      </c>
      <c r="AD309" s="125">
        <f>Tabela1[[#This Row],[Pós Ac. Úrico (mg/dL)2]]</f>
        <v>5.8</v>
      </c>
      <c r="AE30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30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309" s="85">
        <f>Tabela1[[#This Row],[Pré Ureia mg/dL]]</f>
        <v>42</v>
      </c>
      <c r="AH309" s="85">
        <f>Tabela1[[#This Row],[Pós Ureia mg/dL]]</f>
        <v>37</v>
      </c>
      <c r="AI309" s="125">
        <f>Tabela1[[#This Row],[Pré creatinina mg/dL]]</f>
        <v>1.1000000000000001</v>
      </c>
      <c r="AJ309" s="125">
        <f>Tabela1[[#This Row],[Pós creatinina mg/dL]]</f>
        <v>1.2</v>
      </c>
      <c r="AK309" s="180">
        <f t="shared" si="16"/>
        <v>9.9999999999999867E-2</v>
      </c>
      <c r="AL309" s="125">
        <f>Tabela1[[#This Row],[Pré Fósforo mg/dL]]</f>
        <v>4.7</v>
      </c>
      <c r="AM309" s="125">
        <f>Tabela1[[#This Row],[Pós Fósforo mg/dL]]</f>
        <v>4.0999999999999996</v>
      </c>
      <c r="AN309" s="125">
        <f>Tabela1[[#This Row],[Pré Proteína Total (g/dL)]]</f>
        <v>7.6</v>
      </c>
      <c r="AO309" s="125">
        <f>Tabela1[[#This Row],[Pós Proteína Total (g/dL)]]</f>
        <v>7.5</v>
      </c>
      <c r="AP309" s="85">
        <f>Tabela1[[#This Row],[Pré FE (ug/dL)]]</f>
        <v>187</v>
      </c>
      <c r="AQ309" s="193">
        <f>Tabela1[[#This Row],[Pós FE (ug/dL)]]</f>
        <v>91</v>
      </c>
      <c r="AR309" s="194">
        <f>Tabela1[[#This Row],[Pré calcio mg/dL]]</f>
        <v>10.199999999999999</v>
      </c>
      <c r="AS309" s="125">
        <f>Tabela1[[#This Row],[Pós calcio mg/dL]]</f>
        <v>9.4</v>
      </c>
      <c r="AT309" s="125">
        <f>Tabela1[[#This Row],[Pré Potássio mmol/L]]</f>
        <v>4.8</v>
      </c>
      <c r="AU309" s="125">
        <f>Tabela1[[#This Row],[Pós Potássio mmol/L]]</f>
        <v>4.5999999999999996</v>
      </c>
      <c r="AV309" s="85">
        <f>Tabela1[[#This Row],[Glicose pré]]</f>
        <v>159</v>
      </c>
      <c r="AW309" s="85">
        <f>Tabela1[[#This Row],[Glicose pós]]</f>
        <v>91</v>
      </c>
      <c r="AX309" s="85">
        <f>Tabela1[[#This Row],[Pré Sódio mmol/L]]</f>
        <v>161</v>
      </c>
      <c r="AY309" s="85">
        <f>Tabela1[[#This Row],[Pós Sódio mmol/L]]</f>
        <v>146</v>
      </c>
      <c r="AZ309" s="125">
        <f>Tabela1[[#This Row],[Pré Magnésio mg/dL]]</f>
        <v>2.5</v>
      </c>
      <c r="BA309" s="125">
        <f>Tabela1[[#This Row],[Pós Magnésio mg/dL]]</f>
        <v>2.4</v>
      </c>
      <c r="BB309" s="85">
        <f>Tabela1[[#This Row],[Pré Cloro mmol/L]]</f>
        <v>91</v>
      </c>
      <c r="BC309" s="85">
        <f>Tabela1[[#This Row],[Pós Cloro mmol/L]]</f>
        <v>85</v>
      </c>
      <c r="BD30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339.54633333333339</v>
      </c>
      <c r="BE30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306.09655555555554</v>
      </c>
      <c r="BF309" s="194">
        <f>Tabela1[[#This Row],[Pré RBC 10^6/mm³]]</f>
        <v>4.3</v>
      </c>
      <c r="BG309" s="125" t="str">
        <f>Tabela1[[#This Row],[Pós RBC 10^6/mm³]]</f>
        <v>-</v>
      </c>
      <c r="BH309" s="125">
        <f>Tabela1[[#This Row],[Pré HGB g/dL]]</f>
        <v>13.7</v>
      </c>
      <c r="BI309" s="125" t="str">
        <f>Tabela1[[#This Row],[Pós HGB g/dL]]</f>
        <v>-</v>
      </c>
      <c r="BJ309" s="125">
        <f>Tabela1[[#This Row],[Pré HCT %]]</f>
        <v>41</v>
      </c>
      <c r="BK309" s="125" t="str">
        <f>Tabela1[[#This Row],[Pós HCT %]]</f>
        <v>-</v>
      </c>
      <c r="BL309" s="125">
        <f>Tabela1[[#This Row],[Pré MCV fL]]</f>
        <v>95.3</v>
      </c>
      <c r="BM309" s="125" t="str">
        <f>Tabela1[[#This Row],[Pós MCV fL]]</f>
        <v>-</v>
      </c>
      <c r="BN309" s="125">
        <f>Tabela1[[#This Row],[Pré MCH pg]]</f>
        <v>31.9</v>
      </c>
      <c r="BO309" s="125" t="str">
        <f>Tabela1[[#This Row],[Pós MCH pg]]</f>
        <v>-</v>
      </c>
      <c r="BP309" s="125">
        <f>Tabela1[[#This Row],[Pré MCHC g/dL]]</f>
        <v>33.4</v>
      </c>
      <c r="BQ309" s="125" t="str">
        <f>Tabela1[[#This Row],[Pós MCHC g/dL]]</f>
        <v>-</v>
      </c>
      <c r="BR309" s="85">
        <f>Tabela1[[#This Row],[Pré PLT 10³/mm³]]</f>
        <v>215</v>
      </c>
      <c r="BS309" s="85" t="str">
        <f>Tabela1[[#This Row],[Pós PLT 10³/mm³]]</f>
        <v>-</v>
      </c>
      <c r="BT309" s="125">
        <f>Tabela1[[#This Row],[Pré RDW %]]</f>
        <v>12.6</v>
      </c>
      <c r="BU309" s="125" t="str">
        <f>Tabela1[[#This Row],[Pós RDW %]]</f>
        <v>-</v>
      </c>
      <c r="BV309" s="179" t="str">
        <f>Tabela1[[#This Row],[Pré RET %]]</f>
        <v>-</v>
      </c>
      <c r="BW309" s="196" t="str">
        <f>Tabela1[[#This Row],[Pós RET %]]</f>
        <v>-</v>
      </c>
      <c r="BX309" s="197">
        <f>Tabela1[[#This Row],[Pré WBC 10³/mm³]]</f>
        <v>6.5</v>
      </c>
      <c r="BY309" s="179" t="str">
        <f>Tabela1[[#This Row],[Pós WBC 10³/mm³]]</f>
        <v>-</v>
      </c>
      <c r="BZ309" s="125">
        <f>Tabela1[[#This Row],[Pré NEUT %]]</f>
        <v>60.6</v>
      </c>
      <c r="CA309" s="125" t="str">
        <f>Tabela1[[#This Row],[Pós NEUT %]]</f>
        <v>-</v>
      </c>
      <c r="CB309" s="125">
        <f>Tabela1[[#This Row],[Pré LINF %]]</f>
        <v>23.8</v>
      </c>
      <c r="CC309" s="125" t="str">
        <f>Tabela1[[#This Row],[Pós LINF %]]</f>
        <v>-</v>
      </c>
      <c r="CD309" s="125">
        <f>Tabela1[[#This Row],[Pré MONO %]]</f>
        <v>8.1999999999999993</v>
      </c>
      <c r="CE309" s="125" t="str">
        <f>Tabela1[[#This Row],[Pós MONO %]]</f>
        <v>-</v>
      </c>
      <c r="CF309" s="125">
        <f>Tabela1[[#This Row],[Pré EOS %]]</f>
        <v>6.9</v>
      </c>
      <c r="CG309" s="125" t="str">
        <f>Tabela1[[#This Row],[Pós EOS %]]</f>
        <v>-</v>
      </c>
      <c r="CH309" s="125">
        <f>Tabela1[[#This Row],[Pré BASO %]]</f>
        <v>0.5</v>
      </c>
      <c r="CI309" s="198" t="str">
        <f>Tabela1[[#This Row],[Pós BASO %]]</f>
        <v>-</v>
      </c>
      <c r="CJ309" s="199" t="str">
        <f t="shared" si="17"/>
        <v>NÃO</v>
      </c>
      <c r="CK309" s="200" t="str">
        <f t="shared" si="18"/>
        <v>NÃO</v>
      </c>
      <c r="CL309" s="194">
        <f t="shared" si="19"/>
        <v>70.724639999999994</v>
      </c>
      <c r="CM309" s="125">
        <f>Tabela1[[#This Row],[MCT KG]]</f>
        <v>77.599999999999994</v>
      </c>
      <c r="CN309" s="85">
        <f>Tabela1[[#This Row],[ESTATURA]]</f>
        <v>178</v>
      </c>
      <c r="CO309" s="85">
        <f>Tabela1[[#This Row],[vo2max estimado]]</f>
        <v>53.68</v>
      </c>
      <c r="CP309" s="85">
        <f>Tabela1[[#This Row],[Handgrip     Dominante]]</f>
        <v>51</v>
      </c>
      <c r="CQ309" s="85">
        <f>Tabela1[[#This Row],[Handgrip Contrário]]</f>
        <v>51</v>
      </c>
      <c r="CR309" s="281">
        <f>Tabela1[[#This Row],[% gordura]]</f>
        <v>8.86</v>
      </c>
    </row>
    <row r="310" spans="1:96" ht="15.75" customHeight="1">
      <c r="A310" s="279">
        <f>Tabela1[[#This Row],[Ano]]</f>
        <v>2022</v>
      </c>
      <c r="B310" s="181" t="str">
        <f>Tabela1[[#This Row],[Missão]]</f>
        <v>Ladário</v>
      </c>
      <c r="C310" s="181">
        <f>Tabela1[[#This Row],[Aluno]]</f>
        <v>3238</v>
      </c>
      <c r="D310" s="181">
        <f>Tabela1[[#This Row],[Idade]]</f>
        <v>24</v>
      </c>
      <c r="E310" s="182">
        <f>Tabela1[[#This Row],[Peso Kg]]</f>
        <v>72</v>
      </c>
      <c r="F310" s="191">
        <f>Tabela1[[#This Row],[Cor da pele]]</f>
        <v>0</v>
      </c>
      <c r="G310" s="192" t="str">
        <f>Tabela1[[#This Row],[ACTN3]]</f>
        <v>XX</v>
      </c>
      <c r="H310" s="85" t="str">
        <f>Tabela1[[#This Row],[AGT]]</f>
        <v>TT</v>
      </c>
      <c r="I310" s="85" t="str">
        <f>Tabela1[[#This Row],[ECA]]</f>
        <v>II</v>
      </c>
      <c r="J310" s="85" t="str">
        <f>Tabela1[[#This Row],[BDKRB2]]</f>
        <v>(-9 , -9)</v>
      </c>
      <c r="K310" s="85">
        <f>Tabela1[[#This Row],[Score Força%]]</f>
        <v>25</v>
      </c>
      <c r="L310" s="193">
        <f>Tabela1[[#This Row],[Score Resistência %]]</f>
        <v>75</v>
      </c>
      <c r="M310" s="192">
        <f>Tabela1[[#This Row],[Pré CK (U/L)]]</f>
        <v>167</v>
      </c>
      <c r="N310" s="85">
        <f>Tabela1[[#This Row],[Pós CK (U/L)]]</f>
        <v>96</v>
      </c>
      <c r="O310" s="85" t="str">
        <f>Tabela1[[#This Row],[Pré CK MB U/L]]</f>
        <v>-</v>
      </c>
      <c r="P310" s="85" t="str">
        <f>Tabela1[[#This Row],[Pós CK MB U/L]]</f>
        <v>-</v>
      </c>
      <c r="Q310" s="85">
        <f>Tabela1[[#This Row],[Pré Lactato (mmol/L)]]</f>
        <v>4.4000000000000004</v>
      </c>
      <c r="R310" s="85">
        <f>Tabela1[[#This Row],[Pós Lactato (mmol/L)]]</f>
        <v>5.9</v>
      </c>
      <c r="S310" s="85">
        <f>Tabela1[[#This Row],[Pré LDH (U/L)]]</f>
        <v>205</v>
      </c>
      <c r="T310" s="85">
        <f>Tabela1[[#This Row],[Pós LDH (U/L)]]</f>
        <v>169</v>
      </c>
      <c r="U310" s="85">
        <f>Tabela1[[#This Row],[Pré AST (U/L)]]</f>
        <v>25</v>
      </c>
      <c r="V310" s="193">
        <f>Tabela1[[#This Row],[Pós AST (U/L)]]</f>
        <v>21</v>
      </c>
      <c r="W310" s="194" t="str">
        <f>Tabela1[[#This Row],[Pré Albumina (g/dL)]]</f>
        <v>-</v>
      </c>
      <c r="X310" s="125" t="str">
        <f>Tabela1[[#This Row],[Pós Albumina (g/dL)]]</f>
        <v>-</v>
      </c>
      <c r="Y310" s="85" t="str">
        <f>Tabela1[[#This Row],[Pré TGP (g/dL)]]</f>
        <v>-</v>
      </c>
      <c r="Z310" s="85" t="str">
        <f>Tabela1[[#This Row],[Pós TGP (g/dL)]]</f>
        <v>-</v>
      </c>
      <c r="AA310" s="85" t="str">
        <f>Tabela1[[#This Row],[Pré GGT U/L]]</f>
        <v>-</v>
      </c>
      <c r="AB310" s="193" t="str">
        <f>Tabela1[[#This Row],[Pós GGT U/L]]</f>
        <v>-</v>
      </c>
      <c r="AC310" s="194">
        <f>Tabela1[[#This Row],[Pré Ac. Úrico (mg/dL)]]</f>
        <v>3.9</v>
      </c>
      <c r="AD310" s="125">
        <f>Tabela1[[#This Row],[Pós Ac. Úrico (mg/dL)2]]</f>
        <v>6.1</v>
      </c>
      <c r="AE31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31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310" s="85">
        <f>Tabela1[[#This Row],[Pré Ureia mg/dL]]</f>
        <v>43</v>
      </c>
      <c r="AH310" s="85">
        <f>Tabela1[[#This Row],[Pós Ureia mg/dL]]</f>
        <v>49</v>
      </c>
      <c r="AI310" s="125">
        <f>Tabela1[[#This Row],[Pré creatinina mg/dL]]</f>
        <v>1.1000000000000001</v>
      </c>
      <c r="AJ310" s="125">
        <f>Tabela1[[#This Row],[Pós creatinina mg/dL]]</f>
        <v>1.3</v>
      </c>
      <c r="AK310" s="180">
        <f t="shared" si="16"/>
        <v>0.19999999999999996</v>
      </c>
      <c r="AL310" s="125">
        <f>Tabela1[[#This Row],[Pré Fósforo mg/dL]]</f>
        <v>5</v>
      </c>
      <c r="AM310" s="125">
        <f>Tabela1[[#This Row],[Pós Fósforo mg/dL]]</f>
        <v>5.7</v>
      </c>
      <c r="AN310" s="125">
        <f>Tabela1[[#This Row],[Pré Proteína Total (g/dL)]]</f>
        <v>8.6</v>
      </c>
      <c r="AO310" s="125">
        <f>Tabela1[[#This Row],[Pós Proteína Total (g/dL)]]</f>
        <v>8</v>
      </c>
      <c r="AP310" s="85">
        <f>Tabela1[[#This Row],[Pré FE (ug/dL)]]</f>
        <v>111</v>
      </c>
      <c r="AQ310" s="193">
        <f>Tabela1[[#This Row],[Pós FE (ug/dL)]]</f>
        <v>74</v>
      </c>
      <c r="AR310" s="194">
        <f>Tabela1[[#This Row],[Pré calcio mg/dL]]</f>
        <v>11</v>
      </c>
      <c r="AS310" s="125">
        <f>Tabela1[[#This Row],[Pós calcio mg/dL]]</f>
        <v>9.6</v>
      </c>
      <c r="AT310" s="125">
        <f>Tabela1[[#This Row],[Pré Potássio mmol/L]]</f>
        <v>4.8</v>
      </c>
      <c r="AU310" s="125">
        <f>Tabela1[[#This Row],[Pós Potássio mmol/L]]</f>
        <v>4.5999999999999996</v>
      </c>
      <c r="AV310" s="85">
        <f>Tabela1[[#This Row],[Glicose pré]]</f>
        <v>89</v>
      </c>
      <c r="AW310" s="85">
        <f>Tabela1[[#This Row],[Glicose pós]]</f>
        <v>77</v>
      </c>
      <c r="AX310" s="85">
        <f>Tabela1[[#This Row],[Pré Sódio mmol/L]]</f>
        <v>168</v>
      </c>
      <c r="AY310" s="85">
        <f>Tabela1[[#This Row],[Pós Sódio mmol/L]]</f>
        <v>147</v>
      </c>
      <c r="AZ310" s="125">
        <f>Tabela1[[#This Row],[Pré Magnésio mg/dL]]</f>
        <v>2.2999999999999998</v>
      </c>
      <c r="BA310" s="125">
        <f>Tabela1[[#This Row],[Pós Magnésio mg/dL]]</f>
        <v>2.2999999999999998</v>
      </c>
      <c r="BB310" s="85">
        <f>Tabela1[[#This Row],[Pré Cloro mmol/L]]</f>
        <v>92</v>
      </c>
      <c r="BC310" s="85">
        <f>Tabela1[[#This Row],[Pós Cloro mmol/L]]</f>
        <v>84</v>
      </c>
      <c r="BD31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348.26077777777783</v>
      </c>
      <c r="BE31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309.06211111111111</v>
      </c>
      <c r="BF310" s="194">
        <f>Tabela1[[#This Row],[Pré RBC 10^6/mm³]]</f>
        <v>5.2</v>
      </c>
      <c r="BG310" s="125" t="str">
        <f>Tabela1[[#This Row],[Pós RBC 10^6/mm³]]</f>
        <v>-</v>
      </c>
      <c r="BH310" s="125">
        <f>Tabela1[[#This Row],[Pré HGB g/dL]]</f>
        <v>14.4</v>
      </c>
      <c r="BI310" s="125" t="str">
        <f>Tabela1[[#This Row],[Pós HGB g/dL]]</f>
        <v>-</v>
      </c>
      <c r="BJ310" s="125">
        <f>Tabela1[[#This Row],[Pré HCT %]]</f>
        <v>41.8</v>
      </c>
      <c r="BK310" s="125" t="str">
        <f>Tabela1[[#This Row],[Pós HCT %]]</f>
        <v>-</v>
      </c>
      <c r="BL310" s="125">
        <f>Tabela1[[#This Row],[Pré MCV fL]]</f>
        <v>80.400000000000006</v>
      </c>
      <c r="BM310" s="125" t="str">
        <f>Tabela1[[#This Row],[Pós MCV fL]]</f>
        <v>-</v>
      </c>
      <c r="BN310" s="125">
        <f>Tabela1[[#This Row],[Pré MCH pg]]</f>
        <v>27.7</v>
      </c>
      <c r="BO310" s="125" t="str">
        <f>Tabela1[[#This Row],[Pós MCH pg]]</f>
        <v>-</v>
      </c>
      <c r="BP310" s="125">
        <f>Tabela1[[#This Row],[Pré MCHC g/dL]]</f>
        <v>34.4</v>
      </c>
      <c r="BQ310" s="125" t="str">
        <f>Tabela1[[#This Row],[Pós MCHC g/dL]]</f>
        <v>-</v>
      </c>
      <c r="BR310" s="85">
        <f>Tabela1[[#This Row],[Pré PLT 10³/mm³]]</f>
        <v>278</v>
      </c>
      <c r="BS310" s="85" t="str">
        <f>Tabela1[[#This Row],[Pós PLT 10³/mm³]]</f>
        <v>-</v>
      </c>
      <c r="BT310" s="125">
        <f>Tabela1[[#This Row],[Pré RDW %]]</f>
        <v>13.3</v>
      </c>
      <c r="BU310" s="125" t="str">
        <f>Tabela1[[#This Row],[Pós RDW %]]</f>
        <v>-</v>
      </c>
      <c r="BV310" s="179" t="str">
        <f>Tabela1[[#This Row],[Pré RET %]]</f>
        <v>-</v>
      </c>
      <c r="BW310" s="196" t="str">
        <f>Tabela1[[#This Row],[Pós RET %]]</f>
        <v>-</v>
      </c>
      <c r="BX310" s="197">
        <f>Tabela1[[#This Row],[Pré WBC 10³/mm³]]</f>
        <v>7.73</v>
      </c>
      <c r="BY310" s="179" t="str">
        <f>Tabela1[[#This Row],[Pós WBC 10³/mm³]]</f>
        <v>-</v>
      </c>
      <c r="BZ310" s="125">
        <f>Tabela1[[#This Row],[Pré NEUT %]]</f>
        <v>67.099999999999994</v>
      </c>
      <c r="CA310" s="125" t="str">
        <f>Tabela1[[#This Row],[Pós NEUT %]]</f>
        <v>-</v>
      </c>
      <c r="CB310" s="125">
        <f>Tabela1[[#This Row],[Pré LINF %]]</f>
        <v>23</v>
      </c>
      <c r="CC310" s="125" t="str">
        <f>Tabela1[[#This Row],[Pós LINF %]]</f>
        <v>-</v>
      </c>
      <c r="CD310" s="125">
        <f>Tabela1[[#This Row],[Pré MONO %]]</f>
        <v>7.5</v>
      </c>
      <c r="CE310" s="125" t="str">
        <f>Tabela1[[#This Row],[Pós MONO %]]</f>
        <v>-</v>
      </c>
      <c r="CF310" s="125">
        <f>Tabela1[[#This Row],[Pré EOS %]]</f>
        <v>1.9</v>
      </c>
      <c r="CG310" s="125" t="str">
        <f>Tabela1[[#This Row],[Pós EOS %]]</f>
        <v>-</v>
      </c>
      <c r="CH310" s="125">
        <f>Tabela1[[#This Row],[Pré BASO %]]</f>
        <v>0.5</v>
      </c>
      <c r="CI310" s="198" t="str">
        <f>Tabela1[[#This Row],[Pós BASO %]]</f>
        <v>-</v>
      </c>
      <c r="CJ310" s="199" t="str">
        <f t="shared" si="17"/>
        <v>NÃO</v>
      </c>
      <c r="CK310" s="200" t="str">
        <f t="shared" si="18"/>
        <v>NÃO</v>
      </c>
      <c r="CL310" s="194">
        <f t="shared" si="19"/>
        <v>66.241470000000007</v>
      </c>
      <c r="CM310" s="125">
        <f>Tabela1[[#This Row],[MCT KG]]</f>
        <v>71.900000000000006</v>
      </c>
      <c r="CN310" s="85">
        <f>Tabela1[[#This Row],[ESTATURA]]</f>
        <v>173.5</v>
      </c>
      <c r="CO310" s="85">
        <f>Tabela1[[#This Row],[vo2max estimado]]</f>
        <v>55.35</v>
      </c>
      <c r="CP310" s="85">
        <f>Tabela1[[#This Row],[Handgrip     Dominante]]</f>
        <v>54</v>
      </c>
      <c r="CQ310" s="85">
        <f>Tabela1[[#This Row],[Handgrip Contrário]]</f>
        <v>56</v>
      </c>
      <c r="CR310" s="281">
        <f>Tabela1[[#This Row],[% gordura]]</f>
        <v>7.87</v>
      </c>
    </row>
    <row r="311" spans="1:96" ht="15.75" customHeight="1">
      <c r="A311" s="279">
        <f>Tabela1[[#This Row],[Ano]]</f>
        <v>2022</v>
      </c>
      <c r="B311" s="181" t="str">
        <f>Tabela1[[#This Row],[Missão]]</f>
        <v>Ladário</v>
      </c>
      <c r="C311" s="181">
        <f>Tabela1[[#This Row],[Aluno]]</f>
        <v>3239</v>
      </c>
      <c r="D311" s="181">
        <f>Tabela1[[#This Row],[Idade]]</f>
        <v>24</v>
      </c>
      <c r="E311" s="182">
        <f>Tabela1[[#This Row],[Peso Kg]]</f>
        <v>79.5</v>
      </c>
      <c r="F311" s="191">
        <f>Tabela1[[#This Row],[Cor da pele]]</f>
        <v>0</v>
      </c>
      <c r="G311" s="192" t="str">
        <f>Tabela1[[#This Row],[ACTN3]]</f>
        <v>RX</v>
      </c>
      <c r="H311" s="85" t="str">
        <f>Tabela1[[#This Row],[AGT]]</f>
        <v>TT</v>
      </c>
      <c r="I311" s="85" t="str">
        <f>Tabela1[[#This Row],[ECA]]</f>
        <v>DD</v>
      </c>
      <c r="J311" s="85" t="str">
        <f>Tabela1[[#This Row],[BDKRB2]]</f>
        <v>(+9, -9)</v>
      </c>
      <c r="K311" s="85">
        <f>Tabela1[[#This Row],[Score Força%]]</f>
        <v>75</v>
      </c>
      <c r="L311" s="193">
        <f>Tabela1[[#This Row],[Score Resistência %]]</f>
        <v>25</v>
      </c>
      <c r="M311" s="192">
        <f>Tabela1[[#This Row],[Pré CK (U/L)]]</f>
        <v>153</v>
      </c>
      <c r="N311" s="85">
        <f>Tabela1[[#This Row],[Pós CK (U/L)]]</f>
        <v>246</v>
      </c>
      <c r="O311" s="85" t="str">
        <f>Tabela1[[#This Row],[Pré CK MB U/L]]</f>
        <v>-</v>
      </c>
      <c r="P311" s="85" t="str">
        <f>Tabela1[[#This Row],[Pós CK MB U/L]]</f>
        <v>-</v>
      </c>
      <c r="Q311" s="85">
        <f>Tabela1[[#This Row],[Pré Lactato (mmol/L)]]</f>
        <v>3.7</v>
      </c>
      <c r="R311" s="85">
        <f>Tabela1[[#This Row],[Pós Lactato (mmol/L)]]</f>
        <v>6.2</v>
      </c>
      <c r="S311" s="85">
        <f>Tabela1[[#This Row],[Pré LDH (U/L)]]</f>
        <v>172</v>
      </c>
      <c r="T311" s="85">
        <f>Tabela1[[#This Row],[Pós LDH (U/L)]]</f>
        <v>191</v>
      </c>
      <c r="U311" s="85">
        <f>Tabela1[[#This Row],[Pré AST (U/L)]]</f>
        <v>30</v>
      </c>
      <c r="V311" s="193">
        <f>Tabela1[[#This Row],[Pós AST (U/L)]]</f>
        <v>41</v>
      </c>
      <c r="W311" s="194" t="str">
        <f>Tabela1[[#This Row],[Pré Albumina (g/dL)]]</f>
        <v>-</v>
      </c>
      <c r="X311" s="125" t="str">
        <f>Tabela1[[#This Row],[Pós Albumina (g/dL)]]</f>
        <v>-</v>
      </c>
      <c r="Y311" s="85" t="str">
        <f>Tabela1[[#This Row],[Pré TGP (g/dL)]]</f>
        <v>-</v>
      </c>
      <c r="Z311" s="85" t="str">
        <f>Tabela1[[#This Row],[Pós TGP (g/dL)]]</f>
        <v>-</v>
      </c>
      <c r="AA311" s="85" t="str">
        <f>Tabela1[[#This Row],[Pré GGT U/L]]</f>
        <v>-</v>
      </c>
      <c r="AB311" s="193" t="str">
        <f>Tabela1[[#This Row],[Pós GGT U/L]]</f>
        <v>-</v>
      </c>
      <c r="AC311" s="194">
        <f>Tabela1[[#This Row],[Pré Ac. Úrico (mg/dL)]]</f>
        <v>5.7</v>
      </c>
      <c r="AD311" s="125">
        <f>Tabela1[[#This Row],[Pós Ac. Úrico (mg/dL)2]]</f>
        <v>8.6999999999999993</v>
      </c>
      <c r="AE31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1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311" s="85">
        <f>Tabela1[[#This Row],[Pré Ureia mg/dL]]</f>
        <v>32</v>
      </c>
      <c r="AH311" s="85">
        <f>Tabela1[[#This Row],[Pós Ureia mg/dL]]</f>
        <v>52</v>
      </c>
      <c r="AI311" s="125">
        <f>Tabela1[[#This Row],[Pré creatinina mg/dL]]</f>
        <v>0.8</v>
      </c>
      <c r="AJ311" s="125">
        <f>Tabela1[[#This Row],[Pós creatinina mg/dL]]</f>
        <v>1.2</v>
      </c>
      <c r="AK311" s="180">
        <f t="shared" si="16"/>
        <v>0.39999999999999991</v>
      </c>
      <c r="AL311" s="125">
        <f>Tabela1[[#This Row],[Pré Fósforo mg/dL]]</f>
        <v>4.5999999999999996</v>
      </c>
      <c r="AM311" s="125">
        <f>Tabela1[[#This Row],[Pós Fósforo mg/dL]]</f>
        <v>4.7</v>
      </c>
      <c r="AN311" s="125">
        <f>Tabela1[[#This Row],[Pré Proteína Total (g/dL)]]</f>
        <v>7.6</v>
      </c>
      <c r="AO311" s="125">
        <f>Tabela1[[#This Row],[Pós Proteína Total (g/dL)]]</f>
        <v>9.4</v>
      </c>
      <c r="AP311" s="85">
        <f>Tabela1[[#This Row],[Pré FE (ug/dL)]]</f>
        <v>10</v>
      </c>
      <c r="AQ311" s="193">
        <f>Tabela1[[#This Row],[Pós FE (ug/dL)]]</f>
        <v>67</v>
      </c>
      <c r="AR311" s="194">
        <f>Tabela1[[#This Row],[Pré calcio mg/dL]]</f>
        <v>9.1999999999999993</v>
      </c>
      <c r="AS311" s="125">
        <f>Tabela1[[#This Row],[Pós calcio mg/dL]]</f>
        <v>11.2</v>
      </c>
      <c r="AT311" s="125">
        <f>Tabela1[[#This Row],[Pré Potássio mmol/L]]</f>
        <v>4.5999999999999996</v>
      </c>
      <c r="AU311" s="125">
        <f>Tabela1[[#This Row],[Pós Potássio mmol/L]]</f>
        <v>6</v>
      </c>
      <c r="AV311" s="85">
        <f>Tabela1[[#This Row],[Glicose pré]]</f>
        <v>124</v>
      </c>
      <c r="AW311" s="85">
        <f>Tabela1[[#This Row],[Glicose pós]]</f>
        <v>111</v>
      </c>
      <c r="AX311" s="85">
        <f>Tabela1[[#This Row],[Pré Sódio mmol/L]]</f>
        <v>142</v>
      </c>
      <c r="AY311" s="85">
        <f>Tabela1[[#This Row],[Pós Sódio mmol/L]]</f>
        <v>161</v>
      </c>
      <c r="AZ311" s="125">
        <f>Tabela1[[#This Row],[Pré Magnésio mg/dL]]</f>
        <v>1.6</v>
      </c>
      <c r="BA311" s="125">
        <f>Tabela1[[#This Row],[Pós Magnésio mg/dL]]</f>
        <v>2.2000000000000002</v>
      </c>
      <c r="BB311" s="85">
        <f>Tabela1[[#This Row],[Pré Cloro mmol/L]]</f>
        <v>83</v>
      </c>
      <c r="BC311" s="85">
        <f>Tabela1[[#This Row],[Pós Cloro mmol/L]]</f>
        <v>88</v>
      </c>
      <c r="BD31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299.93155555555552</v>
      </c>
      <c r="BE31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340.37833333333333</v>
      </c>
      <c r="BF311" s="194">
        <f>Tabela1[[#This Row],[Pré RBC 10^6/mm³]]</f>
        <v>4.3</v>
      </c>
      <c r="BG311" s="125" t="str">
        <f>Tabela1[[#This Row],[Pós RBC 10^6/mm³]]</f>
        <v>-</v>
      </c>
      <c r="BH311" s="125">
        <f>Tabela1[[#This Row],[Pré HGB g/dL]]</f>
        <v>12.7</v>
      </c>
      <c r="BI311" s="125" t="str">
        <f>Tabela1[[#This Row],[Pós HGB g/dL]]</f>
        <v>-</v>
      </c>
      <c r="BJ311" s="125">
        <f>Tabela1[[#This Row],[Pré HCT %]]</f>
        <v>38.4</v>
      </c>
      <c r="BK311" s="125" t="str">
        <f>Tabela1[[#This Row],[Pós HCT %]]</f>
        <v>-</v>
      </c>
      <c r="BL311" s="125">
        <f>Tabela1[[#This Row],[Pré MCV fL]]</f>
        <v>89.3</v>
      </c>
      <c r="BM311" s="125" t="str">
        <f>Tabela1[[#This Row],[Pós MCV fL]]</f>
        <v>-</v>
      </c>
      <c r="BN311" s="125">
        <f>Tabela1[[#This Row],[Pré MCH pg]]</f>
        <v>29.5</v>
      </c>
      <c r="BO311" s="125" t="str">
        <f>Tabela1[[#This Row],[Pós MCH pg]]</f>
        <v>-</v>
      </c>
      <c r="BP311" s="125">
        <f>Tabela1[[#This Row],[Pré MCHC g/dL]]</f>
        <v>33.1</v>
      </c>
      <c r="BQ311" s="125" t="str">
        <f>Tabela1[[#This Row],[Pós MCHC g/dL]]</f>
        <v>-</v>
      </c>
      <c r="BR311" s="85">
        <f>Tabela1[[#This Row],[Pré PLT 10³/mm³]]</f>
        <v>235</v>
      </c>
      <c r="BS311" s="85" t="str">
        <f>Tabela1[[#This Row],[Pós PLT 10³/mm³]]</f>
        <v>-</v>
      </c>
      <c r="BT311" s="125">
        <f>Tabela1[[#This Row],[Pré RDW %]]</f>
        <v>12.2</v>
      </c>
      <c r="BU311" s="125" t="str">
        <f>Tabela1[[#This Row],[Pós RDW %]]</f>
        <v>-</v>
      </c>
      <c r="BV311" s="179" t="str">
        <f>Tabela1[[#This Row],[Pré RET %]]</f>
        <v>-</v>
      </c>
      <c r="BW311" s="196" t="str">
        <f>Tabela1[[#This Row],[Pós RET %]]</f>
        <v>-</v>
      </c>
      <c r="BX311" s="197">
        <f>Tabela1[[#This Row],[Pré WBC 10³/mm³]]</f>
        <v>12.62</v>
      </c>
      <c r="BY311" s="179" t="str">
        <f>Tabela1[[#This Row],[Pós WBC 10³/mm³]]</f>
        <v>-</v>
      </c>
      <c r="BZ311" s="125">
        <f>Tabela1[[#This Row],[Pré NEUT %]]</f>
        <v>76.5</v>
      </c>
      <c r="CA311" s="125" t="str">
        <f>Tabela1[[#This Row],[Pós NEUT %]]</f>
        <v>-</v>
      </c>
      <c r="CB311" s="125">
        <f>Tabela1[[#This Row],[Pré LINF %]]</f>
        <v>15.1</v>
      </c>
      <c r="CC311" s="125" t="str">
        <f>Tabela1[[#This Row],[Pós LINF %]]</f>
        <v>-</v>
      </c>
      <c r="CD311" s="125">
        <f>Tabela1[[#This Row],[Pré MONO %]]</f>
        <v>6.7</v>
      </c>
      <c r="CE311" s="125" t="str">
        <f>Tabela1[[#This Row],[Pós MONO %]]</f>
        <v>-</v>
      </c>
      <c r="CF311" s="125">
        <f>Tabela1[[#This Row],[Pré EOS %]]</f>
        <v>1.6</v>
      </c>
      <c r="CG311" s="125" t="str">
        <f>Tabela1[[#This Row],[Pós EOS %]]</f>
        <v>-</v>
      </c>
      <c r="CH311" s="125">
        <f>Tabela1[[#This Row],[Pré BASO %]]</f>
        <v>0.1</v>
      </c>
      <c r="CI311" s="198" t="str">
        <f>Tabela1[[#This Row],[Pós BASO %]]</f>
        <v>-</v>
      </c>
      <c r="CJ311" s="199" t="str">
        <f t="shared" si="17"/>
        <v>SIM</v>
      </c>
      <c r="CK311" s="200" t="str">
        <f t="shared" si="18"/>
        <v>NÃO</v>
      </c>
      <c r="CL311" s="194">
        <f t="shared" si="19"/>
        <v>77.330865000000003</v>
      </c>
      <c r="CM311" s="125">
        <f>Tabela1[[#This Row],[MCT KG]]</f>
        <v>84.45</v>
      </c>
      <c r="CN311" s="85">
        <f>Tabela1[[#This Row],[ESTATURA]]</f>
        <v>187</v>
      </c>
      <c r="CO311" s="85">
        <f>Tabela1[[#This Row],[vo2max estimado]]</f>
        <v>0</v>
      </c>
      <c r="CP311" s="85">
        <f>Tabela1[[#This Row],[Handgrip     Dominante]]</f>
        <v>48</v>
      </c>
      <c r="CQ311" s="85">
        <f>Tabela1[[#This Row],[Handgrip Contrário]]</f>
        <v>52</v>
      </c>
      <c r="CR311" s="281">
        <f>Tabela1[[#This Row],[% gordura]]</f>
        <v>8.43</v>
      </c>
    </row>
    <row r="312" spans="1:96" ht="15.75" customHeight="1">
      <c r="A312" s="279">
        <f>Tabela1[[#This Row],[Ano]]</f>
        <v>2022</v>
      </c>
      <c r="B312" s="181" t="str">
        <f>Tabela1[[#This Row],[Missão]]</f>
        <v>Ladário</v>
      </c>
      <c r="C312" s="181">
        <f>Tabela1[[#This Row],[Aluno]]</f>
        <v>3240</v>
      </c>
      <c r="D312" s="181">
        <f>Tabela1[[#This Row],[Idade]]</f>
        <v>27</v>
      </c>
      <c r="E312" s="182">
        <f>Tabela1[[#This Row],[Peso Kg]]</f>
        <v>75</v>
      </c>
      <c r="F312" s="191">
        <f>Tabela1[[#This Row],[Cor da pele]]</f>
        <v>0</v>
      </c>
      <c r="G312" s="192" t="str">
        <f>Tabela1[[#This Row],[ACTN3]]</f>
        <v>RR</v>
      </c>
      <c r="H312" s="85" t="str">
        <f>Tabela1[[#This Row],[AGT]]</f>
        <v>TT</v>
      </c>
      <c r="I312" s="85" t="str">
        <f>Tabela1[[#This Row],[ECA]]</f>
        <v>ID</v>
      </c>
      <c r="J312" s="85" t="str">
        <f>Tabela1[[#This Row],[BDKRB2]]</f>
        <v>(-9 , -9)</v>
      </c>
      <c r="K312" s="85">
        <f>Tabela1[[#This Row],[Score Força%]]</f>
        <v>62.5</v>
      </c>
      <c r="L312" s="193">
        <f>Tabela1[[#This Row],[Score Resistência %]]</f>
        <v>37.5</v>
      </c>
      <c r="M312" s="192">
        <f>Tabela1[[#This Row],[Pré CK (U/L)]]</f>
        <v>495</v>
      </c>
      <c r="N312" s="85">
        <f>Tabela1[[#This Row],[Pós CK (U/L)]]</f>
        <v>139</v>
      </c>
      <c r="O312" s="85" t="str">
        <f>Tabela1[[#This Row],[Pré CK MB U/L]]</f>
        <v>-</v>
      </c>
      <c r="P312" s="85" t="str">
        <f>Tabela1[[#This Row],[Pós CK MB U/L]]</f>
        <v>-</v>
      </c>
      <c r="Q312" s="85">
        <f>Tabela1[[#This Row],[Pré Lactato (mmol/L)]]</f>
        <v>4.2</v>
      </c>
      <c r="R312" s="85">
        <f>Tabela1[[#This Row],[Pós Lactato (mmol/L)]]</f>
        <v>4</v>
      </c>
      <c r="S312" s="85">
        <f>Tabela1[[#This Row],[Pré LDH (U/L)]]</f>
        <v>185</v>
      </c>
      <c r="T312" s="85">
        <f>Tabela1[[#This Row],[Pós LDH (U/L)]]</f>
        <v>198</v>
      </c>
      <c r="U312" s="85">
        <f>Tabela1[[#This Row],[Pré AST (U/L)]]</f>
        <v>48</v>
      </c>
      <c r="V312" s="193">
        <f>Tabela1[[#This Row],[Pós AST (U/L)]]</f>
        <v>32</v>
      </c>
      <c r="W312" s="194" t="str">
        <f>Tabela1[[#This Row],[Pré Albumina (g/dL)]]</f>
        <v>-</v>
      </c>
      <c r="X312" s="125" t="str">
        <f>Tabela1[[#This Row],[Pós Albumina (g/dL)]]</f>
        <v>-</v>
      </c>
      <c r="Y312" s="85" t="str">
        <f>Tabela1[[#This Row],[Pré TGP (g/dL)]]</f>
        <v>-</v>
      </c>
      <c r="Z312" s="85" t="str">
        <f>Tabela1[[#This Row],[Pós TGP (g/dL)]]</f>
        <v>-</v>
      </c>
      <c r="AA312" s="85" t="str">
        <f>Tabela1[[#This Row],[Pré GGT U/L]]</f>
        <v>-</v>
      </c>
      <c r="AB312" s="193" t="str">
        <f>Tabela1[[#This Row],[Pós GGT U/L]]</f>
        <v>-</v>
      </c>
      <c r="AC312" s="194">
        <f>Tabela1[[#This Row],[Pré Ac. Úrico (mg/dL)]]</f>
        <v>3.7</v>
      </c>
      <c r="AD312" s="125">
        <f>Tabela1[[#This Row],[Pós Ac. Úrico (mg/dL)2]]</f>
        <v>6.2</v>
      </c>
      <c r="AE31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134.84650417699166</v>
      </c>
      <c r="AF31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312" s="85">
        <f>Tabela1[[#This Row],[Pré Ureia mg/dL]]</f>
        <v>33</v>
      </c>
      <c r="AH312" s="85">
        <f>Tabela1[[#This Row],[Pós Ureia mg/dL]]</f>
        <v>44</v>
      </c>
      <c r="AI312" s="125">
        <f>Tabela1[[#This Row],[Pré creatinina mg/dL]]</f>
        <v>0.6</v>
      </c>
      <c r="AJ312" s="125">
        <f>Tabela1[[#This Row],[Pós creatinina mg/dL]]</f>
        <v>1</v>
      </c>
      <c r="AK312" s="180">
        <f t="shared" si="16"/>
        <v>0.4</v>
      </c>
      <c r="AL312" s="125">
        <f>Tabela1[[#This Row],[Pré Fósforo mg/dL]]</f>
        <v>4.3</v>
      </c>
      <c r="AM312" s="125">
        <f>Tabela1[[#This Row],[Pós Fósforo mg/dL]]</f>
        <v>5.6</v>
      </c>
      <c r="AN312" s="125">
        <f>Tabela1[[#This Row],[Pré Proteína Total (g/dL)]]</f>
        <v>6.2</v>
      </c>
      <c r="AO312" s="125">
        <f>Tabela1[[#This Row],[Pós Proteína Total (g/dL)]]</f>
        <v>8.4</v>
      </c>
      <c r="AP312" s="85">
        <f>Tabela1[[#This Row],[Pré FE (ug/dL)]]</f>
        <v>109</v>
      </c>
      <c r="AQ312" s="193">
        <f>Tabela1[[#This Row],[Pós FE (ug/dL)]]</f>
        <v>85</v>
      </c>
      <c r="AR312" s="194">
        <f>Tabela1[[#This Row],[Pré calcio mg/dL]]</f>
        <v>8.5</v>
      </c>
      <c r="AS312" s="125">
        <f>Tabela1[[#This Row],[Pós calcio mg/dL]]</f>
        <v>10.6</v>
      </c>
      <c r="AT312" s="125">
        <f>Tabela1[[#This Row],[Pré Potássio mmol/L]]</f>
        <v>4.0999999999999996</v>
      </c>
      <c r="AU312" s="125">
        <f>Tabela1[[#This Row],[Pós Potássio mmol/L]]</f>
        <v>5</v>
      </c>
      <c r="AV312" s="85">
        <f>Tabela1[[#This Row],[Glicose pré]]</f>
        <v>73</v>
      </c>
      <c r="AW312" s="85">
        <f>Tabela1[[#This Row],[Glicose pós]]</f>
        <v>75</v>
      </c>
      <c r="AX312" s="85">
        <f>Tabela1[[#This Row],[Pré Sódio mmol/L]]</f>
        <v>128</v>
      </c>
      <c r="AY312" s="85">
        <f>Tabela1[[#This Row],[Pós Sódio mmol/L]]</f>
        <v>166</v>
      </c>
      <c r="AZ312" s="125">
        <f>Tabela1[[#This Row],[Pré Magnésio mg/dL]]</f>
        <v>1.8</v>
      </c>
      <c r="BA312" s="125">
        <f>Tabela1[[#This Row],[Pós Magnésio mg/dL]]</f>
        <v>2.6</v>
      </c>
      <c r="BB312" s="85">
        <f>Tabela1[[#This Row],[Pré Cloro mmol/L]]</f>
        <v>80</v>
      </c>
      <c r="BC312" s="85">
        <f>Tabela1[[#This Row],[Pós Cloro mmol/L]]</f>
        <v>90</v>
      </c>
      <c r="BD31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269.86988888888891</v>
      </c>
      <c r="BE31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344.185</v>
      </c>
      <c r="BF312" s="194">
        <f>Tabela1[[#This Row],[Pré RBC 10^6/mm³]]</f>
        <v>4.5999999999999996</v>
      </c>
      <c r="BG312" s="125" t="str">
        <f>Tabela1[[#This Row],[Pós RBC 10^6/mm³]]</f>
        <v>-</v>
      </c>
      <c r="BH312" s="125">
        <f>Tabela1[[#This Row],[Pré HGB g/dL]]</f>
        <v>13.2</v>
      </c>
      <c r="BI312" s="125" t="str">
        <f>Tabela1[[#This Row],[Pós HGB g/dL]]</f>
        <v>-</v>
      </c>
      <c r="BJ312" s="125">
        <f>Tabela1[[#This Row],[Pré HCT %]]</f>
        <v>40.1</v>
      </c>
      <c r="BK312" s="125" t="str">
        <f>Tabela1[[#This Row],[Pós HCT %]]</f>
        <v>-</v>
      </c>
      <c r="BL312" s="125">
        <f>Tabela1[[#This Row],[Pré MCV fL]]</f>
        <v>87.2</v>
      </c>
      <c r="BM312" s="125" t="str">
        <f>Tabela1[[#This Row],[Pós MCV fL]]</f>
        <v>-</v>
      </c>
      <c r="BN312" s="125">
        <f>Tabela1[[#This Row],[Pré MCH pg]]</f>
        <v>28.7</v>
      </c>
      <c r="BO312" s="125" t="str">
        <f>Tabela1[[#This Row],[Pós MCH pg]]</f>
        <v>-</v>
      </c>
      <c r="BP312" s="125">
        <f>Tabela1[[#This Row],[Pré MCHC g/dL]]</f>
        <v>32.9</v>
      </c>
      <c r="BQ312" s="125" t="str">
        <f>Tabela1[[#This Row],[Pós MCHC g/dL]]</f>
        <v>-</v>
      </c>
      <c r="BR312" s="85">
        <f>Tabela1[[#This Row],[Pré PLT 10³/mm³]]</f>
        <v>287</v>
      </c>
      <c r="BS312" s="85" t="str">
        <f>Tabela1[[#This Row],[Pós PLT 10³/mm³]]</f>
        <v>-</v>
      </c>
      <c r="BT312" s="125">
        <f>Tabela1[[#This Row],[Pré RDW %]]</f>
        <v>13.4</v>
      </c>
      <c r="BU312" s="125" t="str">
        <f>Tabela1[[#This Row],[Pós RDW %]]</f>
        <v>-</v>
      </c>
      <c r="BV312" s="179" t="str">
        <f>Tabela1[[#This Row],[Pré RET %]]</f>
        <v>-</v>
      </c>
      <c r="BW312" s="196" t="str">
        <f>Tabela1[[#This Row],[Pós RET %]]</f>
        <v>-</v>
      </c>
      <c r="BX312" s="197">
        <f>Tabela1[[#This Row],[Pré WBC 10³/mm³]]</f>
        <v>8.49</v>
      </c>
      <c r="BY312" s="179" t="str">
        <f>Tabela1[[#This Row],[Pós WBC 10³/mm³]]</f>
        <v>-</v>
      </c>
      <c r="BZ312" s="125">
        <f>Tabela1[[#This Row],[Pré NEUT %]]</f>
        <v>69</v>
      </c>
      <c r="CA312" s="125" t="str">
        <f>Tabela1[[#This Row],[Pós NEUT %]]</f>
        <v>-</v>
      </c>
      <c r="CB312" s="125">
        <f>Tabela1[[#This Row],[Pré LINF %]]</f>
        <v>21.6</v>
      </c>
      <c r="CC312" s="125" t="str">
        <f>Tabela1[[#This Row],[Pós LINF %]]</f>
        <v>-</v>
      </c>
      <c r="CD312" s="125">
        <f>Tabela1[[#This Row],[Pré MONO %]]</f>
        <v>7.3</v>
      </c>
      <c r="CE312" s="125" t="str">
        <f>Tabela1[[#This Row],[Pós MONO %]]</f>
        <v>-</v>
      </c>
      <c r="CF312" s="125">
        <f>Tabela1[[#This Row],[Pré EOS %]]</f>
        <v>1.9</v>
      </c>
      <c r="CG312" s="125" t="str">
        <f>Tabela1[[#This Row],[Pós EOS %]]</f>
        <v>-</v>
      </c>
      <c r="CH312" s="125">
        <f>Tabela1[[#This Row],[Pré BASO %]]</f>
        <v>0.2</v>
      </c>
      <c r="CI312" s="198" t="str">
        <f>Tabela1[[#This Row],[Pós BASO %]]</f>
        <v>-</v>
      </c>
      <c r="CJ312" s="199" t="str">
        <f t="shared" si="17"/>
        <v>SIM</v>
      </c>
      <c r="CK312" s="200" t="str">
        <f t="shared" si="18"/>
        <v>NÃO</v>
      </c>
      <c r="CL312" s="194">
        <f t="shared" si="19"/>
        <v>65.118300000000005</v>
      </c>
      <c r="CM312" s="125">
        <f>Tabela1[[#This Row],[MCT KG]]</f>
        <v>76.7</v>
      </c>
      <c r="CN312" s="85">
        <f>Tabela1[[#This Row],[ESTATURA]]</f>
        <v>171.5</v>
      </c>
      <c r="CO312" s="85">
        <f>Tabela1[[#This Row],[vo2max estimado]]</f>
        <v>47.49</v>
      </c>
      <c r="CP312" s="85">
        <f>Tabela1[[#This Row],[Handgrip     Dominante]]</f>
        <v>54</v>
      </c>
      <c r="CQ312" s="85">
        <f>Tabela1[[#This Row],[Handgrip Contrário]]</f>
        <v>48</v>
      </c>
      <c r="CR312" s="281">
        <f>Tabela1[[#This Row],[% gordura]]</f>
        <v>15.1</v>
      </c>
    </row>
    <row r="313" spans="1:96" ht="15.75" customHeight="1">
      <c r="A313" s="279">
        <f>Tabela1[[#This Row],[Ano]]</f>
        <v>2022</v>
      </c>
      <c r="B313" s="181" t="str">
        <f>Tabela1[[#This Row],[Missão]]</f>
        <v>Ladário</v>
      </c>
      <c r="C313" s="181">
        <f>Tabela1[[#This Row],[Aluno]]</f>
        <v>3241</v>
      </c>
      <c r="D313" s="181">
        <f>Tabela1[[#This Row],[Idade]]</f>
        <v>25</v>
      </c>
      <c r="E313" s="182">
        <f>Tabela1[[#This Row],[Peso Kg]]</f>
        <v>91</v>
      </c>
      <c r="F313" s="191">
        <f>Tabela1[[#This Row],[Cor da pele]]</f>
        <v>0</v>
      </c>
      <c r="G313" s="192" t="str">
        <f>Tabela1[[#This Row],[ACTN3]]</f>
        <v>RR</v>
      </c>
      <c r="H313" s="85" t="str">
        <f>Tabela1[[#This Row],[AGT]]</f>
        <v>MT</v>
      </c>
      <c r="I313" s="85" t="str">
        <f>Tabela1[[#This Row],[ECA]]</f>
        <v>ID</v>
      </c>
      <c r="J313" s="85" t="str">
        <f>Tabela1[[#This Row],[BDKRB2]]</f>
        <v>(-9 , -9)</v>
      </c>
      <c r="K313" s="85">
        <f>Tabela1[[#This Row],[Score Força%]]</f>
        <v>50</v>
      </c>
      <c r="L313" s="193">
        <f>Tabela1[[#This Row],[Score Resistência %]]</f>
        <v>50</v>
      </c>
      <c r="M313" s="192">
        <f>Tabela1[[#This Row],[Pré CK (U/L)]]</f>
        <v>618</v>
      </c>
      <c r="N313" s="85">
        <f>Tabela1[[#This Row],[Pós CK (U/L)]]</f>
        <v>205</v>
      </c>
      <c r="O313" s="85" t="str">
        <f>Tabela1[[#This Row],[Pré CK MB U/L]]</f>
        <v>-</v>
      </c>
      <c r="P313" s="85" t="str">
        <f>Tabela1[[#This Row],[Pós CK MB U/L]]</f>
        <v>-</v>
      </c>
      <c r="Q313" s="85">
        <f>Tabela1[[#This Row],[Pré Lactato (mmol/L)]]</f>
        <v>3.3</v>
      </c>
      <c r="R313" s="85">
        <f>Tabela1[[#This Row],[Pós Lactato (mmol/L)]]</f>
        <v>4.4000000000000004</v>
      </c>
      <c r="S313" s="85">
        <f>Tabela1[[#This Row],[Pré LDH (U/L)]]</f>
        <v>148</v>
      </c>
      <c r="T313" s="85">
        <f>Tabela1[[#This Row],[Pós LDH (U/L)]]</f>
        <v>176</v>
      </c>
      <c r="U313" s="85">
        <f>Tabela1[[#This Row],[Pré AST (U/L)]]</f>
        <v>48</v>
      </c>
      <c r="V313" s="193">
        <f>Tabela1[[#This Row],[Pós AST (U/L)]]</f>
        <v>31</v>
      </c>
      <c r="W313" s="194" t="str">
        <f>Tabela1[[#This Row],[Pré Albumina (g/dL)]]</f>
        <v>-</v>
      </c>
      <c r="X313" s="125" t="str">
        <f>Tabela1[[#This Row],[Pós Albumina (g/dL)]]</f>
        <v>-</v>
      </c>
      <c r="Y313" s="85" t="str">
        <f>Tabela1[[#This Row],[Pré TGP (g/dL)]]</f>
        <v>-</v>
      </c>
      <c r="Z313" s="85" t="str">
        <f>Tabela1[[#This Row],[Pós TGP (g/dL)]]</f>
        <v>-</v>
      </c>
      <c r="AA313" s="85" t="str">
        <f>Tabela1[[#This Row],[Pré GGT U/L]]</f>
        <v>-</v>
      </c>
      <c r="AB313" s="193" t="str">
        <f>Tabela1[[#This Row],[Pós GGT U/L]]</f>
        <v>-</v>
      </c>
      <c r="AC313" s="194">
        <f>Tabela1[[#This Row],[Pré Ac. Úrico (mg/dL)]]</f>
        <v>5.4</v>
      </c>
      <c r="AD313" s="125">
        <f>Tabela1[[#This Row],[Pós Ac. Úrico (mg/dL)2]]</f>
        <v>7.8</v>
      </c>
      <c r="AE31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1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313" s="85">
        <f>Tabela1[[#This Row],[Pré Ureia mg/dL]]</f>
        <v>44</v>
      </c>
      <c r="AH313" s="85">
        <f>Tabela1[[#This Row],[Pós Ureia mg/dL]]</f>
        <v>51</v>
      </c>
      <c r="AI313" s="125">
        <f>Tabela1[[#This Row],[Pré creatinina mg/dL]]</f>
        <v>0.9</v>
      </c>
      <c r="AJ313" s="125">
        <f>Tabela1[[#This Row],[Pós creatinina mg/dL]]</f>
        <v>1.3</v>
      </c>
      <c r="AK313" s="180">
        <f t="shared" si="16"/>
        <v>0.4</v>
      </c>
      <c r="AL313" s="125">
        <f>Tabela1[[#This Row],[Pré Fósforo mg/dL]]</f>
        <v>4.5</v>
      </c>
      <c r="AM313" s="125">
        <f>Tabela1[[#This Row],[Pós Fósforo mg/dL]]</f>
        <v>4.5</v>
      </c>
      <c r="AN313" s="125">
        <f>Tabela1[[#This Row],[Pré Proteína Total (g/dL)]]</f>
        <v>6.9</v>
      </c>
      <c r="AO313" s="125">
        <f>Tabela1[[#This Row],[Pós Proteína Total (g/dL)]]</f>
        <v>8.1999999999999993</v>
      </c>
      <c r="AP313" s="85">
        <f>Tabela1[[#This Row],[Pré FE (ug/dL)]]</f>
        <v>28</v>
      </c>
      <c r="AQ313" s="193">
        <f>Tabela1[[#This Row],[Pós FE (ug/dL)]]</f>
        <v>76</v>
      </c>
      <c r="AR313" s="194">
        <f>Tabela1[[#This Row],[Pré calcio mg/dL]]</f>
        <v>8.9</v>
      </c>
      <c r="AS313" s="125">
        <f>Tabela1[[#This Row],[Pós calcio mg/dL]]</f>
        <v>10</v>
      </c>
      <c r="AT313" s="125">
        <f>Tabela1[[#This Row],[Pré Potássio mmol/L]]</f>
        <v>4</v>
      </c>
      <c r="AU313" s="125">
        <f>Tabela1[[#This Row],[Pós Potássio mmol/L]]</f>
        <v>4.8</v>
      </c>
      <c r="AV313" s="85">
        <f>Tabela1[[#This Row],[Glicose pré]]</f>
        <v>94</v>
      </c>
      <c r="AW313" s="85">
        <f>Tabela1[[#This Row],[Glicose pós]]</f>
        <v>92</v>
      </c>
      <c r="AX313" s="85">
        <f>Tabela1[[#This Row],[Pré Sódio mmol/L]]</f>
        <v>141</v>
      </c>
      <c r="AY313" s="85">
        <f>Tabela1[[#This Row],[Pós Sódio mmol/L]]</f>
        <v>150</v>
      </c>
      <c r="AZ313" s="125">
        <f>Tabela1[[#This Row],[Pré Magnésio mg/dL]]</f>
        <v>1.9</v>
      </c>
      <c r="BA313" s="125">
        <f>Tabela1[[#This Row],[Pós Magnésio mg/dL]]</f>
        <v>2.5</v>
      </c>
      <c r="BB313" s="85">
        <f>Tabela1[[#This Row],[Pré Cloro mmol/L]]</f>
        <v>85</v>
      </c>
      <c r="BC313" s="85">
        <f>Tabela1[[#This Row],[Pós Cloro mmol/L]]</f>
        <v>87</v>
      </c>
      <c r="BD31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297.03888888888883</v>
      </c>
      <c r="BE31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316.30577777777785</v>
      </c>
      <c r="BF313" s="194">
        <f>Tabela1[[#This Row],[Pré RBC 10^6/mm³]]</f>
        <v>4.7</v>
      </c>
      <c r="BG313" s="125" t="str">
        <f>Tabela1[[#This Row],[Pós RBC 10^6/mm³]]</f>
        <v>-</v>
      </c>
      <c r="BH313" s="125">
        <f>Tabela1[[#This Row],[Pré HGB g/dL]]</f>
        <v>12.6</v>
      </c>
      <c r="BI313" s="125" t="str">
        <f>Tabela1[[#This Row],[Pós HGB g/dL]]</f>
        <v>-</v>
      </c>
      <c r="BJ313" s="125">
        <f>Tabela1[[#This Row],[Pré HCT %]]</f>
        <v>38.700000000000003</v>
      </c>
      <c r="BK313" s="125" t="str">
        <f>Tabela1[[#This Row],[Pós HCT %]]</f>
        <v>-</v>
      </c>
      <c r="BL313" s="125">
        <f>Tabela1[[#This Row],[Pré MCV fL]]</f>
        <v>82.3</v>
      </c>
      <c r="BM313" s="125" t="str">
        <f>Tabela1[[#This Row],[Pós MCV fL]]</f>
        <v>-</v>
      </c>
      <c r="BN313" s="125">
        <f>Tabela1[[#This Row],[Pré MCH pg]]</f>
        <v>26.8</v>
      </c>
      <c r="BO313" s="125" t="str">
        <f>Tabela1[[#This Row],[Pós MCH pg]]</f>
        <v>-</v>
      </c>
      <c r="BP313" s="125">
        <f>Tabela1[[#This Row],[Pré MCHC g/dL]]</f>
        <v>32.6</v>
      </c>
      <c r="BQ313" s="125" t="str">
        <f>Tabela1[[#This Row],[Pós MCHC g/dL]]</f>
        <v>-</v>
      </c>
      <c r="BR313" s="85">
        <f>Tabela1[[#This Row],[Pré PLT 10³/mm³]]</f>
        <v>260</v>
      </c>
      <c r="BS313" s="85" t="str">
        <f>Tabela1[[#This Row],[Pós PLT 10³/mm³]]</f>
        <v>-</v>
      </c>
      <c r="BT313" s="125">
        <f>Tabela1[[#This Row],[Pré RDW %]]</f>
        <v>14.6</v>
      </c>
      <c r="BU313" s="125" t="str">
        <f>Tabela1[[#This Row],[Pós RDW %]]</f>
        <v>-</v>
      </c>
      <c r="BV313" s="179" t="str">
        <f>Tabela1[[#This Row],[Pré RET %]]</f>
        <v>-</v>
      </c>
      <c r="BW313" s="196" t="str">
        <f>Tabela1[[#This Row],[Pós RET %]]</f>
        <v>-</v>
      </c>
      <c r="BX313" s="197">
        <f>Tabela1[[#This Row],[Pré WBC 10³/mm³]]</f>
        <v>7.44</v>
      </c>
      <c r="BY313" s="179" t="str">
        <f>Tabela1[[#This Row],[Pós WBC 10³/mm³]]</f>
        <v>-</v>
      </c>
      <c r="BZ313" s="125">
        <f>Tabela1[[#This Row],[Pré NEUT %]]</f>
        <v>62.8</v>
      </c>
      <c r="CA313" s="125" t="str">
        <f>Tabela1[[#This Row],[Pós NEUT %]]</f>
        <v>-</v>
      </c>
      <c r="CB313" s="125">
        <f>Tabela1[[#This Row],[Pré LINF %]]</f>
        <v>22.8</v>
      </c>
      <c r="CC313" s="125" t="str">
        <f>Tabela1[[#This Row],[Pós LINF %]]</f>
        <v>-</v>
      </c>
      <c r="CD313" s="125">
        <f>Tabela1[[#This Row],[Pré MONO %]]</f>
        <v>5.6</v>
      </c>
      <c r="CE313" s="125" t="str">
        <f>Tabela1[[#This Row],[Pós MONO %]]</f>
        <v>-</v>
      </c>
      <c r="CF313" s="125">
        <f>Tabela1[[#This Row],[Pré EOS %]]</f>
        <v>8.5</v>
      </c>
      <c r="CG313" s="125" t="str">
        <f>Tabela1[[#This Row],[Pós EOS %]]</f>
        <v>-</v>
      </c>
      <c r="CH313" s="125">
        <f>Tabela1[[#This Row],[Pré BASO %]]</f>
        <v>0.3</v>
      </c>
      <c r="CI313" s="198" t="str">
        <f>Tabela1[[#This Row],[Pós BASO %]]</f>
        <v>-</v>
      </c>
      <c r="CJ313" s="199" t="str">
        <f t="shared" si="17"/>
        <v>SIM</v>
      </c>
      <c r="CK313" s="200" t="str">
        <f t="shared" si="18"/>
        <v>NÃO</v>
      </c>
      <c r="CL313" s="194">
        <f t="shared" si="19"/>
        <v>81.751800000000003</v>
      </c>
      <c r="CM313" s="125">
        <f>Tabela1[[#This Row],[MCT KG]]</f>
        <v>94</v>
      </c>
      <c r="CN313" s="85">
        <f>Tabela1[[#This Row],[ESTATURA]]</f>
        <v>176.5</v>
      </c>
      <c r="CO313" s="85">
        <f>Tabela1[[#This Row],[vo2max estimado]]</f>
        <v>46.18</v>
      </c>
      <c r="CP313" s="85">
        <f>Tabela1[[#This Row],[Handgrip     Dominante]]</f>
        <v>54</v>
      </c>
      <c r="CQ313" s="85">
        <f>Tabela1[[#This Row],[Handgrip Contrário]]</f>
        <v>60</v>
      </c>
      <c r="CR313" s="281">
        <f>Tabela1[[#This Row],[% gordura]]</f>
        <v>13.03</v>
      </c>
    </row>
    <row r="314" spans="1:96" ht="15.75" customHeight="1">
      <c r="A314" s="279">
        <f>Tabela1[[#This Row],[Ano]]</f>
        <v>2022</v>
      </c>
      <c r="B314" s="181" t="str">
        <f>Tabela1[[#This Row],[Missão]]</f>
        <v>Ladário</v>
      </c>
      <c r="C314" s="181">
        <f>Tabela1[[#This Row],[Aluno]]</f>
        <v>3242</v>
      </c>
      <c r="D314" s="181">
        <f>Tabela1[[#This Row],[Idade]]</f>
        <v>33</v>
      </c>
      <c r="E314" s="182">
        <f>Tabela1[[#This Row],[Peso Kg]]</f>
        <v>94</v>
      </c>
      <c r="F314" s="191">
        <f>Tabela1[[#This Row],[Cor da pele]]</f>
        <v>0</v>
      </c>
      <c r="G314" s="192" t="str">
        <f>Tabela1[[#This Row],[ACTN3]]</f>
        <v>RR</v>
      </c>
      <c r="H314" s="85" t="str">
        <f>Tabela1[[#This Row],[AGT]]</f>
        <v>MT</v>
      </c>
      <c r="I314" s="85" t="str">
        <f>Tabela1[[#This Row],[ECA]]</f>
        <v>II</v>
      </c>
      <c r="J314" s="85" t="str">
        <f>Tabela1[[#This Row],[BDKRB2]]</f>
        <v>(+9, -9)</v>
      </c>
      <c r="K314" s="85">
        <f>Tabela1[[#This Row],[Score Força%]]</f>
        <v>50</v>
      </c>
      <c r="L314" s="193">
        <f>Tabela1[[#This Row],[Score Resistência %]]</f>
        <v>50</v>
      </c>
      <c r="M314" s="192">
        <f>Tabela1[[#This Row],[Pré CK (U/L)]]</f>
        <v>489</v>
      </c>
      <c r="N314" s="85">
        <f>Tabela1[[#This Row],[Pós CK (U/L)]]</f>
        <v>190</v>
      </c>
      <c r="O314" s="85" t="str">
        <f>Tabela1[[#This Row],[Pré CK MB U/L]]</f>
        <v>-</v>
      </c>
      <c r="P314" s="85" t="str">
        <f>Tabela1[[#This Row],[Pós CK MB U/L]]</f>
        <v>-</v>
      </c>
      <c r="Q314" s="85">
        <f>Tabela1[[#This Row],[Pré Lactato (mmol/L)]]</f>
        <v>3.5</v>
      </c>
      <c r="R314" s="85">
        <f>Tabela1[[#This Row],[Pós Lactato (mmol/L)]]</f>
        <v>3.9</v>
      </c>
      <c r="S314" s="85">
        <f>Tabela1[[#This Row],[Pré LDH (U/L)]]</f>
        <v>220</v>
      </c>
      <c r="T314" s="85">
        <f>Tabela1[[#This Row],[Pós LDH (U/L)]]</f>
        <v>237</v>
      </c>
      <c r="U314" s="85">
        <f>Tabela1[[#This Row],[Pré AST (U/L)]]</f>
        <v>37</v>
      </c>
      <c r="V314" s="193">
        <f>Tabela1[[#This Row],[Pós AST (U/L)]]</f>
        <v>31</v>
      </c>
      <c r="W314" s="194" t="str">
        <f>Tabela1[[#This Row],[Pré Albumina (g/dL)]]</f>
        <v>-</v>
      </c>
      <c r="X314" s="125" t="str">
        <f>Tabela1[[#This Row],[Pós Albumina (g/dL)]]</f>
        <v>-</v>
      </c>
      <c r="Y314" s="85" t="str">
        <f>Tabela1[[#This Row],[Pré TGP (g/dL)]]</f>
        <v>-</v>
      </c>
      <c r="Z314" s="85" t="str">
        <f>Tabela1[[#This Row],[Pós TGP (g/dL)]]</f>
        <v>-</v>
      </c>
      <c r="AA314" s="85" t="str">
        <f>Tabela1[[#This Row],[Pré GGT U/L]]</f>
        <v>-</v>
      </c>
      <c r="AB314" s="193" t="str">
        <f>Tabela1[[#This Row],[Pós GGT U/L]]</f>
        <v>-</v>
      </c>
      <c r="AC314" s="194">
        <f>Tabela1[[#This Row],[Pré Ac. Úrico (mg/dL)]]</f>
        <v>5.0999999999999996</v>
      </c>
      <c r="AD314" s="125">
        <f>Tabela1[[#This Row],[Pós Ac. Úrico (mg/dL)2]]</f>
        <v>8.4</v>
      </c>
      <c r="AE31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1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64.63111261616406</v>
      </c>
      <c r="AG314" s="85">
        <f>Tabela1[[#This Row],[Pré Ureia mg/dL]]</f>
        <v>48</v>
      </c>
      <c r="AH314" s="85">
        <f>Tabela1[[#This Row],[Pós Ureia mg/dL]]</f>
        <v>52</v>
      </c>
      <c r="AI314" s="125">
        <f>Tabela1[[#This Row],[Pré creatinina mg/dL]]</f>
        <v>0.9</v>
      </c>
      <c r="AJ314" s="125">
        <f>Tabela1[[#This Row],[Pós creatinina mg/dL]]</f>
        <v>1.5</v>
      </c>
      <c r="AK314" s="180">
        <f t="shared" si="16"/>
        <v>0.6</v>
      </c>
      <c r="AL314" s="125">
        <f>Tabela1[[#This Row],[Pré Fósforo mg/dL]]</f>
        <v>4</v>
      </c>
      <c r="AM314" s="125">
        <f>Tabela1[[#This Row],[Pós Fósforo mg/dL]]</f>
        <v>5.4</v>
      </c>
      <c r="AN314" s="125">
        <f>Tabela1[[#This Row],[Pré Proteína Total (g/dL)]]</f>
        <v>7.2</v>
      </c>
      <c r="AO314" s="125">
        <f>Tabela1[[#This Row],[Pós Proteína Total (g/dL)]]</f>
        <v>8.5</v>
      </c>
      <c r="AP314" s="85">
        <f>Tabela1[[#This Row],[Pré FE (ug/dL)]]</f>
        <v>49</v>
      </c>
      <c r="AQ314" s="193">
        <f>Tabela1[[#This Row],[Pós FE (ug/dL)]]</f>
        <v>56</v>
      </c>
      <c r="AR314" s="194">
        <f>Tabela1[[#This Row],[Pré calcio mg/dL]]</f>
        <v>9.4</v>
      </c>
      <c r="AS314" s="125">
        <f>Tabela1[[#This Row],[Pós calcio mg/dL]]</f>
        <v>10.6</v>
      </c>
      <c r="AT314" s="125">
        <f>Tabela1[[#This Row],[Pré Potássio mmol/L]]</f>
        <v>4</v>
      </c>
      <c r="AU314" s="125">
        <f>Tabela1[[#This Row],[Pós Potássio mmol/L]]</f>
        <v>5.4</v>
      </c>
      <c r="AV314" s="85">
        <f>Tabela1[[#This Row],[Glicose pré]]</f>
        <v>113</v>
      </c>
      <c r="AW314" s="85">
        <f>Tabela1[[#This Row],[Glicose pós]]</f>
        <v>75</v>
      </c>
      <c r="AX314" s="85">
        <f>Tabela1[[#This Row],[Pré Sódio mmol/L]]</f>
        <v>139</v>
      </c>
      <c r="AY314" s="85">
        <f>Tabela1[[#This Row],[Pós Sódio mmol/L]]</f>
        <v>153</v>
      </c>
      <c r="AZ314" s="125">
        <f>Tabela1[[#This Row],[Pré Magnésio mg/dL]]</f>
        <v>1.9</v>
      </c>
      <c r="BA314" s="125">
        <f>Tabela1[[#This Row],[Pós Magnésio mg/dL]]</f>
        <v>2.2999999999999998</v>
      </c>
      <c r="BB314" s="85">
        <f>Tabela1[[#This Row],[Pré Cloro mmol/L]]</f>
        <v>84</v>
      </c>
      <c r="BC314" s="85">
        <f>Tabela1[[#This Row],[Pós Cloro mmol/L]]</f>
        <v>87</v>
      </c>
      <c r="BD31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295.19944444444445</v>
      </c>
      <c r="BE31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322.08233333333339</v>
      </c>
      <c r="BF314" s="194">
        <f>Tabela1[[#This Row],[Pré RBC 10^6/mm³]]</f>
        <v>5</v>
      </c>
      <c r="BG314" s="125" t="str">
        <f>Tabela1[[#This Row],[Pós RBC 10^6/mm³]]</f>
        <v>-</v>
      </c>
      <c r="BH314" s="125">
        <f>Tabela1[[#This Row],[Pré HGB g/dL]]</f>
        <v>13</v>
      </c>
      <c r="BI314" s="125" t="str">
        <f>Tabela1[[#This Row],[Pós HGB g/dL]]</f>
        <v>-</v>
      </c>
      <c r="BJ314" s="125">
        <f>Tabela1[[#This Row],[Pré HCT %]]</f>
        <v>40.4</v>
      </c>
      <c r="BK314" s="125" t="str">
        <f>Tabela1[[#This Row],[Pós HCT %]]</f>
        <v>-</v>
      </c>
      <c r="BL314" s="125">
        <f>Tabela1[[#This Row],[Pré MCV fL]]</f>
        <v>80.8</v>
      </c>
      <c r="BM314" s="125" t="str">
        <f>Tabela1[[#This Row],[Pós MCV fL]]</f>
        <v>-</v>
      </c>
      <c r="BN314" s="125">
        <f>Tabela1[[#This Row],[Pré MCH pg]]</f>
        <v>26</v>
      </c>
      <c r="BO314" s="125" t="str">
        <f>Tabela1[[#This Row],[Pós MCH pg]]</f>
        <v>-</v>
      </c>
      <c r="BP314" s="125">
        <f>Tabela1[[#This Row],[Pré MCHC g/dL]]</f>
        <v>32.200000000000003</v>
      </c>
      <c r="BQ314" s="125" t="str">
        <f>Tabela1[[#This Row],[Pós MCHC g/dL]]</f>
        <v>-</v>
      </c>
      <c r="BR314" s="85">
        <f>Tabela1[[#This Row],[Pré PLT 10³/mm³]]</f>
        <v>340</v>
      </c>
      <c r="BS314" s="85" t="str">
        <f>Tabela1[[#This Row],[Pós PLT 10³/mm³]]</f>
        <v>-</v>
      </c>
      <c r="BT314" s="125">
        <f>Tabela1[[#This Row],[Pré RDW %]]</f>
        <v>14.2</v>
      </c>
      <c r="BU314" s="125" t="str">
        <f>Tabela1[[#This Row],[Pós RDW %]]</f>
        <v>-</v>
      </c>
      <c r="BV314" s="179" t="str">
        <f>Tabela1[[#This Row],[Pré RET %]]</f>
        <v>-</v>
      </c>
      <c r="BW314" s="196" t="str">
        <f>Tabela1[[#This Row],[Pós RET %]]</f>
        <v>-</v>
      </c>
      <c r="BX314" s="197">
        <f>Tabela1[[#This Row],[Pré WBC 10³/mm³]]</f>
        <v>10.65</v>
      </c>
      <c r="BY314" s="179" t="str">
        <f>Tabela1[[#This Row],[Pós WBC 10³/mm³]]</f>
        <v>-</v>
      </c>
      <c r="BZ314" s="125">
        <f>Tabela1[[#This Row],[Pré NEUT %]]</f>
        <v>78.599999999999994</v>
      </c>
      <c r="CA314" s="125" t="str">
        <f>Tabela1[[#This Row],[Pós NEUT %]]</f>
        <v>-</v>
      </c>
      <c r="CB314" s="125">
        <f>Tabela1[[#This Row],[Pré LINF %]]</f>
        <v>11.7</v>
      </c>
      <c r="CC314" s="125" t="str">
        <f>Tabela1[[#This Row],[Pós LINF %]]</f>
        <v>-</v>
      </c>
      <c r="CD314" s="125">
        <f>Tabela1[[#This Row],[Pré MONO %]]</f>
        <v>6.4</v>
      </c>
      <c r="CE314" s="125" t="str">
        <f>Tabela1[[#This Row],[Pós MONO %]]</f>
        <v>-</v>
      </c>
      <c r="CF314" s="125">
        <f>Tabela1[[#This Row],[Pré EOS %]]</f>
        <v>3</v>
      </c>
      <c r="CG314" s="125" t="str">
        <f>Tabela1[[#This Row],[Pós EOS %]]</f>
        <v>-</v>
      </c>
      <c r="CH314" s="125">
        <f>Tabela1[[#This Row],[Pré BASO %]]</f>
        <v>0.3</v>
      </c>
      <c r="CI314" s="198" t="str">
        <f>Tabela1[[#This Row],[Pós BASO %]]</f>
        <v>-</v>
      </c>
      <c r="CJ314" s="199" t="str">
        <f t="shared" si="17"/>
        <v>SIM</v>
      </c>
      <c r="CK314" s="200" t="str">
        <f t="shared" si="18"/>
        <v>NÃO</v>
      </c>
      <c r="CL314" s="194">
        <f t="shared" si="19"/>
        <v>77.466380000000001</v>
      </c>
      <c r="CM314" s="125">
        <f>Tabela1[[#This Row],[MCT KG]]</f>
        <v>97.1</v>
      </c>
      <c r="CN314" s="85">
        <f>Tabela1[[#This Row],[ESTATURA]]</f>
        <v>181</v>
      </c>
      <c r="CO314" s="85">
        <f>Tabela1[[#This Row],[vo2max estimado]]</f>
        <v>44.53</v>
      </c>
      <c r="CP314" s="85">
        <f>Tabela1[[#This Row],[Handgrip     Dominante]]</f>
        <v>66</v>
      </c>
      <c r="CQ314" s="85">
        <f>Tabela1[[#This Row],[Handgrip Contrário]]</f>
        <v>65</v>
      </c>
      <c r="CR314" s="281">
        <f>Tabela1[[#This Row],[% gordura]]</f>
        <v>20.22</v>
      </c>
    </row>
    <row r="315" spans="1:96" ht="15.75" customHeight="1">
      <c r="A315" s="279">
        <f>Tabela1[[#This Row],[Ano]]</f>
        <v>2022</v>
      </c>
      <c r="B315" s="181" t="str">
        <f>Tabela1[[#This Row],[Missão]]</f>
        <v>Ladário</v>
      </c>
      <c r="C315" s="181">
        <f>Tabela1[[#This Row],[Aluno]]</f>
        <v>3243</v>
      </c>
      <c r="D315" s="181">
        <f>Tabela1[[#This Row],[Idade]]</f>
        <v>35</v>
      </c>
      <c r="E315" s="182">
        <f>Tabela1[[#This Row],[Peso Kg]]</f>
        <v>78</v>
      </c>
      <c r="F315" s="191">
        <f>Tabela1[[#This Row],[Cor da pele]]</f>
        <v>0</v>
      </c>
      <c r="G315" s="192" t="str">
        <f>Tabela1[[#This Row],[ACTN3]]</f>
        <v>RX</v>
      </c>
      <c r="H315" s="85" t="str">
        <f>Tabela1[[#This Row],[AGT]]</f>
        <v>MT</v>
      </c>
      <c r="I315" s="85" t="str">
        <f>Tabela1[[#This Row],[ECA]]</f>
        <v>ID</v>
      </c>
      <c r="J315" s="85" t="str">
        <f>Tabela1[[#This Row],[BDKRB2]]</f>
        <v>(-9 , -9)</v>
      </c>
      <c r="K315" s="85">
        <f>Tabela1[[#This Row],[Score Força%]]</f>
        <v>37.5</v>
      </c>
      <c r="L315" s="193">
        <f>Tabela1[[#This Row],[Score Resistência %]]</f>
        <v>62.5</v>
      </c>
      <c r="M315" s="192">
        <f>Tabela1[[#This Row],[Pré CK (U/L)]]</f>
        <v>312</v>
      </c>
      <c r="N315" s="85">
        <f>Tabela1[[#This Row],[Pós CK (U/L)]]</f>
        <v>276</v>
      </c>
      <c r="O315" s="85" t="str">
        <f>Tabela1[[#This Row],[Pré CK MB U/L]]</f>
        <v>-</v>
      </c>
      <c r="P315" s="85" t="str">
        <f>Tabela1[[#This Row],[Pós CK MB U/L]]</f>
        <v>-</v>
      </c>
      <c r="Q315" s="85">
        <f>Tabela1[[#This Row],[Pré Lactato (mmol/L)]]</f>
        <v>3.3</v>
      </c>
      <c r="R315" s="85">
        <f>Tabela1[[#This Row],[Pós Lactato (mmol/L)]]</f>
        <v>3.5</v>
      </c>
      <c r="S315" s="85">
        <f>Tabela1[[#This Row],[Pré LDH (U/L)]]</f>
        <v>192</v>
      </c>
      <c r="T315" s="85">
        <f>Tabela1[[#This Row],[Pós LDH (U/L)]]</f>
        <v>263</v>
      </c>
      <c r="U315" s="85">
        <f>Tabela1[[#This Row],[Pré AST (U/L)]]</f>
        <v>35</v>
      </c>
      <c r="V315" s="193">
        <f>Tabela1[[#This Row],[Pós AST (U/L)]]</f>
        <v>45</v>
      </c>
      <c r="W315" s="194" t="str">
        <f>Tabela1[[#This Row],[Pré Albumina (g/dL)]]</f>
        <v>-</v>
      </c>
      <c r="X315" s="125" t="str">
        <f>Tabela1[[#This Row],[Pós Albumina (g/dL)]]</f>
        <v>-</v>
      </c>
      <c r="Y315" s="85" t="str">
        <f>Tabela1[[#This Row],[Pré TGP (g/dL)]]</f>
        <v>-</v>
      </c>
      <c r="Z315" s="85" t="str">
        <f>Tabela1[[#This Row],[Pós TGP (g/dL)]]</f>
        <v>-</v>
      </c>
      <c r="AA315" s="85" t="str">
        <f>Tabela1[[#This Row],[Pré GGT U/L]]</f>
        <v>-</v>
      </c>
      <c r="AB315" s="193" t="str">
        <f>Tabela1[[#This Row],[Pós GGT U/L]]</f>
        <v>-</v>
      </c>
      <c r="AC315" s="194">
        <f>Tabela1[[#This Row],[Pré Ac. Úrico (mg/dL)]]</f>
        <v>5.9</v>
      </c>
      <c r="AD315" s="125">
        <f>Tabela1[[#This Row],[Pós Ac. Úrico (mg/dL)2]]</f>
        <v>8.5</v>
      </c>
      <c r="AE31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1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70.209761921634552</v>
      </c>
      <c r="AG315" s="85">
        <f>Tabela1[[#This Row],[Pré Ureia mg/dL]]</f>
        <v>36</v>
      </c>
      <c r="AH315" s="85">
        <f>Tabela1[[#This Row],[Pós Ureia mg/dL]]</f>
        <v>57</v>
      </c>
      <c r="AI315" s="125">
        <f>Tabela1[[#This Row],[Pré creatinina mg/dL]]</f>
        <v>0.9</v>
      </c>
      <c r="AJ315" s="125">
        <f>Tabela1[[#This Row],[Pós creatinina mg/dL]]</f>
        <v>1.4</v>
      </c>
      <c r="AK315" s="180">
        <f t="shared" si="16"/>
        <v>0.49999999999999989</v>
      </c>
      <c r="AL315" s="125">
        <f>Tabela1[[#This Row],[Pré Fósforo mg/dL]]</f>
        <v>4</v>
      </c>
      <c r="AM315" s="125">
        <f>Tabela1[[#This Row],[Pós Fósforo mg/dL]]</f>
        <v>4.8</v>
      </c>
      <c r="AN315" s="125">
        <f>Tabela1[[#This Row],[Pré Proteína Total (g/dL)]]</f>
        <v>7</v>
      </c>
      <c r="AO315" s="125">
        <f>Tabela1[[#This Row],[Pós Proteína Total (g/dL)]]</f>
        <v>9.6</v>
      </c>
      <c r="AP315" s="85">
        <f>Tabela1[[#This Row],[Pré FE (ug/dL)]]</f>
        <v>93</v>
      </c>
      <c r="AQ315" s="193">
        <f>Tabela1[[#This Row],[Pós FE (ug/dL)]]</f>
        <v>95</v>
      </c>
      <c r="AR315" s="194">
        <f>Tabela1[[#This Row],[Pré calcio mg/dL]]</f>
        <v>9</v>
      </c>
      <c r="AS315" s="125">
        <f>Tabela1[[#This Row],[Pós calcio mg/dL]]</f>
        <v>11.3</v>
      </c>
      <c r="AT315" s="125">
        <f>Tabela1[[#This Row],[Pré Potássio mmol/L]]</f>
        <v>3.9</v>
      </c>
      <c r="AU315" s="125">
        <f>Tabela1[[#This Row],[Pós Potássio mmol/L]]</f>
        <v>5.2</v>
      </c>
      <c r="AV315" s="85">
        <f>Tabela1[[#This Row],[Glicose pré]]</f>
        <v>75</v>
      </c>
      <c r="AW315" s="85">
        <f>Tabela1[[#This Row],[Glicose pós]]</f>
        <v>92</v>
      </c>
      <c r="AX315" s="85">
        <f>Tabela1[[#This Row],[Pré Sódio mmol/L]]</f>
        <v>135</v>
      </c>
      <c r="AY315" s="85">
        <f>Tabela1[[#This Row],[Pós Sódio mmol/L]]</f>
        <v>167</v>
      </c>
      <c r="AZ315" s="125">
        <f>Tabela1[[#This Row],[Pré Magnésio mg/dL]]</f>
        <v>1.7</v>
      </c>
      <c r="BA315" s="125">
        <f>Tabela1[[#This Row],[Pós Magnésio mg/dL]]</f>
        <v>2.6</v>
      </c>
      <c r="BB315" s="85">
        <f>Tabela1[[#This Row],[Pré Cloro mmol/L]]</f>
        <v>82</v>
      </c>
      <c r="BC315" s="85">
        <f>Tabela1[[#This Row],[Pós Cloro mmol/L]]</f>
        <v>92</v>
      </c>
      <c r="BD31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283.14566666666673</v>
      </c>
      <c r="BE31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349.66977777777777</v>
      </c>
      <c r="BF315" s="194">
        <f>Tabela1[[#This Row],[Pré RBC 10^6/mm³]]</f>
        <v>4.4000000000000004</v>
      </c>
      <c r="BG315" s="125" t="str">
        <f>Tabela1[[#This Row],[Pós RBC 10^6/mm³]]</f>
        <v>-</v>
      </c>
      <c r="BH315" s="125">
        <f>Tabela1[[#This Row],[Pré HGB g/dL]]</f>
        <v>14</v>
      </c>
      <c r="BI315" s="125" t="str">
        <f>Tabela1[[#This Row],[Pós HGB g/dL]]</f>
        <v>-</v>
      </c>
      <c r="BJ315" s="125">
        <f>Tabela1[[#This Row],[Pré HCT %]]</f>
        <v>40.799999999999997</v>
      </c>
      <c r="BK315" s="125" t="str">
        <f>Tabela1[[#This Row],[Pós HCT %]]</f>
        <v>-</v>
      </c>
      <c r="BL315" s="125">
        <f>Tabela1[[#This Row],[Pré MCV fL]]</f>
        <v>92.7</v>
      </c>
      <c r="BM315" s="125" t="str">
        <f>Tabela1[[#This Row],[Pós MCV fL]]</f>
        <v>-</v>
      </c>
      <c r="BN315" s="125">
        <f>Tabela1[[#This Row],[Pré MCH pg]]</f>
        <v>31.8</v>
      </c>
      <c r="BO315" s="125" t="str">
        <f>Tabela1[[#This Row],[Pós MCH pg]]</f>
        <v>-</v>
      </c>
      <c r="BP315" s="125">
        <f>Tabela1[[#This Row],[Pré MCHC g/dL]]</f>
        <v>34.299999999999997</v>
      </c>
      <c r="BQ315" s="125" t="str">
        <f>Tabela1[[#This Row],[Pós MCHC g/dL]]</f>
        <v>-</v>
      </c>
      <c r="BR315" s="85">
        <f>Tabela1[[#This Row],[Pré PLT 10³/mm³]]</f>
        <v>242</v>
      </c>
      <c r="BS315" s="85" t="str">
        <f>Tabela1[[#This Row],[Pós PLT 10³/mm³]]</f>
        <v>-</v>
      </c>
      <c r="BT315" s="125">
        <f>Tabela1[[#This Row],[Pré RDW %]]</f>
        <v>12.9</v>
      </c>
      <c r="BU315" s="125" t="str">
        <f>Tabela1[[#This Row],[Pós RDW %]]</f>
        <v>-</v>
      </c>
      <c r="BV315" s="179" t="str">
        <f>Tabela1[[#This Row],[Pré RET %]]</f>
        <v>-</v>
      </c>
      <c r="BW315" s="196" t="str">
        <f>Tabela1[[#This Row],[Pós RET %]]</f>
        <v>-</v>
      </c>
      <c r="BX315" s="197">
        <f>Tabela1[[#This Row],[Pré WBC 10³/mm³]]</f>
        <v>6.48</v>
      </c>
      <c r="BY315" s="179" t="str">
        <f>Tabela1[[#This Row],[Pós WBC 10³/mm³]]</f>
        <v>-</v>
      </c>
      <c r="BZ315" s="125">
        <f>Tabela1[[#This Row],[Pré NEUT %]]</f>
        <v>63.3</v>
      </c>
      <c r="CA315" s="125" t="str">
        <f>Tabela1[[#This Row],[Pós NEUT %]]</f>
        <v>-</v>
      </c>
      <c r="CB315" s="125">
        <f>Tabela1[[#This Row],[Pré LINF %]]</f>
        <v>28.5</v>
      </c>
      <c r="CC315" s="125" t="str">
        <f>Tabela1[[#This Row],[Pós LINF %]]</f>
        <v>-</v>
      </c>
      <c r="CD315" s="125">
        <f>Tabela1[[#This Row],[Pré MONO %]]</f>
        <v>6.8</v>
      </c>
      <c r="CE315" s="125" t="str">
        <f>Tabela1[[#This Row],[Pós MONO %]]</f>
        <v>-</v>
      </c>
      <c r="CF315" s="125">
        <f>Tabela1[[#This Row],[Pré EOS %]]</f>
        <v>0.8</v>
      </c>
      <c r="CG315" s="125" t="str">
        <f>Tabela1[[#This Row],[Pós EOS %]]</f>
        <v>-</v>
      </c>
      <c r="CH315" s="125">
        <f>Tabela1[[#This Row],[Pré BASO %]]</f>
        <v>0.6</v>
      </c>
      <c r="CI315" s="198" t="str">
        <f>Tabela1[[#This Row],[Pós BASO %]]</f>
        <v>-</v>
      </c>
      <c r="CJ315" s="199" t="str">
        <f t="shared" si="17"/>
        <v>SIM</v>
      </c>
      <c r="CK315" s="200" t="str">
        <f t="shared" si="18"/>
        <v>NÃO</v>
      </c>
      <c r="CL315" s="194">
        <f t="shared" si="19"/>
        <v>73.247245000000007</v>
      </c>
      <c r="CM315" s="125">
        <f>Tabela1[[#This Row],[MCT KG]]</f>
        <v>77.650000000000006</v>
      </c>
      <c r="CN315" s="85">
        <f>Tabela1[[#This Row],[ESTATURA]]</f>
        <v>184.2</v>
      </c>
      <c r="CO315" s="85">
        <f>Tabela1[[#This Row],[vo2max estimado]]</f>
        <v>54.09</v>
      </c>
      <c r="CP315" s="85">
        <f>Tabela1[[#This Row],[Handgrip     Dominante]]</f>
        <v>56</v>
      </c>
      <c r="CQ315" s="85">
        <f>Tabela1[[#This Row],[Handgrip Contrário]]</f>
        <v>52</v>
      </c>
      <c r="CR315" s="281">
        <f>Tabela1[[#This Row],[% gordura]]</f>
        <v>5.67</v>
      </c>
    </row>
    <row r="316" spans="1:96" ht="15.75" customHeight="1">
      <c r="A316" s="279">
        <f>Tabela1[[#This Row],[Ano]]</f>
        <v>2022</v>
      </c>
      <c r="B316" s="181" t="str">
        <f>Tabela1[[#This Row],[Missão]]</f>
        <v>Ladário</v>
      </c>
      <c r="C316" s="181">
        <f>Tabela1[[#This Row],[Aluno]]</f>
        <v>3246</v>
      </c>
      <c r="D316" s="181">
        <f>Tabela1[[#This Row],[Idade]]</f>
        <v>32</v>
      </c>
      <c r="E316" s="182">
        <f>Tabela1[[#This Row],[Peso Kg]]</f>
        <v>80</v>
      </c>
      <c r="F316" s="191">
        <f>Tabela1[[#This Row],[Cor da pele]]</f>
        <v>0</v>
      </c>
      <c r="G316" s="192" t="str">
        <f>Tabela1[[#This Row],[ACTN3]]</f>
        <v>-</v>
      </c>
      <c r="H316" s="85" t="str">
        <f>Tabela1[[#This Row],[AGT]]</f>
        <v>-</v>
      </c>
      <c r="I316" s="85" t="str">
        <f>Tabela1[[#This Row],[ECA]]</f>
        <v>-</v>
      </c>
      <c r="J316" s="85" t="str">
        <f>Tabela1[[#This Row],[BDKRB2]]</f>
        <v>-</v>
      </c>
      <c r="K316" s="85" t="str">
        <f>Tabela1[[#This Row],[Score Força%]]</f>
        <v>-</v>
      </c>
      <c r="L316" s="193" t="str">
        <f>Tabela1[[#This Row],[Score Resistência %]]</f>
        <v>-</v>
      </c>
      <c r="M316" s="192">
        <f>Tabela1[[#This Row],[Pré CK (U/L)]]</f>
        <v>207</v>
      </c>
      <c r="N316" s="85">
        <f>Tabela1[[#This Row],[Pós CK (U/L)]]</f>
        <v>91</v>
      </c>
      <c r="O316" s="85" t="str">
        <f>Tabela1[[#This Row],[Pré CK MB U/L]]</f>
        <v>-</v>
      </c>
      <c r="P316" s="85" t="str">
        <f>Tabela1[[#This Row],[Pós CK MB U/L]]</f>
        <v>-</v>
      </c>
      <c r="Q316" s="85" t="str">
        <f>Tabela1[[#This Row],[Pré Lactato (mmol/L)]]</f>
        <v>-</v>
      </c>
      <c r="R316" s="85">
        <f>Tabela1[[#This Row],[Pós Lactato (mmol/L)]]</f>
        <v>3.4</v>
      </c>
      <c r="S316" s="85">
        <f>Tabela1[[#This Row],[Pré LDH (U/L)]]</f>
        <v>181</v>
      </c>
      <c r="T316" s="85">
        <f>Tabela1[[#This Row],[Pós LDH (U/L)]]</f>
        <v>251</v>
      </c>
      <c r="U316" s="85">
        <f>Tabela1[[#This Row],[Pré AST (U/L)]]</f>
        <v>31</v>
      </c>
      <c r="V316" s="193">
        <f>Tabela1[[#This Row],[Pós AST (U/L)]]</f>
        <v>30</v>
      </c>
      <c r="W316" s="194" t="str">
        <f>Tabela1[[#This Row],[Pré Albumina (g/dL)]]</f>
        <v>-</v>
      </c>
      <c r="X316" s="125" t="str">
        <f>Tabela1[[#This Row],[Pós Albumina (g/dL)]]</f>
        <v>-</v>
      </c>
      <c r="Y316" s="85" t="str">
        <f>Tabela1[[#This Row],[Pré TGP (g/dL)]]</f>
        <v>-</v>
      </c>
      <c r="Z316" s="85" t="str">
        <f>Tabela1[[#This Row],[Pós TGP (g/dL)]]</f>
        <v>-</v>
      </c>
      <c r="AA316" s="85" t="str">
        <f>Tabela1[[#This Row],[Pré GGT U/L]]</f>
        <v>-</v>
      </c>
      <c r="AB316" s="193" t="str">
        <f>Tabela1[[#This Row],[Pós GGT U/L]]</f>
        <v>-</v>
      </c>
      <c r="AC316" s="194">
        <f>Tabela1[[#This Row],[Pré Ac. Úrico (mg/dL)]]</f>
        <v>4.0999999999999996</v>
      </c>
      <c r="AD316" s="125">
        <f>Tabela1[[#This Row],[Pós Ac. Úrico (mg/dL)2]]</f>
        <v>6.6</v>
      </c>
      <c r="AE31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1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59.814594653328946</v>
      </c>
      <c r="AG316" s="85">
        <f>Tabela1[[#This Row],[Pré Ureia mg/dL]]</f>
        <v>32</v>
      </c>
      <c r="AH316" s="85">
        <f>Tabela1[[#This Row],[Pós Ureia mg/dL]]</f>
        <v>48</v>
      </c>
      <c r="AI316" s="125">
        <f>Tabela1[[#This Row],[Pré creatinina mg/dL]]</f>
        <v>0.9</v>
      </c>
      <c r="AJ316" s="125">
        <f>Tabela1[[#This Row],[Pós creatinina mg/dL]]</f>
        <v>1.6</v>
      </c>
      <c r="AK316" s="180">
        <f t="shared" si="16"/>
        <v>0.70000000000000007</v>
      </c>
      <c r="AL316" s="125">
        <f>Tabela1[[#This Row],[Pré Fósforo mg/dL]]</f>
        <v>4.8</v>
      </c>
      <c r="AM316" s="125">
        <f>Tabela1[[#This Row],[Pós Fósforo mg/dL]]</f>
        <v>4.4000000000000004</v>
      </c>
      <c r="AN316" s="125">
        <f>Tabela1[[#This Row],[Pré Proteína Total (g/dL)]]</f>
        <v>6.2</v>
      </c>
      <c r="AO316" s="125">
        <f>Tabela1[[#This Row],[Pós Proteína Total (g/dL)]]</f>
        <v>8.1999999999999993</v>
      </c>
      <c r="AP316" s="85" t="str">
        <f>Tabela1[[#This Row],[Pré FE (ug/dL)]]</f>
        <v>-</v>
      </c>
      <c r="AQ316" s="193">
        <f>Tabela1[[#This Row],[Pós FE (ug/dL)]]</f>
        <v>63</v>
      </c>
      <c r="AR316" s="194">
        <f>Tabela1[[#This Row],[Pré calcio mg/dL]]</f>
        <v>8.6999999999999993</v>
      </c>
      <c r="AS316" s="125">
        <f>Tabela1[[#This Row],[Pós calcio mg/dL]]</f>
        <v>11</v>
      </c>
      <c r="AT316" s="125">
        <f>Tabela1[[#This Row],[Pré Potássio mmol/L]]</f>
        <v>4.4000000000000004</v>
      </c>
      <c r="AU316" s="125">
        <f>Tabela1[[#This Row],[Pós Potássio mmol/L]]</f>
        <v>5.4</v>
      </c>
      <c r="AV316" s="85">
        <f>Tabela1[[#This Row],[Glicose pré]]</f>
        <v>78</v>
      </c>
      <c r="AW316" s="85">
        <f>Tabela1[[#This Row],[Glicose pós]]</f>
        <v>90</v>
      </c>
      <c r="AX316" s="85">
        <f>Tabela1[[#This Row],[Pré Sódio mmol/L]]</f>
        <v>141</v>
      </c>
      <c r="AY316" s="85">
        <f>Tabela1[[#This Row],[Pós Sódio mmol/L]]</f>
        <v>175</v>
      </c>
      <c r="AZ316" s="125">
        <f>Tabela1[[#This Row],[Pré Magnésio mg/dL]]</f>
        <v>1.9</v>
      </c>
      <c r="BA316" s="125">
        <f>Tabela1[[#This Row],[Pós Magnésio mg/dL]]</f>
        <v>2.7</v>
      </c>
      <c r="BB316" s="85">
        <f>Tabela1[[#This Row],[Pré Cloro mmol/L]]</f>
        <v>83</v>
      </c>
      <c r="BC316" s="85">
        <f>Tabela1[[#This Row],[Pós Cloro mmol/L]]</f>
        <v>93</v>
      </c>
      <c r="BD31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294.76066666666668</v>
      </c>
      <c r="BE31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363.29400000000004</v>
      </c>
      <c r="BF316" s="194" t="str">
        <f>Tabela1[[#This Row],[Pré RBC 10^6/mm³]]</f>
        <v>-</v>
      </c>
      <c r="BG316" s="125" t="str">
        <f>Tabela1[[#This Row],[Pós RBC 10^6/mm³]]</f>
        <v>-</v>
      </c>
      <c r="BH316" s="125" t="str">
        <f>Tabela1[[#This Row],[Pré HGB g/dL]]</f>
        <v>-</v>
      </c>
      <c r="BI316" s="125" t="str">
        <f>Tabela1[[#This Row],[Pós HGB g/dL]]</f>
        <v>-</v>
      </c>
      <c r="BJ316" s="125" t="str">
        <f>Tabela1[[#This Row],[Pré HCT %]]</f>
        <v>-</v>
      </c>
      <c r="BK316" s="125" t="str">
        <f>Tabela1[[#This Row],[Pós HCT %]]</f>
        <v>-</v>
      </c>
      <c r="BL316" s="125" t="str">
        <f>Tabela1[[#This Row],[Pré MCV fL]]</f>
        <v>-</v>
      </c>
      <c r="BM316" s="125" t="str">
        <f>Tabela1[[#This Row],[Pós MCV fL]]</f>
        <v>-</v>
      </c>
      <c r="BN316" s="125" t="str">
        <f>Tabela1[[#This Row],[Pré MCH pg]]</f>
        <v>-</v>
      </c>
      <c r="BO316" s="125" t="str">
        <f>Tabela1[[#This Row],[Pós MCH pg]]</f>
        <v>-</v>
      </c>
      <c r="BP316" s="125" t="str">
        <f>Tabela1[[#This Row],[Pré MCHC g/dL]]</f>
        <v>-</v>
      </c>
      <c r="BQ316" s="125" t="str">
        <f>Tabela1[[#This Row],[Pós MCHC g/dL]]</f>
        <v>-</v>
      </c>
      <c r="BR316" s="85" t="str">
        <f>Tabela1[[#This Row],[Pré PLT 10³/mm³]]</f>
        <v>-</v>
      </c>
      <c r="BS316" s="85" t="str">
        <f>Tabela1[[#This Row],[Pós PLT 10³/mm³]]</f>
        <v>-</v>
      </c>
      <c r="BT316" s="125" t="str">
        <f>Tabela1[[#This Row],[Pré RDW %]]</f>
        <v>-</v>
      </c>
      <c r="BU316" s="125" t="str">
        <f>Tabela1[[#This Row],[Pós RDW %]]</f>
        <v>-</v>
      </c>
      <c r="BV316" s="179" t="str">
        <f>Tabela1[[#This Row],[Pré RET %]]</f>
        <v>-</v>
      </c>
      <c r="BW316" s="196" t="str">
        <f>Tabela1[[#This Row],[Pós RET %]]</f>
        <v>-</v>
      </c>
      <c r="BX316" s="197" t="str">
        <f>Tabela1[[#This Row],[Pré WBC 10³/mm³]]</f>
        <v>-</v>
      </c>
      <c r="BY316" s="179" t="str">
        <f>Tabela1[[#This Row],[Pós WBC 10³/mm³]]</f>
        <v>-</v>
      </c>
      <c r="BZ316" s="125" t="str">
        <f>Tabela1[[#This Row],[Pré NEUT %]]</f>
        <v>-</v>
      </c>
      <c r="CA316" s="125" t="str">
        <f>Tabela1[[#This Row],[Pós NEUT %]]</f>
        <v>-</v>
      </c>
      <c r="CB316" s="125" t="str">
        <f>Tabela1[[#This Row],[Pré LINF %]]</f>
        <v>-</v>
      </c>
      <c r="CC316" s="125" t="str">
        <f>Tabela1[[#This Row],[Pós LINF %]]</f>
        <v>-</v>
      </c>
      <c r="CD316" s="125" t="str">
        <f>Tabela1[[#This Row],[Pré MONO %]]</f>
        <v>-</v>
      </c>
      <c r="CE316" s="125" t="str">
        <f>Tabela1[[#This Row],[Pós MONO %]]</f>
        <v>-</v>
      </c>
      <c r="CF316" s="125" t="str">
        <f>Tabela1[[#This Row],[Pré EOS %]]</f>
        <v>-</v>
      </c>
      <c r="CG316" s="125" t="str">
        <f>Tabela1[[#This Row],[Pós EOS %]]</f>
        <v>-</v>
      </c>
      <c r="CH316" s="125" t="str">
        <f>Tabela1[[#This Row],[Pré BASO %]]</f>
        <v>-</v>
      </c>
      <c r="CI316" s="198" t="str">
        <f>Tabela1[[#This Row],[Pós BASO %]]</f>
        <v>-</v>
      </c>
      <c r="CJ316" s="199" t="str">
        <f t="shared" si="17"/>
        <v>SIM</v>
      </c>
      <c r="CK316" s="200" t="str">
        <f t="shared" si="18"/>
        <v>NÃO</v>
      </c>
      <c r="CL316" s="194">
        <f t="shared" si="19"/>
        <v>70.071784999999991</v>
      </c>
      <c r="CM316" s="125">
        <f>Tabela1[[#This Row],[MCT KG]]</f>
        <v>81.849999999999994</v>
      </c>
      <c r="CN316" s="85">
        <f>Tabela1[[#This Row],[ESTATURA]]</f>
        <v>181</v>
      </c>
      <c r="CO316" s="85">
        <f>Tabela1[[#This Row],[vo2max estimado]]</f>
        <v>52.98</v>
      </c>
      <c r="CP316" s="85">
        <f>Tabela1[[#This Row],[Handgrip     Dominante]]</f>
        <v>60</v>
      </c>
      <c r="CQ316" s="85">
        <f>Tabela1[[#This Row],[Handgrip Contrário]]</f>
        <v>60</v>
      </c>
      <c r="CR316" s="281">
        <f>Tabela1[[#This Row],[% gordura]]</f>
        <v>14.39</v>
      </c>
    </row>
    <row r="317" spans="1:96" ht="15.75" customHeight="1">
      <c r="A317" s="279">
        <f>Tabela1[[#This Row],[Ano]]</f>
        <v>2022</v>
      </c>
      <c r="B317" s="181" t="str">
        <f>Tabela1[[#This Row],[Missão]]</f>
        <v>Ladário</v>
      </c>
      <c r="C317" s="181">
        <f>Tabela1[[#This Row],[Aluno]]</f>
        <v>3247</v>
      </c>
      <c r="D317" s="181">
        <f>Tabela1[[#This Row],[Idade]]</f>
        <v>35</v>
      </c>
      <c r="E317" s="182">
        <f>Tabela1[[#This Row],[Peso Kg]]</f>
        <v>76</v>
      </c>
      <c r="F317" s="191">
        <f>Tabela1[[#This Row],[Cor da pele]]</f>
        <v>0</v>
      </c>
      <c r="G317" s="192" t="str">
        <f>Tabela1[[#This Row],[ACTN3]]</f>
        <v>RX</v>
      </c>
      <c r="H317" s="85" t="str">
        <f>Tabela1[[#This Row],[AGT]]</f>
        <v>MM</v>
      </c>
      <c r="I317" s="85" t="str">
        <f>Tabela1[[#This Row],[ECA]]</f>
        <v>ID</v>
      </c>
      <c r="J317" s="85" t="str">
        <f>Tabela1[[#This Row],[BDKRB2]]</f>
        <v>(+9, +9)</v>
      </c>
      <c r="K317" s="85">
        <f>Tabela1[[#This Row],[Score Força%]]</f>
        <v>50</v>
      </c>
      <c r="L317" s="193">
        <f>Tabela1[[#This Row],[Score Resistência %]]</f>
        <v>50</v>
      </c>
      <c r="M317" s="192">
        <f>Tabela1[[#This Row],[Pré CK (U/L)]]</f>
        <v>146</v>
      </c>
      <c r="N317" s="85">
        <f>Tabela1[[#This Row],[Pós CK (U/L)]]</f>
        <v>102</v>
      </c>
      <c r="O317" s="85" t="str">
        <f>Tabela1[[#This Row],[Pré CK MB U/L]]</f>
        <v>-</v>
      </c>
      <c r="P317" s="85" t="str">
        <f>Tabela1[[#This Row],[Pós CK MB U/L]]</f>
        <v>-</v>
      </c>
      <c r="Q317" s="85">
        <f>Tabela1[[#This Row],[Pré Lactato (mmol/L)]]</f>
        <v>3.3</v>
      </c>
      <c r="R317" s="85">
        <f>Tabela1[[#This Row],[Pós Lactato (mmol/L)]]</f>
        <v>4.8</v>
      </c>
      <c r="S317" s="85">
        <f>Tabela1[[#This Row],[Pré LDH (U/L)]]</f>
        <v>232</v>
      </c>
      <c r="T317" s="85">
        <f>Tabela1[[#This Row],[Pós LDH (U/L)]]</f>
        <v>226</v>
      </c>
      <c r="U317" s="85">
        <f>Tabela1[[#This Row],[Pré AST (U/L)]]</f>
        <v>43</v>
      </c>
      <c r="V317" s="193">
        <f>Tabela1[[#This Row],[Pós AST (U/L)]]</f>
        <v>36</v>
      </c>
      <c r="W317" s="194" t="str">
        <f>Tabela1[[#This Row],[Pré Albumina (g/dL)]]</f>
        <v>-</v>
      </c>
      <c r="X317" s="125" t="str">
        <f>Tabela1[[#This Row],[Pós Albumina (g/dL)]]</f>
        <v>-</v>
      </c>
      <c r="Y317" s="85" t="str">
        <f>Tabela1[[#This Row],[Pré TGP (g/dL)]]</f>
        <v>-</v>
      </c>
      <c r="Z317" s="85" t="str">
        <f>Tabela1[[#This Row],[Pós TGP (g/dL)]]</f>
        <v>-</v>
      </c>
      <c r="AA317" s="85" t="str">
        <f>Tabela1[[#This Row],[Pré GGT U/L]]</f>
        <v>-</v>
      </c>
      <c r="AB317" s="193" t="str">
        <f>Tabela1[[#This Row],[Pós GGT U/L]]</f>
        <v>-</v>
      </c>
      <c r="AC317" s="194">
        <f>Tabela1[[#This Row],[Pré Ac. Úrico (mg/dL)]]</f>
        <v>4.4000000000000004</v>
      </c>
      <c r="AD317" s="125">
        <f>Tabela1[[#This Row],[Pós Ac. Úrico (mg/dL)2]]</f>
        <v>6.1</v>
      </c>
      <c r="AE31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1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317" s="85">
        <f>Tabela1[[#This Row],[Pré Ureia mg/dL]]</f>
        <v>34</v>
      </c>
      <c r="AH317" s="85">
        <f>Tabela1[[#This Row],[Pós Ureia mg/dL]]</f>
        <v>45</v>
      </c>
      <c r="AI317" s="125">
        <f>Tabela1[[#This Row],[Pré creatinina mg/dL]]</f>
        <v>0.9</v>
      </c>
      <c r="AJ317" s="125">
        <f>Tabela1[[#This Row],[Pós creatinina mg/dL]]</f>
        <v>1.1000000000000001</v>
      </c>
      <c r="AK317" s="180">
        <f t="shared" si="16"/>
        <v>0.20000000000000007</v>
      </c>
      <c r="AL317" s="125">
        <f>Tabela1[[#This Row],[Pré Fósforo mg/dL]]</f>
        <v>3.6</v>
      </c>
      <c r="AM317" s="125">
        <f>Tabela1[[#This Row],[Pós Fósforo mg/dL]]</f>
        <v>3.8</v>
      </c>
      <c r="AN317" s="125">
        <f>Tabela1[[#This Row],[Pré Proteína Total (g/dL)]]</f>
        <v>7.4</v>
      </c>
      <c r="AO317" s="125">
        <f>Tabela1[[#This Row],[Pós Proteína Total (g/dL)]]</f>
        <v>8.4</v>
      </c>
      <c r="AP317" s="85">
        <f>Tabela1[[#This Row],[Pré FE (ug/dL)]]</f>
        <v>120</v>
      </c>
      <c r="AQ317" s="193">
        <f>Tabela1[[#This Row],[Pós FE (ug/dL)]]</f>
        <v>95</v>
      </c>
      <c r="AR317" s="194">
        <f>Tabela1[[#This Row],[Pré calcio mg/dL]]</f>
        <v>9.3000000000000007</v>
      </c>
      <c r="AS317" s="125">
        <f>Tabela1[[#This Row],[Pós calcio mg/dL]]</f>
        <v>10.1</v>
      </c>
      <c r="AT317" s="125">
        <f>Tabela1[[#This Row],[Pré Potássio mmol/L]]</f>
        <v>4.5999999999999996</v>
      </c>
      <c r="AU317" s="125">
        <f>Tabela1[[#This Row],[Pós Potássio mmol/L]]</f>
        <v>4.8</v>
      </c>
      <c r="AV317" s="85">
        <f>Tabela1[[#This Row],[Glicose pré]]</f>
        <v>54</v>
      </c>
      <c r="AW317" s="85">
        <f>Tabela1[[#This Row],[Glicose pós]]</f>
        <v>63</v>
      </c>
      <c r="AX317" s="85">
        <f>Tabela1[[#This Row],[Pré Sódio mmol/L]]</f>
        <v>140</v>
      </c>
      <c r="AY317" s="85">
        <f>Tabela1[[#This Row],[Pós Sódio mmol/L]]</f>
        <v>144</v>
      </c>
      <c r="AZ317" s="125">
        <f>Tabela1[[#This Row],[Pré Magnésio mg/dL]]</f>
        <v>1.9</v>
      </c>
      <c r="BA317" s="125">
        <f>Tabela1[[#This Row],[Pós Magnésio mg/dL]]</f>
        <v>2.2000000000000002</v>
      </c>
      <c r="BB317" s="85">
        <f>Tabela1[[#This Row],[Pré Cloro mmol/L]]</f>
        <v>84</v>
      </c>
      <c r="BC317" s="85">
        <f>Tabela1[[#This Row],[Pós Cloro mmol/L]]</f>
        <v>83</v>
      </c>
      <c r="BD31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292.07266666666669</v>
      </c>
      <c r="BE31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302.29300000000001</v>
      </c>
      <c r="BF317" s="194">
        <f>Tabela1[[#This Row],[Pré RBC 10^6/mm³]]</f>
        <v>4.9000000000000004</v>
      </c>
      <c r="BG317" s="125" t="str">
        <f>Tabela1[[#This Row],[Pós RBC 10^6/mm³]]</f>
        <v>-</v>
      </c>
      <c r="BH317" s="125">
        <f>Tabela1[[#This Row],[Pré HGB g/dL]]</f>
        <v>15</v>
      </c>
      <c r="BI317" s="125" t="str">
        <f>Tabela1[[#This Row],[Pós HGB g/dL]]</f>
        <v>-</v>
      </c>
      <c r="BJ317" s="125">
        <f>Tabela1[[#This Row],[Pré HCT %]]</f>
        <v>45</v>
      </c>
      <c r="BK317" s="125" t="str">
        <f>Tabela1[[#This Row],[Pós HCT %]]</f>
        <v>-</v>
      </c>
      <c r="BL317" s="125">
        <f>Tabela1[[#This Row],[Pré MCV fL]]</f>
        <v>91.8</v>
      </c>
      <c r="BM317" s="125" t="str">
        <f>Tabela1[[#This Row],[Pós MCV fL]]</f>
        <v>-</v>
      </c>
      <c r="BN317" s="125">
        <f>Tabela1[[#This Row],[Pré MCH pg]]</f>
        <v>30.6</v>
      </c>
      <c r="BO317" s="125" t="str">
        <f>Tabela1[[#This Row],[Pós MCH pg]]</f>
        <v>-</v>
      </c>
      <c r="BP317" s="125">
        <f>Tabela1[[#This Row],[Pré MCHC g/dL]]</f>
        <v>33.299999999999997</v>
      </c>
      <c r="BQ317" s="125" t="str">
        <f>Tabela1[[#This Row],[Pós MCHC g/dL]]</f>
        <v>-</v>
      </c>
      <c r="BR317" s="85">
        <f>Tabela1[[#This Row],[Pré PLT 10³/mm³]]</f>
        <v>170</v>
      </c>
      <c r="BS317" s="85" t="str">
        <f>Tabela1[[#This Row],[Pós PLT 10³/mm³]]</f>
        <v>-</v>
      </c>
      <c r="BT317" s="125">
        <f>Tabela1[[#This Row],[Pré RDW %]]</f>
        <v>14.1</v>
      </c>
      <c r="BU317" s="125" t="str">
        <f>Tabela1[[#This Row],[Pós RDW %]]</f>
        <v>-</v>
      </c>
      <c r="BV317" s="179" t="str">
        <f>Tabela1[[#This Row],[Pré RET %]]</f>
        <v>-</v>
      </c>
      <c r="BW317" s="196" t="str">
        <f>Tabela1[[#This Row],[Pós RET %]]</f>
        <v>-</v>
      </c>
      <c r="BX317" s="197">
        <f>Tabela1[[#This Row],[Pré WBC 10³/mm³]]</f>
        <v>7.51</v>
      </c>
      <c r="BY317" s="179" t="str">
        <f>Tabela1[[#This Row],[Pós WBC 10³/mm³]]</f>
        <v>-</v>
      </c>
      <c r="BZ317" s="125">
        <f>Tabela1[[#This Row],[Pré NEUT %]]</f>
        <v>55.6</v>
      </c>
      <c r="CA317" s="125" t="str">
        <f>Tabela1[[#This Row],[Pós NEUT %]]</f>
        <v>-</v>
      </c>
      <c r="CB317" s="125">
        <f>Tabela1[[#This Row],[Pré LINF %]]</f>
        <v>24.4</v>
      </c>
      <c r="CC317" s="125" t="str">
        <f>Tabela1[[#This Row],[Pós LINF %]]</f>
        <v>-</v>
      </c>
      <c r="CD317" s="125">
        <f>Tabela1[[#This Row],[Pré MONO %]]</f>
        <v>14</v>
      </c>
      <c r="CE317" s="125" t="str">
        <f>Tabela1[[#This Row],[Pós MONO %]]</f>
        <v>-</v>
      </c>
      <c r="CF317" s="125">
        <f>Tabela1[[#This Row],[Pré EOS %]]</f>
        <v>5.7</v>
      </c>
      <c r="CG317" s="125" t="str">
        <f>Tabela1[[#This Row],[Pós EOS %]]</f>
        <v>-</v>
      </c>
      <c r="CH317" s="125">
        <f>Tabela1[[#This Row],[Pré BASO %]]</f>
        <v>0.3</v>
      </c>
      <c r="CI317" s="198" t="str">
        <f>Tabela1[[#This Row],[Pós BASO %]]</f>
        <v>-</v>
      </c>
      <c r="CJ317" s="199" t="str">
        <f t="shared" si="17"/>
        <v>NÃO</v>
      </c>
      <c r="CK317" s="200" t="str">
        <f t="shared" si="18"/>
        <v>NÃO</v>
      </c>
      <c r="CL317" s="194">
        <f t="shared" si="19"/>
        <v>65.962705</v>
      </c>
      <c r="CM317" s="125">
        <f>Tabela1[[#This Row],[MCT KG]]</f>
        <v>75.55</v>
      </c>
      <c r="CN317" s="85">
        <f>Tabela1[[#This Row],[ESTATURA]]</f>
        <v>177.5</v>
      </c>
      <c r="CO317" s="85">
        <f>Tabela1[[#This Row],[vo2max estimado]]</f>
        <v>50.61</v>
      </c>
      <c r="CP317" s="85">
        <f>Tabela1[[#This Row],[Handgrip     Dominante]]</f>
        <v>56</v>
      </c>
      <c r="CQ317" s="85">
        <f>Tabela1[[#This Row],[Handgrip Contrário]]</f>
        <v>50</v>
      </c>
      <c r="CR317" s="281">
        <f>Tabela1[[#This Row],[% gordura]]</f>
        <v>12.69</v>
      </c>
    </row>
    <row r="318" spans="1:96" ht="15.75" customHeight="1">
      <c r="A318" s="279">
        <f>Tabela1[[#This Row],[Ano]]</f>
        <v>2022</v>
      </c>
      <c r="B318" s="181" t="str">
        <f>Tabela1[[#This Row],[Missão]]</f>
        <v>Ladário</v>
      </c>
      <c r="C318" s="181">
        <f>Tabela1[[#This Row],[Aluno]]</f>
        <v>3248</v>
      </c>
      <c r="D318" s="181">
        <f>Tabela1[[#This Row],[Idade]]</f>
        <v>31</v>
      </c>
      <c r="E318" s="182">
        <f>Tabela1[[#This Row],[Peso Kg]]</f>
        <v>76</v>
      </c>
      <c r="F318" s="191">
        <f>Tabela1[[#This Row],[Cor da pele]]</f>
        <v>0</v>
      </c>
      <c r="G318" s="192" t="str">
        <f>Tabela1[[#This Row],[ACTN3]]</f>
        <v>XX</v>
      </c>
      <c r="H318" s="85" t="str">
        <f>Tabela1[[#This Row],[AGT]]</f>
        <v>MT</v>
      </c>
      <c r="I318" s="85" t="str">
        <f>Tabela1[[#This Row],[ECA]]</f>
        <v>ID</v>
      </c>
      <c r="J318" s="85" t="str">
        <f>Tabela1[[#This Row],[BDKRB2]]</f>
        <v>(+9, +9)</v>
      </c>
      <c r="K318" s="85">
        <f>Tabela1[[#This Row],[Score Força%]]</f>
        <v>50</v>
      </c>
      <c r="L318" s="193">
        <f>Tabela1[[#This Row],[Score Resistência %]]</f>
        <v>50</v>
      </c>
      <c r="M318" s="192">
        <f>Tabela1[[#This Row],[Pré CK (U/L)]]</f>
        <v>690</v>
      </c>
      <c r="N318" s="85">
        <f>Tabela1[[#This Row],[Pós CK (U/L)]]</f>
        <v>131</v>
      </c>
      <c r="O318" s="85" t="str">
        <f>Tabela1[[#This Row],[Pré CK MB U/L]]</f>
        <v>-</v>
      </c>
      <c r="P318" s="85" t="str">
        <f>Tabela1[[#This Row],[Pós CK MB U/L]]</f>
        <v>-</v>
      </c>
      <c r="Q318" s="85" t="str">
        <f>Tabela1[[#This Row],[Pré Lactato (mmol/L)]]</f>
        <v>-</v>
      </c>
      <c r="R318" s="85">
        <f>Tabela1[[#This Row],[Pós Lactato (mmol/L)]]</f>
        <v>3.4</v>
      </c>
      <c r="S318" s="85">
        <f>Tabela1[[#This Row],[Pré LDH (U/L)]]</f>
        <v>246</v>
      </c>
      <c r="T318" s="85">
        <f>Tabela1[[#This Row],[Pós LDH (U/L)]]</f>
        <v>238</v>
      </c>
      <c r="U318" s="85">
        <f>Tabela1[[#This Row],[Pré AST (U/L)]]</f>
        <v>44</v>
      </c>
      <c r="V318" s="193">
        <f>Tabela1[[#This Row],[Pós AST (U/L)]]</f>
        <v>32</v>
      </c>
      <c r="W318" s="194" t="str">
        <f>Tabela1[[#This Row],[Pré Albumina (g/dL)]]</f>
        <v>-</v>
      </c>
      <c r="X318" s="125" t="str">
        <f>Tabela1[[#This Row],[Pós Albumina (g/dL)]]</f>
        <v>-</v>
      </c>
      <c r="Y318" s="85" t="str">
        <f>Tabela1[[#This Row],[Pré TGP (g/dL)]]</f>
        <v>-</v>
      </c>
      <c r="Z318" s="85" t="str">
        <f>Tabela1[[#This Row],[Pós TGP (g/dL)]]</f>
        <v>-</v>
      </c>
      <c r="AA318" s="85" t="str">
        <f>Tabela1[[#This Row],[Pré GGT U/L]]</f>
        <v>-</v>
      </c>
      <c r="AB318" s="193" t="str">
        <f>Tabela1[[#This Row],[Pós GGT U/L]]</f>
        <v>-</v>
      </c>
      <c r="AC318" s="194">
        <f>Tabela1[[#This Row],[Pré Ac. Úrico (mg/dL)]]</f>
        <v>5.6</v>
      </c>
      <c r="AD318" s="125">
        <f>Tabela1[[#This Row],[Pós Ac. Úrico (mg/dL)2]]</f>
        <v>8.1</v>
      </c>
      <c r="AE31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1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64.63111261616406</v>
      </c>
      <c r="AG318" s="85">
        <f>Tabela1[[#This Row],[Pré Ureia mg/dL]]</f>
        <v>38</v>
      </c>
      <c r="AH318" s="85">
        <f>Tabela1[[#This Row],[Pós Ureia mg/dL]]</f>
        <v>79</v>
      </c>
      <c r="AI318" s="125">
        <f>Tabela1[[#This Row],[Pré creatinina mg/dL]]</f>
        <v>0.9</v>
      </c>
      <c r="AJ318" s="125">
        <f>Tabela1[[#This Row],[Pós creatinina mg/dL]]</f>
        <v>1.5</v>
      </c>
      <c r="AK318" s="180">
        <f t="shared" si="16"/>
        <v>0.6</v>
      </c>
      <c r="AL318" s="125">
        <f>Tabela1[[#This Row],[Pré Fósforo mg/dL]]</f>
        <v>4.5999999999999996</v>
      </c>
      <c r="AM318" s="125">
        <f>Tabela1[[#This Row],[Pós Fósforo mg/dL]]</f>
        <v>5.5</v>
      </c>
      <c r="AN318" s="125">
        <f>Tabela1[[#This Row],[Pré Proteína Total (g/dL)]]</f>
        <v>7</v>
      </c>
      <c r="AO318" s="125">
        <f>Tabela1[[#This Row],[Pós Proteína Total (g/dL)]]</f>
        <v>9.6</v>
      </c>
      <c r="AP318" s="85" t="str">
        <f>Tabela1[[#This Row],[Pré FE (ug/dL)]]</f>
        <v>-</v>
      </c>
      <c r="AQ318" s="193">
        <f>Tabela1[[#This Row],[Pós FE (ug/dL)]]</f>
        <v>83</v>
      </c>
      <c r="AR318" s="194">
        <f>Tabela1[[#This Row],[Pré calcio mg/dL]]</f>
        <v>9</v>
      </c>
      <c r="AS318" s="125">
        <f>Tabela1[[#This Row],[Pós calcio mg/dL]]</f>
        <v>11.6</v>
      </c>
      <c r="AT318" s="125">
        <f>Tabela1[[#This Row],[Pré Potássio mmol/L]]</f>
        <v>4.3</v>
      </c>
      <c r="AU318" s="125">
        <f>Tabela1[[#This Row],[Pós Potássio mmol/L]]</f>
        <v>5.7</v>
      </c>
      <c r="AV318" s="85">
        <f>Tabela1[[#This Row],[Glicose pré]]</f>
        <v>70</v>
      </c>
      <c r="AW318" s="85">
        <f>Tabela1[[#This Row],[Glicose pós]]</f>
        <v>95</v>
      </c>
      <c r="AX318" s="85">
        <f>Tabela1[[#This Row],[Pré Sódio mmol/L]]</f>
        <v>136</v>
      </c>
      <c r="AY318" s="85">
        <f>Tabela1[[#This Row],[Pós Sódio mmol/L]]</f>
        <v>168</v>
      </c>
      <c r="AZ318" s="125">
        <f>Tabela1[[#This Row],[Pré Magnésio mg/dL]]</f>
        <v>1.9</v>
      </c>
      <c r="BA318" s="125">
        <f>Tabela1[[#This Row],[Pós Magnésio mg/dL]]</f>
        <v>3</v>
      </c>
      <c r="BB318" s="85">
        <f>Tabela1[[#This Row],[Pré Cloro mmol/L]]</f>
        <v>83</v>
      </c>
      <c r="BC318" s="85">
        <f>Tabela1[[#This Row],[Pós Cloro mmol/L]]</f>
        <v>90</v>
      </c>
      <c r="BD31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285.76355555555557</v>
      </c>
      <c r="BE31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356.31811111111114</v>
      </c>
      <c r="BF318" s="194">
        <f>Tabela1[[#This Row],[Pré RBC 10^6/mm³]]</f>
        <v>4.8</v>
      </c>
      <c r="BG318" s="125" t="str">
        <f>Tabela1[[#This Row],[Pós RBC 10^6/mm³]]</f>
        <v>-</v>
      </c>
      <c r="BH318" s="125">
        <f>Tabela1[[#This Row],[Pré HGB g/dL]]</f>
        <v>14.8</v>
      </c>
      <c r="BI318" s="125" t="str">
        <f>Tabela1[[#This Row],[Pós HGB g/dL]]</f>
        <v>-</v>
      </c>
      <c r="BJ318" s="125">
        <f>Tabela1[[#This Row],[Pré HCT %]]</f>
        <v>43.4</v>
      </c>
      <c r="BK318" s="125" t="str">
        <f>Tabela1[[#This Row],[Pós HCT %]]</f>
        <v>-</v>
      </c>
      <c r="BL318" s="125">
        <f>Tabela1[[#This Row],[Pré MCV fL]]</f>
        <v>90.4</v>
      </c>
      <c r="BM318" s="125" t="str">
        <f>Tabela1[[#This Row],[Pós MCV fL]]</f>
        <v>-</v>
      </c>
      <c r="BN318" s="125">
        <f>Tabela1[[#This Row],[Pré MCH pg]]</f>
        <v>30.8</v>
      </c>
      <c r="BO318" s="125" t="str">
        <f>Tabela1[[#This Row],[Pós MCH pg]]</f>
        <v>-</v>
      </c>
      <c r="BP318" s="125">
        <f>Tabela1[[#This Row],[Pré MCHC g/dL]]</f>
        <v>34.1</v>
      </c>
      <c r="BQ318" s="125" t="str">
        <f>Tabela1[[#This Row],[Pós MCHC g/dL]]</f>
        <v>-</v>
      </c>
      <c r="BR318" s="85">
        <f>Tabela1[[#This Row],[Pré PLT 10³/mm³]]</f>
        <v>258</v>
      </c>
      <c r="BS318" s="85" t="str">
        <f>Tabela1[[#This Row],[Pós PLT 10³/mm³]]</f>
        <v>-</v>
      </c>
      <c r="BT318" s="125">
        <f>Tabela1[[#This Row],[Pré RDW %]]</f>
        <v>13.4</v>
      </c>
      <c r="BU318" s="125" t="str">
        <f>Tabela1[[#This Row],[Pós RDW %]]</f>
        <v>-</v>
      </c>
      <c r="BV318" s="179" t="str">
        <f>Tabela1[[#This Row],[Pré RET %]]</f>
        <v>-</v>
      </c>
      <c r="BW318" s="196" t="str">
        <f>Tabela1[[#This Row],[Pós RET %]]</f>
        <v>-</v>
      </c>
      <c r="BX318" s="197">
        <f>Tabela1[[#This Row],[Pré WBC 10³/mm³]]</f>
        <v>7.19</v>
      </c>
      <c r="BY318" s="179" t="str">
        <f>Tabela1[[#This Row],[Pós WBC 10³/mm³]]</f>
        <v>-</v>
      </c>
      <c r="BZ318" s="125">
        <f>Tabela1[[#This Row],[Pré NEUT %]]</f>
        <v>67</v>
      </c>
      <c r="CA318" s="125" t="str">
        <f>Tabela1[[#This Row],[Pós NEUT %]]</f>
        <v>-</v>
      </c>
      <c r="CB318" s="125">
        <f>Tabela1[[#This Row],[Pré LINF %]]</f>
        <v>21.4</v>
      </c>
      <c r="CC318" s="125" t="str">
        <f>Tabela1[[#This Row],[Pós LINF %]]</f>
        <v>-</v>
      </c>
      <c r="CD318" s="125">
        <f>Tabela1[[#This Row],[Pré MONO %]]</f>
        <v>8.1</v>
      </c>
      <c r="CE318" s="125" t="str">
        <f>Tabela1[[#This Row],[Pós MONO %]]</f>
        <v>-</v>
      </c>
      <c r="CF318" s="125">
        <f>Tabela1[[#This Row],[Pré EOS %]]</f>
        <v>3.1</v>
      </c>
      <c r="CG318" s="125" t="str">
        <f>Tabela1[[#This Row],[Pós EOS %]]</f>
        <v>-</v>
      </c>
      <c r="CH318" s="125">
        <f>Tabela1[[#This Row],[Pré BASO %]]</f>
        <v>0.4</v>
      </c>
      <c r="CI318" s="198" t="str">
        <f>Tabela1[[#This Row],[Pós BASO %]]</f>
        <v>-</v>
      </c>
      <c r="CJ318" s="199" t="str">
        <f t="shared" si="17"/>
        <v>SIM</v>
      </c>
      <c r="CK318" s="200" t="str">
        <f t="shared" si="18"/>
        <v>NÃO</v>
      </c>
      <c r="CL318" s="194">
        <f t="shared" si="19"/>
        <v>71.403599999999997</v>
      </c>
      <c r="CM318" s="125">
        <f>Tabela1[[#This Row],[MCT KG]]</f>
        <v>78.5</v>
      </c>
      <c r="CN318" s="85">
        <f>Tabela1[[#This Row],[ESTATURA]]</f>
        <v>173.5</v>
      </c>
      <c r="CO318" s="85">
        <f>Tabela1[[#This Row],[vo2max estimado]]</f>
        <v>51.8</v>
      </c>
      <c r="CP318" s="85">
        <f>Tabela1[[#This Row],[Handgrip     Dominante]]</f>
        <v>57</v>
      </c>
      <c r="CQ318" s="85">
        <f>Tabela1[[#This Row],[Handgrip Contrário]]</f>
        <v>60</v>
      </c>
      <c r="CR318" s="281">
        <f>Tabela1[[#This Row],[% gordura]]</f>
        <v>9.0399999999999991</v>
      </c>
    </row>
    <row r="319" spans="1:96" ht="15.75" customHeight="1">
      <c r="A319" s="279">
        <f>Tabela1[[#This Row],[Ano]]</f>
        <v>2022</v>
      </c>
      <c r="B319" s="181" t="str">
        <f>Tabela1[[#This Row],[Missão]]</f>
        <v>Ladário</v>
      </c>
      <c r="C319" s="181">
        <f>Tabela1[[#This Row],[Aluno]]</f>
        <v>3249</v>
      </c>
      <c r="D319" s="181">
        <f>Tabela1[[#This Row],[Idade]]</f>
        <v>32</v>
      </c>
      <c r="E319" s="182">
        <f>Tabela1[[#This Row],[Peso Kg]]</f>
        <v>78</v>
      </c>
      <c r="F319" s="191">
        <f>Tabela1[[#This Row],[Cor da pele]]</f>
        <v>0</v>
      </c>
      <c r="G319" s="192" t="str">
        <f>Tabela1[[#This Row],[ACTN3]]</f>
        <v>RR</v>
      </c>
      <c r="H319" s="85" t="str">
        <f>Tabela1[[#This Row],[AGT]]</f>
        <v>TT</v>
      </c>
      <c r="I319" s="85" t="str">
        <f>Tabela1[[#This Row],[ECA]]</f>
        <v>ID</v>
      </c>
      <c r="J319" s="85" t="str">
        <f>Tabela1[[#This Row],[BDKRB2]]</f>
        <v>(+9, +9)</v>
      </c>
      <c r="K319" s="85">
        <f>Tabela1[[#This Row],[Score Força%]]</f>
        <v>87.5</v>
      </c>
      <c r="L319" s="193">
        <f>Tabela1[[#This Row],[Score Resistência %]]</f>
        <v>12.5</v>
      </c>
      <c r="M319" s="192">
        <f>Tabela1[[#This Row],[Pré CK (U/L)]]</f>
        <v>99</v>
      </c>
      <c r="N319" s="85">
        <f>Tabela1[[#This Row],[Pós CK (U/L)]]</f>
        <v>116</v>
      </c>
      <c r="O319" s="85" t="str">
        <f>Tabela1[[#This Row],[Pré CK MB U/L]]</f>
        <v>-</v>
      </c>
      <c r="P319" s="85" t="str">
        <f>Tabela1[[#This Row],[Pós CK MB U/L]]</f>
        <v>-</v>
      </c>
      <c r="Q319" s="85">
        <f>Tabela1[[#This Row],[Pré Lactato (mmol/L)]]</f>
        <v>3.4</v>
      </c>
      <c r="R319" s="85">
        <f>Tabela1[[#This Row],[Pós Lactato (mmol/L)]]</f>
        <v>4.0999999999999996</v>
      </c>
      <c r="S319" s="85">
        <f>Tabela1[[#This Row],[Pré LDH (U/L)]]</f>
        <v>170</v>
      </c>
      <c r="T319" s="85">
        <f>Tabela1[[#This Row],[Pós LDH (U/L)]]</f>
        <v>266</v>
      </c>
      <c r="U319" s="85">
        <f>Tabela1[[#This Row],[Pré AST (U/L)]]</f>
        <v>23</v>
      </c>
      <c r="V319" s="193">
        <f>Tabela1[[#This Row],[Pós AST (U/L)]]</f>
        <v>41</v>
      </c>
      <c r="W319" s="194" t="str">
        <f>Tabela1[[#This Row],[Pré Albumina (g/dL)]]</f>
        <v>-</v>
      </c>
      <c r="X319" s="125" t="str">
        <f>Tabela1[[#This Row],[Pós Albumina (g/dL)]]</f>
        <v>-</v>
      </c>
      <c r="Y319" s="85" t="str">
        <f>Tabela1[[#This Row],[Pré TGP (g/dL)]]</f>
        <v>-</v>
      </c>
      <c r="Z319" s="85" t="str">
        <f>Tabela1[[#This Row],[Pós TGP (g/dL)]]</f>
        <v>-</v>
      </c>
      <c r="AA319" s="85" t="str">
        <f>Tabela1[[#This Row],[Pré GGT U/L]]</f>
        <v>-</v>
      </c>
      <c r="AB319" s="193" t="str">
        <f>Tabela1[[#This Row],[Pós GGT U/L]]</f>
        <v>-</v>
      </c>
      <c r="AC319" s="194">
        <f>Tabela1[[#This Row],[Pré Ac. Úrico (mg/dL)]]</f>
        <v>5.4</v>
      </c>
      <c r="AD319" s="125">
        <f>Tabela1[[#This Row],[Pós Ac. Úrico (mg/dL)2]]</f>
        <v>10</v>
      </c>
      <c r="AE31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1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55.617624739760828</v>
      </c>
      <c r="AG319" s="85">
        <f>Tabela1[[#This Row],[Pré Ureia mg/dL]]</f>
        <v>43</v>
      </c>
      <c r="AH319" s="85">
        <f>Tabela1[[#This Row],[Pós Ureia mg/dL]]</f>
        <v>72</v>
      </c>
      <c r="AI319" s="125">
        <f>Tabela1[[#This Row],[Pré creatinina mg/dL]]</f>
        <v>0.9</v>
      </c>
      <c r="AJ319" s="125">
        <f>Tabela1[[#This Row],[Pós creatinina mg/dL]]</f>
        <v>1.7</v>
      </c>
      <c r="AK319" s="180">
        <f t="shared" si="16"/>
        <v>0.79999999999999993</v>
      </c>
      <c r="AL319" s="125">
        <f>Tabela1[[#This Row],[Pré Fósforo mg/dL]]</f>
        <v>3.9</v>
      </c>
      <c r="AM319" s="125">
        <f>Tabela1[[#This Row],[Pós Fósforo mg/dL]]</f>
        <v>5.3</v>
      </c>
      <c r="AN319" s="125">
        <f>Tabela1[[#This Row],[Pré Proteína Total (g/dL)]]</f>
        <v>6.7</v>
      </c>
      <c r="AO319" s="125">
        <f>Tabela1[[#This Row],[Pós Proteína Total (g/dL)]]</f>
        <v>11</v>
      </c>
      <c r="AP319" s="85">
        <f>Tabela1[[#This Row],[Pré FE (ug/dL)]]</f>
        <v>46</v>
      </c>
      <c r="AQ319" s="193">
        <f>Tabela1[[#This Row],[Pós FE (ug/dL)]]</f>
        <v>86</v>
      </c>
      <c r="AR319" s="194">
        <f>Tabela1[[#This Row],[Pré calcio mg/dL]]</f>
        <v>8.6</v>
      </c>
      <c r="AS319" s="125">
        <f>Tabela1[[#This Row],[Pós calcio mg/dL]]</f>
        <v>12.7</v>
      </c>
      <c r="AT319" s="125">
        <f>Tabela1[[#This Row],[Pré Potássio mmol/L]]</f>
        <v>3.8</v>
      </c>
      <c r="AU319" s="125">
        <f>Tabela1[[#This Row],[Pós Potássio mmol/L]]</f>
        <v>6</v>
      </c>
      <c r="AV319" s="85">
        <f>Tabela1[[#This Row],[Glicose pré]]</f>
        <v>102</v>
      </c>
      <c r="AW319" s="85">
        <f>Tabela1[[#This Row],[Glicose pós]]</f>
        <v>126</v>
      </c>
      <c r="AX319" s="85">
        <f>Tabela1[[#This Row],[Pré Sódio mmol/L]]</f>
        <v>134</v>
      </c>
      <c r="AY319" s="85">
        <f>Tabela1[[#This Row],[Pós Sódio mmol/L]]</f>
        <v>198</v>
      </c>
      <c r="AZ319" s="125">
        <f>Tabela1[[#This Row],[Pré Magnésio mg/dL]]</f>
        <v>1.9</v>
      </c>
      <c r="BA319" s="125">
        <f>Tabela1[[#This Row],[Pós Magnésio mg/dL]]</f>
        <v>3.3</v>
      </c>
      <c r="BB319" s="85">
        <f>Tabela1[[#This Row],[Pré Cloro mmol/L]]</f>
        <v>82</v>
      </c>
      <c r="BC319" s="85">
        <f>Tabela1[[#This Row],[Pós Cloro mmol/L]]</f>
        <v>99</v>
      </c>
      <c r="BD31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283.99133333333339</v>
      </c>
      <c r="BE31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413.49</v>
      </c>
      <c r="BF319" s="194">
        <f>Tabela1[[#This Row],[Pré RBC 10^6/mm³]]</f>
        <v>4.7</v>
      </c>
      <c r="BG319" s="125" t="str">
        <f>Tabela1[[#This Row],[Pós RBC 10^6/mm³]]</f>
        <v>-</v>
      </c>
      <c r="BH319" s="125">
        <f>Tabela1[[#This Row],[Pré HGB g/dL]]</f>
        <v>14.4</v>
      </c>
      <c r="BI319" s="125" t="str">
        <f>Tabela1[[#This Row],[Pós HGB g/dL]]</f>
        <v>-</v>
      </c>
      <c r="BJ319" s="125">
        <f>Tabela1[[#This Row],[Pré HCT %]]</f>
        <v>42.5</v>
      </c>
      <c r="BK319" s="125" t="str">
        <f>Tabela1[[#This Row],[Pós HCT %]]</f>
        <v>-</v>
      </c>
      <c r="BL319" s="125">
        <f>Tabela1[[#This Row],[Pré MCV fL]]</f>
        <v>90.4</v>
      </c>
      <c r="BM319" s="125" t="str">
        <f>Tabela1[[#This Row],[Pós MCV fL]]</f>
        <v>-</v>
      </c>
      <c r="BN319" s="125">
        <f>Tabela1[[#This Row],[Pré MCH pg]]</f>
        <v>30.6</v>
      </c>
      <c r="BO319" s="125" t="str">
        <f>Tabela1[[#This Row],[Pós MCH pg]]</f>
        <v>-</v>
      </c>
      <c r="BP319" s="125">
        <f>Tabela1[[#This Row],[Pré MCHC g/dL]]</f>
        <v>33.9</v>
      </c>
      <c r="BQ319" s="125" t="str">
        <f>Tabela1[[#This Row],[Pós MCHC g/dL]]</f>
        <v>-</v>
      </c>
      <c r="BR319" s="85">
        <f>Tabela1[[#This Row],[Pré PLT 10³/mm³]]</f>
        <v>267</v>
      </c>
      <c r="BS319" s="85" t="str">
        <f>Tabela1[[#This Row],[Pós PLT 10³/mm³]]</f>
        <v>-</v>
      </c>
      <c r="BT319" s="125">
        <f>Tabela1[[#This Row],[Pré RDW %]]</f>
        <v>13.6</v>
      </c>
      <c r="BU319" s="125" t="str">
        <f>Tabela1[[#This Row],[Pós RDW %]]</f>
        <v>-</v>
      </c>
      <c r="BV319" s="179" t="str">
        <f>Tabela1[[#This Row],[Pré RET %]]</f>
        <v>-</v>
      </c>
      <c r="BW319" s="196" t="str">
        <f>Tabela1[[#This Row],[Pós RET %]]</f>
        <v>-</v>
      </c>
      <c r="BX319" s="197">
        <f>Tabela1[[#This Row],[Pré WBC 10³/mm³]]</f>
        <v>7.9</v>
      </c>
      <c r="BY319" s="179" t="str">
        <f>Tabela1[[#This Row],[Pós WBC 10³/mm³]]</f>
        <v>-</v>
      </c>
      <c r="BZ319" s="125">
        <f>Tabela1[[#This Row],[Pré NEUT %]]</f>
        <v>73.8</v>
      </c>
      <c r="CA319" s="125" t="str">
        <f>Tabela1[[#This Row],[Pós NEUT %]]</f>
        <v>-</v>
      </c>
      <c r="CB319" s="125">
        <f>Tabela1[[#This Row],[Pré LINF %]]</f>
        <v>13.4</v>
      </c>
      <c r="CC319" s="125" t="str">
        <f>Tabela1[[#This Row],[Pós LINF %]]</f>
        <v>-</v>
      </c>
      <c r="CD319" s="125">
        <f>Tabela1[[#This Row],[Pré MONO %]]</f>
        <v>6.8</v>
      </c>
      <c r="CE319" s="125" t="str">
        <f>Tabela1[[#This Row],[Pós MONO %]]</f>
        <v>-</v>
      </c>
      <c r="CF319" s="125">
        <f>Tabela1[[#This Row],[Pré EOS %]]</f>
        <v>5.6</v>
      </c>
      <c r="CG319" s="125" t="str">
        <f>Tabela1[[#This Row],[Pós EOS %]]</f>
        <v>-</v>
      </c>
      <c r="CH319" s="125">
        <f>Tabela1[[#This Row],[Pré BASO %]]</f>
        <v>0.4</v>
      </c>
      <c r="CI319" s="198" t="str">
        <f>Tabela1[[#This Row],[Pós BASO %]]</f>
        <v>-</v>
      </c>
      <c r="CJ319" s="199" t="str">
        <f t="shared" si="17"/>
        <v>SIM</v>
      </c>
      <c r="CK319" s="200" t="str">
        <f t="shared" si="18"/>
        <v>NÃO</v>
      </c>
      <c r="CL319" s="194">
        <f t="shared" si="19"/>
        <v>71.568749999999994</v>
      </c>
      <c r="CM319" s="125">
        <f>Tabela1[[#This Row],[MCT KG]]</f>
        <v>82.5</v>
      </c>
      <c r="CN319" s="85">
        <f>Tabela1[[#This Row],[ESTATURA]]</f>
        <v>174</v>
      </c>
      <c r="CO319" s="85">
        <f>Tabela1[[#This Row],[vo2max estimado]]</f>
        <v>50.33</v>
      </c>
      <c r="CP319" s="85">
        <f>Tabela1[[#This Row],[Handgrip     Dominante]]</f>
        <v>56</v>
      </c>
      <c r="CQ319" s="85">
        <f>Tabela1[[#This Row],[Handgrip Contrário]]</f>
        <v>53</v>
      </c>
      <c r="CR319" s="281">
        <f>Tabela1[[#This Row],[% gordura]]</f>
        <v>13.25</v>
      </c>
    </row>
    <row r="320" spans="1:96" ht="15.75" customHeight="1">
      <c r="A320" s="279">
        <f>Tabela1[[#This Row],[Ano]]</f>
        <v>2022</v>
      </c>
      <c r="B320" s="181" t="str">
        <f>Tabela1[[#This Row],[Missão]]</f>
        <v>Ladário</v>
      </c>
      <c r="C320" s="181">
        <f>Tabela1[[#This Row],[Aluno]]</f>
        <v>3250</v>
      </c>
      <c r="D320" s="181">
        <f>Tabela1[[#This Row],[Idade]]</f>
        <v>33</v>
      </c>
      <c r="E320" s="182">
        <f>Tabela1[[#This Row],[Peso Kg]]</f>
        <v>68</v>
      </c>
      <c r="F320" s="191">
        <f>Tabela1[[#This Row],[Cor da pele]]</f>
        <v>0</v>
      </c>
      <c r="G320" s="192" t="str">
        <f>Tabela1[[#This Row],[ACTN3]]</f>
        <v>RR</v>
      </c>
      <c r="H320" s="85" t="str">
        <f>Tabela1[[#This Row],[AGT]]</f>
        <v>MT</v>
      </c>
      <c r="I320" s="85" t="str">
        <f>Tabela1[[#This Row],[ECA]]</f>
        <v>ID</v>
      </c>
      <c r="J320" s="85" t="str">
        <f>Tabela1[[#This Row],[BDKRB2]]</f>
        <v>(+9, +9)</v>
      </c>
      <c r="K320" s="85">
        <f>Tabela1[[#This Row],[Score Força%]]</f>
        <v>75</v>
      </c>
      <c r="L320" s="193">
        <f>Tabela1[[#This Row],[Score Resistência %]]</f>
        <v>25</v>
      </c>
      <c r="M320" s="192">
        <f>Tabela1[[#This Row],[Pré CK (U/L)]]</f>
        <v>1009</v>
      </c>
      <c r="N320" s="85">
        <f>Tabela1[[#This Row],[Pós CK (U/L)]]</f>
        <v>156</v>
      </c>
      <c r="O320" s="85" t="str">
        <f>Tabela1[[#This Row],[Pré CK MB U/L]]</f>
        <v>-</v>
      </c>
      <c r="P320" s="85" t="str">
        <f>Tabela1[[#This Row],[Pós CK MB U/L]]</f>
        <v>-</v>
      </c>
      <c r="Q320" s="85">
        <f>Tabela1[[#This Row],[Pré Lactato (mmol/L)]]</f>
        <v>3.3</v>
      </c>
      <c r="R320" s="85">
        <f>Tabela1[[#This Row],[Pós Lactato (mmol/L)]]</f>
        <v>4.7</v>
      </c>
      <c r="S320" s="85">
        <f>Tabela1[[#This Row],[Pré LDH (U/L)]]</f>
        <v>197</v>
      </c>
      <c r="T320" s="85">
        <f>Tabela1[[#This Row],[Pós LDH (U/L)]]</f>
        <v>191</v>
      </c>
      <c r="U320" s="85">
        <f>Tabela1[[#This Row],[Pré AST (U/L)]]</f>
        <v>48</v>
      </c>
      <c r="V320" s="193">
        <f>Tabela1[[#This Row],[Pós AST (U/L)]]</f>
        <v>30</v>
      </c>
      <c r="W320" s="194" t="str">
        <f>Tabela1[[#This Row],[Pré Albumina (g/dL)]]</f>
        <v>-</v>
      </c>
      <c r="X320" s="125" t="str">
        <f>Tabela1[[#This Row],[Pós Albumina (g/dL)]]</f>
        <v>-</v>
      </c>
      <c r="Y320" s="85" t="str">
        <f>Tabela1[[#This Row],[Pré TGP (g/dL)]]</f>
        <v>-</v>
      </c>
      <c r="Z320" s="85" t="str">
        <f>Tabela1[[#This Row],[Pós TGP (g/dL)]]</f>
        <v>-</v>
      </c>
      <c r="AA320" s="85" t="str">
        <f>Tabela1[[#This Row],[Pré GGT U/L]]</f>
        <v>-</v>
      </c>
      <c r="AB320" s="193" t="str">
        <f>Tabela1[[#This Row],[Pós GGT U/L]]</f>
        <v>-</v>
      </c>
      <c r="AC320" s="194">
        <f>Tabela1[[#This Row],[Pré Ac. Úrico (mg/dL)]]</f>
        <v>6.9</v>
      </c>
      <c r="AD320" s="125">
        <f>Tabela1[[#This Row],[Pós Ac. Úrico (mg/dL)2]]</f>
        <v>8.1</v>
      </c>
      <c r="AE32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32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320" s="85">
        <f>Tabela1[[#This Row],[Pré Ureia mg/dL]]</f>
        <v>34</v>
      </c>
      <c r="AH320" s="85">
        <f>Tabela1[[#This Row],[Pós Ureia mg/dL]]</f>
        <v>44</v>
      </c>
      <c r="AI320" s="125">
        <f>Tabela1[[#This Row],[Pré creatinina mg/dL]]</f>
        <v>1</v>
      </c>
      <c r="AJ320" s="125">
        <f>Tabela1[[#This Row],[Pós creatinina mg/dL]]</f>
        <v>1.2</v>
      </c>
      <c r="AK320" s="180">
        <f t="shared" si="16"/>
        <v>0.19999999999999996</v>
      </c>
      <c r="AL320" s="125">
        <f>Tabela1[[#This Row],[Pré Fósforo mg/dL]]</f>
        <v>4.2</v>
      </c>
      <c r="AM320" s="125">
        <f>Tabela1[[#This Row],[Pós Fósforo mg/dL]]</f>
        <v>4.3</v>
      </c>
      <c r="AN320" s="125">
        <f>Tabela1[[#This Row],[Pré Proteína Total (g/dL)]]</f>
        <v>6.3</v>
      </c>
      <c r="AO320" s="125">
        <f>Tabela1[[#This Row],[Pós Proteína Total (g/dL)]]</f>
        <v>7.3</v>
      </c>
      <c r="AP320" s="85">
        <f>Tabela1[[#This Row],[Pré FE (ug/dL)]]</f>
        <v>58</v>
      </c>
      <c r="AQ320" s="193">
        <f>Tabela1[[#This Row],[Pós FE (ug/dL)]]</f>
        <v>68</v>
      </c>
      <c r="AR320" s="194">
        <f>Tabela1[[#This Row],[Pré calcio mg/dL]]</f>
        <v>8.8000000000000007</v>
      </c>
      <c r="AS320" s="125">
        <f>Tabela1[[#This Row],[Pós calcio mg/dL]]</f>
        <v>10.1</v>
      </c>
      <c r="AT320" s="125">
        <f>Tabela1[[#This Row],[Pré Potássio mmol/L]]</f>
        <v>4.3</v>
      </c>
      <c r="AU320" s="125">
        <f>Tabela1[[#This Row],[Pós Potássio mmol/L]]</f>
        <v>4.5</v>
      </c>
      <c r="AV320" s="85">
        <f>Tabela1[[#This Row],[Glicose pré]]</f>
        <v>107</v>
      </c>
      <c r="AW320" s="85">
        <f>Tabela1[[#This Row],[Glicose pós]]</f>
        <v>91</v>
      </c>
      <c r="AX320" s="85">
        <f>Tabela1[[#This Row],[Pré Sódio mmol/L]]</f>
        <v>141</v>
      </c>
      <c r="AY320" s="85">
        <f>Tabela1[[#This Row],[Pós Sódio mmol/L]]</f>
        <v>154</v>
      </c>
      <c r="AZ320" s="125">
        <f>Tabela1[[#This Row],[Pré Magnésio mg/dL]]</f>
        <v>1.9</v>
      </c>
      <c r="BA320" s="125">
        <f>Tabela1[[#This Row],[Pós Magnésio mg/dL]]</f>
        <v>2.4</v>
      </c>
      <c r="BB320" s="85">
        <f>Tabela1[[#This Row],[Pré Cloro mmol/L]]</f>
        <v>85</v>
      </c>
      <c r="BC320" s="85">
        <f>Tabela1[[#This Row],[Pós Cloro mmol/L]]</f>
        <v>88</v>
      </c>
      <c r="BD32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296.76077777777783</v>
      </c>
      <c r="BE32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321.95722222222219</v>
      </c>
      <c r="BF320" s="194">
        <f>Tabela1[[#This Row],[Pré RBC 10^6/mm³]]</f>
        <v>4.5999999999999996</v>
      </c>
      <c r="BG320" s="125" t="str">
        <f>Tabela1[[#This Row],[Pós RBC 10^6/mm³]]</f>
        <v>-</v>
      </c>
      <c r="BH320" s="125">
        <f>Tabela1[[#This Row],[Pré HGB g/dL]]</f>
        <v>14</v>
      </c>
      <c r="BI320" s="125" t="str">
        <f>Tabela1[[#This Row],[Pós HGB g/dL]]</f>
        <v>-</v>
      </c>
      <c r="BJ320" s="125">
        <f>Tabela1[[#This Row],[Pré HCT %]]</f>
        <v>40.4</v>
      </c>
      <c r="BK320" s="125" t="str">
        <f>Tabela1[[#This Row],[Pós HCT %]]</f>
        <v>-</v>
      </c>
      <c r="BL320" s="125">
        <f>Tabela1[[#This Row],[Pré MCV fL]]</f>
        <v>87.8</v>
      </c>
      <c r="BM320" s="125" t="str">
        <f>Tabela1[[#This Row],[Pós MCV fL]]</f>
        <v>-</v>
      </c>
      <c r="BN320" s="125">
        <f>Tabela1[[#This Row],[Pré MCH pg]]</f>
        <v>30.4</v>
      </c>
      <c r="BO320" s="125" t="str">
        <f>Tabela1[[#This Row],[Pós MCH pg]]</f>
        <v>-</v>
      </c>
      <c r="BP320" s="125">
        <f>Tabela1[[#This Row],[Pré MCHC g/dL]]</f>
        <v>34.700000000000003</v>
      </c>
      <c r="BQ320" s="125" t="str">
        <f>Tabela1[[#This Row],[Pós MCHC g/dL]]</f>
        <v>-</v>
      </c>
      <c r="BR320" s="85">
        <f>Tabela1[[#This Row],[Pré PLT 10³/mm³]]</f>
        <v>257</v>
      </c>
      <c r="BS320" s="85" t="str">
        <f>Tabela1[[#This Row],[Pós PLT 10³/mm³]]</f>
        <v>-</v>
      </c>
      <c r="BT320" s="125">
        <f>Tabela1[[#This Row],[Pré RDW %]]</f>
        <v>12.7</v>
      </c>
      <c r="BU320" s="125" t="str">
        <f>Tabela1[[#This Row],[Pós RDW %]]</f>
        <v>-</v>
      </c>
      <c r="BV320" s="179" t="str">
        <f>Tabela1[[#This Row],[Pré RET %]]</f>
        <v>-</v>
      </c>
      <c r="BW320" s="196" t="str">
        <f>Tabela1[[#This Row],[Pós RET %]]</f>
        <v>-</v>
      </c>
      <c r="BX320" s="197">
        <f>Tabela1[[#This Row],[Pré WBC 10³/mm³]]</f>
        <v>11.64</v>
      </c>
      <c r="BY320" s="179" t="str">
        <f>Tabela1[[#This Row],[Pós WBC 10³/mm³]]</f>
        <v>-</v>
      </c>
      <c r="BZ320" s="125">
        <f>Tabela1[[#This Row],[Pré NEUT %]]</f>
        <v>78.599999999999994</v>
      </c>
      <c r="CA320" s="125" t="str">
        <f>Tabela1[[#This Row],[Pós NEUT %]]</f>
        <v>-</v>
      </c>
      <c r="CB320" s="125">
        <f>Tabela1[[#This Row],[Pré LINF %]]</f>
        <v>15.5</v>
      </c>
      <c r="CC320" s="125" t="str">
        <f>Tabela1[[#This Row],[Pós LINF %]]</f>
        <v>-</v>
      </c>
      <c r="CD320" s="125">
        <f>Tabela1[[#This Row],[Pré MONO %]]</f>
        <v>5.4</v>
      </c>
      <c r="CE320" s="125" t="str">
        <f>Tabela1[[#This Row],[Pós MONO %]]</f>
        <v>-</v>
      </c>
      <c r="CF320" s="125">
        <f>Tabela1[[#This Row],[Pré EOS %]]</f>
        <v>0.4</v>
      </c>
      <c r="CG320" s="125" t="str">
        <f>Tabela1[[#This Row],[Pós EOS %]]</f>
        <v>-</v>
      </c>
      <c r="CH320" s="125">
        <f>Tabela1[[#This Row],[Pré BASO %]]</f>
        <v>0.1</v>
      </c>
      <c r="CI320" s="198" t="str">
        <f>Tabela1[[#This Row],[Pós BASO %]]</f>
        <v>-</v>
      </c>
      <c r="CJ320" s="199" t="str">
        <f t="shared" si="17"/>
        <v>NÃO</v>
      </c>
      <c r="CK320" s="200" t="str">
        <f t="shared" si="18"/>
        <v>SIM</v>
      </c>
      <c r="CL320" s="194">
        <f t="shared" si="19"/>
        <v>64.357799999999997</v>
      </c>
      <c r="CM320" s="125">
        <f>Tabela1[[#This Row],[MCT KG]]</f>
        <v>74</v>
      </c>
      <c r="CN320" s="85">
        <f>Tabela1[[#This Row],[ESTATURA]]</f>
        <v>172</v>
      </c>
      <c r="CO320" s="85">
        <f>Tabela1[[#This Row],[vo2max estimado]]</f>
        <v>52.46</v>
      </c>
      <c r="CP320" s="85">
        <f>Tabela1[[#This Row],[Handgrip     Dominante]]</f>
        <v>60</v>
      </c>
      <c r="CQ320" s="85">
        <f>Tabela1[[#This Row],[Handgrip Contrário]]</f>
        <v>58</v>
      </c>
      <c r="CR320" s="281">
        <f>Tabela1[[#This Row],[% gordura]]</f>
        <v>13.03</v>
      </c>
    </row>
    <row r="321" spans="1:96" ht="15.75" customHeight="1">
      <c r="A321" s="279">
        <f>Tabela1[[#This Row],[Ano]]</f>
        <v>2022</v>
      </c>
      <c r="B321" s="181" t="str">
        <f>Tabela1[[#This Row],[Missão]]</f>
        <v>Ladário</v>
      </c>
      <c r="C321" s="181">
        <f>Tabela1[[#This Row],[Aluno]]</f>
        <v>3255</v>
      </c>
      <c r="D321" s="181">
        <f>Tabela1[[#This Row],[Idade]]</f>
        <v>28</v>
      </c>
      <c r="E321" s="182">
        <f>Tabela1[[#This Row],[Peso Kg]]</f>
        <v>77</v>
      </c>
      <c r="F321" s="191">
        <f>Tabela1[[#This Row],[Cor da pele]]</f>
        <v>0</v>
      </c>
      <c r="G321" s="192" t="str">
        <f>Tabela1[[#This Row],[ACTN3]]</f>
        <v>RR</v>
      </c>
      <c r="H321" s="85" t="str">
        <f>Tabela1[[#This Row],[AGT]]</f>
        <v>MT</v>
      </c>
      <c r="I321" s="85" t="str">
        <f>Tabela1[[#This Row],[ECA]]</f>
        <v>ID</v>
      </c>
      <c r="J321" s="85" t="str">
        <f>Tabela1[[#This Row],[BDKRB2]]</f>
        <v>(-9 , -9)</v>
      </c>
      <c r="K321" s="85">
        <f>Tabela1[[#This Row],[Score Força%]]</f>
        <v>50</v>
      </c>
      <c r="L321" s="193">
        <f>Tabela1[[#This Row],[Score Resistência %]]</f>
        <v>50</v>
      </c>
      <c r="M321" s="192">
        <f>Tabela1[[#This Row],[Pré CK (U/L)]]</f>
        <v>330</v>
      </c>
      <c r="N321" s="85">
        <f>Tabela1[[#This Row],[Pós CK (U/L)]]</f>
        <v>114</v>
      </c>
      <c r="O321" s="85" t="str">
        <f>Tabela1[[#This Row],[Pré CK MB U/L]]</f>
        <v>-</v>
      </c>
      <c r="P321" s="85" t="str">
        <f>Tabela1[[#This Row],[Pós CK MB U/L]]</f>
        <v>-</v>
      </c>
      <c r="Q321" s="85">
        <f>Tabela1[[#This Row],[Pré Lactato (mmol/L)]]</f>
        <v>3.1</v>
      </c>
      <c r="R321" s="85">
        <f>Tabela1[[#This Row],[Pós Lactato (mmol/L)]]</f>
        <v>4.5</v>
      </c>
      <c r="S321" s="85">
        <f>Tabela1[[#This Row],[Pré LDH (U/L)]]</f>
        <v>184</v>
      </c>
      <c r="T321" s="85">
        <f>Tabela1[[#This Row],[Pós LDH (U/L)]]</f>
        <v>194</v>
      </c>
      <c r="U321" s="85">
        <f>Tabela1[[#This Row],[Pré AST (U/L)]]</f>
        <v>34</v>
      </c>
      <c r="V321" s="193">
        <f>Tabela1[[#This Row],[Pós AST (U/L)]]</f>
        <v>23</v>
      </c>
      <c r="W321" s="194" t="str">
        <f>Tabela1[[#This Row],[Pré Albumina (g/dL)]]</f>
        <v>-</v>
      </c>
      <c r="X321" s="125" t="str">
        <f>Tabela1[[#This Row],[Pós Albumina (g/dL)]]</f>
        <v>-</v>
      </c>
      <c r="Y321" s="85" t="str">
        <f>Tabela1[[#This Row],[Pré TGP (g/dL)]]</f>
        <v>-</v>
      </c>
      <c r="Z321" s="85" t="str">
        <f>Tabela1[[#This Row],[Pós TGP (g/dL)]]</f>
        <v>-</v>
      </c>
      <c r="AA321" s="85" t="str">
        <f>Tabela1[[#This Row],[Pré GGT U/L]]</f>
        <v>-</v>
      </c>
      <c r="AB321" s="193" t="str">
        <f>Tabela1[[#This Row],[Pós GGT U/L]]</f>
        <v>-</v>
      </c>
      <c r="AC321" s="194">
        <f>Tabela1[[#This Row],[Pré Ac. Úrico (mg/dL)]]</f>
        <v>5.2</v>
      </c>
      <c r="AD321" s="125">
        <f>Tabela1[[#This Row],[Pós Ac. Úrico (mg/dL)2]]</f>
        <v>6.8</v>
      </c>
      <c r="AE32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32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321" s="85">
        <f>Tabela1[[#This Row],[Pré Ureia mg/dL]]</f>
        <v>40</v>
      </c>
      <c r="AH321" s="85">
        <f>Tabela1[[#This Row],[Pós Ureia mg/dL]]</f>
        <v>50</v>
      </c>
      <c r="AI321" s="125">
        <f>Tabela1[[#This Row],[Pré creatinina mg/dL]]</f>
        <v>1</v>
      </c>
      <c r="AJ321" s="125">
        <f>Tabela1[[#This Row],[Pós creatinina mg/dL]]</f>
        <v>1.2</v>
      </c>
      <c r="AK321" s="180">
        <f t="shared" si="16"/>
        <v>0.19999999999999996</v>
      </c>
      <c r="AL321" s="125">
        <f>Tabela1[[#This Row],[Pré Fósforo mg/dL]]</f>
        <v>4.9000000000000004</v>
      </c>
      <c r="AM321" s="125">
        <f>Tabela1[[#This Row],[Pós Fósforo mg/dL]]</f>
        <v>5.2</v>
      </c>
      <c r="AN321" s="125">
        <f>Tabela1[[#This Row],[Pré Proteína Total (g/dL)]]</f>
        <v>7.3</v>
      </c>
      <c r="AO321" s="125">
        <f>Tabela1[[#This Row],[Pós Proteína Total (g/dL)]]</f>
        <v>8.9</v>
      </c>
      <c r="AP321" s="85">
        <f>Tabela1[[#This Row],[Pré FE (ug/dL)]]</f>
        <v>47</v>
      </c>
      <c r="AQ321" s="193">
        <f>Tabela1[[#This Row],[Pós FE (ug/dL)]]</f>
        <v>133</v>
      </c>
      <c r="AR321" s="194">
        <f>Tabela1[[#This Row],[Pré calcio mg/dL]]</f>
        <v>8.9</v>
      </c>
      <c r="AS321" s="125">
        <f>Tabela1[[#This Row],[Pós calcio mg/dL]]</f>
        <v>10.199999999999999</v>
      </c>
      <c r="AT321" s="125">
        <f>Tabela1[[#This Row],[Pré Potássio mmol/L]]</f>
        <v>4</v>
      </c>
      <c r="AU321" s="125">
        <f>Tabela1[[#This Row],[Pós Potássio mmol/L]]</f>
        <v>4.8</v>
      </c>
      <c r="AV321" s="85">
        <f>Tabela1[[#This Row],[Glicose pré]]</f>
        <v>97</v>
      </c>
      <c r="AW321" s="85">
        <f>Tabela1[[#This Row],[Glicose pós]]</f>
        <v>66</v>
      </c>
      <c r="AX321" s="85">
        <f>Tabela1[[#This Row],[Pré Sódio mmol/L]]</f>
        <v>144</v>
      </c>
      <c r="AY321" s="85">
        <f>Tabela1[[#This Row],[Pós Sódio mmol/L]]</f>
        <v>149</v>
      </c>
      <c r="AZ321" s="125">
        <f>Tabela1[[#This Row],[Pré Magnésio mg/dL]]</f>
        <v>2.2000000000000002</v>
      </c>
      <c r="BA321" s="125">
        <f>Tabela1[[#This Row],[Pós Magnésio mg/dL]]</f>
        <v>2.6</v>
      </c>
      <c r="BB321" s="85">
        <f>Tabela1[[#This Row],[Pré Cloro mmol/L]]</f>
        <v>85</v>
      </c>
      <c r="BC321" s="85">
        <f>Tabela1[[#This Row],[Pós Cloro mmol/L]]</f>
        <v>84</v>
      </c>
      <c r="BD32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302.14388888888891</v>
      </c>
      <c r="BE32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312.61799999999999</v>
      </c>
      <c r="BF321" s="194">
        <f>Tabela1[[#This Row],[Pré RBC 10^6/mm³]]</f>
        <v>4.5999999999999996</v>
      </c>
      <c r="BG321" s="125" t="str">
        <f>Tabela1[[#This Row],[Pós RBC 10^6/mm³]]</f>
        <v>-</v>
      </c>
      <c r="BH321" s="125">
        <f>Tabela1[[#This Row],[Pré HGB g/dL]]</f>
        <v>13.6</v>
      </c>
      <c r="BI321" s="125" t="str">
        <f>Tabela1[[#This Row],[Pós HGB g/dL]]</f>
        <v>-</v>
      </c>
      <c r="BJ321" s="125">
        <f>Tabela1[[#This Row],[Pré HCT %]]</f>
        <v>39.700000000000003</v>
      </c>
      <c r="BK321" s="125" t="str">
        <f>Tabela1[[#This Row],[Pós HCT %]]</f>
        <v>-</v>
      </c>
      <c r="BL321" s="125">
        <f>Tabela1[[#This Row],[Pré MCV fL]]</f>
        <v>86.3</v>
      </c>
      <c r="BM321" s="125" t="str">
        <f>Tabela1[[#This Row],[Pós MCV fL]]</f>
        <v>-</v>
      </c>
      <c r="BN321" s="125">
        <f>Tabela1[[#This Row],[Pré MCH pg]]</f>
        <v>29.6</v>
      </c>
      <c r="BO321" s="125" t="str">
        <f>Tabela1[[#This Row],[Pós MCH pg]]</f>
        <v>-</v>
      </c>
      <c r="BP321" s="125">
        <f>Tabela1[[#This Row],[Pré MCHC g/dL]]</f>
        <v>34.299999999999997</v>
      </c>
      <c r="BQ321" s="125" t="str">
        <f>Tabela1[[#This Row],[Pós MCHC g/dL]]</f>
        <v>-</v>
      </c>
      <c r="BR321" s="85">
        <f>Tabela1[[#This Row],[Pré PLT 10³/mm³]]</f>
        <v>220</v>
      </c>
      <c r="BS321" s="85" t="str">
        <f>Tabela1[[#This Row],[Pós PLT 10³/mm³]]</f>
        <v>-</v>
      </c>
      <c r="BT321" s="125">
        <f>Tabela1[[#This Row],[Pré RDW %]]</f>
        <v>13</v>
      </c>
      <c r="BU321" s="125" t="str">
        <f>Tabela1[[#This Row],[Pós RDW %]]</f>
        <v>-</v>
      </c>
      <c r="BV321" s="179" t="str">
        <f>Tabela1[[#This Row],[Pré RET %]]</f>
        <v>-</v>
      </c>
      <c r="BW321" s="196" t="str">
        <f>Tabela1[[#This Row],[Pós RET %]]</f>
        <v>-</v>
      </c>
      <c r="BX321" s="197">
        <f>Tabela1[[#This Row],[Pré WBC 10³/mm³]]</f>
        <v>6.22</v>
      </c>
      <c r="BY321" s="179" t="str">
        <f>Tabela1[[#This Row],[Pós WBC 10³/mm³]]</f>
        <v>-</v>
      </c>
      <c r="BZ321" s="125">
        <f>Tabela1[[#This Row],[Pré NEUT %]]</f>
        <v>61.9</v>
      </c>
      <c r="CA321" s="125" t="str">
        <f>Tabela1[[#This Row],[Pós NEUT %]]</f>
        <v>-</v>
      </c>
      <c r="CB321" s="125">
        <f>Tabela1[[#This Row],[Pré LINF %]]</f>
        <v>31.7</v>
      </c>
      <c r="CC321" s="125" t="str">
        <f>Tabela1[[#This Row],[Pós LINF %]]</f>
        <v>-</v>
      </c>
      <c r="CD321" s="125">
        <f>Tabela1[[#This Row],[Pré MONO %]]</f>
        <v>6.4</v>
      </c>
      <c r="CE321" s="125" t="str">
        <f>Tabela1[[#This Row],[Pós MONO %]]</f>
        <v>-</v>
      </c>
      <c r="CF321" s="125">
        <f>Tabela1[[#This Row],[Pré EOS %]]</f>
        <v>0</v>
      </c>
      <c r="CG321" s="125" t="str">
        <f>Tabela1[[#This Row],[Pós EOS %]]</f>
        <v>-</v>
      </c>
      <c r="CH321" s="125">
        <f>Tabela1[[#This Row],[Pré BASO %]]</f>
        <v>0</v>
      </c>
      <c r="CI321" s="198" t="str">
        <f>Tabela1[[#This Row],[Pós BASO %]]</f>
        <v>-</v>
      </c>
      <c r="CJ321" s="199" t="str">
        <f t="shared" si="17"/>
        <v>NÃO</v>
      </c>
      <c r="CK321" s="200" t="str">
        <f t="shared" si="18"/>
        <v>NÃO</v>
      </c>
      <c r="CL321" s="194">
        <f t="shared" si="19"/>
        <v>71.013225000000006</v>
      </c>
      <c r="CM321" s="125">
        <f>Tabela1[[#This Row],[MCT KG]]</f>
        <v>80.25</v>
      </c>
      <c r="CN321" s="85">
        <f>Tabela1[[#This Row],[ESTATURA]]</f>
        <v>179</v>
      </c>
      <c r="CO321" s="85">
        <f>Tabela1[[#This Row],[vo2max estimado]]</f>
        <v>49.57</v>
      </c>
      <c r="CP321" s="85">
        <f>Tabela1[[#This Row],[Handgrip     Dominante]]</f>
        <v>57</v>
      </c>
      <c r="CQ321" s="85">
        <f>Tabela1[[#This Row],[Handgrip Contrário]]</f>
        <v>52</v>
      </c>
      <c r="CR321" s="281">
        <f>Tabela1[[#This Row],[% gordura]]</f>
        <v>11.51</v>
      </c>
    </row>
    <row r="322" spans="1:96" ht="15.75" customHeight="1">
      <c r="A322" s="279">
        <f>Tabela1[[#This Row],[Ano]]</f>
        <v>2022</v>
      </c>
      <c r="B322" s="181" t="str">
        <f>Tabela1[[#This Row],[Missão]]</f>
        <v>Ladário</v>
      </c>
      <c r="C322" s="181">
        <f>Tabela1[[#This Row],[Aluno]]</f>
        <v>3256</v>
      </c>
      <c r="D322" s="181">
        <f>Tabela1[[#This Row],[Idade]]</f>
        <v>29</v>
      </c>
      <c r="E322" s="182">
        <f>Tabela1[[#This Row],[Peso Kg]]</f>
        <v>83</v>
      </c>
      <c r="F322" s="191">
        <f>Tabela1[[#This Row],[Cor da pele]]</f>
        <v>0</v>
      </c>
      <c r="G322" s="192" t="str">
        <f>Tabela1[[#This Row],[ACTN3]]</f>
        <v>RX</v>
      </c>
      <c r="H322" s="85" t="str">
        <f>Tabela1[[#This Row],[AGT]]</f>
        <v>TT</v>
      </c>
      <c r="I322" s="85" t="str">
        <f>Tabela1[[#This Row],[ECA]]</f>
        <v>DD</v>
      </c>
      <c r="J322" s="85" t="str">
        <f>Tabela1[[#This Row],[BDKRB2]]</f>
        <v>(+9, +9)</v>
      </c>
      <c r="K322" s="85">
        <f>Tabela1[[#This Row],[Score Força%]]</f>
        <v>87.5</v>
      </c>
      <c r="L322" s="193">
        <f>Tabela1[[#This Row],[Score Resistência %]]</f>
        <v>12.5</v>
      </c>
      <c r="M322" s="192">
        <f>Tabela1[[#This Row],[Pré CK (U/L)]]</f>
        <v>185</v>
      </c>
      <c r="N322" s="85">
        <f>Tabela1[[#This Row],[Pós CK (U/L)]]</f>
        <v>129</v>
      </c>
      <c r="O322" s="85" t="str">
        <f>Tabela1[[#This Row],[Pré CK MB U/L]]</f>
        <v>-</v>
      </c>
      <c r="P322" s="85" t="str">
        <f>Tabela1[[#This Row],[Pós CK MB U/L]]</f>
        <v>-</v>
      </c>
      <c r="Q322" s="85">
        <f>Tabela1[[#This Row],[Pré Lactato (mmol/L)]]</f>
        <v>3.3</v>
      </c>
      <c r="R322" s="85">
        <f>Tabela1[[#This Row],[Pós Lactato (mmol/L)]]</f>
        <v>3.6</v>
      </c>
      <c r="S322" s="85">
        <f>Tabela1[[#This Row],[Pré LDH (U/L)]]</f>
        <v>196</v>
      </c>
      <c r="T322" s="85">
        <f>Tabela1[[#This Row],[Pós LDH (U/L)]]</f>
        <v>204</v>
      </c>
      <c r="U322" s="85">
        <f>Tabela1[[#This Row],[Pré AST (U/L)]]</f>
        <v>26</v>
      </c>
      <c r="V322" s="193">
        <f>Tabela1[[#This Row],[Pós AST (U/L)]]</f>
        <v>28</v>
      </c>
      <c r="W322" s="194" t="str">
        <f>Tabela1[[#This Row],[Pré Albumina (g/dL)]]</f>
        <v>-</v>
      </c>
      <c r="X322" s="125" t="str">
        <f>Tabela1[[#This Row],[Pós Albumina (g/dL)]]</f>
        <v>-</v>
      </c>
      <c r="Y322" s="85" t="str">
        <f>Tabela1[[#This Row],[Pré TGP (g/dL)]]</f>
        <v>-</v>
      </c>
      <c r="Z322" s="85" t="str">
        <f>Tabela1[[#This Row],[Pós TGP (g/dL)]]</f>
        <v>-</v>
      </c>
      <c r="AA322" s="85" t="str">
        <f>Tabela1[[#This Row],[Pré GGT U/L]]</f>
        <v>-</v>
      </c>
      <c r="AB322" s="193" t="str">
        <f>Tabela1[[#This Row],[Pós GGT U/L]]</f>
        <v>-</v>
      </c>
      <c r="AC322" s="194">
        <f>Tabela1[[#This Row],[Pré Ac. Úrico (mg/dL)]]</f>
        <v>4.0999999999999996</v>
      </c>
      <c r="AD322" s="125">
        <f>Tabela1[[#This Row],[Pós Ac. Úrico (mg/dL)2]]</f>
        <v>5.8</v>
      </c>
      <c r="AE32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32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322" s="85">
        <f>Tabela1[[#This Row],[Pré Ureia mg/dL]]</f>
        <v>37</v>
      </c>
      <c r="AH322" s="85">
        <f>Tabela1[[#This Row],[Pós Ureia mg/dL]]</f>
        <v>48</v>
      </c>
      <c r="AI322" s="125">
        <f>Tabela1[[#This Row],[Pré creatinina mg/dL]]</f>
        <v>0.7</v>
      </c>
      <c r="AJ322" s="125">
        <f>Tabela1[[#This Row],[Pós creatinina mg/dL]]</f>
        <v>1.1000000000000001</v>
      </c>
      <c r="AK322" s="180">
        <f t="shared" ref="AK322:AK385" si="20">IFERROR(IF((AJ322-AI322)&lt;0,0,(AJ322-AI322)),"Dados Insuficientes")</f>
        <v>0.40000000000000013</v>
      </c>
      <c r="AL322" s="125">
        <f>Tabela1[[#This Row],[Pré Fósforo mg/dL]]</f>
        <v>4.3</v>
      </c>
      <c r="AM322" s="125">
        <f>Tabela1[[#This Row],[Pós Fósforo mg/dL]]</f>
        <v>5.3</v>
      </c>
      <c r="AN322" s="125">
        <f>Tabela1[[#This Row],[Pré Proteína Total (g/dL)]]</f>
        <v>7.4</v>
      </c>
      <c r="AO322" s="125">
        <f>Tabela1[[#This Row],[Pós Proteína Total (g/dL)]]</f>
        <v>8.1999999999999993</v>
      </c>
      <c r="AP322" s="85">
        <f>Tabela1[[#This Row],[Pré FE (ug/dL)]]</f>
        <v>122</v>
      </c>
      <c r="AQ322" s="193">
        <f>Tabela1[[#This Row],[Pós FE (ug/dL)]]</f>
        <v>130</v>
      </c>
      <c r="AR322" s="194">
        <f>Tabela1[[#This Row],[Pré calcio mg/dL]]</f>
        <v>9.3000000000000007</v>
      </c>
      <c r="AS322" s="125">
        <f>Tabela1[[#This Row],[Pós calcio mg/dL]]</f>
        <v>9.8000000000000007</v>
      </c>
      <c r="AT322" s="125">
        <f>Tabela1[[#This Row],[Pré Potássio mmol/L]]</f>
        <v>4.5</v>
      </c>
      <c r="AU322" s="125">
        <f>Tabela1[[#This Row],[Pós Potássio mmol/L]]</f>
        <v>4.8</v>
      </c>
      <c r="AV322" s="85">
        <f>Tabela1[[#This Row],[Glicose pré]]</f>
        <v>77</v>
      </c>
      <c r="AW322" s="85">
        <f>Tabela1[[#This Row],[Glicose pós]]</f>
        <v>80</v>
      </c>
      <c r="AX322" s="85">
        <f>Tabela1[[#This Row],[Pré Sódio mmol/L]]</f>
        <v>138</v>
      </c>
      <c r="AY322" s="85">
        <f>Tabela1[[#This Row],[Pós Sódio mmol/L]]</f>
        <v>143</v>
      </c>
      <c r="AZ322" s="125">
        <f>Tabela1[[#This Row],[Pré Magnésio mg/dL]]</f>
        <v>2</v>
      </c>
      <c r="BA322" s="125">
        <f>Tabela1[[#This Row],[Pós Magnésio mg/dL]]</f>
        <v>2.2999999999999998</v>
      </c>
      <c r="BB322" s="85">
        <f>Tabela1[[#This Row],[Pré Cloro mmol/L]]</f>
        <v>84</v>
      </c>
      <c r="BC322" s="85">
        <f>Tabela1[[#This Row],[Pós Cloro mmol/L]]</f>
        <v>84</v>
      </c>
      <c r="BD32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290.13611111111112</v>
      </c>
      <c r="BE32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302.0191111111111</v>
      </c>
      <c r="BF322" s="194">
        <f>Tabela1[[#This Row],[Pré RBC 10^6/mm³]]</f>
        <v>5.2</v>
      </c>
      <c r="BG322" s="125" t="str">
        <f>Tabela1[[#This Row],[Pós RBC 10^6/mm³]]</f>
        <v>-</v>
      </c>
      <c r="BH322" s="125">
        <f>Tabela1[[#This Row],[Pré HGB g/dL]]</f>
        <v>13.9</v>
      </c>
      <c r="BI322" s="125" t="str">
        <f>Tabela1[[#This Row],[Pós HGB g/dL]]</f>
        <v>-</v>
      </c>
      <c r="BJ322" s="125">
        <f>Tabela1[[#This Row],[Pré HCT %]]</f>
        <v>40.799999999999997</v>
      </c>
      <c r="BK322" s="125" t="str">
        <f>Tabela1[[#This Row],[Pós HCT %]]</f>
        <v>-</v>
      </c>
      <c r="BL322" s="125">
        <f>Tabela1[[#This Row],[Pré MCV fL]]</f>
        <v>78.5</v>
      </c>
      <c r="BM322" s="125" t="str">
        <f>Tabela1[[#This Row],[Pós MCV fL]]</f>
        <v>-</v>
      </c>
      <c r="BN322" s="125">
        <f>Tabela1[[#This Row],[Pré MCH pg]]</f>
        <v>26.7</v>
      </c>
      <c r="BO322" s="125" t="str">
        <f>Tabela1[[#This Row],[Pós MCH pg]]</f>
        <v>-</v>
      </c>
      <c r="BP322" s="125">
        <f>Tabela1[[#This Row],[Pré MCHC g/dL]]</f>
        <v>34.1</v>
      </c>
      <c r="BQ322" s="125" t="str">
        <f>Tabela1[[#This Row],[Pós MCHC g/dL]]</f>
        <v>-</v>
      </c>
      <c r="BR322" s="85">
        <f>Tabela1[[#This Row],[Pré PLT 10³/mm³]]</f>
        <v>273</v>
      </c>
      <c r="BS322" s="85" t="str">
        <f>Tabela1[[#This Row],[Pós PLT 10³/mm³]]</f>
        <v>-</v>
      </c>
      <c r="BT322" s="125">
        <f>Tabela1[[#This Row],[Pré RDW %]]</f>
        <v>14.1</v>
      </c>
      <c r="BU322" s="125" t="str">
        <f>Tabela1[[#This Row],[Pós RDW %]]</f>
        <v>-</v>
      </c>
      <c r="BV322" s="179" t="str">
        <f>Tabela1[[#This Row],[Pré RET %]]</f>
        <v>-</v>
      </c>
      <c r="BW322" s="196" t="str">
        <f>Tabela1[[#This Row],[Pós RET %]]</f>
        <v>-</v>
      </c>
      <c r="BX322" s="197">
        <f>Tabela1[[#This Row],[Pré WBC 10³/mm³]]</f>
        <v>6.69</v>
      </c>
      <c r="BY322" s="179" t="str">
        <f>Tabela1[[#This Row],[Pós WBC 10³/mm³]]</f>
        <v>-</v>
      </c>
      <c r="BZ322" s="125">
        <f>Tabela1[[#This Row],[Pré NEUT %]]</f>
        <v>61.3</v>
      </c>
      <c r="CA322" s="125" t="str">
        <f>Tabela1[[#This Row],[Pós NEUT %]]</f>
        <v>-</v>
      </c>
      <c r="CB322" s="125">
        <f>Tabela1[[#This Row],[Pré LINF %]]</f>
        <v>25.3</v>
      </c>
      <c r="CC322" s="125" t="str">
        <f>Tabela1[[#This Row],[Pós LINF %]]</f>
        <v>-</v>
      </c>
      <c r="CD322" s="125">
        <f>Tabela1[[#This Row],[Pré MONO %]]</f>
        <v>7</v>
      </c>
      <c r="CE322" s="125" t="str">
        <f>Tabela1[[#This Row],[Pós MONO %]]</f>
        <v>-</v>
      </c>
      <c r="CF322" s="125">
        <f>Tabela1[[#This Row],[Pré EOS %]]</f>
        <v>0.1</v>
      </c>
      <c r="CG322" s="125" t="str">
        <f>Tabela1[[#This Row],[Pós EOS %]]</f>
        <v>-</v>
      </c>
      <c r="CH322" s="125">
        <f>Tabela1[[#This Row],[Pré BASO %]]</f>
        <v>6.3</v>
      </c>
      <c r="CI322" s="198" t="str">
        <f>Tabela1[[#This Row],[Pós BASO %]]</f>
        <v>-</v>
      </c>
      <c r="CJ322" s="199" t="str">
        <f t="shared" ref="CJ322:CJ385" si="21">IFERROR(IF((AJ322-AI322)&gt;=0.3,"SIM","NÃO"),"Dados insuficientes")</f>
        <v>SIM</v>
      </c>
      <c r="CK322" s="200" t="str">
        <f t="shared" ref="CK322:CK385" si="22">IFERROR(IF(OR(N322&gt;=1000,M322&gt;=1000),"SIM","NÃO"),"Dados Insuficientes")</f>
        <v>NÃO</v>
      </c>
      <c r="CL322" s="194">
        <f t="shared" ref="CL322:CL385" si="23">$CM322-($CM322*(0.01*$CR322))</f>
        <v>71.552219999999991</v>
      </c>
      <c r="CM322" s="125">
        <f>Tabela1[[#This Row],[MCT KG]]</f>
        <v>83.55</v>
      </c>
      <c r="CN322" s="85">
        <f>Tabela1[[#This Row],[ESTATURA]]</f>
        <v>182.6</v>
      </c>
      <c r="CO322" s="85">
        <f>Tabela1[[#This Row],[vo2max estimado]]</f>
        <v>51.94</v>
      </c>
      <c r="CP322" s="85">
        <f>Tabela1[[#This Row],[Handgrip     Dominante]]</f>
        <v>56</v>
      </c>
      <c r="CQ322" s="85">
        <f>Tabela1[[#This Row],[Handgrip Contrário]]</f>
        <v>52</v>
      </c>
      <c r="CR322" s="281">
        <f>Tabela1[[#This Row],[% gordura]]</f>
        <v>14.36</v>
      </c>
    </row>
    <row r="323" spans="1:96" ht="15.75" customHeight="1">
      <c r="A323" s="279">
        <f>Tabela1[[#This Row],[Ano]]</f>
        <v>2022</v>
      </c>
      <c r="B323" s="181" t="str">
        <f>Tabela1[[#This Row],[Missão]]</f>
        <v>Ladário</v>
      </c>
      <c r="C323" s="181">
        <f>Tabela1[[#This Row],[Aluno]]</f>
        <v>3257</v>
      </c>
      <c r="D323" s="181">
        <f>Tabela1[[#This Row],[Idade]]</f>
        <v>28</v>
      </c>
      <c r="E323" s="182">
        <f>Tabela1[[#This Row],[Peso Kg]]</f>
        <v>92</v>
      </c>
      <c r="F323" s="191">
        <f>Tabela1[[#This Row],[Cor da pele]]</f>
        <v>0</v>
      </c>
      <c r="G323" s="192" t="str">
        <f>Tabela1[[#This Row],[ACTN3]]</f>
        <v>RX</v>
      </c>
      <c r="H323" s="85" t="str">
        <f>Tabela1[[#This Row],[AGT]]</f>
        <v>TT</v>
      </c>
      <c r="I323" s="85" t="str">
        <f>Tabela1[[#This Row],[ECA]]</f>
        <v>II</v>
      </c>
      <c r="J323" s="85" t="str">
        <f>Tabela1[[#This Row],[BDKRB2]]</f>
        <v>(+9, +9)</v>
      </c>
      <c r="K323" s="85">
        <f>Tabela1[[#This Row],[Score Força%]]</f>
        <v>62.5</v>
      </c>
      <c r="L323" s="193">
        <f>Tabela1[[#This Row],[Score Resistência %]]</f>
        <v>37.5</v>
      </c>
      <c r="M323" s="192">
        <f>Tabela1[[#This Row],[Pré CK (U/L)]]</f>
        <v>255</v>
      </c>
      <c r="N323" s="85">
        <f>Tabela1[[#This Row],[Pós CK (U/L)]]</f>
        <v>95</v>
      </c>
      <c r="O323" s="85" t="str">
        <f>Tabela1[[#This Row],[Pré CK MB U/L]]</f>
        <v>-</v>
      </c>
      <c r="P323" s="85" t="str">
        <f>Tabela1[[#This Row],[Pós CK MB U/L]]</f>
        <v>-</v>
      </c>
      <c r="Q323" s="85">
        <f>Tabela1[[#This Row],[Pré Lactato (mmol/L)]]</f>
        <v>2.4</v>
      </c>
      <c r="R323" s="85">
        <f>Tabela1[[#This Row],[Pós Lactato (mmol/L)]]</f>
        <v>3.1</v>
      </c>
      <c r="S323" s="85">
        <f>Tabela1[[#This Row],[Pré LDH (U/L)]]</f>
        <v>188</v>
      </c>
      <c r="T323" s="85">
        <f>Tabela1[[#This Row],[Pós LDH (U/L)]]</f>
        <v>146</v>
      </c>
      <c r="U323" s="85">
        <f>Tabela1[[#This Row],[Pré AST (U/L)]]</f>
        <v>47</v>
      </c>
      <c r="V323" s="193">
        <f>Tabela1[[#This Row],[Pós AST (U/L)]]</f>
        <v>25</v>
      </c>
      <c r="W323" s="194" t="str">
        <f>Tabela1[[#This Row],[Pré Albumina (g/dL)]]</f>
        <v>-</v>
      </c>
      <c r="X323" s="125" t="str">
        <f>Tabela1[[#This Row],[Pós Albumina (g/dL)]]</f>
        <v>-</v>
      </c>
      <c r="Y323" s="85" t="str">
        <f>Tabela1[[#This Row],[Pré TGP (g/dL)]]</f>
        <v>-</v>
      </c>
      <c r="Z323" s="85" t="str">
        <f>Tabela1[[#This Row],[Pós TGP (g/dL)]]</f>
        <v>-</v>
      </c>
      <c r="AA323" s="85" t="str">
        <f>Tabela1[[#This Row],[Pré GGT U/L]]</f>
        <v>-</v>
      </c>
      <c r="AB323" s="193" t="str">
        <f>Tabela1[[#This Row],[Pós GGT U/L]]</f>
        <v>-</v>
      </c>
      <c r="AC323" s="194">
        <f>Tabela1[[#This Row],[Pré Ac. Úrico (mg/dL)]]</f>
        <v>5.3</v>
      </c>
      <c r="AD323" s="125">
        <f>Tabela1[[#This Row],[Pós Ac. Úrico (mg/dL)2]]</f>
        <v>5.4</v>
      </c>
      <c r="AE32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2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323" s="85">
        <f>Tabela1[[#This Row],[Pré Ureia mg/dL]]</f>
        <v>38</v>
      </c>
      <c r="AH323" s="85">
        <f>Tabela1[[#This Row],[Pós Ureia mg/dL]]</f>
        <v>42</v>
      </c>
      <c r="AI323" s="125">
        <f>Tabela1[[#This Row],[Pré creatinina mg/dL]]</f>
        <v>0.8</v>
      </c>
      <c r="AJ323" s="125">
        <f>Tabela1[[#This Row],[Pós creatinina mg/dL]]</f>
        <v>0.9</v>
      </c>
      <c r="AK323" s="180">
        <f t="shared" si="20"/>
        <v>9.9999999999999978E-2</v>
      </c>
      <c r="AL323" s="125">
        <f>Tabela1[[#This Row],[Pré Fósforo mg/dL]]</f>
        <v>4.5</v>
      </c>
      <c r="AM323" s="125">
        <f>Tabela1[[#This Row],[Pós Fósforo mg/dL]]</f>
        <v>3.8</v>
      </c>
      <c r="AN323" s="125">
        <f>Tabela1[[#This Row],[Pré Proteína Total (g/dL)]]</f>
        <v>7.2</v>
      </c>
      <c r="AO323" s="125">
        <f>Tabela1[[#This Row],[Pós Proteína Total (g/dL)]]</f>
        <v>6.9</v>
      </c>
      <c r="AP323" s="85">
        <f>Tabela1[[#This Row],[Pré FE (ug/dL)]]</f>
        <v>97</v>
      </c>
      <c r="AQ323" s="193">
        <f>Tabela1[[#This Row],[Pós FE (ug/dL)]]</f>
        <v>111</v>
      </c>
      <c r="AR323" s="194">
        <f>Tabela1[[#This Row],[Pré calcio mg/dL]]</f>
        <v>9.1999999999999993</v>
      </c>
      <c r="AS323" s="125">
        <f>Tabela1[[#This Row],[Pós calcio mg/dL]]</f>
        <v>7.7</v>
      </c>
      <c r="AT323" s="125">
        <f>Tabela1[[#This Row],[Pré Potássio mmol/L]]</f>
        <v>4.4000000000000004</v>
      </c>
      <c r="AU323" s="125">
        <f>Tabela1[[#This Row],[Pós Potássio mmol/L]]</f>
        <v>3.7</v>
      </c>
      <c r="AV323" s="85">
        <f>Tabela1[[#This Row],[Glicose pré]]</f>
        <v>78</v>
      </c>
      <c r="AW323" s="85">
        <f>Tabela1[[#This Row],[Glicose pós]]</f>
        <v>44</v>
      </c>
      <c r="AX323" s="85">
        <f>Tabela1[[#This Row],[Pré Sódio mmol/L]]</f>
        <v>142</v>
      </c>
      <c r="AY323" s="85">
        <f>Tabela1[[#This Row],[Pós Sódio mmol/L]]</f>
        <v>122</v>
      </c>
      <c r="AZ323" s="125">
        <f>Tabela1[[#This Row],[Pré Magnésio mg/dL]]</f>
        <v>2.1</v>
      </c>
      <c r="BA323" s="125">
        <f>Tabela1[[#This Row],[Pós Magnésio mg/dL]]</f>
        <v>1.7</v>
      </c>
      <c r="BB323" s="85">
        <f>Tabela1[[#This Row],[Pré Cloro mmol/L]]</f>
        <v>85</v>
      </c>
      <c r="BC323" s="85">
        <f>Tabela1[[#This Row],[Pós Cloro mmol/L]]</f>
        <v>79</v>
      </c>
      <c r="BD32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297.62066666666669</v>
      </c>
      <c r="BE32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257.61311111111115</v>
      </c>
      <c r="BF323" s="194">
        <f>Tabela1[[#This Row],[Pré RBC 10^6/mm³]]</f>
        <v>4.5999999999999996</v>
      </c>
      <c r="BG323" s="125" t="str">
        <f>Tabela1[[#This Row],[Pós RBC 10^6/mm³]]</f>
        <v>-</v>
      </c>
      <c r="BH323" s="125">
        <f>Tabela1[[#This Row],[Pré HGB g/dL]]</f>
        <v>14.1</v>
      </c>
      <c r="BI323" s="125" t="str">
        <f>Tabela1[[#This Row],[Pós HGB g/dL]]</f>
        <v>-</v>
      </c>
      <c r="BJ323" s="125">
        <f>Tabela1[[#This Row],[Pré HCT %]]</f>
        <v>41.7</v>
      </c>
      <c r="BK323" s="125" t="str">
        <f>Tabela1[[#This Row],[Pós HCT %]]</f>
        <v>-</v>
      </c>
      <c r="BL323" s="125">
        <f>Tabela1[[#This Row],[Pré MCV fL]]</f>
        <v>90.7</v>
      </c>
      <c r="BM323" s="125" t="str">
        <f>Tabela1[[#This Row],[Pós MCV fL]]</f>
        <v>-</v>
      </c>
      <c r="BN323" s="125">
        <f>Tabela1[[#This Row],[Pré MCH pg]]</f>
        <v>30.7</v>
      </c>
      <c r="BO323" s="125" t="str">
        <f>Tabela1[[#This Row],[Pós MCH pg]]</f>
        <v>-</v>
      </c>
      <c r="BP323" s="125">
        <f>Tabela1[[#This Row],[Pré MCHC g/dL]]</f>
        <v>33.799999999999997</v>
      </c>
      <c r="BQ323" s="125" t="str">
        <f>Tabela1[[#This Row],[Pós MCHC g/dL]]</f>
        <v>-</v>
      </c>
      <c r="BR323" s="85">
        <f>Tabela1[[#This Row],[Pré PLT 10³/mm³]]</f>
        <v>224</v>
      </c>
      <c r="BS323" s="85" t="str">
        <f>Tabela1[[#This Row],[Pós PLT 10³/mm³]]</f>
        <v>-</v>
      </c>
      <c r="BT323" s="125">
        <f>Tabela1[[#This Row],[Pré RDW %]]</f>
        <v>13.3</v>
      </c>
      <c r="BU323" s="125" t="str">
        <f>Tabela1[[#This Row],[Pós RDW %]]</f>
        <v>-</v>
      </c>
      <c r="BV323" s="179" t="str">
        <f>Tabela1[[#This Row],[Pré RET %]]</f>
        <v>-</v>
      </c>
      <c r="BW323" s="196" t="str">
        <f>Tabela1[[#This Row],[Pós RET %]]</f>
        <v>-</v>
      </c>
      <c r="BX323" s="197">
        <f>Tabela1[[#This Row],[Pré WBC 10³/mm³]]</f>
        <v>3.56</v>
      </c>
      <c r="BY323" s="179" t="str">
        <f>Tabela1[[#This Row],[Pós WBC 10³/mm³]]</f>
        <v>-</v>
      </c>
      <c r="BZ323" s="125">
        <f>Tabela1[[#This Row],[Pré NEUT %]]</f>
        <v>32.9</v>
      </c>
      <c r="CA323" s="125" t="str">
        <f>Tabela1[[#This Row],[Pós NEUT %]]</f>
        <v>-</v>
      </c>
      <c r="CB323" s="125">
        <f>Tabela1[[#This Row],[Pré LINF %]]</f>
        <v>46.3</v>
      </c>
      <c r="CC323" s="125" t="str">
        <f>Tabela1[[#This Row],[Pós LINF %]]</f>
        <v>-</v>
      </c>
      <c r="CD323" s="125">
        <f>Tabela1[[#This Row],[Pré MONO %]]</f>
        <v>11.5</v>
      </c>
      <c r="CE323" s="125" t="str">
        <f>Tabela1[[#This Row],[Pós MONO %]]</f>
        <v>-</v>
      </c>
      <c r="CF323" s="125">
        <f>Tabela1[[#This Row],[Pré EOS %]]</f>
        <v>9</v>
      </c>
      <c r="CG323" s="125" t="str">
        <f>Tabela1[[#This Row],[Pós EOS %]]</f>
        <v>-</v>
      </c>
      <c r="CH323" s="125">
        <f>Tabela1[[#This Row],[Pré BASO %]]</f>
        <v>0.3</v>
      </c>
      <c r="CI323" s="198" t="str">
        <f>Tabela1[[#This Row],[Pós BASO %]]</f>
        <v>-</v>
      </c>
      <c r="CJ323" s="199" t="str">
        <f t="shared" si="21"/>
        <v>NÃO</v>
      </c>
      <c r="CK323" s="200" t="str">
        <f t="shared" si="22"/>
        <v>NÃO</v>
      </c>
      <c r="CL323" s="194">
        <f t="shared" si="23"/>
        <v>79.259819999999991</v>
      </c>
      <c r="CM323" s="125">
        <f>Tabela1[[#This Row],[MCT KG]]</f>
        <v>92.55</v>
      </c>
      <c r="CN323" s="85">
        <f>Tabela1[[#This Row],[ESTATURA]]</f>
        <v>183.2</v>
      </c>
      <c r="CO323" s="85">
        <f>Tabela1[[#This Row],[vo2max estimado]]</f>
        <v>45.83</v>
      </c>
      <c r="CP323" s="85">
        <f>Tabela1[[#This Row],[Handgrip     Dominante]]</f>
        <v>58</v>
      </c>
      <c r="CQ323" s="85">
        <f>Tabela1[[#This Row],[Handgrip Contrário]]</f>
        <v>62</v>
      </c>
      <c r="CR323" s="281">
        <f>Tabela1[[#This Row],[% gordura]]</f>
        <v>14.36</v>
      </c>
    </row>
    <row r="324" spans="1:96" ht="15.75" customHeight="1">
      <c r="A324" s="279">
        <f>Tabela1[[#This Row],[Ano]]</f>
        <v>2022</v>
      </c>
      <c r="B324" s="181" t="str">
        <f>Tabela1[[#This Row],[Missão]]</f>
        <v>Ladário</v>
      </c>
      <c r="C324" s="181">
        <f>Tabela1[[#This Row],[Aluno]]</f>
        <v>3258</v>
      </c>
      <c r="D324" s="181">
        <f>Tabela1[[#This Row],[Idade]]</f>
        <v>26</v>
      </c>
      <c r="E324" s="182">
        <f>Tabela1[[#This Row],[Peso Kg]]</f>
        <v>82</v>
      </c>
      <c r="F324" s="191">
        <f>Tabela1[[#This Row],[Cor da pele]]</f>
        <v>0</v>
      </c>
      <c r="G324" s="192" t="str">
        <f>Tabela1[[#This Row],[ACTN3]]</f>
        <v>XX</v>
      </c>
      <c r="H324" s="85" t="str">
        <f>Tabela1[[#This Row],[AGT]]</f>
        <v>MT</v>
      </c>
      <c r="I324" s="85" t="str">
        <f>Tabela1[[#This Row],[ECA]]</f>
        <v>ID</v>
      </c>
      <c r="J324" s="85" t="str">
        <f>Tabela1[[#This Row],[BDKRB2]]</f>
        <v>(+9, -9)</v>
      </c>
      <c r="K324" s="85">
        <f>Tabela1[[#This Row],[Score Força%]]</f>
        <v>37.5</v>
      </c>
      <c r="L324" s="193">
        <f>Tabela1[[#This Row],[Score Resistência %]]</f>
        <v>62.5</v>
      </c>
      <c r="M324" s="192">
        <f>Tabela1[[#This Row],[Pré CK (U/L)]]</f>
        <v>150</v>
      </c>
      <c r="N324" s="85">
        <f>Tabela1[[#This Row],[Pós CK (U/L)]]</f>
        <v>97</v>
      </c>
      <c r="O324" s="85" t="str">
        <f>Tabela1[[#This Row],[Pré CK MB U/L]]</f>
        <v>-</v>
      </c>
      <c r="P324" s="85" t="str">
        <f>Tabela1[[#This Row],[Pós CK MB U/L]]</f>
        <v>-</v>
      </c>
      <c r="Q324" s="85">
        <f>Tabela1[[#This Row],[Pré Lactato (mmol/L)]]</f>
        <v>4.0999999999999996</v>
      </c>
      <c r="R324" s="85">
        <f>Tabela1[[#This Row],[Pós Lactato (mmol/L)]]</f>
        <v>4.0999999999999996</v>
      </c>
      <c r="S324" s="85">
        <f>Tabela1[[#This Row],[Pré LDH (U/L)]]</f>
        <v>188</v>
      </c>
      <c r="T324" s="85">
        <f>Tabela1[[#This Row],[Pós LDH (U/L)]]</f>
        <v>174</v>
      </c>
      <c r="U324" s="85">
        <f>Tabela1[[#This Row],[Pré AST (U/L)]]</f>
        <v>32</v>
      </c>
      <c r="V324" s="193">
        <f>Tabela1[[#This Row],[Pós AST (U/L)]]</f>
        <v>26</v>
      </c>
      <c r="W324" s="194" t="str">
        <f>Tabela1[[#This Row],[Pré Albumina (g/dL)]]</f>
        <v>-</v>
      </c>
      <c r="X324" s="125" t="str">
        <f>Tabela1[[#This Row],[Pós Albumina (g/dL)]]</f>
        <v>-</v>
      </c>
      <c r="Y324" s="85" t="str">
        <f>Tabela1[[#This Row],[Pré TGP (g/dL)]]</f>
        <v>-</v>
      </c>
      <c r="Z324" s="85" t="str">
        <f>Tabela1[[#This Row],[Pós TGP (g/dL)]]</f>
        <v>-</v>
      </c>
      <c r="AA324" s="85" t="str">
        <f>Tabela1[[#This Row],[Pré GGT U/L]]</f>
        <v>-</v>
      </c>
      <c r="AB324" s="193" t="str">
        <f>Tabela1[[#This Row],[Pós GGT U/L]]</f>
        <v>-</v>
      </c>
      <c r="AC324" s="194">
        <f>Tabela1[[#This Row],[Pré Ac. Úrico (mg/dL)]]</f>
        <v>5.3</v>
      </c>
      <c r="AD324" s="125">
        <f>Tabela1[[#This Row],[Pós Ac. Úrico (mg/dL)2]]</f>
        <v>6.7</v>
      </c>
      <c r="AE32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2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324" s="85">
        <f>Tabela1[[#This Row],[Pré Ureia mg/dL]]</f>
        <v>30</v>
      </c>
      <c r="AH324" s="85">
        <f>Tabela1[[#This Row],[Pós Ureia mg/dL]]</f>
        <v>49</v>
      </c>
      <c r="AI324" s="125">
        <f>Tabela1[[#This Row],[Pré creatinina mg/dL]]</f>
        <v>0.9</v>
      </c>
      <c r="AJ324" s="125">
        <f>Tabela1[[#This Row],[Pós creatinina mg/dL]]</f>
        <v>1.3</v>
      </c>
      <c r="AK324" s="180">
        <f t="shared" si="20"/>
        <v>0.4</v>
      </c>
      <c r="AL324" s="125">
        <f>Tabela1[[#This Row],[Pré Fósforo mg/dL]]</f>
        <v>4.5999999999999996</v>
      </c>
      <c r="AM324" s="125">
        <f>Tabela1[[#This Row],[Pós Fósforo mg/dL]]</f>
        <v>3.2</v>
      </c>
      <c r="AN324" s="125">
        <f>Tabela1[[#This Row],[Pré Proteína Total (g/dL)]]</f>
        <v>7.3</v>
      </c>
      <c r="AO324" s="125">
        <f>Tabela1[[#This Row],[Pós Proteína Total (g/dL)]]</f>
        <v>7.8</v>
      </c>
      <c r="AP324" s="85">
        <f>Tabela1[[#This Row],[Pré FE (ug/dL)]]</f>
        <v>75</v>
      </c>
      <c r="AQ324" s="193">
        <f>Tabela1[[#This Row],[Pós FE (ug/dL)]]</f>
        <v>109</v>
      </c>
      <c r="AR324" s="194">
        <f>Tabela1[[#This Row],[Pré calcio mg/dL]]</f>
        <v>9.4</v>
      </c>
      <c r="AS324" s="125">
        <f>Tabela1[[#This Row],[Pós calcio mg/dL]]</f>
        <v>9.3000000000000007</v>
      </c>
      <c r="AT324" s="125">
        <f>Tabela1[[#This Row],[Pré Potássio mmol/L]]</f>
        <v>4.3</v>
      </c>
      <c r="AU324" s="125">
        <f>Tabela1[[#This Row],[Pós Potássio mmol/L]]</f>
        <v>4.0999999999999996</v>
      </c>
      <c r="AV324" s="85">
        <f>Tabela1[[#This Row],[Glicose pré]]</f>
        <v>104</v>
      </c>
      <c r="AW324" s="85">
        <f>Tabela1[[#This Row],[Glicose pós]]</f>
        <v>85</v>
      </c>
      <c r="AX324" s="85">
        <f>Tabela1[[#This Row],[Pré Sódio mmol/L]]</f>
        <v>141</v>
      </c>
      <c r="AY324" s="85">
        <f>Tabela1[[#This Row],[Pós Sódio mmol/L]]</f>
        <v>142</v>
      </c>
      <c r="AZ324" s="125">
        <f>Tabela1[[#This Row],[Pré Magnésio mg/dL]]</f>
        <v>1.9</v>
      </c>
      <c r="BA324" s="125">
        <f>Tabela1[[#This Row],[Pós Magnésio mg/dL]]</f>
        <v>2.2000000000000002</v>
      </c>
      <c r="BB324" s="85">
        <f>Tabela1[[#This Row],[Pré Cloro mmol/L]]</f>
        <v>83</v>
      </c>
      <c r="BC324" s="85">
        <f>Tabela1[[#This Row],[Pós Cloro mmol/L]]</f>
        <v>84</v>
      </c>
      <c r="BD32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295.90244444444448</v>
      </c>
      <c r="BE32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299.34322222222221</v>
      </c>
      <c r="BF324" s="194">
        <f>Tabela1[[#This Row],[Pré RBC 10^6/mm³]]</f>
        <v>4.8</v>
      </c>
      <c r="BG324" s="125" t="str">
        <f>Tabela1[[#This Row],[Pós RBC 10^6/mm³]]</f>
        <v>-</v>
      </c>
      <c r="BH324" s="125">
        <f>Tabela1[[#This Row],[Pré HGB g/dL]]</f>
        <v>15</v>
      </c>
      <c r="BI324" s="125" t="str">
        <f>Tabela1[[#This Row],[Pós HGB g/dL]]</f>
        <v>-</v>
      </c>
      <c r="BJ324" s="125">
        <f>Tabela1[[#This Row],[Pré HCT %]]</f>
        <v>43.1</v>
      </c>
      <c r="BK324" s="125" t="str">
        <f>Tabela1[[#This Row],[Pós HCT %]]</f>
        <v>-</v>
      </c>
      <c r="BL324" s="125">
        <f>Tabela1[[#This Row],[Pré MCV fL]]</f>
        <v>89.8</v>
      </c>
      <c r="BM324" s="125" t="str">
        <f>Tabela1[[#This Row],[Pós MCV fL]]</f>
        <v>-</v>
      </c>
      <c r="BN324" s="125">
        <f>Tabela1[[#This Row],[Pré MCH pg]]</f>
        <v>31.3</v>
      </c>
      <c r="BO324" s="125" t="str">
        <f>Tabela1[[#This Row],[Pós MCH pg]]</f>
        <v>-</v>
      </c>
      <c r="BP324" s="125">
        <f>Tabela1[[#This Row],[Pré MCHC g/dL]]</f>
        <v>34.799999999999997</v>
      </c>
      <c r="BQ324" s="125" t="str">
        <f>Tabela1[[#This Row],[Pós MCHC g/dL]]</f>
        <v>-</v>
      </c>
      <c r="BR324" s="85">
        <f>Tabela1[[#This Row],[Pré PLT 10³/mm³]]</f>
        <v>254</v>
      </c>
      <c r="BS324" s="85" t="str">
        <f>Tabela1[[#This Row],[Pós PLT 10³/mm³]]</f>
        <v>-</v>
      </c>
      <c r="BT324" s="125">
        <f>Tabela1[[#This Row],[Pré RDW %]]</f>
        <v>13.7</v>
      </c>
      <c r="BU324" s="125" t="str">
        <f>Tabela1[[#This Row],[Pós RDW %]]</f>
        <v>-</v>
      </c>
      <c r="BV324" s="179" t="str">
        <f>Tabela1[[#This Row],[Pré RET %]]</f>
        <v>-</v>
      </c>
      <c r="BW324" s="196" t="str">
        <f>Tabela1[[#This Row],[Pós RET %]]</f>
        <v>-</v>
      </c>
      <c r="BX324" s="197">
        <f>Tabela1[[#This Row],[Pré WBC 10³/mm³]]</f>
        <v>7.86</v>
      </c>
      <c r="BY324" s="179" t="str">
        <f>Tabela1[[#This Row],[Pós WBC 10³/mm³]]</f>
        <v>-</v>
      </c>
      <c r="BZ324" s="125">
        <f>Tabela1[[#This Row],[Pré NEUT %]]</f>
        <v>57.8</v>
      </c>
      <c r="CA324" s="125" t="str">
        <f>Tabela1[[#This Row],[Pós NEUT %]]</f>
        <v>-</v>
      </c>
      <c r="CB324" s="125">
        <f>Tabela1[[#This Row],[Pré LINF %]]</f>
        <v>22.8</v>
      </c>
      <c r="CC324" s="125" t="str">
        <f>Tabela1[[#This Row],[Pós LINF %]]</f>
        <v>-</v>
      </c>
      <c r="CD324" s="125">
        <f>Tabela1[[#This Row],[Pré MONO %]]</f>
        <v>12.5</v>
      </c>
      <c r="CE324" s="125" t="str">
        <f>Tabela1[[#This Row],[Pós MONO %]]</f>
        <v>-</v>
      </c>
      <c r="CF324" s="125">
        <f>Tabela1[[#This Row],[Pré EOS %]]</f>
        <v>6.4</v>
      </c>
      <c r="CG324" s="125" t="str">
        <f>Tabela1[[#This Row],[Pós EOS %]]</f>
        <v>-</v>
      </c>
      <c r="CH324" s="125">
        <f>Tabela1[[#This Row],[Pré BASO %]]</f>
        <v>0.5</v>
      </c>
      <c r="CI324" s="198" t="str">
        <f>Tabela1[[#This Row],[Pós BASO %]]</f>
        <v>-</v>
      </c>
      <c r="CJ324" s="199" t="str">
        <f t="shared" si="21"/>
        <v>SIM</v>
      </c>
      <c r="CK324" s="200" t="str">
        <f t="shared" si="22"/>
        <v>NÃO</v>
      </c>
      <c r="CL324" s="194">
        <f t="shared" si="23"/>
        <v>72.216679999999997</v>
      </c>
      <c r="CM324" s="125">
        <f>Tabela1[[#This Row],[MCT KG]]</f>
        <v>87.05</v>
      </c>
      <c r="CN324" s="85">
        <f>Tabela1[[#This Row],[ESTATURA]]</f>
        <v>173.3</v>
      </c>
      <c r="CO324" s="85">
        <f>Tabela1[[#This Row],[vo2max estimado]]</f>
        <v>46.36</v>
      </c>
      <c r="CP324" s="85">
        <f>Tabela1[[#This Row],[Handgrip     Dominante]]</f>
        <v>50</v>
      </c>
      <c r="CQ324" s="85">
        <f>Tabela1[[#This Row],[Handgrip Contrário]]</f>
        <v>46</v>
      </c>
      <c r="CR324" s="281">
        <f>Tabela1[[#This Row],[% gordura]]</f>
        <v>17.04</v>
      </c>
    </row>
    <row r="325" spans="1:96" ht="15.75" customHeight="1">
      <c r="A325" s="279">
        <f>Tabela1[[#This Row],[Ano]]</f>
        <v>2022</v>
      </c>
      <c r="B325" s="181" t="str">
        <f>Tabela1[[#This Row],[Missão]]</f>
        <v>Ladário</v>
      </c>
      <c r="C325" s="181">
        <f>Tabela1[[#This Row],[Aluno]]</f>
        <v>3259</v>
      </c>
      <c r="D325" s="181">
        <f>Tabela1[[#This Row],[Idade]]</f>
        <v>25</v>
      </c>
      <c r="E325" s="182">
        <f>Tabela1[[#This Row],[Peso Kg]]</f>
        <v>68.7</v>
      </c>
      <c r="F325" s="191">
        <f>Tabela1[[#This Row],[Cor da pele]]</f>
        <v>0</v>
      </c>
      <c r="G325" s="192" t="str">
        <f>Tabela1[[#This Row],[ACTN3]]</f>
        <v>RR</v>
      </c>
      <c r="H325" s="85" t="str">
        <f>Tabela1[[#This Row],[AGT]]</f>
        <v>TT</v>
      </c>
      <c r="I325" s="85" t="str">
        <f>Tabela1[[#This Row],[ECA]]</f>
        <v>ID</v>
      </c>
      <c r="J325" s="85" t="str">
        <f>Tabela1[[#This Row],[BDKRB2]]</f>
        <v>(+9, -9)</v>
      </c>
      <c r="K325" s="85">
        <f>Tabela1[[#This Row],[Score Força%]]</f>
        <v>75</v>
      </c>
      <c r="L325" s="193">
        <f>Tabela1[[#This Row],[Score Resistência %]]</f>
        <v>25</v>
      </c>
      <c r="M325" s="192">
        <f>Tabela1[[#This Row],[Pré CK (U/L)]]</f>
        <v>328</v>
      </c>
      <c r="N325" s="85">
        <f>Tabela1[[#This Row],[Pós CK (U/L)]]</f>
        <v>172</v>
      </c>
      <c r="O325" s="85" t="str">
        <f>Tabela1[[#This Row],[Pré CK MB U/L]]</f>
        <v>-</v>
      </c>
      <c r="P325" s="85" t="str">
        <f>Tabela1[[#This Row],[Pós CK MB U/L]]</f>
        <v>-</v>
      </c>
      <c r="Q325" s="85">
        <f>Tabela1[[#This Row],[Pré Lactato (mmol/L)]]</f>
        <v>2.5</v>
      </c>
      <c r="R325" s="85">
        <f>Tabela1[[#This Row],[Pós Lactato (mmol/L)]]</f>
        <v>4.9000000000000004</v>
      </c>
      <c r="S325" s="85">
        <f>Tabela1[[#This Row],[Pré LDH (U/L)]]</f>
        <v>166</v>
      </c>
      <c r="T325" s="85">
        <f>Tabela1[[#This Row],[Pós LDH (U/L)]]</f>
        <v>166</v>
      </c>
      <c r="U325" s="85">
        <f>Tabela1[[#This Row],[Pré AST (U/L)]]</f>
        <v>35</v>
      </c>
      <c r="V325" s="193">
        <f>Tabela1[[#This Row],[Pós AST (U/L)]]</f>
        <v>27</v>
      </c>
      <c r="W325" s="194" t="str">
        <f>Tabela1[[#This Row],[Pré Albumina (g/dL)]]</f>
        <v>-</v>
      </c>
      <c r="X325" s="125" t="str">
        <f>Tabela1[[#This Row],[Pós Albumina (g/dL)]]</f>
        <v>-</v>
      </c>
      <c r="Y325" s="85" t="str">
        <f>Tabela1[[#This Row],[Pré TGP (g/dL)]]</f>
        <v>-</v>
      </c>
      <c r="Z325" s="85" t="str">
        <f>Tabela1[[#This Row],[Pós TGP (g/dL)]]</f>
        <v>-</v>
      </c>
      <c r="AA325" s="85" t="str">
        <f>Tabela1[[#This Row],[Pré GGT U/L]]</f>
        <v>-</v>
      </c>
      <c r="AB325" s="193" t="str">
        <f>Tabela1[[#This Row],[Pós GGT U/L]]</f>
        <v>-</v>
      </c>
      <c r="AC325" s="194">
        <f>Tabela1[[#This Row],[Pré Ac. Úrico (mg/dL)]]</f>
        <v>4.9000000000000004</v>
      </c>
      <c r="AD325" s="125">
        <f>Tabela1[[#This Row],[Pós Ac. Úrico (mg/dL)2]]</f>
        <v>5.5</v>
      </c>
      <c r="AE32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2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325" s="85">
        <f>Tabela1[[#This Row],[Pré Ureia mg/dL]]</f>
        <v>32</v>
      </c>
      <c r="AH325" s="85">
        <f>Tabela1[[#This Row],[Pós Ureia mg/dL]]</f>
        <v>38</v>
      </c>
      <c r="AI325" s="125">
        <f>Tabela1[[#This Row],[Pré creatinina mg/dL]]</f>
        <v>0.9</v>
      </c>
      <c r="AJ325" s="125">
        <f>Tabela1[[#This Row],[Pós creatinina mg/dL]]</f>
        <v>1.1000000000000001</v>
      </c>
      <c r="AK325" s="180">
        <f t="shared" si="20"/>
        <v>0.20000000000000007</v>
      </c>
      <c r="AL325" s="125">
        <f>Tabela1[[#This Row],[Pré Fósforo mg/dL]]</f>
        <v>4.0999999999999996</v>
      </c>
      <c r="AM325" s="125">
        <f>Tabela1[[#This Row],[Pós Fósforo mg/dL]]</f>
        <v>3.5</v>
      </c>
      <c r="AN325" s="125">
        <f>Tabela1[[#This Row],[Pré Proteína Total (g/dL)]]</f>
        <v>6.4</v>
      </c>
      <c r="AO325" s="125">
        <f>Tabela1[[#This Row],[Pós Proteína Total (g/dL)]]</f>
        <v>6.5</v>
      </c>
      <c r="AP325" s="85">
        <f>Tabela1[[#This Row],[Pré FE (ug/dL)]]</f>
        <v>29</v>
      </c>
      <c r="AQ325" s="193">
        <f>Tabela1[[#This Row],[Pós FE (ug/dL)]]</f>
        <v>75</v>
      </c>
      <c r="AR325" s="194">
        <f>Tabela1[[#This Row],[Pré calcio mg/dL]]</f>
        <v>8.4</v>
      </c>
      <c r="AS325" s="125">
        <f>Tabela1[[#This Row],[Pós calcio mg/dL]]</f>
        <v>8.1</v>
      </c>
      <c r="AT325" s="125">
        <f>Tabela1[[#This Row],[Pré Potássio mmol/L]]</f>
        <v>3.9</v>
      </c>
      <c r="AU325" s="125">
        <f>Tabela1[[#This Row],[Pós Potássio mmol/L]]</f>
        <v>4.0999999999999996</v>
      </c>
      <c r="AV325" s="85">
        <f>Tabela1[[#This Row],[Glicose pré]]</f>
        <v>84</v>
      </c>
      <c r="AW325" s="85">
        <f>Tabela1[[#This Row],[Glicose pós]]</f>
        <v>70</v>
      </c>
      <c r="AX325" s="85">
        <f>Tabela1[[#This Row],[Pré Sódio mmol/L]]</f>
        <v>139</v>
      </c>
      <c r="AY325" s="85">
        <f>Tabela1[[#This Row],[Pós Sódio mmol/L]]</f>
        <v>132</v>
      </c>
      <c r="AZ325" s="125">
        <f>Tabela1[[#This Row],[Pré Magnésio mg/dL]]</f>
        <v>2</v>
      </c>
      <c r="BA325" s="125">
        <f>Tabela1[[#This Row],[Pós Magnésio mg/dL]]</f>
        <v>2.1</v>
      </c>
      <c r="BB325" s="85">
        <f>Tabela1[[#This Row],[Pré Cloro mmol/L]]</f>
        <v>83</v>
      </c>
      <c r="BC325" s="85">
        <f>Tabela1[[#This Row],[Pós Cloro mmol/L]]</f>
        <v>81</v>
      </c>
      <c r="BD32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290.49400000000003</v>
      </c>
      <c r="BE32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277.95155555555556</v>
      </c>
      <c r="BF325" s="194">
        <f>Tabela1[[#This Row],[Pré RBC 10^6/mm³]]</f>
        <v>4.8</v>
      </c>
      <c r="BG325" s="125" t="str">
        <f>Tabela1[[#This Row],[Pós RBC 10^6/mm³]]</f>
        <v>-</v>
      </c>
      <c r="BH325" s="125">
        <f>Tabela1[[#This Row],[Pré HGB g/dL]]</f>
        <v>14.5</v>
      </c>
      <c r="BI325" s="125" t="str">
        <f>Tabela1[[#This Row],[Pós HGB g/dL]]</f>
        <v>-</v>
      </c>
      <c r="BJ325" s="125">
        <f>Tabela1[[#This Row],[Pré HCT %]]</f>
        <v>41</v>
      </c>
      <c r="BK325" s="125" t="str">
        <f>Tabela1[[#This Row],[Pós HCT %]]</f>
        <v>-</v>
      </c>
      <c r="BL325" s="125">
        <f>Tabela1[[#This Row],[Pré MCV fL]]</f>
        <v>85.4</v>
      </c>
      <c r="BM325" s="125" t="str">
        <f>Tabela1[[#This Row],[Pós MCV fL]]</f>
        <v>-</v>
      </c>
      <c r="BN325" s="125">
        <f>Tabela1[[#This Row],[Pré MCH pg]]</f>
        <v>30.2</v>
      </c>
      <c r="BO325" s="125" t="str">
        <f>Tabela1[[#This Row],[Pós MCH pg]]</f>
        <v>-</v>
      </c>
      <c r="BP325" s="125">
        <f>Tabela1[[#This Row],[Pré MCHC g/dL]]</f>
        <v>35.4</v>
      </c>
      <c r="BQ325" s="125" t="str">
        <f>Tabela1[[#This Row],[Pós MCHC g/dL]]</f>
        <v>-</v>
      </c>
      <c r="BR325" s="85">
        <f>Tabela1[[#This Row],[Pré PLT 10³/mm³]]</f>
        <v>168</v>
      </c>
      <c r="BS325" s="85" t="str">
        <f>Tabela1[[#This Row],[Pós PLT 10³/mm³]]</f>
        <v>-</v>
      </c>
      <c r="BT325" s="125">
        <f>Tabela1[[#This Row],[Pré RDW %]]</f>
        <v>13.2</v>
      </c>
      <c r="BU325" s="125" t="str">
        <f>Tabela1[[#This Row],[Pós RDW %]]</f>
        <v>-</v>
      </c>
      <c r="BV325" s="179" t="str">
        <f>Tabela1[[#This Row],[Pré RET %]]</f>
        <v>-</v>
      </c>
      <c r="BW325" s="196" t="str">
        <f>Tabela1[[#This Row],[Pós RET %]]</f>
        <v>-</v>
      </c>
      <c r="BX325" s="197">
        <f>Tabela1[[#This Row],[Pré WBC 10³/mm³]]</f>
        <v>6.69</v>
      </c>
      <c r="BY325" s="179" t="str">
        <f>Tabela1[[#This Row],[Pós WBC 10³/mm³]]</f>
        <v>-</v>
      </c>
      <c r="BZ325" s="125">
        <f>Tabela1[[#This Row],[Pré NEUT %]]</f>
        <v>67.5</v>
      </c>
      <c r="CA325" s="125" t="str">
        <f>Tabela1[[#This Row],[Pós NEUT %]]</f>
        <v>-</v>
      </c>
      <c r="CB325" s="125">
        <f>Tabela1[[#This Row],[Pré LINF %]]</f>
        <v>19.7</v>
      </c>
      <c r="CC325" s="125" t="str">
        <f>Tabela1[[#This Row],[Pós LINF %]]</f>
        <v>-</v>
      </c>
      <c r="CD325" s="125">
        <f>Tabela1[[#This Row],[Pré MONO %]]</f>
        <v>7.3</v>
      </c>
      <c r="CE325" s="125" t="str">
        <f>Tabela1[[#This Row],[Pós MONO %]]</f>
        <v>-</v>
      </c>
      <c r="CF325" s="125">
        <f>Tabela1[[#This Row],[Pré EOS %]]</f>
        <v>5.4</v>
      </c>
      <c r="CG325" s="125" t="str">
        <f>Tabela1[[#This Row],[Pós EOS %]]</f>
        <v>-</v>
      </c>
      <c r="CH325" s="125">
        <f>Tabela1[[#This Row],[Pré BASO %]]</f>
        <v>0.1</v>
      </c>
      <c r="CI325" s="198" t="str">
        <f>Tabela1[[#This Row],[Pós BASO %]]</f>
        <v>-</v>
      </c>
      <c r="CJ325" s="199" t="str">
        <f t="shared" si="21"/>
        <v>NÃO</v>
      </c>
      <c r="CK325" s="200" t="str">
        <f t="shared" si="22"/>
        <v>NÃO</v>
      </c>
      <c r="CL325" s="194">
        <f t="shared" si="23"/>
        <v>66.786999999999992</v>
      </c>
      <c r="CM325" s="125">
        <f>Tabela1[[#This Row],[MCT KG]]</f>
        <v>71.05</v>
      </c>
      <c r="CN325" s="85">
        <f>Tabela1[[#This Row],[ESTATURA]]</f>
        <v>172.4</v>
      </c>
      <c r="CO325" s="85">
        <f>Tabela1[[#This Row],[vo2max estimado]]</f>
        <v>56.66</v>
      </c>
      <c r="CP325" s="85">
        <f>Tabela1[[#This Row],[Handgrip     Dominante]]</f>
        <v>58</v>
      </c>
      <c r="CQ325" s="85">
        <f>Tabela1[[#This Row],[Handgrip Contrário]]</f>
        <v>44</v>
      </c>
      <c r="CR325" s="281">
        <f>Tabela1[[#This Row],[% gordura]]</f>
        <v>6</v>
      </c>
    </row>
    <row r="326" spans="1:96" ht="15.75" customHeight="1">
      <c r="A326" s="279">
        <f>Tabela1[[#This Row],[Ano]]</f>
        <v>2022</v>
      </c>
      <c r="B326" s="181" t="str">
        <f>Tabela1[[#This Row],[Missão]]</f>
        <v>Ladário</v>
      </c>
      <c r="C326" s="181">
        <f>Tabela1[[#This Row],[Aluno]]</f>
        <v>3260</v>
      </c>
      <c r="D326" s="181">
        <f>Tabela1[[#This Row],[Idade]]</f>
        <v>25</v>
      </c>
      <c r="E326" s="182">
        <f>Tabela1[[#This Row],[Peso Kg]]</f>
        <v>0</v>
      </c>
      <c r="F326" s="191">
        <f>Tabela1[[#This Row],[Cor da pele]]</f>
        <v>0</v>
      </c>
      <c r="G326" s="192" t="str">
        <f>Tabela1[[#This Row],[ACTN3]]</f>
        <v>RR</v>
      </c>
      <c r="H326" s="85" t="str">
        <f>Tabela1[[#This Row],[AGT]]</f>
        <v>MT</v>
      </c>
      <c r="I326" s="85" t="str">
        <f>Tabela1[[#This Row],[ECA]]</f>
        <v>ID</v>
      </c>
      <c r="J326" s="85" t="str">
        <f>Tabela1[[#This Row],[BDKRB2]]</f>
        <v>(+9, +9)</v>
      </c>
      <c r="K326" s="85">
        <f>Tabela1[[#This Row],[Score Força%]]</f>
        <v>75</v>
      </c>
      <c r="L326" s="193">
        <f>Tabela1[[#This Row],[Score Resistência %]]</f>
        <v>25</v>
      </c>
      <c r="M326" s="192">
        <f>Tabela1[[#This Row],[Pré CK (U/L)]]</f>
        <v>246</v>
      </c>
      <c r="N326" s="85" t="str">
        <f>Tabela1[[#This Row],[Pós CK (U/L)]]</f>
        <v>-</v>
      </c>
      <c r="O326" s="85" t="str">
        <f>Tabela1[[#This Row],[Pré CK MB U/L]]</f>
        <v>-</v>
      </c>
      <c r="P326" s="85" t="str">
        <f>Tabela1[[#This Row],[Pós CK MB U/L]]</f>
        <v>-</v>
      </c>
      <c r="Q326" s="85">
        <f>Tabela1[[#This Row],[Pré Lactato (mmol/L)]]</f>
        <v>2.9</v>
      </c>
      <c r="R326" s="85" t="str">
        <f>Tabela1[[#This Row],[Pós Lactato (mmol/L)]]</f>
        <v>-</v>
      </c>
      <c r="S326" s="85">
        <f>Tabela1[[#This Row],[Pré LDH (U/L)]]</f>
        <v>410</v>
      </c>
      <c r="T326" s="85" t="str">
        <f>Tabela1[[#This Row],[Pós LDH (U/L)]]</f>
        <v>-</v>
      </c>
      <c r="U326" s="85">
        <f>Tabela1[[#This Row],[Pré AST (U/L)]]</f>
        <v>32</v>
      </c>
      <c r="V326" s="193" t="str">
        <f>Tabela1[[#This Row],[Pós AST (U/L)]]</f>
        <v>-</v>
      </c>
      <c r="W326" s="194" t="str">
        <f>Tabela1[[#This Row],[Pré Albumina (g/dL)]]</f>
        <v>-</v>
      </c>
      <c r="X326" s="125" t="str">
        <f>Tabela1[[#This Row],[Pós Albumina (g/dL)]]</f>
        <v>-</v>
      </c>
      <c r="Y326" s="85" t="str">
        <f>Tabela1[[#This Row],[Pré TGP (g/dL)]]</f>
        <v>-</v>
      </c>
      <c r="Z326" s="85" t="str">
        <f>Tabela1[[#This Row],[Pós TGP (g/dL)]]</f>
        <v>-</v>
      </c>
      <c r="AA326" s="85" t="str">
        <f>Tabela1[[#This Row],[Pré GGT U/L]]</f>
        <v>-</v>
      </c>
      <c r="AB326" s="193" t="str">
        <f>Tabela1[[#This Row],[Pós GGT U/L]]</f>
        <v>-</v>
      </c>
      <c r="AC326" s="194">
        <f>Tabela1[[#This Row],[Pré Ac. Úrico (mg/dL)]]</f>
        <v>4.8</v>
      </c>
      <c r="AD326" s="125" t="str">
        <f>Tabela1[[#This Row],[Pós Ac. Úrico (mg/dL)2]]</f>
        <v>-</v>
      </c>
      <c r="AE32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326" s="180" t="str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Dados Insuficientes</v>
      </c>
      <c r="AG326" s="85">
        <f>Tabela1[[#This Row],[Pré Ureia mg/dL]]</f>
        <v>41</v>
      </c>
      <c r="AH326" s="85" t="str">
        <f>Tabela1[[#This Row],[Pós Ureia mg/dL]]</f>
        <v>-</v>
      </c>
      <c r="AI326" s="125">
        <f>Tabela1[[#This Row],[Pré creatinina mg/dL]]</f>
        <v>1</v>
      </c>
      <c r="AJ326" s="125" t="str">
        <f>Tabela1[[#This Row],[Pós creatinina mg/dL]]</f>
        <v>-</v>
      </c>
      <c r="AK326" s="180" t="str">
        <f t="shared" si="20"/>
        <v>Dados Insuficientes</v>
      </c>
      <c r="AL326" s="125">
        <f>Tabela1[[#This Row],[Pré Fósforo mg/dL]]</f>
        <v>4.5</v>
      </c>
      <c r="AM326" s="125" t="str">
        <f>Tabela1[[#This Row],[Pós Fósforo mg/dL]]</f>
        <v>-</v>
      </c>
      <c r="AN326" s="125">
        <f>Tabela1[[#This Row],[Pré Proteína Total (g/dL)]]</f>
        <v>7</v>
      </c>
      <c r="AO326" s="125" t="str">
        <f>Tabela1[[#This Row],[Pós Proteína Total (g/dL)]]</f>
        <v>-</v>
      </c>
      <c r="AP326" s="85">
        <f>Tabela1[[#This Row],[Pré FE (ug/dL)]]</f>
        <v>53</v>
      </c>
      <c r="AQ326" s="193" t="str">
        <f>Tabela1[[#This Row],[Pós FE (ug/dL)]]</f>
        <v>-</v>
      </c>
      <c r="AR326" s="194">
        <f>Tabela1[[#This Row],[Pré calcio mg/dL]]</f>
        <v>8.9</v>
      </c>
      <c r="AS326" s="125" t="str">
        <f>Tabela1[[#This Row],[Pós calcio mg/dL]]</f>
        <v>-</v>
      </c>
      <c r="AT326" s="125">
        <f>Tabela1[[#This Row],[Pré Potássio mmol/L]]</f>
        <v>3.8</v>
      </c>
      <c r="AU326" s="125" t="str">
        <f>Tabela1[[#This Row],[Pós Potássio mmol/L]]</f>
        <v>-</v>
      </c>
      <c r="AV326" s="85">
        <f>Tabela1[[#This Row],[Glicose pré]]</f>
        <v>61</v>
      </c>
      <c r="AW326" s="85" t="str">
        <f>Tabela1[[#This Row],[Glicose pós]]</f>
        <v>-</v>
      </c>
      <c r="AX326" s="85">
        <f>Tabela1[[#This Row],[Pré Sódio mmol/L]]</f>
        <v>140</v>
      </c>
      <c r="AY326" s="85" t="str">
        <f>Tabela1[[#This Row],[Pós Sódio mmol/L]]</f>
        <v>-</v>
      </c>
      <c r="AZ326" s="125">
        <f>Tabela1[[#This Row],[Pré Magnésio mg/dL]]</f>
        <v>2</v>
      </c>
      <c r="BA326" s="125" t="str">
        <f>Tabela1[[#This Row],[Pós Magnésio mg/dL]]</f>
        <v>-</v>
      </c>
      <c r="BB326" s="85">
        <f>Tabela1[[#This Row],[Pré Cloro mmol/L]]</f>
        <v>83</v>
      </c>
      <c r="BC326" s="85" t="str">
        <f>Tabela1[[#This Row],[Pós Cloro mmol/L]]</f>
        <v>-</v>
      </c>
      <c r="BD32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292.19855555555557</v>
      </c>
      <c r="BE326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326" s="194">
        <f>Tabela1[[#This Row],[Pré RBC 10^6/mm³]]</f>
        <v>5.2</v>
      </c>
      <c r="BG326" s="125" t="str">
        <f>Tabela1[[#This Row],[Pós RBC 10^6/mm³]]</f>
        <v>-</v>
      </c>
      <c r="BH326" s="125">
        <f>Tabela1[[#This Row],[Pré HGB g/dL]]</f>
        <v>14.3</v>
      </c>
      <c r="BI326" s="125" t="str">
        <f>Tabela1[[#This Row],[Pós HGB g/dL]]</f>
        <v>-</v>
      </c>
      <c r="BJ326" s="125">
        <f>Tabela1[[#This Row],[Pré HCT %]]</f>
        <v>43.1</v>
      </c>
      <c r="BK326" s="125" t="str">
        <f>Tabela1[[#This Row],[Pós HCT %]]</f>
        <v>-</v>
      </c>
      <c r="BL326" s="125">
        <f>Tabela1[[#This Row],[Pré MCV fL]]</f>
        <v>83.7</v>
      </c>
      <c r="BM326" s="125" t="str">
        <f>Tabela1[[#This Row],[Pós MCV fL]]</f>
        <v>-</v>
      </c>
      <c r="BN326" s="125">
        <f>Tabela1[[#This Row],[Pré MCH pg]]</f>
        <v>27.8</v>
      </c>
      <c r="BO326" s="125" t="str">
        <f>Tabela1[[#This Row],[Pós MCH pg]]</f>
        <v>-</v>
      </c>
      <c r="BP326" s="125">
        <f>Tabela1[[#This Row],[Pré MCHC g/dL]]</f>
        <v>33.200000000000003</v>
      </c>
      <c r="BQ326" s="125" t="str">
        <f>Tabela1[[#This Row],[Pós MCHC g/dL]]</f>
        <v>-</v>
      </c>
      <c r="BR326" s="85">
        <f>Tabela1[[#This Row],[Pré PLT 10³/mm³]]</f>
        <v>253</v>
      </c>
      <c r="BS326" s="85" t="str">
        <f>Tabela1[[#This Row],[Pós PLT 10³/mm³]]</f>
        <v>-</v>
      </c>
      <c r="BT326" s="125">
        <f>Tabela1[[#This Row],[Pré RDW %]]</f>
        <v>13.8</v>
      </c>
      <c r="BU326" s="125" t="str">
        <f>Tabela1[[#This Row],[Pós RDW %]]</f>
        <v>-</v>
      </c>
      <c r="BV326" s="179" t="str">
        <f>Tabela1[[#This Row],[Pré RET %]]</f>
        <v>-</v>
      </c>
      <c r="BW326" s="196" t="str">
        <f>Tabela1[[#This Row],[Pós RET %]]</f>
        <v>-</v>
      </c>
      <c r="BX326" s="197">
        <f>Tabela1[[#This Row],[Pré WBC 10³/mm³]]</f>
        <v>4.1100000000000003</v>
      </c>
      <c r="BY326" s="179" t="str">
        <f>Tabela1[[#This Row],[Pós WBC 10³/mm³]]</f>
        <v>-</v>
      </c>
      <c r="BZ326" s="125">
        <f>Tabela1[[#This Row],[Pré NEUT %]]</f>
        <v>56.5</v>
      </c>
      <c r="CA326" s="125" t="str">
        <f>Tabela1[[#This Row],[Pós NEUT %]]</f>
        <v>-</v>
      </c>
      <c r="CB326" s="125">
        <f>Tabela1[[#This Row],[Pré LINF %]]</f>
        <v>33.1</v>
      </c>
      <c r="CC326" s="125" t="str">
        <f>Tabela1[[#This Row],[Pós LINF %]]</f>
        <v>-</v>
      </c>
      <c r="CD326" s="125">
        <f>Tabela1[[#This Row],[Pré MONO %]]</f>
        <v>7.3</v>
      </c>
      <c r="CE326" s="125" t="str">
        <f>Tabela1[[#This Row],[Pós MONO %]]</f>
        <v>-</v>
      </c>
      <c r="CF326" s="125">
        <f>Tabela1[[#This Row],[Pré EOS %]]</f>
        <v>2.9</v>
      </c>
      <c r="CG326" s="125" t="str">
        <f>Tabela1[[#This Row],[Pós EOS %]]</f>
        <v>-</v>
      </c>
      <c r="CH326" s="125">
        <f>Tabela1[[#This Row],[Pré BASO %]]</f>
        <v>0.2</v>
      </c>
      <c r="CI326" s="198" t="str">
        <f>Tabela1[[#This Row],[Pós BASO %]]</f>
        <v>-</v>
      </c>
      <c r="CJ326" s="199" t="str">
        <f t="shared" si="21"/>
        <v>Dados insuficientes</v>
      </c>
      <c r="CK326" s="200" t="str">
        <f t="shared" si="22"/>
        <v>SIM</v>
      </c>
      <c r="CL326" s="194">
        <f t="shared" si="23"/>
        <v>72.202060000000003</v>
      </c>
      <c r="CM326" s="125">
        <f>Tabela1[[#This Row],[MCT KG]]</f>
        <v>78.2</v>
      </c>
      <c r="CN326" s="85">
        <f>Tabela1[[#This Row],[ESTATURA]]</f>
        <v>182.1</v>
      </c>
      <c r="CO326" s="85">
        <f>Tabela1[[#This Row],[vo2max estimado]]</f>
        <v>51.94</v>
      </c>
      <c r="CP326" s="85">
        <f>Tabela1[[#This Row],[Handgrip     Dominante]]</f>
        <v>62</v>
      </c>
      <c r="CQ326" s="85">
        <f>Tabela1[[#This Row],[Handgrip Contrário]]</f>
        <v>65</v>
      </c>
      <c r="CR326" s="281">
        <f>Tabela1[[#This Row],[% gordura]]</f>
        <v>7.67</v>
      </c>
    </row>
    <row r="327" spans="1:96" ht="15.75" customHeight="1">
      <c r="A327" s="279">
        <f>Tabela1[[#This Row],[Ano]]</f>
        <v>2022</v>
      </c>
      <c r="B327" s="181" t="str">
        <f>Tabela1[[#This Row],[Missão]]</f>
        <v>Avelar</v>
      </c>
      <c r="C327" s="181">
        <f>Tabela1[[#This Row],[Aluno]]</f>
        <v>3236</v>
      </c>
      <c r="D327" s="181">
        <f>Tabela1[[#This Row],[Idade]]</f>
        <v>27</v>
      </c>
      <c r="E327" s="182">
        <f>Tabela1[[#This Row],[Peso Kg]]</f>
        <v>72</v>
      </c>
      <c r="F327" s="191">
        <f>Tabela1[[#This Row],[Cor da pele]]</f>
        <v>0</v>
      </c>
      <c r="G327" s="192" t="str">
        <f>Tabela1[[#This Row],[ACTN3]]</f>
        <v>RX</v>
      </c>
      <c r="H327" s="85" t="str">
        <f>Tabela1[[#This Row],[AGT]]</f>
        <v>MT</v>
      </c>
      <c r="I327" s="85" t="str">
        <f>Tabela1[[#This Row],[ECA]]</f>
        <v>ID</v>
      </c>
      <c r="J327" s="85" t="str">
        <f>Tabela1[[#This Row],[BDKRB2]]</f>
        <v>(+9, +9)</v>
      </c>
      <c r="K327" s="85">
        <f>Tabela1[[#This Row],[Score Força%]]</f>
        <v>62.5</v>
      </c>
      <c r="L327" s="193">
        <f>Tabela1[[#This Row],[Score Resistência %]]</f>
        <v>37.5</v>
      </c>
      <c r="M327" s="192">
        <f>Tabela1[[#This Row],[Pré CK (U/L)]]</f>
        <v>99</v>
      </c>
      <c r="N327" s="85">
        <f>Tabela1[[#This Row],[Pós CK (U/L)]]</f>
        <v>9942</v>
      </c>
      <c r="O327" s="85" t="str">
        <f>Tabela1[[#This Row],[Pré CK MB U/L]]</f>
        <v>-</v>
      </c>
      <c r="P327" s="85" t="str">
        <f>Tabela1[[#This Row],[Pós CK MB U/L]]</f>
        <v>-</v>
      </c>
      <c r="Q327" s="85">
        <f>Tabela1[[#This Row],[Pré Lactato (mmol/L)]]</f>
        <v>2</v>
      </c>
      <c r="R327" s="85">
        <f>Tabela1[[#This Row],[Pós Lactato (mmol/L)]]</f>
        <v>1.8</v>
      </c>
      <c r="S327" s="85">
        <f>Tabela1[[#This Row],[Pré LDH (U/L)]]</f>
        <v>200</v>
      </c>
      <c r="T327" s="85">
        <f>Tabela1[[#This Row],[Pós LDH (U/L)]]</f>
        <v>692</v>
      </c>
      <c r="U327" s="85">
        <f>Tabela1[[#This Row],[Pré AST (U/L)]]</f>
        <v>29</v>
      </c>
      <c r="V327" s="193">
        <f>Tabela1[[#This Row],[Pós AST (U/L)]]</f>
        <v>177</v>
      </c>
      <c r="W327" s="194" t="str">
        <f>Tabela1[[#This Row],[Pré Albumina (g/dL)]]</f>
        <v>-</v>
      </c>
      <c r="X327" s="125" t="str">
        <f>Tabela1[[#This Row],[Pós Albumina (g/dL)]]</f>
        <v>-</v>
      </c>
      <c r="Y327" s="85" t="str">
        <f>Tabela1[[#This Row],[Pré TGP (g/dL)]]</f>
        <v>-</v>
      </c>
      <c r="Z327" s="85" t="str">
        <f>Tabela1[[#This Row],[Pós TGP (g/dL)]]</f>
        <v>-</v>
      </c>
      <c r="AA327" s="85" t="str">
        <f>Tabela1[[#This Row],[Pré GGT U/L]]</f>
        <v>-</v>
      </c>
      <c r="AB327" s="193" t="str">
        <f>Tabela1[[#This Row],[Pós GGT U/L]]</f>
        <v>-</v>
      </c>
      <c r="AC327" s="194">
        <f>Tabela1[[#This Row],[Pré Ac. Úrico (mg/dL)]]</f>
        <v>4.4000000000000004</v>
      </c>
      <c r="AD327" s="125">
        <f>Tabela1[[#This Row],[Pós Ac. Úrico (mg/dL)2]]</f>
        <v>7.8</v>
      </c>
      <c r="AE32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2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327" s="85">
        <f>Tabela1[[#This Row],[Pré Ureia mg/dL]]</f>
        <v>25</v>
      </c>
      <c r="AH327" s="85">
        <f>Tabela1[[#This Row],[Pós Ureia mg/dL]]</f>
        <v>82</v>
      </c>
      <c r="AI327" s="125">
        <f>Tabela1[[#This Row],[Pré creatinina mg/dL]]</f>
        <v>0.9</v>
      </c>
      <c r="AJ327" s="125">
        <f>Tabela1[[#This Row],[Pós creatinina mg/dL]]</f>
        <v>1.3</v>
      </c>
      <c r="AK327" s="180">
        <f t="shared" si="20"/>
        <v>0.4</v>
      </c>
      <c r="AL327" s="125">
        <f>Tabela1[[#This Row],[Pré Fósforo mg/dL]]</f>
        <v>5.6</v>
      </c>
      <c r="AM327" s="125">
        <f>Tabela1[[#This Row],[Pós Fósforo mg/dL]]</f>
        <v>7.4</v>
      </c>
      <c r="AN327" s="125">
        <f>Tabela1[[#This Row],[Pré Proteína Total (g/dL)]]</f>
        <v>7.9</v>
      </c>
      <c r="AO327" s="125">
        <f>Tabela1[[#This Row],[Pós Proteína Total (g/dL)]]</f>
        <v>7.1</v>
      </c>
      <c r="AP327" s="85">
        <f>Tabela1[[#This Row],[Pré FE (ug/dL)]]</f>
        <v>44</v>
      </c>
      <c r="AQ327" s="193">
        <f>Tabela1[[#This Row],[Pós FE (ug/dL)]]</f>
        <v>10</v>
      </c>
      <c r="AR327" s="194">
        <f>Tabela1[[#This Row],[Pré calcio mg/dL]]</f>
        <v>10</v>
      </c>
      <c r="AS327" s="125">
        <f>Tabela1[[#This Row],[Pós calcio mg/dL]]</f>
        <v>8.3000000000000007</v>
      </c>
      <c r="AT327" s="125">
        <f>Tabela1[[#This Row],[Pré Potássio mmol/L]]</f>
        <v>4.9000000000000004</v>
      </c>
      <c r="AU327" s="125">
        <f>Tabela1[[#This Row],[Pós Potássio mmol/L]]</f>
        <v>4.2</v>
      </c>
      <c r="AV327" s="85">
        <f>Tabela1[[#This Row],[Glicose pré]]</f>
        <v>92</v>
      </c>
      <c r="AW327" s="85">
        <f>Tabela1[[#This Row],[Glicose pós]]</f>
        <v>155</v>
      </c>
      <c r="AX327" s="85">
        <f>Tabela1[[#This Row],[Pré Sódio mmol/L]]</f>
        <v>142</v>
      </c>
      <c r="AY327" s="85">
        <f>Tabela1[[#This Row],[Pós Sódio mmol/L]]</f>
        <v>123</v>
      </c>
      <c r="AZ327" s="125">
        <f>Tabela1[[#This Row],[Pré Magnésio mg/dL]]</f>
        <v>2.1</v>
      </c>
      <c r="BA327" s="125">
        <f>Tabela1[[#This Row],[Pós Magnésio mg/dL]]</f>
        <v>1.8</v>
      </c>
      <c r="BB327" s="85">
        <f>Tabela1[[#This Row],[Pré Cloro mmol/L]]</f>
        <v>99</v>
      </c>
      <c r="BC327" s="85">
        <f>Tabela1[[#This Row],[Pós Cloro mmol/L]]</f>
        <v>76</v>
      </c>
      <c r="BD32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297.27844444444452</v>
      </c>
      <c r="BE32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274.16144444444444</v>
      </c>
      <c r="BF327" s="194">
        <f>Tabela1[[#This Row],[Pré RBC 10^6/mm³]]</f>
        <v>5.85</v>
      </c>
      <c r="BG327" s="125">
        <f>Tabela1[[#This Row],[Pós RBC 10^6/mm³]]</f>
        <v>6</v>
      </c>
      <c r="BH327" s="125">
        <f>Tabela1[[#This Row],[Pré HGB g/dL]]</f>
        <v>15.3</v>
      </c>
      <c r="BI327" s="125">
        <f>Tabela1[[#This Row],[Pós HGB g/dL]]</f>
        <v>15.6</v>
      </c>
      <c r="BJ327" s="125">
        <f>Tabela1[[#This Row],[Pré HCT %]]</f>
        <v>45.9</v>
      </c>
      <c r="BK327" s="125">
        <f>Tabela1[[#This Row],[Pós HCT %]]</f>
        <v>48.2</v>
      </c>
      <c r="BL327" s="125">
        <f>Tabela1[[#This Row],[Pré MCV fL]]</f>
        <v>78</v>
      </c>
      <c r="BM327" s="125">
        <f>Tabela1[[#This Row],[Pós MCV fL]]</f>
        <v>80</v>
      </c>
      <c r="BN327" s="125">
        <f>Tabela1[[#This Row],[Pré MCH pg]]</f>
        <v>26.1</v>
      </c>
      <c r="BO327" s="125">
        <f>Tabela1[[#This Row],[Pós MCH pg]]</f>
        <v>26</v>
      </c>
      <c r="BP327" s="125">
        <f>Tabela1[[#This Row],[Pré MCHC g/dL]]</f>
        <v>33.299999999999997</v>
      </c>
      <c r="BQ327" s="125">
        <f>Tabela1[[#This Row],[Pós MCHC g/dL]]</f>
        <v>32.4</v>
      </c>
      <c r="BR327" s="85">
        <f>Tabela1[[#This Row],[Pré PLT 10³/mm³]]</f>
        <v>344</v>
      </c>
      <c r="BS327" s="85">
        <f>Tabela1[[#This Row],[Pós PLT 10³/mm³]]</f>
        <v>293</v>
      </c>
      <c r="BT327" s="125">
        <f>Tabela1[[#This Row],[Pré RDW %]]</f>
        <v>14.5</v>
      </c>
      <c r="BU327" s="125">
        <f>Tabela1[[#This Row],[Pós RDW %]]</f>
        <v>15.5</v>
      </c>
      <c r="BV327" s="179" t="str">
        <f>Tabela1[[#This Row],[Pré RET %]]</f>
        <v>-</v>
      </c>
      <c r="BW327" s="196" t="str">
        <f>Tabela1[[#This Row],[Pós RET %]]</f>
        <v>-</v>
      </c>
      <c r="BX327" s="197">
        <f>Tabela1[[#This Row],[Pré WBC 10³/mm³]]</f>
        <v>8.6999999999999993</v>
      </c>
      <c r="BY327" s="179">
        <f>Tabela1[[#This Row],[Pós WBC 10³/mm³]]</f>
        <v>14.9</v>
      </c>
      <c r="BZ327" s="125">
        <f>Tabela1[[#This Row],[Pré NEUT %]]</f>
        <v>63.6</v>
      </c>
      <c r="CA327" s="125">
        <f>Tabela1[[#This Row],[Pós NEUT %]]</f>
        <v>69.2</v>
      </c>
      <c r="CB327" s="125">
        <f>Tabela1[[#This Row],[Pré LINF %]]</f>
        <v>32.6</v>
      </c>
      <c r="CC327" s="125">
        <f>Tabela1[[#This Row],[Pós LINF %]]</f>
        <v>25.5</v>
      </c>
      <c r="CD327" s="125">
        <f>Tabela1[[#This Row],[Pré MONO %]]</f>
        <v>2.1</v>
      </c>
      <c r="CE327" s="125">
        <f>Tabela1[[#This Row],[Pós MONO %]]</f>
        <v>3.5</v>
      </c>
      <c r="CF327" s="125">
        <f>Tabela1[[#This Row],[Pré EOS %]]</f>
        <v>1.6</v>
      </c>
      <c r="CG327" s="125">
        <f>Tabela1[[#This Row],[Pós EOS %]]</f>
        <v>1.1000000000000001</v>
      </c>
      <c r="CH327" s="125">
        <f>Tabela1[[#This Row],[Pré BASO %]]</f>
        <v>0.1</v>
      </c>
      <c r="CI327" s="198">
        <f>Tabela1[[#This Row],[Pós BASO %]]</f>
        <v>0.7</v>
      </c>
      <c r="CJ327" s="199" t="str">
        <f t="shared" si="21"/>
        <v>SIM</v>
      </c>
      <c r="CK327" s="200" t="str">
        <f t="shared" si="22"/>
        <v>SIM</v>
      </c>
      <c r="CL327" s="194">
        <f t="shared" si="23"/>
        <v>69.121659999999991</v>
      </c>
      <c r="CM327" s="125">
        <f>Tabela1[[#This Row],[MCT KG]]</f>
        <v>77.3</v>
      </c>
      <c r="CN327" s="85">
        <f>Tabela1[[#This Row],[ESTATURA]]</f>
        <v>170.3</v>
      </c>
      <c r="CO327" s="85">
        <f>Tabela1[[#This Row],[vo2max estimado]]</f>
        <v>49.62</v>
      </c>
      <c r="CP327" s="85">
        <f>Tabela1[[#This Row],[Handgrip     Dominante]]</f>
        <v>50</v>
      </c>
      <c r="CQ327" s="85">
        <f>Tabela1[[#This Row],[Handgrip Contrário]]</f>
        <v>52</v>
      </c>
      <c r="CR327" s="281">
        <f>Tabela1[[#This Row],[% gordura]]</f>
        <v>10.58</v>
      </c>
    </row>
    <row r="328" spans="1:96" ht="15.75" customHeight="1">
      <c r="A328" s="279">
        <f>Tabela1[[#This Row],[Ano]]</f>
        <v>2022</v>
      </c>
      <c r="B328" s="181" t="str">
        <f>Tabela1[[#This Row],[Missão]]</f>
        <v>Avelar</v>
      </c>
      <c r="C328" s="181">
        <f>Tabela1[[#This Row],[Aluno]]</f>
        <v>3237</v>
      </c>
      <c r="D328" s="181">
        <f>Tabela1[[#This Row],[Idade]]</f>
        <v>24</v>
      </c>
      <c r="E328" s="182">
        <f>Tabela1[[#This Row],[Peso Kg]]</f>
        <v>77</v>
      </c>
      <c r="F328" s="191">
        <f>Tabela1[[#This Row],[Cor da pele]]</f>
        <v>0</v>
      </c>
      <c r="G328" s="192" t="str">
        <f>Tabela1[[#This Row],[ACTN3]]</f>
        <v>RX</v>
      </c>
      <c r="H328" s="85" t="str">
        <f>Tabela1[[#This Row],[AGT]]</f>
        <v>MM</v>
      </c>
      <c r="I328" s="85" t="str">
        <f>Tabela1[[#This Row],[ECA]]</f>
        <v>II</v>
      </c>
      <c r="J328" s="85" t="str">
        <f>Tabela1[[#This Row],[BDKRB2]]</f>
        <v>(-9 , -9)</v>
      </c>
      <c r="K328" s="85">
        <f>Tabela1[[#This Row],[Score Força%]]</f>
        <v>12.5</v>
      </c>
      <c r="L328" s="193">
        <f>Tabela1[[#This Row],[Score Resistência %]]</f>
        <v>87.5</v>
      </c>
      <c r="M328" s="192">
        <f>Tabela1[[#This Row],[Pré CK (U/L)]]</f>
        <v>64</v>
      </c>
      <c r="N328" s="85">
        <f>Tabela1[[#This Row],[Pós CK (U/L)]]</f>
        <v>6329</v>
      </c>
      <c r="O328" s="85" t="str">
        <f>Tabela1[[#This Row],[Pré CK MB U/L]]</f>
        <v>-</v>
      </c>
      <c r="P328" s="85" t="str">
        <f>Tabela1[[#This Row],[Pós CK MB U/L]]</f>
        <v>-</v>
      </c>
      <c r="Q328" s="85">
        <f>Tabela1[[#This Row],[Pré Lactato (mmol/L)]]</f>
        <v>2.1</v>
      </c>
      <c r="R328" s="85">
        <f>Tabela1[[#This Row],[Pós Lactato (mmol/L)]]</f>
        <v>2.2999999999999998</v>
      </c>
      <c r="S328" s="85">
        <f>Tabela1[[#This Row],[Pré LDH (U/L)]]</f>
        <v>166</v>
      </c>
      <c r="T328" s="85">
        <f>Tabela1[[#This Row],[Pós LDH (U/L)]]</f>
        <v>657</v>
      </c>
      <c r="U328" s="85">
        <f>Tabela1[[#This Row],[Pré AST (U/L)]]</f>
        <v>21</v>
      </c>
      <c r="V328" s="193">
        <f>Tabela1[[#This Row],[Pós AST (U/L)]]</f>
        <v>93</v>
      </c>
      <c r="W328" s="194" t="str">
        <f>Tabela1[[#This Row],[Pré Albumina (g/dL)]]</f>
        <v>-</v>
      </c>
      <c r="X328" s="125" t="str">
        <f>Tabela1[[#This Row],[Pós Albumina (g/dL)]]</f>
        <v>-</v>
      </c>
      <c r="Y328" s="85" t="str">
        <f>Tabela1[[#This Row],[Pré TGP (g/dL)]]</f>
        <v>-</v>
      </c>
      <c r="Z328" s="85" t="str">
        <f>Tabela1[[#This Row],[Pós TGP (g/dL)]]</f>
        <v>-</v>
      </c>
      <c r="AA328" s="85" t="str">
        <f>Tabela1[[#This Row],[Pré GGT U/L]]</f>
        <v>-</v>
      </c>
      <c r="AB328" s="193" t="str">
        <f>Tabela1[[#This Row],[Pós GGT U/L]]</f>
        <v>-</v>
      </c>
      <c r="AC328" s="194">
        <f>Tabela1[[#This Row],[Pré Ac. Úrico (mg/dL)]]</f>
        <v>4.3</v>
      </c>
      <c r="AD328" s="125">
        <f>Tabela1[[#This Row],[Pós Ac. Úrico (mg/dL)2]]</f>
        <v>6.3</v>
      </c>
      <c r="AE32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2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128.71280700150223</v>
      </c>
      <c r="AG328" s="85">
        <f>Tabela1[[#This Row],[Pré Ureia mg/dL]]</f>
        <v>37</v>
      </c>
      <c r="AH328" s="85">
        <f>Tabela1[[#This Row],[Pós Ureia mg/dL]]</f>
        <v>44</v>
      </c>
      <c r="AI328" s="125">
        <f>Tabela1[[#This Row],[Pré creatinina mg/dL]]</f>
        <v>0.9</v>
      </c>
      <c r="AJ328" s="125">
        <f>Tabela1[[#This Row],[Pós creatinina mg/dL]]</f>
        <v>0.7</v>
      </c>
      <c r="AK328" s="180">
        <f t="shared" si="20"/>
        <v>0</v>
      </c>
      <c r="AL328" s="125">
        <f>Tabela1[[#This Row],[Pré Fósforo mg/dL]]</f>
        <v>4.2</v>
      </c>
      <c r="AM328" s="125">
        <f>Tabela1[[#This Row],[Pós Fósforo mg/dL]]</f>
        <v>4.3</v>
      </c>
      <c r="AN328" s="125">
        <f>Tabela1[[#This Row],[Pré Proteína Total (g/dL)]]</f>
        <v>7.5</v>
      </c>
      <c r="AO328" s="125">
        <f>Tabela1[[#This Row],[Pós Proteína Total (g/dL)]]</f>
        <v>5.0999999999999996</v>
      </c>
      <c r="AP328" s="85">
        <f>Tabela1[[#This Row],[Pré FE (ug/dL)]]</f>
        <v>10</v>
      </c>
      <c r="AQ328" s="193">
        <f>Tabela1[[#This Row],[Pós FE (ug/dL)]]</f>
        <v>46</v>
      </c>
      <c r="AR328" s="194">
        <f>Tabela1[[#This Row],[Pré calcio mg/dL]]</f>
        <v>9.1</v>
      </c>
      <c r="AS328" s="125">
        <f>Tabela1[[#This Row],[Pós calcio mg/dL]]</f>
        <v>6.1</v>
      </c>
      <c r="AT328" s="125">
        <f>Tabela1[[#This Row],[Pré Potássio mmol/L]]</f>
        <v>4.3</v>
      </c>
      <c r="AU328" s="125">
        <f>Tabela1[[#This Row],[Pós Potássio mmol/L]]</f>
        <v>3.2</v>
      </c>
      <c r="AV328" s="85">
        <f>Tabela1[[#This Row],[Glicose pré]]</f>
        <v>95</v>
      </c>
      <c r="AW328" s="85">
        <f>Tabela1[[#This Row],[Glicose pós]]</f>
        <v>62</v>
      </c>
      <c r="AX328" s="85">
        <f>Tabela1[[#This Row],[Pré Sódio mmol/L]]</f>
        <v>144</v>
      </c>
      <c r="AY328" s="85">
        <f>Tabela1[[#This Row],[Pós Sódio mmol/L]]</f>
        <v>97</v>
      </c>
      <c r="AZ328" s="125">
        <f>Tabela1[[#This Row],[Pré Magnésio mg/dL]]</f>
        <v>2.1</v>
      </c>
      <c r="BA328" s="125">
        <f>Tabela1[[#This Row],[Pós Magnésio mg/dL]]</f>
        <v>1.6</v>
      </c>
      <c r="BB328" s="85">
        <f>Tabela1[[#This Row],[Pré Cloro mmol/L]]</f>
        <v>100</v>
      </c>
      <c r="BC328" s="85">
        <f>Tabela1[[#This Row],[Pós Cloro mmol/L]]</f>
        <v>68</v>
      </c>
      <c r="BD32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302.07411111111116</v>
      </c>
      <c r="BE32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211.66644444444447</v>
      </c>
      <c r="BF328" s="194">
        <f>Tabela1[[#This Row],[Pré RBC 10^6/mm³]]</f>
        <v>4.63</v>
      </c>
      <c r="BG328" s="125">
        <f>Tabela1[[#This Row],[Pós RBC 10^6/mm³]]</f>
        <v>4.1500000000000004</v>
      </c>
      <c r="BH328" s="125">
        <f>Tabela1[[#This Row],[Pré HGB g/dL]]</f>
        <v>14.4</v>
      </c>
      <c r="BI328" s="125">
        <f>Tabela1[[#This Row],[Pós HGB g/dL]]</f>
        <v>14.2</v>
      </c>
      <c r="BJ328" s="125">
        <f>Tabela1[[#This Row],[Pré HCT %]]</f>
        <v>43.2</v>
      </c>
      <c r="BK328" s="125">
        <f>Tabela1[[#This Row],[Pós HCT %]]</f>
        <v>30.1</v>
      </c>
      <c r="BL328" s="125">
        <f>Tabela1[[#This Row],[Pré MCV fL]]</f>
        <v>93</v>
      </c>
      <c r="BM328" s="125">
        <f>Tabela1[[#This Row],[Pós MCV fL]]</f>
        <v>73</v>
      </c>
      <c r="BN328" s="125">
        <f>Tabela1[[#This Row],[Pré MCH pg]]</f>
        <v>31.1</v>
      </c>
      <c r="BO328" s="125">
        <f>Tabela1[[#This Row],[Pós MCH pg]]</f>
        <v>34.299999999999997</v>
      </c>
      <c r="BP328" s="125">
        <f>Tabela1[[#This Row],[Pré MCHC g/dL]]</f>
        <v>33.299999999999997</v>
      </c>
      <c r="BQ328" s="125">
        <f>Tabela1[[#This Row],[Pós MCHC g/dL]]</f>
        <v>47.3</v>
      </c>
      <c r="BR328" s="85">
        <f>Tabela1[[#This Row],[Pré PLT 10³/mm³]]</f>
        <v>252</v>
      </c>
      <c r="BS328" s="85">
        <f>Tabela1[[#This Row],[Pós PLT 10³/mm³]]</f>
        <v>305</v>
      </c>
      <c r="BT328" s="125">
        <f>Tabela1[[#This Row],[Pré RDW %]]</f>
        <v>13.7</v>
      </c>
      <c r="BU328" s="125">
        <f>Tabela1[[#This Row],[Pós RDW %]]</f>
        <v>28</v>
      </c>
      <c r="BV328" s="179" t="str">
        <f>Tabela1[[#This Row],[Pré RET %]]</f>
        <v>-</v>
      </c>
      <c r="BW328" s="196" t="str">
        <f>Tabela1[[#This Row],[Pós RET %]]</f>
        <v>-</v>
      </c>
      <c r="BX328" s="197">
        <f>Tabela1[[#This Row],[Pré WBC 10³/mm³]]</f>
        <v>7.5</v>
      </c>
      <c r="BY328" s="179">
        <f>Tabela1[[#This Row],[Pós WBC 10³/mm³]]</f>
        <v>7.3</v>
      </c>
      <c r="BZ328" s="125">
        <f>Tabela1[[#This Row],[Pré NEUT %]]</f>
        <v>63.2</v>
      </c>
      <c r="CA328" s="125">
        <f>Tabela1[[#This Row],[Pós NEUT %]]</f>
        <v>54</v>
      </c>
      <c r="CB328" s="125">
        <f>Tabela1[[#This Row],[Pré LINF %]]</f>
        <v>29.3</v>
      </c>
      <c r="CC328" s="125">
        <f>Tabela1[[#This Row],[Pós LINF %]]</f>
        <v>37.299999999999997</v>
      </c>
      <c r="CD328" s="125">
        <f>Tabela1[[#This Row],[Pré MONO %]]</f>
        <v>5.2</v>
      </c>
      <c r="CE328" s="125">
        <f>Tabela1[[#This Row],[Pós MONO %]]</f>
        <v>3.8</v>
      </c>
      <c r="CF328" s="125">
        <f>Tabela1[[#This Row],[Pré EOS %]]</f>
        <v>2.2000000000000002</v>
      </c>
      <c r="CG328" s="125">
        <f>Tabela1[[#This Row],[Pós EOS %]]</f>
        <v>4.2</v>
      </c>
      <c r="CH328" s="125">
        <f>Tabela1[[#This Row],[Pré BASO %]]</f>
        <v>0.1</v>
      </c>
      <c r="CI328" s="198">
        <f>Tabela1[[#This Row],[Pós BASO %]]</f>
        <v>0.7</v>
      </c>
      <c r="CJ328" s="199" t="str">
        <f t="shared" si="21"/>
        <v>NÃO</v>
      </c>
      <c r="CK328" s="200" t="str">
        <f t="shared" si="22"/>
        <v>SIM</v>
      </c>
      <c r="CL328" s="194">
        <f t="shared" si="23"/>
        <v>70.724639999999994</v>
      </c>
      <c r="CM328" s="125">
        <f>Tabela1[[#This Row],[MCT KG]]</f>
        <v>77.599999999999994</v>
      </c>
      <c r="CN328" s="85">
        <f>Tabela1[[#This Row],[ESTATURA]]</f>
        <v>178</v>
      </c>
      <c r="CO328" s="85">
        <f>Tabela1[[#This Row],[vo2max estimado]]</f>
        <v>53.68</v>
      </c>
      <c r="CP328" s="85">
        <f>Tabela1[[#This Row],[Handgrip     Dominante]]</f>
        <v>51</v>
      </c>
      <c r="CQ328" s="85">
        <f>Tabela1[[#This Row],[Handgrip Contrário]]</f>
        <v>51</v>
      </c>
      <c r="CR328" s="281">
        <f>Tabela1[[#This Row],[% gordura]]</f>
        <v>8.86</v>
      </c>
    </row>
    <row r="329" spans="1:96" ht="15.75" customHeight="1">
      <c r="A329" s="279">
        <f>Tabela1[[#This Row],[Ano]]</f>
        <v>2022</v>
      </c>
      <c r="B329" s="181" t="str">
        <f>Tabela1[[#This Row],[Missão]]</f>
        <v>Avelar</v>
      </c>
      <c r="C329" s="181">
        <f>Tabela1[[#This Row],[Aluno]]</f>
        <v>3238</v>
      </c>
      <c r="D329" s="181">
        <f>Tabela1[[#This Row],[Idade]]</f>
        <v>24</v>
      </c>
      <c r="E329" s="182">
        <f>Tabela1[[#This Row],[Peso Kg]]</f>
        <v>72</v>
      </c>
      <c r="F329" s="191">
        <f>Tabela1[[#This Row],[Cor da pele]]</f>
        <v>0</v>
      </c>
      <c r="G329" s="192" t="str">
        <f>Tabela1[[#This Row],[ACTN3]]</f>
        <v>XX</v>
      </c>
      <c r="H329" s="85" t="str">
        <f>Tabela1[[#This Row],[AGT]]</f>
        <v>TT</v>
      </c>
      <c r="I329" s="85" t="str">
        <f>Tabela1[[#This Row],[ECA]]</f>
        <v>II</v>
      </c>
      <c r="J329" s="85" t="str">
        <f>Tabela1[[#This Row],[BDKRB2]]</f>
        <v>(-9 , -9)</v>
      </c>
      <c r="K329" s="85">
        <f>Tabela1[[#This Row],[Score Força%]]</f>
        <v>25</v>
      </c>
      <c r="L329" s="193">
        <f>Tabela1[[#This Row],[Score Resistência %]]</f>
        <v>75</v>
      </c>
      <c r="M329" s="192">
        <f>Tabela1[[#This Row],[Pré CK (U/L)]]</f>
        <v>66</v>
      </c>
      <c r="N329" s="85">
        <f>Tabela1[[#This Row],[Pós CK (U/L)]]</f>
        <v>3505</v>
      </c>
      <c r="O329" s="85" t="str">
        <f>Tabela1[[#This Row],[Pré CK MB U/L]]</f>
        <v>-</v>
      </c>
      <c r="P329" s="85" t="str">
        <f>Tabela1[[#This Row],[Pós CK MB U/L]]</f>
        <v>-</v>
      </c>
      <c r="Q329" s="85">
        <f>Tabela1[[#This Row],[Pré Lactato (mmol/L)]]</f>
        <v>3.5</v>
      </c>
      <c r="R329" s="85">
        <f>Tabela1[[#This Row],[Pós Lactato (mmol/L)]]</f>
        <v>2.1</v>
      </c>
      <c r="S329" s="85">
        <f>Tabela1[[#This Row],[Pré LDH (U/L)]]</f>
        <v>176</v>
      </c>
      <c r="T329" s="85">
        <f>Tabela1[[#This Row],[Pós LDH (U/L)]]</f>
        <v>456</v>
      </c>
      <c r="U329" s="85">
        <f>Tabela1[[#This Row],[Pré AST (U/L)]]</f>
        <v>22</v>
      </c>
      <c r="V329" s="193">
        <f>Tabela1[[#This Row],[Pós AST (U/L)]]</f>
        <v>60</v>
      </c>
      <c r="W329" s="194" t="str">
        <f>Tabela1[[#This Row],[Pré Albumina (g/dL)]]</f>
        <v>-</v>
      </c>
      <c r="X329" s="125" t="str">
        <f>Tabela1[[#This Row],[Pós Albumina (g/dL)]]</f>
        <v>-</v>
      </c>
      <c r="Y329" s="85" t="str">
        <f>Tabela1[[#This Row],[Pré TGP (g/dL)]]</f>
        <v>-</v>
      </c>
      <c r="Z329" s="85" t="str">
        <f>Tabela1[[#This Row],[Pós TGP (g/dL)]]</f>
        <v>-</v>
      </c>
      <c r="AA329" s="85" t="str">
        <f>Tabela1[[#This Row],[Pré GGT U/L]]</f>
        <v>-</v>
      </c>
      <c r="AB329" s="193" t="str">
        <f>Tabela1[[#This Row],[Pós GGT U/L]]</f>
        <v>-</v>
      </c>
      <c r="AC329" s="194">
        <f>Tabela1[[#This Row],[Pré Ac. Úrico (mg/dL)]]</f>
        <v>4.5</v>
      </c>
      <c r="AD329" s="125">
        <f>Tabela1[[#This Row],[Pós Ac. Úrico (mg/dL)2]]</f>
        <v>7.7</v>
      </c>
      <c r="AE32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32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329" s="85">
        <f>Tabela1[[#This Row],[Pré Ureia mg/dL]]</f>
        <v>34</v>
      </c>
      <c r="AH329" s="85">
        <f>Tabela1[[#This Row],[Pós Ureia mg/dL]]</f>
        <v>61</v>
      </c>
      <c r="AI329" s="125">
        <f>Tabela1[[#This Row],[Pré creatinina mg/dL]]</f>
        <v>1</v>
      </c>
      <c r="AJ329" s="125">
        <f>Tabela1[[#This Row],[Pós creatinina mg/dL]]</f>
        <v>1.1000000000000001</v>
      </c>
      <c r="AK329" s="180">
        <f t="shared" si="20"/>
        <v>0.10000000000000009</v>
      </c>
      <c r="AL329" s="125">
        <f>Tabela1[[#This Row],[Pré Fósforo mg/dL]]</f>
        <v>5</v>
      </c>
      <c r="AM329" s="125">
        <f>Tabela1[[#This Row],[Pós Fósforo mg/dL]]</f>
        <v>6.8</v>
      </c>
      <c r="AN329" s="125">
        <f>Tabela1[[#This Row],[Pré Proteína Total (g/dL)]]</f>
        <v>8.1999999999999993</v>
      </c>
      <c r="AO329" s="125">
        <f>Tabela1[[#This Row],[Pós Proteína Total (g/dL)]]</f>
        <v>8.3000000000000007</v>
      </c>
      <c r="AP329" s="85">
        <f>Tabela1[[#This Row],[Pré FE (ug/dL)]]</f>
        <v>35</v>
      </c>
      <c r="AQ329" s="193">
        <f>Tabela1[[#This Row],[Pós FE (ug/dL)]]</f>
        <v>21</v>
      </c>
      <c r="AR329" s="194">
        <f>Tabela1[[#This Row],[Pré calcio mg/dL]]</f>
        <v>9.8000000000000007</v>
      </c>
      <c r="AS329" s="125">
        <f>Tabela1[[#This Row],[Pós calcio mg/dL]]</f>
        <v>9.1999999999999993</v>
      </c>
      <c r="AT329" s="125">
        <f>Tabela1[[#This Row],[Pré Potássio mmol/L]]</f>
        <v>4.3</v>
      </c>
      <c r="AU329" s="125">
        <f>Tabela1[[#This Row],[Pós Potássio mmol/L]]</f>
        <v>4.8</v>
      </c>
      <c r="AV329" s="85">
        <f>Tabela1[[#This Row],[Glicose pré]]</f>
        <v>88</v>
      </c>
      <c r="AW329" s="85">
        <f>Tabela1[[#This Row],[Glicose pós]]</f>
        <v>95</v>
      </c>
      <c r="AX329" s="85">
        <f>Tabela1[[#This Row],[Pré Sódio mmol/L]]</f>
        <v>143</v>
      </c>
      <c r="AY329" s="85">
        <f>Tabela1[[#This Row],[Pós Sódio mmol/L]]</f>
        <v>131</v>
      </c>
      <c r="AZ329" s="125">
        <f>Tabela1[[#This Row],[Pré Magnésio mg/dL]]</f>
        <v>1.9</v>
      </c>
      <c r="BA329" s="125">
        <f>Tabela1[[#This Row],[Pós Magnésio mg/dL]]</f>
        <v>2.2999999999999998</v>
      </c>
      <c r="BB329" s="85">
        <f>Tabela1[[#This Row],[Pré Cloro mmol/L]]</f>
        <v>97</v>
      </c>
      <c r="BC329" s="85">
        <f>Tabela1[[#This Row],[Pós Cloro mmol/L]]</f>
        <v>78</v>
      </c>
      <c r="BD32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299.2668888888889</v>
      </c>
      <c r="BE32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282.82411111111116</v>
      </c>
      <c r="BF329" s="194">
        <f>Tabela1[[#This Row],[Pré RBC 10^6/mm³]]</f>
        <v>5.75</v>
      </c>
      <c r="BG329" s="125">
        <f>Tabela1[[#This Row],[Pós RBC 10^6/mm³]]</f>
        <v>6.06</v>
      </c>
      <c r="BH329" s="125">
        <f>Tabela1[[#This Row],[Pré HGB g/dL]]</f>
        <v>15.8</v>
      </c>
      <c r="BI329" s="125">
        <f>Tabela1[[#This Row],[Pós HGB g/dL]]</f>
        <v>16.600000000000001</v>
      </c>
      <c r="BJ329" s="125">
        <f>Tabela1[[#This Row],[Pré HCT %]]</f>
        <v>47.2</v>
      </c>
      <c r="BK329" s="125">
        <f>Tabela1[[#This Row],[Pós HCT %]]</f>
        <v>51.4</v>
      </c>
      <c r="BL329" s="125">
        <f>Tabela1[[#This Row],[Pré MCV fL]]</f>
        <v>82</v>
      </c>
      <c r="BM329" s="125">
        <f>Tabela1[[#This Row],[Pós MCV fL]]</f>
        <v>85</v>
      </c>
      <c r="BN329" s="125">
        <f>Tabela1[[#This Row],[Pré MCH pg]]</f>
        <v>27.5</v>
      </c>
      <c r="BO329" s="125">
        <f>Tabela1[[#This Row],[Pós MCH pg]]</f>
        <v>27.4</v>
      </c>
      <c r="BP329" s="125">
        <f>Tabela1[[#This Row],[Pré MCHC g/dL]]</f>
        <v>33.5</v>
      </c>
      <c r="BQ329" s="125">
        <f>Tabela1[[#This Row],[Pós MCHC g/dL]]</f>
        <v>32.299999999999997</v>
      </c>
      <c r="BR329" s="85">
        <f>Tabela1[[#This Row],[Pré PLT 10³/mm³]]</f>
        <v>345</v>
      </c>
      <c r="BS329" s="85">
        <f>Tabela1[[#This Row],[Pós PLT 10³/mm³]]</f>
        <v>273</v>
      </c>
      <c r="BT329" s="125">
        <f>Tabela1[[#This Row],[Pré RDW %]]</f>
        <v>15</v>
      </c>
      <c r="BU329" s="125">
        <f>Tabela1[[#This Row],[Pós RDW %]]</f>
        <v>14</v>
      </c>
      <c r="BV329" s="179" t="str">
        <f>Tabela1[[#This Row],[Pré RET %]]</f>
        <v>-</v>
      </c>
      <c r="BW329" s="196" t="str">
        <f>Tabela1[[#This Row],[Pós RET %]]</f>
        <v>-</v>
      </c>
      <c r="BX329" s="197">
        <f>Tabela1[[#This Row],[Pré WBC 10³/mm³]]</f>
        <v>9.5</v>
      </c>
      <c r="BY329" s="179">
        <f>Tabela1[[#This Row],[Pós WBC 10³/mm³]]</f>
        <v>9.1999999999999993</v>
      </c>
      <c r="BZ329" s="125">
        <f>Tabela1[[#This Row],[Pré NEUT %]]</f>
        <v>66.3</v>
      </c>
      <c r="CA329" s="125">
        <f>Tabela1[[#This Row],[Pós NEUT %]]</f>
        <v>51.9</v>
      </c>
      <c r="CB329" s="125">
        <f>Tabela1[[#This Row],[Pré LINF %]]</f>
        <v>28.6</v>
      </c>
      <c r="CC329" s="125">
        <f>Tabela1[[#This Row],[Pós LINF %]]</f>
        <v>43.1</v>
      </c>
      <c r="CD329" s="125">
        <f>Tabela1[[#This Row],[Pré MONO %]]</f>
        <v>2.9</v>
      </c>
      <c r="CE329" s="125">
        <f>Tabela1[[#This Row],[Pós MONO %]]</f>
        <v>3.3</v>
      </c>
      <c r="CF329" s="125">
        <f>Tabela1[[#This Row],[Pré EOS %]]</f>
        <v>2.1</v>
      </c>
      <c r="CG329" s="125">
        <f>Tabela1[[#This Row],[Pós EOS %]]</f>
        <v>1.1000000000000001</v>
      </c>
      <c r="CH329" s="125">
        <f>Tabela1[[#This Row],[Pré BASO %]]</f>
        <v>0.1</v>
      </c>
      <c r="CI329" s="198">
        <f>Tabela1[[#This Row],[Pós BASO %]]</f>
        <v>0.6</v>
      </c>
      <c r="CJ329" s="199" t="str">
        <f t="shared" si="21"/>
        <v>NÃO</v>
      </c>
      <c r="CK329" s="200" t="str">
        <f t="shared" si="22"/>
        <v>SIM</v>
      </c>
      <c r="CL329" s="194">
        <f t="shared" si="23"/>
        <v>66.241470000000007</v>
      </c>
      <c r="CM329" s="125">
        <f>Tabela1[[#This Row],[MCT KG]]</f>
        <v>71.900000000000006</v>
      </c>
      <c r="CN329" s="85">
        <f>Tabela1[[#This Row],[ESTATURA]]</f>
        <v>173.5</v>
      </c>
      <c r="CO329" s="85">
        <f>Tabela1[[#This Row],[vo2max estimado]]</f>
        <v>55.35</v>
      </c>
      <c r="CP329" s="85">
        <f>Tabela1[[#This Row],[Handgrip     Dominante]]</f>
        <v>54</v>
      </c>
      <c r="CQ329" s="85">
        <f>Tabela1[[#This Row],[Handgrip Contrário]]</f>
        <v>56</v>
      </c>
      <c r="CR329" s="281">
        <f>Tabela1[[#This Row],[% gordura]]</f>
        <v>7.87</v>
      </c>
    </row>
    <row r="330" spans="1:96" ht="15.75" customHeight="1">
      <c r="A330" s="279">
        <f>Tabela1[[#This Row],[Ano]]</f>
        <v>2022</v>
      </c>
      <c r="B330" s="181" t="str">
        <f>Tabela1[[#This Row],[Missão]]</f>
        <v>Avelar</v>
      </c>
      <c r="C330" s="181">
        <f>Tabela1[[#This Row],[Aluno]]</f>
        <v>3239</v>
      </c>
      <c r="D330" s="181">
        <f>Tabela1[[#This Row],[Idade]]</f>
        <v>24</v>
      </c>
      <c r="E330" s="182">
        <f>Tabela1[[#This Row],[Peso Kg]]</f>
        <v>79.5</v>
      </c>
      <c r="F330" s="191">
        <f>Tabela1[[#This Row],[Cor da pele]]</f>
        <v>0</v>
      </c>
      <c r="G330" s="192" t="str">
        <f>Tabela1[[#This Row],[ACTN3]]</f>
        <v>RX</v>
      </c>
      <c r="H330" s="85" t="str">
        <f>Tabela1[[#This Row],[AGT]]</f>
        <v>TT</v>
      </c>
      <c r="I330" s="85" t="str">
        <f>Tabela1[[#This Row],[ECA]]</f>
        <v>DD</v>
      </c>
      <c r="J330" s="85" t="str">
        <f>Tabela1[[#This Row],[BDKRB2]]</f>
        <v>(+9, -9)</v>
      </c>
      <c r="K330" s="85">
        <f>Tabela1[[#This Row],[Score Força%]]</f>
        <v>75</v>
      </c>
      <c r="L330" s="193">
        <f>Tabela1[[#This Row],[Score Resistência %]]</f>
        <v>25</v>
      </c>
      <c r="M330" s="192">
        <f>Tabela1[[#This Row],[Pré CK (U/L)]]</f>
        <v>79</v>
      </c>
      <c r="N330" s="85">
        <f>Tabela1[[#This Row],[Pós CK (U/L)]]</f>
        <v>8605</v>
      </c>
      <c r="O330" s="85" t="str">
        <f>Tabela1[[#This Row],[Pré CK MB U/L]]</f>
        <v>-</v>
      </c>
      <c r="P330" s="85" t="str">
        <f>Tabela1[[#This Row],[Pós CK MB U/L]]</f>
        <v>-</v>
      </c>
      <c r="Q330" s="85">
        <f>Tabela1[[#This Row],[Pré Lactato (mmol/L)]]</f>
        <v>2.9</v>
      </c>
      <c r="R330" s="85">
        <f>Tabela1[[#This Row],[Pós Lactato (mmol/L)]]</f>
        <v>3.3</v>
      </c>
      <c r="S330" s="85">
        <f>Tabela1[[#This Row],[Pré LDH (U/L)]]</f>
        <v>188</v>
      </c>
      <c r="T330" s="85">
        <f>Tabela1[[#This Row],[Pós LDH (U/L)]]</f>
        <v>643</v>
      </c>
      <c r="U330" s="85">
        <f>Tabela1[[#This Row],[Pré AST (U/L)]]</f>
        <v>28</v>
      </c>
      <c r="V330" s="193">
        <f>Tabela1[[#This Row],[Pós AST (U/L)]]</f>
        <v>156</v>
      </c>
      <c r="W330" s="194" t="str">
        <f>Tabela1[[#This Row],[Pré Albumina (g/dL)]]</f>
        <v>-</v>
      </c>
      <c r="X330" s="125" t="str">
        <f>Tabela1[[#This Row],[Pós Albumina (g/dL)]]</f>
        <v>-</v>
      </c>
      <c r="Y330" s="85" t="str">
        <f>Tabela1[[#This Row],[Pré TGP (g/dL)]]</f>
        <v>-</v>
      </c>
      <c r="Z330" s="85" t="str">
        <f>Tabela1[[#This Row],[Pós TGP (g/dL)]]</f>
        <v>-</v>
      </c>
      <c r="AA330" s="85" t="str">
        <f>Tabela1[[#This Row],[Pré GGT U/L]]</f>
        <v>-</v>
      </c>
      <c r="AB330" s="193" t="str">
        <f>Tabela1[[#This Row],[Pós GGT U/L]]</f>
        <v>-</v>
      </c>
      <c r="AC330" s="194">
        <f>Tabela1[[#This Row],[Pré Ac. Úrico (mg/dL)]]</f>
        <v>5.6</v>
      </c>
      <c r="AD330" s="125">
        <f>Tabela1[[#This Row],[Pós Ac. Úrico (mg/dL)2]]</f>
        <v>10.1</v>
      </c>
      <c r="AE33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3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330" s="85">
        <f>Tabela1[[#This Row],[Pré Ureia mg/dL]]</f>
        <v>32</v>
      </c>
      <c r="AH330" s="85">
        <f>Tabela1[[#This Row],[Pós Ureia mg/dL]]</f>
        <v>57</v>
      </c>
      <c r="AI330" s="125">
        <f>Tabela1[[#This Row],[Pré creatinina mg/dL]]</f>
        <v>0.8</v>
      </c>
      <c r="AJ330" s="125">
        <f>Tabela1[[#This Row],[Pós creatinina mg/dL]]</f>
        <v>1.1000000000000001</v>
      </c>
      <c r="AK330" s="180">
        <f t="shared" si="20"/>
        <v>0.30000000000000004</v>
      </c>
      <c r="AL330" s="125">
        <f>Tabela1[[#This Row],[Pré Fósforo mg/dL]]</f>
        <v>4.8</v>
      </c>
      <c r="AM330" s="125">
        <f>Tabela1[[#This Row],[Pós Fósforo mg/dL]]</f>
        <v>6.7</v>
      </c>
      <c r="AN330" s="125">
        <f>Tabela1[[#This Row],[Pré Proteína Total (g/dL)]]</f>
        <v>8.5</v>
      </c>
      <c r="AO330" s="125">
        <f>Tabela1[[#This Row],[Pós Proteína Total (g/dL)]]</f>
        <v>8.9</v>
      </c>
      <c r="AP330" s="85">
        <f>Tabela1[[#This Row],[Pré FE (ug/dL)]]</f>
        <v>33</v>
      </c>
      <c r="AQ330" s="193">
        <f>Tabela1[[#This Row],[Pós FE (ug/dL)]]</f>
        <v>10</v>
      </c>
      <c r="AR330" s="194">
        <f>Tabela1[[#This Row],[Pré calcio mg/dL]]</f>
        <v>10.3</v>
      </c>
      <c r="AS330" s="125">
        <f>Tabela1[[#This Row],[Pós calcio mg/dL]]</f>
        <v>9.3000000000000007</v>
      </c>
      <c r="AT330" s="125">
        <f>Tabela1[[#This Row],[Pré Potássio mmol/L]]</f>
        <v>5</v>
      </c>
      <c r="AU330" s="125">
        <f>Tabela1[[#This Row],[Pós Potássio mmol/L]]</f>
        <v>4.4000000000000004</v>
      </c>
      <c r="AV330" s="85">
        <f>Tabela1[[#This Row],[Glicose pré]]</f>
        <v>100</v>
      </c>
      <c r="AW330" s="85">
        <f>Tabela1[[#This Row],[Glicose pós]]</f>
        <v>137</v>
      </c>
      <c r="AX330" s="85">
        <f>Tabela1[[#This Row],[Pré Sódio mmol/L]]</f>
        <v>144</v>
      </c>
      <c r="AY330" s="85">
        <f>Tabela1[[#This Row],[Pós Sódio mmol/L]]</f>
        <v>139</v>
      </c>
      <c r="AZ330" s="125">
        <f>Tabela1[[#This Row],[Pré Magnésio mg/dL]]</f>
        <v>1.7</v>
      </c>
      <c r="BA330" s="125">
        <f>Tabela1[[#This Row],[Pós Magnésio mg/dL]]</f>
        <v>2</v>
      </c>
      <c r="BB330" s="85">
        <f>Tabela1[[#This Row],[Pré Cloro mmol/L]]</f>
        <v>97</v>
      </c>
      <c r="BC330" s="85">
        <f>Tabela1[[#This Row],[Pós Cloro mmol/L]]</f>
        <v>82</v>
      </c>
      <c r="BD33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302.86222222222221</v>
      </c>
      <c r="BE33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298.97677777777784</v>
      </c>
      <c r="BF330" s="194">
        <f>Tabela1[[#This Row],[Pré RBC 10^6/mm³]]</f>
        <v>4.78</v>
      </c>
      <c r="BG330" s="125">
        <f>Tabela1[[#This Row],[Pós RBC 10^6/mm³]]</f>
        <v>4.92</v>
      </c>
      <c r="BH330" s="125">
        <f>Tabela1[[#This Row],[Pré HGB g/dL]]</f>
        <v>13.8</v>
      </c>
      <c r="BI330" s="125">
        <f>Tabela1[[#This Row],[Pós HGB g/dL]]</f>
        <v>14.3</v>
      </c>
      <c r="BJ330" s="125">
        <f>Tabela1[[#This Row],[Pré HCT %]]</f>
        <v>41.4</v>
      </c>
      <c r="BK330" s="125">
        <f>Tabela1[[#This Row],[Pós HCT %]]</f>
        <v>40.5</v>
      </c>
      <c r="BL330" s="125">
        <f>Tabela1[[#This Row],[Pré MCV fL]]</f>
        <v>87</v>
      </c>
      <c r="BM330" s="125">
        <f>Tabela1[[#This Row],[Pós MCV fL]]</f>
        <v>82</v>
      </c>
      <c r="BN330" s="125">
        <f>Tabela1[[#This Row],[Pré MCH pg]]</f>
        <v>28.8</v>
      </c>
      <c r="BO330" s="125">
        <f>Tabela1[[#This Row],[Pós MCH pg]]</f>
        <v>29.1</v>
      </c>
      <c r="BP330" s="125">
        <f>Tabela1[[#This Row],[Pré MCHC g/dL]]</f>
        <v>33.299999999999997</v>
      </c>
      <c r="BQ330" s="125">
        <f>Tabela1[[#This Row],[Pós MCHC g/dL]]</f>
        <v>35.299999999999997</v>
      </c>
      <c r="BR330" s="85">
        <f>Tabela1[[#This Row],[Pré PLT 10³/mm³]]</f>
        <v>286</v>
      </c>
      <c r="BS330" s="85">
        <f>Tabela1[[#This Row],[Pós PLT 10³/mm³]]</f>
        <v>358</v>
      </c>
      <c r="BT330" s="125">
        <f>Tabela1[[#This Row],[Pré RDW %]]</f>
        <v>13.4</v>
      </c>
      <c r="BU330" s="125">
        <f>Tabela1[[#This Row],[Pós RDW %]]</f>
        <v>18.3</v>
      </c>
      <c r="BV330" s="179" t="str">
        <f>Tabela1[[#This Row],[Pré RET %]]</f>
        <v>-</v>
      </c>
      <c r="BW330" s="196" t="str">
        <f>Tabela1[[#This Row],[Pós RET %]]</f>
        <v>-</v>
      </c>
      <c r="BX330" s="197">
        <f>Tabela1[[#This Row],[Pré WBC 10³/mm³]]</f>
        <v>7.8</v>
      </c>
      <c r="BY330" s="179">
        <f>Tabela1[[#This Row],[Pós WBC 10³/mm³]]</f>
        <v>10.7</v>
      </c>
      <c r="BZ330" s="125">
        <f>Tabela1[[#This Row],[Pré NEUT %]]</f>
        <v>60</v>
      </c>
      <c r="CA330" s="125">
        <f>Tabela1[[#This Row],[Pós NEUT %]]</f>
        <v>57.3</v>
      </c>
      <c r="CB330" s="125">
        <f>Tabela1[[#This Row],[Pré LINF %]]</f>
        <v>35.6</v>
      </c>
      <c r="CC330" s="125">
        <f>Tabela1[[#This Row],[Pós LINF %]]</f>
        <v>36.1</v>
      </c>
      <c r="CD330" s="125">
        <f>Tabela1[[#This Row],[Pré MONO %]]</f>
        <v>1.9</v>
      </c>
      <c r="CE330" s="125">
        <f>Tabela1[[#This Row],[Pós MONO %]]</f>
        <v>3</v>
      </c>
      <c r="CF330" s="125">
        <f>Tabela1[[#This Row],[Pré EOS %]]</f>
        <v>2.4</v>
      </c>
      <c r="CG330" s="125">
        <f>Tabela1[[#This Row],[Pós EOS %]]</f>
        <v>2.5</v>
      </c>
      <c r="CH330" s="125">
        <f>Tabela1[[#This Row],[Pré BASO %]]</f>
        <v>0.1</v>
      </c>
      <c r="CI330" s="198">
        <f>Tabela1[[#This Row],[Pós BASO %]]</f>
        <v>1.1000000000000001</v>
      </c>
      <c r="CJ330" s="199" t="str">
        <f t="shared" si="21"/>
        <v>SIM</v>
      </c>
      <c r="CK330" s="200" t="str">
        <f t="shared" si="22"/>
        <v>SIM</v>
      </c>
      <c r="CL330" s="194">
        <f t="shared" si="23"/>
        <v>77.330865000000003</v>
      </c>
      <c r="CM330" s="125">
        <f>Tabela1[[#This Row],[MCT KG]]</f>
        <v>84.45</v>
      </c>
      <c r="CN330" s="85">
        <f>Tabela1[[#This Row],[ESTATURA]]</f>
        <v>187</v>
      </c>
      <c r="CO330" s="85">
        <f>Tabela1[[#This Row],[vo2max estimado]]</f>
        <v>0</v>
      </c>
      <c r="CP330" s="85">
        <f>Tabela1[[#This Row],[Handgrip     Dominante]]</f>
        <v>48</v>
      </c>
      <c r="CQ330" s="85">
        <f>Tabela1[[#This Row],[Handgrip Contrário]]</f>
        <v>52</v>
      </c>
      <c r="CR330" s="281">
        <f>Tabela1[[#This Row],[% gordura]]</f>
        <v>8.43</v>
      </c>
    </row>
    <row r="331" spans="1:96" ht="15.75" customHeight="1">
      <c r="A331" s="279">
        <f>Tabela1[[#This Row],[Ano]]</f>
        <v>2022</v>
      </c>
      <c r="B331" s="181" t="str">
        <f>Tabela1[[#This Row],[Missão]]</f>
        <v>Avelar</v>
      </c>
      <c r="C331" s="181">
        <f>Tabela1[[#This Row],[Aluno]]</f>
        <v>3240</v>
      </c>
      <c r="D331" s="181">
        <f>Tabela1[[#This Row],[Idade]]</f>
        <v>27</v>
      </c>
      <c r="E331" s="182">
        <f>Tabela1[[#This Row],[Peso Kg]]</f>
        <v>75</v>
      </c>
      <c r="F331" s="191">
        <f>Tabela1[[#This Row],[Cor da pele]]</f>
        <v>0</v>
      </c>
      <c r="G331" s="192" t="str">
        <f>Tabela1[[#This Row],[ACTN3]]</f>
        <v>RR</v>
      </c>
      <c r="H331" s="85" t="str">
        <f>Tabela1[[#This Row],[AGT]]</f>
        <v>TT</v>
      </c>
      <c r="I331" s="85" t="str">
        <f>Tabela1[[#This Row],[ECA]]</f>
        <v>ID</v>
      </c>
      <c r="J331" s="85" t="str">
        <f>Tabela1[[#This Row],[BDKRB2]]</f>
        <v>(-9 , -9)</v>
      </c>
      <c r="K331" s="85">
        <f>Tabela1[[#This Row],[Score Força%]]</f>
        <v>62.5</v>
      </c>
      <c r="L331" s="193">
        <f>Tabela1[[#This Row],[Score Resistência %]]</f>
        <v>37.5</v>
      </c>
      <c r="M331" s="192">
        <f>Tabela1[[#This Row],[Pré CK (U/L)]]</f>
        <v>120</v>
      </c>
      <c r="N331" s="85">
        <f>Tabela1[[#This Row],[Pós CK (U/L)]]</f>
        <v>3819</v>
      </c>
      <c r="O331" s="85" t="str">
        <f>Tabela1[[#This Row],[Pré CK MB U/L]]</f>
        <v>-</v>
      </c>
      <c r="P331" s="85" t="str">
        <f>Tabela1[[#This Row],[Pós CK MB U/L]]</f>
        <v>-</v>
      </c>
      <c r="Q331" s="85">
        <f>Tabela1[[#This Row],[Pré Lactato (mmol/L)]]</f>
        <v>1.6</v>
      </c>
      <c r="R331" s="85">
        <f>Tabela1[[#This Row],[Pós Lactato (mmol/L)]]</f>
        <v>4.3</v>
      </c>
      <c r="S331" s="85">
        <f>Tabela1[[#This Row],[Pré LDH (U/L)]]</f>
        <v>167</v>
      </c>
      <c r="T331" s="85">
        <f>Tabela1[[#This Row],[Pós LDH (U/L)]]</f>
        <v>592</v>
      </c>
      <c r="U331" s="85">
        <f>Tabela1[[#This Row],[Pré AST (U/L)]]</f>
        <v>29</v>
      </c>
      <c r="V331" s="193">
        <f>Tabela1[[#This Row],[Pós AST (U/L)]]</f>
        <v>82</v>
      </c>
      <c r="W331" s="194" t="str">
        <f>Tabela1[[#This Row],[Pré Albumina (g/dL)]]</f>
        <v>-</v>
      </c>
      <c r="X331" s="125" t="str">
        <f>Tabela1[[#This Row],[Pós Albumina (g/dL)]]</f>
        <v>-</v>
      </c>
      <c r="Y331" s="85" t="str">
        <f>Tabela1[[#This Row],[Pré TGP (g/dL)]]</f>
        <v>-</v>
      </c>
      <c r="Z331" s="85" t="str">
        <f>Tabela1[[#This Row],[Pós TGP (g/dL)]]</f>
        <v>-</v>
      </c>
      <c r="AA331" s="85" t="str">
        <f>Tabela1[[#This Row],[Pré GGT U/L]]</f>
        <v>-</v>
      </c>
      <c r="AB331" s="193" t="str">
        <f>Tabela1[[#This Row],[Pós GGT U/L]]</f>
        <v>-</v>
      </c>
      <c r="AC331" s="194">
        <f>Tabela1[[#This Row],[Pré Ac. Úrico (mg/dL)]]</f>
        <v>4.5999999999999996</v>
      </c>
      <c r="AD331" s="125">
        <f>Tabela1[[#This Row],[Pós Ac. Úrico (mg/dL)2]]</f>
        <v>6.8</v>
      </c>
      <c r="AE33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33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128.71280700150223</v>
      </c>
      <c r="AG331" s="85">
        <f>Tabela1[[#This Row],[Pré Ureia mg/dL]]</f>
        <v>28</v>
      </c>
      <c r="AH331" s="85">
        <f>Tabela1[[#This Row],[Pós Ureia mg/dL]]</f>
        <v>42</v>
      </c>
      <c r="AI331" s="125">
        <f>Tabela1[[#This Row],[Pré creatinina mg/dL]]</f>
        <v>0.7</v>
      </c>
      <c r="AJ331" s="125">
        <f>Tabela1[[#This Row],[Pós creatinina mg/dL]]</f>
        <v>0.7</v>
      </c>
      <c r="AK331" s="180">
        <f t="shared" si="20"/>
        <v>0</v>
      </c>
      <c r="AL331" s="125">
        <f>Tabela1[[#This Row],[Pré Fósforo mg/dL]]</f>
        <v>5.0999999999999996</v>
      </c>
      <c r="AM331" s="125">
        <f>Tabela1[[#This Row],[Pós Fósforo mg/dL]]</f>
        <v>4.5</v>
      </c>
      <c r="AN331" s="125">
        <f>Tabela1[[#This Row],[Pré Proteína Total (g/dL)]]</f>
        <v>7.7</v>
      </c>
      <c r="AO331" s="125">
        <f>Tabela1[[#This Row],[Pós Proteína Total (g/dL)]]</f>
        <v>7.6</v>
      </c>
      <c r="AP331" s="85">
        <f>Tabela1[[#This Row],[Pré FE (ug/dL)]]</f>
        <v>27</v>
      </c>
      <c r="AQ331" s="193">
        <f>Tabela1[[#This Row],[Pós FE (ug/dL)]]</f>
        <v>50</v>
      </c>
      <c r="AR331" s="194">
        <f>Tabela1[[#This Row],[Pré calcio mg/dL]]</f>
        <v>9.3000000000000007</v>
      </c>
      <c r="AS331" s="125">
        <f>Tabela1[[#This Row],[Pós calcio mg/dL]]</f>
        <v>8.9</v>
      </c>
      <c r="AT331" s="125">
        <f>Tabela1[[#This Row],[Pré Potássio mmol/L]]</f>
        <v>4.7</v>
      </c>
      <c r="AU331" s="125">
        <f>Tabela1[[#This Row],[Pós Potássio mmol/L]]</f>
        <v>4.5999999999999996</v>
      </c>
      <c r="AV331" s="85">
        <f>Tabela1[[#This Row],[Glicose pré]]</f>
        <v>81</v>
      </c>
      <c r="AW331" s="85">
        <f>Tabela1[[#This Row],[Glicose pós]]</f>
        <v>59</v>
      </c>
      <c r="AX331" s="85">
        <f>Tabela1[[#This Row],[Pré Sódio mmol/L]]</f>
        <v>143</v>
      </c>
      <c r="AY331" s="85">
        <f>Tabela1[[#This Row],[Pós Sódio mmol/L]]</f>
        <v>127</v>
      </c>
      <c r="AZ331" s="125">
        <f>Tabela1[[#This Row],[Pré Magnésio mg/dL]]</f>
        <v>2.1</v>
      </c>
      <c r="BA331" s="125">
        <f>Tabela1[[#This Row],[Pós Magnésio mg/dL]]</f>
        <v>1.9</v>
      </c>
      <c r="BB331" s="85">
        <f>Tabela1[[#This Row],[Pré Cloro mmol/L]]</f>
        <v>98</v>
      </c>
      <c r="BC331" s="85">
        <f>Tabela1[[#This Row],[Pós Cloro mmol/L]]</f>
        <v>77</v>
      </c>
      <c r="BD33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298.56366666666668</v>
      </c>
      <c r="BE33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269.54544444444446</v>
      </c>
      <c r="BF331" s="194">
        <f>Tabela1[[#This Row],[Pré RBC 10^6/mm³]]</f>
        <v>4.9800000000000004</v>
      </c>
      <c r="BG331" s="125">
        <f>Tabela1[[#This Row],[Pós RBC 10^6/mm³]]</f>
        <v>5.29</v>
      </c>
      <c r="BH331" s="125">
        <f>Tabela1[[#This Row],[Pré HGB g/dL]]</f>
        <v>14.9</v>
      </c>
      <c r="BI331" s="125">
        <f>Tabela1[[#This Row],[Pós HGB g/dL]]</f>
        <v>15.7</v>
      </c>
      <c r="BJ331" s="125">
        <f>Tabela1[[#This Row],[Pré HCT %]]</f>
        <v>44.1</v>
      </c>
      <c r="BK331" s="125">
        <f>Tabela1[[#This Row],[Pós HCT %]]</f>
        <v>44.4</v>
      </c>
      <c r="BL331" s="125">
        <f>Tabela1[[#This Row],[Pré MCV fL]]</f>
        <v>89</v>
      </c>
      <c r="BM331" s="125">
        <f>Tabela1[[#This Row],[Pós MCV fL]]</f>
        <v>84</v>
      </c>
      <c r="BN331" s="125">
        <f>Tabela1[[#This Row],[Pré MCH pg]]</f>
        <v>29.9</v>
      </c>
      <c r="BO331" s="125">
        <f>Tabela1[[#This Row],[Pós MCH pg]]</f>
        <v>29.7</v>
      </c>
      <c r="BP331" s="125">
        <f>Tabela1[[#This Row],[Pré MCHC g/dL]]</f>
        <v>33.700000000000003</v>
      </c>
      <c r="BQ331" s="125">
        <f>Tabela1[[#This Row],[Pós MCHC g/dL]]</f>
        <v>35.4</v>
      </c>
      <c r="BR331" s="85">
        <f>Tabela1[[#This Row],[Pré PLT 10³/mm³]]</f>
        <v>351</v>
      </c>
      <c r="BS331" s="85">
        <f>Tabela1[[#This Row],[Pós PLT 10³/mm³]]</f>
        <v>340</v>
      </c>
      <c r="BT331" s="125">
        <f>Tabela1[[#This Row],[Pré RDW %]]</f>
        <v>14.3</v>
      </c>
      <c r="BU331" s="125">
        <f>Tabela1[[#This Row],[Pós RDW %]]</f>
        <v>16.600000000000001</v>
      </c>
      <c r="BV331" s="179" t="str">
        <f>Tabela1[[#This Row],[Pré RET %]]</f>
        <v>-</v>
      </c>
      <c r="BW331" s="196" t="str">
        <f>Tabela1[[#This Row],[Pós RET %]]</f>
        <v>-</v>
      </c>
      <c r="BX331" s="197">
        <f>Tabela1[[#This Row],[Pré WBC 10³/mm³]]</f>
        <v>9.1999999999999993</v>
      </c>
      <c r="BY331" s="179">
        <f>Tabela1[[#This Row],[Pós WBC 10³/mm³]]</f>
        <v>13.1</v>
      </c>
      <c r="BZ331" s="125">
        <f>Tabela1[[#This Row],[Pré NEUT %]]</f>
        <v>62.1</v>
      </c>
      <c r="CA331" s="125">
        <f>Tabela1[[#This Row],[Pós NEUT %]]</f>
        <v>67.5</v>
      </c>
      <c r="CB331" s="125">
        <f>Tabela1[[#This Row],[Pré LINF %]]</f>
        <v>33.4</v>
      </c>
      <c r="CC331" s="125">
        <f>Tabela1[[#This Row],[Pós LINF %]]</f>
        <v>27.1</v>
      </c>
      <c r="CD331" s="125">
        <f>Tabela1[[#This Row],[Pré MONO %]]</f>
        <v>2.1</v>
      </c>
      <c r="CE331" s="125">
        <f>Tabela1[[#This Row],[Pós MONO %]]</f>
        <v>13.5</v>
      </c>
      <c r="CF331" s="125">
        <f>Tabela1[[#This Row],[Pré EOS %]]</f>
        <v>2.2999999999999998</v>
      </c>
      <c r="CG331" s="125">
        <f>Tabela1[[#This Row],[Pós EOS %]]</f>
        <v>1.1000000000000001</v>
      </c>
      <c r="CH331" s="125">
        <f>Tabela1[[#This Row],[Pré BASO %]]</f>
        <v>0.1</v>
      </c>
      <c r="CI331" s="198">
        <f>Tabela1[[#This Row],[Pós BASO %]]</f>
        <v>0.8</v>
      </c>
      <c r="CJ331" s="199" t="str">
        <f t="shared" si="21"/>
        <v>NÃO</v>
      </c>
      <c r="CK331" s="200" t="str">
        <f t="shared" si="22"/>
        <v>SIM</v>
      </c>
      <c r="CL331" s="194">
        <f t="shared" si="23"/>
        <v>65.118300000000005</v>
      </c>
      <c r="CM331" s="125">
        <f>Tabela1[[#This Row],[MCT KG]]</f>
        <v>76.7</v>
      </c>
      <c r="CN331" s="85">
        <f>Tabela1[[#This Row],[ESTATURA]]</f>
        <v>171.5</v>
      </c>
      <c r="CO331" s="85">
        <f>Tabela1[[#This Row],[vo2max estimado]]</f>
        <v>47.49</v>
      </c>
      <c r="CP331" s="85">
        <f>Tabela1[[#This Row],[Handgrip     Dominante]]</f>
        <v>54</v>
      </c>
      <c r="CQ331" s="85">
        <f>Tabela1[[#This Row],[Handgrip Contrário]]</f>
        <v>48</v>
      </c>
      <c r="CR331" s="281">
        <f>Tabela1[[#This Row],[% gordura]]</f>
        <v>15.1</v>
      </c>
    </row>
    <row r="332" spans="1:96" ht="15.75" customHeight="1">
      <c r="A332" s="279">
        <f>Tabela1[[#This Row],[Ano]]</f>
        <v>2022</v>
      </c>
      <c r="B332" s="181" t="str">
        <f>Tabela1[[#This Row],[Missão]]</f>
        <v>Avelar</v>
      </c>
      <c r="C332" s="181">
        <f>Tabela1[[#This Row],[Aluno]]</f>
        <v>3241</v>
      </c>
      <c r="D332" s="181">
        <f>Tabela1[[#This Row],[Idade]]</f>
        <v>25</v>
      </c>
      <c r="E332" s="182">
        <f>Tabela1[[#This Row],[Peso Kg]]</f>
        <v>91</v>
      </c>
      <c r="F332" s="191">
        <f>Tabela1[[#This Row],[Cor da pele]]</f>
        <v>0</v>
      </c>
      <c r="G332" s="192" t="str">
        <f>Tabela1[[#This Row],[ACTN3]]</f>
        <v>RR</v>
      </c>
      <c r="H332" s="85" t="str">
        <f>Tabela1[[#This Row],[AGT]]</f>
        <v>MT</v>
      </c>
      <c r="I332" s="85" t="str">
        <f>Tabela1[[#This Row],[ECA]]</f>
        <v>ID</v>
      </c>
      <c r="J332" s="85" t="str">
        <f>Tabela1[[#This Row],[BDKRB2]]</f>
        <v>(-9 , -9)</v>
      </c>
      <c r="K332" s="85">
        <f>Tabela1[[#This Row],[Score Força%]]</f>
        <v>50</v>
      </c>
      <c r="L332" s="193">
        <f>Tabela1[[#This Row],[Score Resistência %]]</f>
        <v>50</v>
      </c>
      <c r="M332" s="192">
        <f>Tabela1[[#This Row],[Pré CK (U/L)]]</f>
        <v>126</v>
      </c>
      <c r="N332" s="85">
        <f>Tabela1[[#This Row],[Pós CK (U/L)]]</f>
        <v>10002</v>
      </c>
      <c r="O332" s="85" t="str">
        <f>Tabela1[[#This Row],[Pré CK MB U/L]]</f>
        <v>-</v>
      </c>
      <c r="P332" s="85" t="str">
        <f>Tabela1[[#This Row],[Pós CK MB U/L]]</f>
        <v>-</v>
      </c>
      <c r="Q332" s="85">
        <f>Tabela1[[#This Row],[Pré Lactato (mmol/L)]]</f>
        <v>2.2000000000000002</v>
      </c>
      <c r="R332" s="85">
        <f>Tabela1[[#This Row],[Pós Lactato (mmol/L)]]</f>
        <v>6</v>
      </c>
      <c r="S332" s="85">
        <f>Tabela1[[#This Row],[Pré LDH (U/L)]]</f>
        <v>183</v>
      </c>
      <c r="T332" s="85">
        <f>Tabela1[[#This Row],[Pós LDH (U/L)]]</f>
        <v>738</v>
      </c>
      <c r="U332" s="85">
        <f>Tabela1[[#This Row],[Pré AST (U/L)]]</f>
        <v>29</v>
      </c>
      <c r="V332" s="193">
        <f>Tabela1[[#This Row],[Pós AST (U/L)]]</f>
        <v>140</v>
      </c>
      <c r="W332" s="194" t="str">
        <f>Tabela1[[#This Row],[Pré Albumina (g/dL)]]</f>
        <v>-</v>
      </c>
      <c r="X332" s="125" t="str">
        <f>Tabela1[[#This Row],[Pós Albumina (g/dL)]]</f>
        <v>-</v>
      </c>
      <c r="Y332" s="85" t="str">
        <f>Tabela1[[#This Row],[Pré TGP (g/dL)]]</f>
        <v>-</v>
      </c>
      <c r="Z332" s="85" t="str">
        <f>Tabela1[[#This Row],[Pós TGP (g/dL)]]</f>
        <v>-</v>
      </c>
      <c r="AA332" s="85" t="str">
        <f>Tabela1[[#This Row],[Pré GGT U/L]]</f>
        <v>-</v>
      </c>
      <c r="AB332" s="193" t="str">
        <f>Tabela1[[#This Row],[Pós GGT U/L]]</f>
        <v>-</v>
      </c>
      <c r="AC332" s="194">
        <f>Tabela1[[#This Row],[Pré Ac. Úrico (mg/dL)]]</f>
        <v>5.4</v>
      </c>
      <c r="AD332" s="125">
        <f>Tabela1[[#This Row],[Pós Ac. Úrico (mg/dL)2]]</f>
        <v>12</v>
      </c>
      <c r="AE33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3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59.814594653328946</v>
      </c>
      <c r="AG332" s="85">
        <f>Tabela1[[#This Row],[Pré Ureia mg/dL]]</f>
        <v>30</v>
      </c>
      <c r="AH332" s="85">
        <f>Tabela1[[#This Row],[Pós Ureia mg/dL]]</f>
        <v>71</v>
      </c>
      <c r="AI332" s="125">
        <f>Tabela1[[#This Row],[Pré creatinina mg/dL]]</f>
        <v>0.9</v>
      </c>
      <c r="AJ332" s="125">
        <f>Tabela1[[#This Row],[Pós creatinina mg/dL]]</f>
        <v>1.6</v>
      </c>
      <c r="AK332" s="180">
        <f t="shared" si="20"/>
        <v>0.70000000000000007</v>
      </c>
      <c r="AL332" s="125">
        <f>Tabela1[[#This Row],[Pré Fósforo mg/dL]]</f>
        <v>4.7</v>
      </c>
      <c r="AM332" s="125">
        <f>Tabela1[[#This Row],[Pós Fósforo mg/dL]]</f>
        <v>6.1</v>
      </c>
      <c r="AN332" s="125">
        <f>Tabela1[[#This Row],[Pré Proteína Total (g/dL)]]</f>
        <v>8.1</v>
      </c>
      <c r="AO332" s="125">
        <f>Tabela1[[#This Row],[Pós Proteína Total (g/dL)]]</f>
        <v>8.1999999999999993</v>
      </c>
      <c r="AP332" s="85">
        <f>Tabela1[[#This Row],[Pré FE (ug/dL)]]</f>
        <v>42</v>
      </c>
      <c r="AQ332" s="193">
        <f>Tabela1[[#This Row],[Pós FE (ug/dL)]]</f>
        <v>14</v>
      </c>
      <c r="AR332" s="194">
        <f>Tabela1[[#This Row],[Pré calcio mg/dL]]</f>
        <v>10</v>
      </c>
      <c r="AS332" s="125">
        <f>Tabela1[[#This Row],[Pós calcio mg/dL]]</f>
        <v>9.1</v>
      </c>
      <c r="AT332" s="125">
        <f>Tabela1[[#This Row],[Pré Potássio mmol/L]]</f>
        <v>4.8</v>
      </c>
      <c r="AU332" s="125">
        <f>Tabela1[[#This Row],[Pós Potássio mmol/L]]</f>
        <v>4.3</v>
      </c>
      <c r="AV332" s="85">
        <f>Tabela1[[#This Row],[Glicose pré]]</f>
        <v>90</v>
      </c>
      <c r="AW332" s="85">
        <f>Tabela1[[#This Row],[Glicose pós]]</f>
        <v>79</v>
      </c>
      <c r="AX332" s="85">
        <f>Tabela1[[#This Row],[Pré Sódio mmol/L]]</f>
        <v>145</v>
      </c>
      <c r="AY332" s="85">
        <f>Tabela1[[#This Row],[Pós Sódio mmol/L]]</f>
        <v>130</v>
      </c>
      <c r="AZ332" s="125">
        <f>Tabela1[[#This Row],[Pré Magnésio mg/dL]]</f>
        <v>1.8</v>
      </c>
      <c r="BA332" s="125">
        <f>Tabela1[[#This Row],[Pós Magnésio mg/dL]]</f>
        <v>2</v>
      </c>
      <c r="BB332" s="85">
        <f>Tabela1[[#This Row],[Pré Cloro mmol/L]]</f>
        <v>102</v>
      </c>
      <c r="BC332" s="85">
        <f>Tabela1[[#This Row],[Pós Cloro mmol/L]]</f>
        <v>77</v>
      </c>
      <c r="BD33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303.37800000000004</v>
      </c>
      <c r="BE33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280.67855555555559</v>
      </c>
      <c r="BF332" s="194">
        <f>Tabela1[[#This Row],[Pré RBC 10^6/mm³]]</f>
        <v>5.32</v>
      </c>
      <c r="BG332" s="125">
        <f>Tabela1[[#This Row],[Pós RBC 10^6/mm³]]</f>
        <v>5.82</v>
      </c>
      <c r="BH332" s="125">
        <f>Tabela1[[#This Row],[Pré HGB g/dL]]</f>
        <v>14.3</v>
      </c>
      <c r="BI332" s="125">
        <f>Tabela1[[#This Row],[Pós HGB g/dL]]</f>
        <v>15.9</v>
      </c>
      <c r="BJ332" s="125">
        <f>Tabela1[[#This Row],[Pré HCT %]]</f>
        <v>43.5</v>
      </c>
      <c r="BK332" s="125">
        <f>Tabela1[[#This Row],[Pós HCT %]]</f>
        <v>47.6</v>
      </c>
      <c r="BL332" s="125">
        <f>Tabela1[[#This Row],[Pré MCV fL]]</f>
        <v>82</v>
      </c>
      <c r="BM332" s="125">
        <f>Tabela1[[#This Row],[Pós MCV fL]]</f>
        <v>82</v>
      </c>
      <c r="BN332" s="125">
        <f>Tabela1[[#This Row],[Pré MCH pg]]</f>
        <v>26.9</v>
      </c>
      <c r="BO332" s="125">
        <f>Tabela1[[#This Row],[Pós MCH pg]]</f>
        <v>27.3</v>
      </c>
      <c r="BP332" s="125">
        <f>Tabela1[[#This Row],[Pré MCHC g/dL]]</f>
        <v>32.799999999999997</v>
      </c>
      <c r="BQ332" s="125">
        <f>Tabela1[[#This Row],[Pós MCHC g/dL]]</f>
        <v>33.4</v>
      </c>
      <c r="BR332" s="85">
        <f>Tabela1[[#This Row],[Pré PLT 10³/mm³]]</f>
        <v>273</v>
      </c>
      <c r="BS332" s="85">
        <f>Tabela1[[#This Row],[Pós PLT 10³/mm³]]</f>
        <v>285</v>
      </c>
      <c r="BT332" s="125">
        <f>Tabela1[[#This Row],[Pré RDW %]]</f>
        <v>14.2</v>
      </c>
      <c r="BU332" s="125">
        <f>Tabela1[[#This Row],[Pós RDW %]]</f>
        <v>13.9</v>
      </c>
      <c r="BV332" s="179" t="str">
        <f>Tabela1[[#This Row],[Pré RET %]]</f>
        <v>-</v>
      </c>
      <c r="BW332" s="196" t="str">
        <f>Tabela1[[#This Row],[Pós RET %]]</f>
        <v>-</v>
      </c>
      <c r="BX332" s="197">
        <f>Tabela1[[#This Row],[Pré WBC 10³/mm³]]</f>
        <v>10.1</v>
      </c>
      <c r="BY332" s="179">
        <f>Tabela1[[#This Row],[Pós WBC 10³/mm³]]</f>
        <v>11.9</v>
      </c>
      <c r="BZ332" s="125">
        <f>Tabela1[[#This Row],[Pré NEUT %]]</f>
        <v>65.7</v>
      </c>
      <c r="CA332" s="125">
        <f>Tabela1[[#This Row],[Pós NEUT %]]</f>
        <v>65.8</v>
      </c>
      <c r="CB332" s="125">
        <f>Tabela1[[#This Row],[Pré LINF %]]</f>
        <v>29.4</v>
      </c>
      <c r="CC332" s="125">
        <f>Tabela1[[#This Row],[Pós LINF %]]</f>
        <v>30.3</v>
      </c>
      <c r="CD332" s="125">
        <f>Tabela1[[#This Row],[Pré MONO %]]</f>
        <v>1.3</v>
      </c>
      <c r="CE332" s="125">
        <f>Tabela1[[#This Row],[Pós MONO %]]</f>
        <v>2.5</v>
      </c>
      <c r="CF332" s="125">
        <f>Tabela1[[#This Row],[Pré EOS %]]</f>
        <v>3.5</v>
      </c>
      <c r="CG332" s="125">
        <f>Tabela1[[#This Row],[Pós EOS %]]</f>
        <v>0.8</v>
      </c>
      <c r="CH332" s="125">
        <f>Tabela1[[#This Row],[Pré BASO %]]</f>
        <v>0.1</v>
      </c>
      <c r="CI332" s="198">
        <f>Tabela1[[#This Row],[Pós BASO %]]</f>
        <v>0.6</v>
      </c>
      <c r="CJ332" s="199" t="str">
        <f t="shared" si="21"/>
        <v>SIM</v>
      </c>
      <c r="CK332" s="200" t="str">
        <f t="shared" si="22"/>
        <v>SIM</v>
      </c>
      <c r="CL332" s="194">
        <f t="shared" si="23"/>
        <v>81.751800000000003</v>
      </c>
      <c r="CM332" s="125">
        <f>Tabela1[[#This Row],[MCT KG]]</f>
        <v>94</v>
      </c>
      <c r="CN332" s="85">
        <f>Tabela1[[#This Row],[ESTATURA]]</f>
        <v>176.5</v>
      </c>
      <c r="CO332" s="85">
        <f>Tabela1[[#This Row],[vo2max estimado]]</f>
        <v>46.18</v>
      </c>
      <c r="CP332" s="85">
        <f>Tabela1[[#This Row],[Handgrip     Dominante]]</f>
        <v>54</v>
      </c>
      <c r="CQ332" s="85">
        <f>Tabela1[[#This Row],[Handgrip Contrário]]</f>
        <v>60</v>
      </c>
      <c r="CR332" s="281">
        <f>Tabela1[[#This Row],[% gordura]]</f>
        <v>13.03</v>
      </c>
    </row>
    <row r="333" spans="1:96" ht="15.75" customHeight="1">
      <c r="A333" s="279">
        <f>Tabela1[[#This Row],[Ano]]</f>
        <v>2022</v>
      </c>
      <c r="B333" s="181" t="str">
        <f>Tabela1[[#This Row],[Missão]]</f>
        <v>Avelar</v>
      </c>
      <c r="C333" s="181">
        <f>Tabela1[[#This Row],[Aluno]]</f>
        <v>3242</v>
      </c>
      <c r="D333" s="181">
        <f>Tabela1[[#This Row],[Idade]]</f>
        <v>33</v>
      </c>
      <c r="E333" s="182">
        <f>Tabela1[[#This Row],[Peso Kg]]</f>
        <v>94</v>
      </c>
      <c r="F333" s="191">
        <f>Tabela1[[#This Row],[Cor da pele]]</f>
        <v>0</v>
      </c>
      <c r="G333" s="192" t="str">
        <f>Tabela1[[#This Row],[ACTN3]]</f>
        <v>RR</v>
      </c>
      <c r="H333" s="85" t="str">
        <f>Tabela1[[#This Row],[AGT]]</f>
        <v>MT</v>
      </c>
      <c r="I333" s="85" t="str">
        <f>Tabela1[[#This Row],[ECA]]</f>
        <v>II</v>
      </c>
      <c r="J333" s="85" t="str">
        <f>Tabela1[[#This Row],[BDKRB2]]</f>
        <v>(+9, -9)</v>
      </c>
      <c r="K333" s="85">
        <f>Tabela1[[#This Row],[Score Força%]]</f>
        <v>50</v>
      </c>
      <c r="L333" s="193">
        <f>Tabela1[[#This Row],[Score Resistência %]]</f>
        <v>50</v>
      </c>
      <c r="M333" s="192">
        <f>Tabela1[[#This Row],[Pré CK (U/L)]]</f>
        <v>112</v>
      </c>
      <c r="N333" s="85">
        <f>Tabela1[[#This Row],[Pós CK (U/L)]]</f>
        <v>6743</v>
      </c>
      <c r="O333" s="85" t="str">
        <f>Tabela1[[#This Row],[Pré CK MB U/L]]</f>
        <v>-</v>
      </c>
      <c r="P333" s="85" t="str">
        <f>Tabela1[[#This Row],[Pós CK MB U/L]]</f>
        <v>-</v>
      </c>
      <c r="Q333" s="85">
        <f>Tabela1[[#This Row],[Pré Lactato (mmol/L)]]</f>
        <v>2.5</v>
      </c>
      <c r="R333" s="85">
        <f>Tabela1[[#This Row],[Pós Lactato (mmol/L)]]</f>
        <v>2.7</v>
      </c>
      <c r="S333" s="85">
        <f>Tabela1[[#This Row],[Pré LDH (U/L)]]</f>
        <v>233</v>
      </c>
      <c r="T333" s="85">
        <f>Tabela1[[#This Row],[Pós LDH (U/L)]]</f>
        <v>585</v>
      </c>
      <c r="U333" s="85">
        <f>Tabela1[[#This Row],[Pré AST (U/L)]]</f>
        <v>28</v>
      </c>
      <c r="V333" s="193">
        <f>Tabela1[[#This Row],[Pós AST (U/L)]]</f>
        <v>106</v>
      </c>
      <c r="W333" s="194" t="str">
        <f>Tabela1[[#This Row],[Pré Albumina (g/dL)]]</f>
        <v>-</v>
      </c>
      <c r="X333" s="125" t="str">
        <f>Tabela1[[#This Row],[Pós Albumina (g/dL)]]</f>
        <v>-</v>
      </c>
      <c r="Y333" s="85" t="str">
        <f>Tabela1[[#This Row],[Pré TGP (g/dL)]]</f>
        <v>-</v>
      </c>
      <c r="Z333" s="85" t="str">
        <f>Tabela1[[#This Row],[Pós TGP (g/dL)]]</f>
        <v>-</v>
      </c>
      <c r="AA333" s="85" t="str">
        <f>Tabela1[[#This Row],[Pré GGT U/L]]</f>
        <v>-</v>
      </c>
      <c r="AB333" s="193" t="str">
        <f>Tabela1[[#This Row],[Pós GGT U/L]]</f>
        <v>-</v>
      </c>
      <c r="AC333" s="194">
        <f>Tabela1[[#This Row],[Pré Ac. Úrico (mg/dL)]]</f>
        <v>6</v>
      </c>
      <c r="AD333" s="125">
        <f>Tabela1[[#This Row],[Pós Ac. Úrico (mg/dL)2]]</f>
        <v>8.8000000000000007</v>
      </c>
      <c r="AE33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33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70.209761921634552</v>
      </c>
      <c r="AG333" s="85">
        <f>Tabela1[[#This Row],[Pré Ureia mg/dL]]</f>
        <v>44</v>
      </c>
      <c r="AH333" s="85">
        <f>Tabela1[[#This Row],[Pós Ureia mg/dL]]</f>
        <v>63</v>
      </c>
      <c r="AI333" s="125">
        <f>Tabela1[[#This Row],[Pré creatinina mg/dL]]</f>
        <v>1</v>
      </c>
      <c r="AJ333" s="125">
        <f>Tabela1[[#This Row],[Pós creatinina mg/dL]]</f>
        <v>1.4</v>
      </c>
      <c r="AK333" s="180">
        <f t="shared" si="20"/>
        <v>0.39999999999999991</v>
      </c>
      <c r="AL333" s="125">
        <f>Tabela1[[#This Row],[Pré Fósforo mg/dL]]</f>
        <v>4.5</v>
      </c>
      <c r="AM333" s="125">
        <f>Tabela1[[#This Row],[Pós Fósforo mg/dL]]</f>
        <v>5.4</v>
      </c>
      <c r="AN333" s="125">
        <f>Tabela1[[#This Row],[Pré Proteína Total (g/dL)]]</f>
        <v>8</v>
      </c>
      <c r="AO333" s="125">
        <f>Tabela1[[#This Row],[Pós Proteína Total (g/dL)]]</f>
        <v>7</v>
      </c>
      <c r="AP333" s="85">
        <f>Tabela1[[#This Row],[Pré FE (ug/dL)]]</f>
        <v>60</v>
      </c>
      <c r="AQ333" s="193">
        <f>Tabela1[[#This Row],[Pós FE (ug/dL)]]</f>
        <v>10</v>
      </c>
      <c r="AR333" s="194">
        <f>Tabela1[[#This Row],[Pré calcio mg/dL]]</f>
        <v>9.8000000000000007</v>
      </c>
      <c r="AS333" s="125">
        <f>Tabela1[[#This Row],[Pós calcio mg/dL]]</f>
        <v>8.6</v>
      </c>
      <c r="AT333" s="125">
        <f>Tabela1[[#This Row],[Pré Potássio mmol/L]]</f>
        <v>4.8</v>
      </c>
      <c r="AU333" s="125">
        <f>Tabela1[[#This Row],[Pós Potássio mmol/L]]</f>
        <v>4.0999999999999996</v>
      </c>
      <c r="AV333" s="85">
        <f>Tabela1[[#This Row],[Glicose pré]]</f>
        <v>90</v>
      </c>
      <c r="AW333" s="85">
        <f>Tabela1[[#This Row],[Glicose pós]]</f>
        <v>98</v>
      </c>
      <c r="AX333" s="85">
        <f>Tabela1[[#This Row],[Pré Sódio mmol/L]]</f>
        <v>170</v>
      </c>
      <c r="AY333" s="85">
        <f>Tabela1[[#This Row],[Pós Sódio mmol/L]]</f>
        <v>120</v>
      </c>
      <c r="AZ333" s="125">
        <f>Tabela1[[#This Row],[Pré Magnésio mg/dL]]</f>
        <v>1.9</v>
      </c>
      <c r="BA333" s="125">
        <f>Tabela1[[#This Row],[Pós Magnésio mg/dL]]</f>
        <v>1.7</v>
      </c>
      <c r="BB333" s="85">
        <f>Tabela1[[#This Row],[Pré Cloro mmol/L]]</f>
        <v>103</v>
      </c>
      <c r="BC333" s="85">
        <f>Tabela1[[#This Row],[Pós Cloro mmol/L]]</f>
        <v>76</v>
      </c>
      <c r="BD33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352.21133333333336</v>
      </c>
      <c r="BE33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261.58711111111108</v>
      </c>
      <c r="BF333" s="194">
        <f>Tabela1[[#This Row],[Pré RBC 10^6/mm³]]</f>
        <v>5.39</v>
      </c>
      <c r="BG333" s="125">
        <f>Tabela1[[#This Row],[Pós RBC 10^6/mm³]]</f>
        <v>5.18</v>
      </c>
      <c r="BH333" s="125">
        <f>Tabela1[[#This Row],[Pré HGB g/dL]]</f>
        <v>14.2</v>
      </c>
      <c r="BI333" s="125">
        <f>Tabela1[[#This Row],[Pós HGB g/dL]]</f>
        <v>14.5</v>
      </c>
      <c r="BJ333" s="125">
        <f>Tabela1[[#This Row],[Pré HCT %]]</f>
        <v>43.2</v>
      </c>
      <c r="BK333" s="125">
        <f>Tabela1[[#This Row],[Pós HCT %]]</f>
        <v>37.700000000000003</v>
      </c>
      <c r="BL333" s="125">
        <f>Tabela1[[#This Row],[Pré MCV fL]]</f>
        <v>80</v>
      </c>
      <c r="BM333" s="125">
        <f>Tabela1[[#This Row],[Pós MCV fL]]</f>
        <v>73</v>
      </c>
      <c r="BN333" s="125">
        <f>Tabela1[[#This Row],[Pré MCH pg]]</f>
        <v>26.3</v>
      </c>
      <c r="BO333" s="125">
        <f>Tabela1[[#This Row],[Pós MCH pg]]</f>
        <v>28.1</v>
      </c>
      <c r="BP333" s="125">
        <f>Tabela1[[#This Row],[Pré MCHC g/dL]]</f>
        <v>32.799999999999997</v>
      </c>
      <c r="BQ333" s="125">
        <f>Tabela1[[#This Row],[Pós MCHC g/dL]]</f>
        <v>38.6</v>
      </c>
      <c r="BR333" s="85">
        <f>Tabela1[[#This Row],[Pré PLT 10³/mm³]]</f>
        <v>352</v>
      </c>
      <c r="BS333" s="85">
        <f>Tabela1[[#This Row],[Pós PLT 10³/mm³]]</f>
        <v>341</v>
      </c>
      <c r="BT333" s="125">
        <f>Tabela1[[#This Row],[Pré RDW %]]</f>
        <v>14.2</v>
      </c>
      <c r="BU333" s="125">
        <f>Tabela1[[#This Row],[Pós RDW %]]</f>
        <v>22.9</v>
      </c>
      <c r="BV333" s="179" t="str">
        <f>Tabela1[[#This Row],[Pré RET %]]</f>
        <v>-</v>
      </c>
      <c r="BW333" s="196" t="str">
        <f>Tabela1[[#This Row],[Pós RET %]]</f>
        <v>-</v>
      </c>
      <c r="BX333" s="197">
        <f>Tabela1[[#This Row],[Pré WBC 10³/mm³]]</f>
        <v>10.3</v>
      </c>
      <c r="BY333" s="179">
        <f>Tabela1[[#This Row],[Pós WBC 10³/mm³]]</f>
        <v>8.4</v>
      </c>
      <c r="BZ333" s="125">
        <f>Tabela1[[#This Row],[Pré NEUT %]]</f>
        <v>74.7</v>
      </c>
      <c r="CA333" s="125">
        <f>Tabela1[[#This Row],[Pós NEUT %]]</f>
        <v>52.8</v>
      </c>
      <c r="CB333" s="125">
        <f>Tabela1[[#This Row],[Pré LINF %]]</f>
        <v>20.9</v>
      </c>
      <c r="CC333" s="125">
        <f>Tabela1[[#This Row],[Pós LINF %]]</f>
        <v>40</v>
      </c>
      <c r="CD333" s="125">
        <f>Tabela1[[#This Row],[Pré MONO %]]</f>
        <v>1.8</v>
      </c>
      <c r="CE333" s="125">
        <f>Tabela1[[#This Row],[Pós MONO %]]</f>
        <v>3.6</v>
      </c>
      <c r="CF333" s="125">
        <f>Tabela1[[#This Row],[Pré EOS %]]</f>
        <v>2.5</v>
      </c>
      <c r="CG333" s="125">
        <f>Tabela1[[#This Row],[Pós EOS %]]</f>
        <v>3</v>
      </c>
      <c r="CH333" s="125">
        <f>Tabela1[[#This Row],[Pré BASO %]]</f>
        <v>0.1</v>
      </c>
      <c r="CI333" s="198">
        <f>Tabela1[[#This Row],[Pós BASO %]]</f>
        <v>0.6</v>
      </c>
      <c r="CJ333" s="199" t="str">
        <f t="shared" si="21"/>
        <v>SIM</v>
      </c>
      <c r="CK333" s="200" t="str">
        <f t="shared" si="22"/>
        <v>SIM</v>
      </c>
      <c r="CL333" s="194">
        <f t="shared" si="23"/>
        <v>77.466380000000001</v>
      </c>
      <c r="CM333" s="125">
        <f>Tabela1[[#This Row],[MCT KG]]</f>
        <v>97.1</v>
      </c>
      <c r="CN333" s="85">
        <f>Tabela1[[#This Row],[ESTATURA]]</f>
        <v>181</v>
      </c>
      <c r="CO333" s="85">
        <f>Tabela1[[#This Row],[vo2max estimado]]</f>
        <v>44.53</v>
      </c>
      <c r="CP333" s="85">
        <f>Tabela1[[#This Row],[Handgrip     Dominante]]</f>
        <v>66</v>
      </c>
      <c r="CQ333" s="85">
        <f>Tabela1[[#This Row],[Handgrip Contrário]]</f>
        <v>65</v>
      </c>
      <c r="CR333" s="281">
        <f>Tabela1[[#This Row],[% gordura]]</f>
        <v>20.22</v>
      </c>
    </row>
    <row r="334" spans="1:96" ht="15.75" customHeight="1">
      <c r="A334" s="279">
        <f>Tabela1[[#This Row],[Ano]]</f>
        <v>2022</v>
      </c>
      <c r="B334" s="181" t="str">
        <f>Tabela1[[#This Row],[Missão]]</f>
        <v>Avelar</v>
      </c>
      <c r="C334" s="181">
        <f>Tabela1[[#This Row],[Aluno]]</f>
        <v>3243</v>
      </c>
      <c r="D334" s="181">
        <f>Tabela1[[#This Row],[Idade]]</f>
        <v>35</v>
      </c>
      <c r="E334" s="182">
        <f>Tabela1[[#This Row],[Peso Kg]]</f>
        <v>78</v>
      </c>
      <c r="F334" s="191">
        <f>Tabela1[[#This Row],[Cor da pele]]</f>
        <v>0</v>
      </c>
      <c r="G334" s="192" t="str">
        <f>Tabela1[[#This Row],[ACTN3]]</f>
        <v>RX</v>
      </c>
      <c r="H334" s="85" t="str">
        <f>Tabela1[[#This Row],[AGT]]</f>
        <v>MT</v>
      </c>
      <c r="I334" s="85" t="str">
        <f>Tabela1[[#This Row],[ECA]]</f>
        <v>ID</v>
      </c>
      <c r="J334" s="85" t="str">
        <f>Tabela1[[#This Row],[BDKRB2]]</f>
        <v>(-9 , -9)</v>
      </c>
      <c r="K334" s="85">
        <f>Tabela1[[#This Row],[Score Força%]]</f>
        <v>37.5</v>
      </c>
      <c r="L334" s="193">
        <f>Tabela1[[#This Row],[Score Resistência %]]</f>
        <v>62.5</v>
      </c>
      <c r="M334" s="192">
        <f>Tabela1[[#This Row],[Pré CK (U/L)]]</f>
        <v>193</v>
      </c>
      <c r="N334" s="85">
        <f>Tabela1[[#This Row],[Pós CK (U/L)]]</f>
        <v>14746</v>
      </c>
      <c r="O334" s="85" t="str">
        <f>Tabela1[[#This Row],[Pré CK MB U/L]]</f>
        <v>-</v>
      </c>
      <c r="P334" s="85" t="str">
        <f>Tabela1[[#This Row],[Pós CK MB U/L]]</f>
        <v>-</v>
      </c>
      <c r="Q334" s="85">
        <f>Tabela1[[#This Row],[Pré Lactato (mmol/L)]]</f>
        <v>1.5</v>
      </c>
      <c r="R334" s="85">
        <f>Tabela1[[#This Row],[Pós Lactato (mmol/L)]]</f>
        <v>4.7</v>
      </c>
      <c r="S334" s="85">
        <f>Tabela1[[#This Row],[Pré LDH (U/L)]]</f>
        <v>206</v>
      </c>
      <c r="T334" s="85">
        <f>Tabela1[[#This Row],[Pós LDH (U/L)]]</f>
        <v>1393</v>
      </c>
      <c r="U334" s="85">
        <f>Tabela1[[#This Row],[Pré AST (U/L)]]</f>
        <v>30</v>
      </c>
      <c r="V334" s="193">
        <f>Tabela1[[#This Row],[Pós AST (U/L)]]</f>
        <v>261</v>
      </c>
      <c r="W334" s="194" t="str">
        <f>Tabela1[[#This Row],[Pré Albumina (g/dL)]]</f>
        <v>-</v>
      </c>
      <c r="X334" s="125" t="str">
        <f>Tabela1[[#This Row],[Pós Albumina (g/dL)]]</f>
        <v>-</v>
      </c>
      <c r="Y334" s="85" t="str">
        <f>Tabela1[[#This Row],[Pré TGP (g/dL)]]</f>
        <v>-</v>
      </c>
      <c r="Z334" s="85" t="str">
        <f>Tabela1[[#This Row],[Pós TGP (g/dL)]]</f>
        <v>-</v>
      </c>
      <c r="AA334" s="85" t="str">
        <f>Tabela1[[#This Row],[Pré GGT U/L]]</f>
        <v>-</v>
      </c>
      <c r="AB334" s="193" t="str">
        <f>Tabela1[[#This Row],[Pós GGT U/L]]</f>
        <v>-</v>
      </c>
      <c r="AC334" s="194">
        <f>Tabela1[[#This Row],[Pré Ac. Úrico (mg/dL)]]</f>
        <v>6.2</v>
      </c>
      <c r="AD334" s="125">
        <f>Tabela1[[#This Row],[Pós Ac. Úrico (mg/dL)2]]</f>
        <v>8.6</v>
      </c>
      <c r="AE33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3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334" s="85">
        <f>Tabela1[[#This Row],[Pré Ureia mg/dL]]</f>
        <v>31</v>
      </c>
      <c r="AH334" s="85">
        <f>Tabela1[[#This Row],[Pós Ureia mg/dL]]</f>
        <v>76</v>
      </c>
      <c r="AI334" s="125">
        <f>Tabela1[[#This Row],[Pré creatinina mg/dL]]</f>
        <v>0.9</v>
      </c>
      <c r="AJ334" s="125">
        <f>Tabela1[[#This Row],[Pós creatinina mg/dL]]</f>
        <v>1.3</v>
      </c>
      <c r="AK334" s="180">
        <f t="shared" si="20"/>
        <v>0.4</v>
      </c>
      <c r="AL334" s="125">
        <f>Tabela1[[#This Row],[Pré Fósforo mg/dL]]</f>
        <v>4.5</v>
      </c>
      <c r="AM334" s="125">
        <f>Tabela1[[#This Row],[Pós Fósforo mg/dL]]</f>
        <v>5.8</v>
      </c>
      <c r="AN334" s="125">
        <f>Tabela1[[#This Row],[Pré Proteína Total (g/dL)]]</f>
        <v>8.3000000000000007</v>
      </c>
      <c r="AO334" s="125">
        <f>Tabela1[[#This Row],[Pós Proteína Total (g/dL)]]</f>
        <v>8</v>
      </c>
      <c r="AP334" s="85">
        <f>Tabela1[[#This Row],[Pré FE (ug/dL)]]</f>
        <v>33</v>
      </c>
      <c r="AQ334" s="193">
        <f>Tabela1[[#This Row],[Pós FE (ug/dL)]]</f>
        <v>10</v>
      </c>
      <c r="AR334" s="194">
        <f>Tabela1[[#This Row],[Pré calcio mg/dL]]</f>
        <v>10.5</v>
      </c>
      <c r="AS334" s="125">
        <f>Tabela1[[#This Row],[Pós calcio mg/dL]]</f>
        <v>9</v>
      </c>
      <c r="AT334" s="125">
        <f>Tabela1[[#This Row],[Pré Potássio mmol/L]]</f>
        <v>4.7</v>
      </c>
      <c r="AU334" s="125">
        <f>Tabela1[[#This Row],[Pós Potássio mmol/L]]</f>
        <v>4.5</v>
      </c>
      <c r="AV334" s="85">
        <f>Tabela1[[#This Row],[Glicose pré]]</f>
        <v>88</v>
      </c>
      <c r="AW334" s="85">
        <f>Tabela1[[#This Row],[Glicose pós]]</f>
        <v>74</v>
      </c>
      <c r="AX334" s="85">
        <f>Tabela1[[#This Row],[Pré Sódio mmol/L]]</f>
        <v>145</v>
      </c>
      <c r="AY334" s="85">
        <f>Tabela1[[#This Row],[Pós Sódio mmol/L]]</f>
        <v>126</v>
      </c>
      <c r="AZ334" s="125">
        <f>Tabela1[[#This Row],[Pré Magnésio mg/dL]]</f>
        <v>1.9</v>
      </c>
      <c r="BA334" s="125">
        <f>Tabela1[[#This Row],[Pós Magnésio mg/dL]]</f>
        <v>1.8</v>
      </c>
      <c r="BB334" s="85">
        <f>Tabela1[[#This Row],[Pré Cloro mmol/L]]</f>
        <v>100</v>
      </c>
      <c r="BC334" s="85">
        <f>Tabela1[[#This Row],[Pós Cloro mmol/L]]</f>
        <v>76</v>
      </c>
      <c r="BD33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303.2308888888889</v>
      </c>
      <c r="BE33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274.12444444444446</v>
      </c>
      <c r="BF334" s="194">
        <f>Tabela1[[#This Row],[Pré RBC 10^6/mm³]]</f>
        <v>4.8</v>
      </c>
      <c r="BG334" s="125">
        <f>Tabela1[[#This Row],[Pós RBC 10^6/mm³]]</f>
        <v>5.09</v>
      </c>
      <c r="BH334" s="125">
        <f>Tabela1[[#This Row],[Pré HGB g/dL]]</f>
        <v>15.5</v>
      </c>
      <c r="BI334" s="125">
        <f>Tabela1[[#This Row],[Pós HGB g/dL]]</f>
        <v>17.100000000000001</v>
      </c>
      <c r="BJ334" s="125">
        <f>Tabela1[[#This Row],[Pré HCT %]]</f>
        <v>45.5</v>
      </c>
      <c r="BK334" s="125">
        <f>Tabela1[[#This Row],[Pós HCT %]]</f>
        <v>47.1</v>
      </c>
      <c r="BL334" s="125">
        <f>Tabela1[[#This Row],[Pré MCV fL]]</f>
        <v>95</v>
      </c>
      <c r="BM334" s="125">
        <f>Tabela1[[#This Row],[Pós MCV fL]]</f>
        <v>92</v>
      </c>
      <c r="BN334" s="125">
        <f>Tabela1[[#This Row],[Pré MCH pg]]</f>
        <v>32.200000000000003</v>
      </c>
      <c r="BO334" s="125">
        <f>Tabela1[[#This Row],[Pós MCH pg]]</f>
        <v>33.700000000000003</v>
      </c>
      <c r="BP334" s="125">
        <f>Tabela1[[#This Row],[Pré MCHC g/dL]]</f>
        <v>34</v>
      </c>
      <c r="BQ334" s="125">
        <f>Tabela1[[#This Row],[Pós MCHC g/dL]]</f>
        <v>36.4</v>
      </c>
      <c r="BR334" s="85">
        <f>Tabela1[[#This Row],[Pré PLT 10³/mm³]]</f>
        <v>292</v>
      </c>
      <c r="BS334" s="85">
        <f>Tabela1[[#This Row],[Pós PLT 10³/mm³]]</f>
        <v>309</v>
      </c>
      <c r="BT334" s="125">
        <f>Tabela1[[#This Row],[Pré RDW %]]</f>
        <v>13.5</v>
      </c>
      <c r="BU334" s="125">
        <f>Tabela1[[#This Row],[Pós RDW %]]</f>
        <v>20.9</v>
      </c>
      <c r="BV334" s="179" t="str">
        <f>Tabela1[[#This Row],[Pré RET %]]</f>
        <v>-</v>
      </c>
      <c r="BW334" s="196" t="str">
        <f>Tabela1[[#This Row],[Pós RET %]]</f>
        <v>-</v>
      </c>
      <c r="BX334" s="197">
        <f>Tabela1[[#This Row],[Pré WBC 10³/mm³]]</f>
        <v>8.1</v>
      </c>
      <c r="BY334" s="179">
        <f>Tabela1[[#This Row],[Pós WBC 10³/mm³]]</f>
        <v>12.7</v>
      </c>
      <c r="BZ334" s="125">
        <f>Tabela1[[#This Row],[Pré NEUT %]]</f>
        <v>66.900000000000006</v>
      </c>
      <c r="CA334" s="125">
        <f>Tabela1[[#This Row],[Pós NEUT %]]</f>
        <v>64.2</v>
      </c>
      <c r="CB334" s="125">
        <f>Tabela1[[#This Row],[Pré LINF %]]</f>
        <v>29.6</v>
      </c>
      <c r="CC334" s="125">
        <f>Tabela1[[#This Row],[Pós LINF %]]</f>
        <v>29.4</v>
      </c>
      <c r="CD334" s="125">
        <f>Tabela1[[#This Row],[Pré MONO %]]</f>
        <v>1.6</v>
      </c>
      <c r="CE334" s="125">
        <f>Tabela1[[#This Row],[Pós MONO %]]</f>
        <v>4.5</v>
      </c>
      <c r="CF334" s="125">
        <f>Tabela1[[#This Row],[Pré EOS %]]</f>
        <v>1.8</v>
      </c>
      <c r="CG334" s="125">
        <f>Tabela1[[#This Row],[Pós EOS %]]</f>
        <v>1.2</v>
      </c>
      <c r="CH334" s="125">
        <f>Tabela1[[#This Row],[Pré BASO %]]</f>
        <v>0.1</v>
      </c>
      <c r="CI334" s="198">
        <f>Tabela1[[#This Row],[Pós BASO %]]</f>
        <v>0.7</v>
      </c>
      <c r="CJ334" s="199" t="str">
        <f t="shared" si="21"/>
        <v>SIM</v>
      </c>
      <c r="CK334" s="200" t="str">
        <f t="shared" si="22"/>
        <v>SIM</v>
      </c>
      <c r="CL334" s="194">
        <f t="shared" si="23"/>
        <v>73.247245000000007</v>
      </c>
      <c r="CM334" s="125">
        <f>Tabela1[[#This Row],[MCT KG]]</f>
        <v>77.650000000000006</v>
      </c>
      <c r="CN334" s="85">
        <f>Tabela1[[#This Row],[ESTATURA]]</f>
        <v>184.2</v>
      </c>
      <c r="CO334" s="85">
        <f>Tabela1[[#This Row],[vo2max estimado]]</f>
        <v>54.09</v>
      </c>
      <c r="CP334" s="85">
        <f>Tabela1[[#This Row],[Handgrip     Dominante]]</f>
        <v>56</v>
      </c>
      <c r="CQ334" s="85">
        <f>Tabela1[[#This Row],[Handgrip Contrário]]</f>
        <v>52</v>
      </c>
      <c r="CR334" s="281">
        <f>Tabela1[[#This Row],[% gordura]]</f>
        <v>5.67</v>
      </c>
    </row>
    <row r="335" spans="1:96" ht="15.75" customHeight="1">
      <c r="A335" s="279">
        <f>Tabela1[[#This Row],[Ano]]</f>
        <v>2022</v>
      </c>
      <c r="B335" s="181" t="str">
        <f>Tabela1[[#This Row],[Missão]]</f>
        <v>Avelar</v>
      </c>
      <c r="C335" s="181">
        <f>Tabela1[[#This Row],[Aluno]]</f>
        <v>3247</v>
      </c>
      <c r="D335" s="181">
        <f>Tabela1[[#This Row],[Idade]]</f>
        <v>35</v>
      </c>
      <c r="E335" s="182">
        <f>Tabela1[[#This Row],[Peso Kg]]</f>
        <v>76</v>
      </c>
      <c r="F335" s="191">
        <f>Tabela1[[#This Row],[Cor da pele]]</f>
        <v>0</v>
      </c>
      <c r="G335" s="192" t="str">
        <f>Tabela1[[#This Row],[ACTN3]]</f>
        <v>RX</v>
      </c>
      <c r="H335" s="85" t="str">
        <f>Tabela1[[#This Row],[AGT]]</f>
        <v>MM</v>
      </c>
      <c r="I335" s="85" t="str">
        <f>Tabela1[[#This Row],[ECA]]</f>
        <v>ID</v>
      </c>
      <c r="J335" s="85" t="str">
        <f>Tabela1[[#This Row],[BDKRB2]]</f>
        <v>(+9, +9)</v>
      </c>
      <c r="K335" s="85">
        <f>Tabela1[[#This Row],[Score Força%]]</f>
        <v>50</v>
      </c>
      <c r="L335" s="193">
        <f>Tabela1[[#This Row],[Score Resistência %]]</f>
        <v>50</v>
      </c>
      <c r="M335" s="192">
        <f>Tabela1[[#This Row],[Pré CK (U/L)]]</f>
        <v>71</v>
      </c>
      <c r="N335" s="85">
        <f>Tabela1[[#This Row],[Pós CK (U/L)]]</f>
        <v>8337</v>
      </c>
      <c r="O335" s="85" t="str">
        <f>Tabela1[[#This Row],[Pré CK MB U/L]]</f>
        <v>-</v>
      </c>
      <c r="P335" s="85" t="str">
        <f>Tabela1[[#This Row],[Pós CK MB U/L]]</f>
        <v>-</v>
      </c>
      <c r="Q335" s="85">
        <f>Tabela1[[#This Row],[Pré Lactato (mmol/L)]]</f>
        <v>2.5</v>
      </c>
      <c r="R335" s="85">
        <f>Tabela1[[#This Row],[Pós Lactato (mmol/L)]]</f>
        <v>4</v>
      </c>
      <c r="S335" s="85">
        <f>Tabela1[[#This Row],[Pré LDH (U/L)]]</f>
        <v>154</v>
      </c>
      <c r="T335" s="85">
        <f>Tabela1[[#This Row],[Pós LDH (U/L)]]</f>
        <v>951</v>
      </c>
      <c r="U335" s="85">
        <f>Tabela1[[#This Row],[Pré AST (U/L)]]</f>
        <v>22</v>
      </c>
      <c r="V335" s="193">
        <f>Tabela1[[#This Row],[Pós AST (U/L)]]</f>
        <v>124</v>
      </c>
      <c r="W335" s="194" t="str">
        <f>Tabela1[[#This Row],[Pré Albumina (g/dL)]]</f>
        <v>-</v>
      </c>
      <c r="X335" s="125" t="str">
        <f>Tabela1[[#This Row],[Pós Albumina (g/dL)]]</f>
        <v>-</v>
      </c>
      <c r="Y335" s="85" t="str">
        <f>Tabela1[[#This Row],[Pré TGP (g/dL)]]</f>
        <v>-</v>
      </c>
      <c r="Z335" s="85" t="str">
        <f>Tabela1[[#This Row],[Pós TGP (g/dL)]]</f>
        <v>-</v>
      </c>
      <c r="AA335" s="85" t="str">
        <f>Tabela1[[#This Row],[Pré GGT U/L]]</f>
        <v>-</v>
      </c>
      <c r="AB335" s="193" t="str">
        <f>Tabela1[[#This Row],[Pós GGT U/L]]</f>
        <v>-</v>
      </c>
      <c r="AC335" s="194">
        <f>Tabela1[[#This Row],[Pré Ac. Úrico (mg/dL)]]</f>
        <v>4.3</v>
      </c>
      <c r="AD335" s="125">
        <f>Tabela1[[#This Row],[Pós Ac. Úrico (mg/dL)2]]</f>
        <v>7.9</v>
      </c>
      <c r="AE33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3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335" s="85">
        <f>Tabela1[[#This Row],[Pré Ureia mg/dL]]</f>
        <v>37</v>
      </c>
      <c r="AH335" s="85">
        <f>Tabela1[[#This Row],[Pós Ureia mg/dL]]</f>
        <v>45</v>
      </c>
      <c r="AI335" s="125">
        <f>Tabela1[[#This Row],[Pré creatinina mg/dL]]</f>
        <v>0.9</v>
      </c>
      <c r="AJ335" s="125">
        <f>Tabela1[[#This Row],[Pós creatinina mg/dL]]</f>
        <v>1.1000000000000001</v>
      </c>
      <c r="AK335" s="180">
        <f t="shared" si="20"/>
        <v>0.20000000000000007</v>
      </c>
      <c r="AL335" s="125">
        <f>Tabela1[[#This Row],[Pré Fósforo mg/dL]]</f>
        <v>4.9000000000000004</v>
      </c>
      <c r="AM335" s="125">
        <f>Tabela1[[#This Row],[Pós Fósforo mg/dL]]</f>
        <v>5.0999999999999996</v>
      </c>
      <c r="AN335" s="125">
        <f>Tabela1[[#This Row],[Pré Proteína Total (g/dL)]]</f>
        <v>6.9</v>
      </c>
      <c r="AO335" s="125">
        <f>Tabela1[[#This Row],[Pós Proteína Total (g/dL)]]</f>
        <v>7</v>
      </c>
      <c r="AP335" s="85">
        <f>Tabela1[[#This Row],[Pré FE (ug/dL)]]</f>
        <v>65</v>
      </c>
      <c r="AQ335" s="193">
        <f>Tabela1[[#This Row],[Pós FE (ug/dL)]]</f>
        <v>10</v>
      </c>
      <c r="AR335" s="194">
        <f>Tabela1[[#This Row],[Pré calcio mg/dL]]</f>
        <v>9.5</v>
      </c>
      <c r="AS335" s="125">
        <f>Tabela1[[#This Row],[Pós calcio mg/dL]]</f>
        <v>8.4</v>
      </c>
      <c r="AT335" s="125">
        <f>Tabela1[[#This Row],[Pré Potássio mmol/L]]</f>
        <v>4.3</v>
      </c>
      <c r="AU335" s="125">
        <f>Tabela1[[#This Row],[Pós Potássio mmol/L]]</f>
        <v>5</v>
      </c>
      <c r="AV335" s="85">
        <f>Tabela1[[#This Row],[Glicose pré]]</f>
        <v>93</v>
      </c>
      <c r="AW335" s="85">
        <f>Tabela1[[#This Row],[Glicose pós]]</f>
        <v>66</v>
      </c>
      <c r="AX335" s="85">
        <f>Tabela1[[#This Row],[Pré Sódio mmol/L]]</f>
        <v>145</v>
      </c>
      <c r="AY335" s="85">
        <f>Tabela1[[#This Row],[Pós Sódio mmol/L]]</f>
        <v>132</v>
      </c>
      <c r="AZ335" s="125">
        <f>Tabela1[[#This Row],[Pré Magnésio mg/dL]]</f>
        <v>1.7</v>
      </c>
      <c r="BA335" s="125">
        <f>Tabela1[[#This Row],[Pós Magnésio mg/dL]]</f>
        <v>1.9</v>
      </c>
      <c r="BB335" s="85">
        <f>Tabela1[[#This Row],[Pré Cloro mmol/L]]</f>
        <v>100</v>
      </c>
      <c r="BC335" s="85">
        <f>Tabela1[[#This Row],[Pós Cloro mmol/L]]</f>
        <v>79</v>
      </c>
      <c r="BD33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303.80633333333338</v>
      </c>
      <c r="BE33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280.53666666666669</v>
      </c>
      <c r="BF335" s="194">
        <f>Tabela1[[#This Row],[Pré RBC 10^6/mm³]]</f>
        <v>4.96</v>
      </c>
      <c r="BG335" s="125">
        <f>Tabela1[[#This Row],[Pós RBC 10^6/mm³]]</f>
        <v>5.42</v>
      </c>
      <c r="BH335" s="125">
        <f>Tabela1[[#This Row],[Pré HGB g/dL]]</f>
        <v>15.3</v>
      </c>
      <c r="BI335" s="125">
        <f>Tabela1[[#This Row],[Pós HGB g/dL]]</f>
        <v>17.100000000000001</v>
      </c>
      <c r="BJ335" s="125">
        <f>Tabela1[[#This Row],[Pré HCT %]]</f>
        <v>45.7</v>
      </c>
      <c r="BK335" s="125">
        <f>Tabela1[[#This Row],[Pós HCT %]]</f>
        <v>50.3</v>
      </c>
      <c r="BL335" s="125">
        <f>Tabela1[[#This Row],[Pré MCV fL]]</f>
        <v>92</v>
      </c>
      <c r="BM335" s="125">
        <f>Tabela1[[#This Row],[Pós MCV fL]]</f>
        <v>93</v>
      </c>
      <c r="BN335" s="125">
        <f>Tabela1[[#This Row],[Pré MCH pg]]</f>
        <v>30.9</v>
      </c>
      <c r="BO335" s="125">
        <f>Tabela1[[#This Row],[Pós MCH pg]]</f>
        <v>31.6</v>
      </c>
      <c r="BP335" s="125">
        <f>Tabela1[[#This Row],[Pré MCHC g/dL]]</f>
        <v>33.6</v>
      </c>
      <c r="BQ335" s="125">
        <f>Tabela1[[#This Row],[Pós MCHC g/dL]]</f>
        <v>34</v>
      </c>
      <c r="BR335" s="85">
        <f>Tabela1[[#This Row],[Pré PLT 10³/mm³]]</f>
        <v>189</v>
      </c>
      <c r="BS335" s="85">
        <f>Tabela1[[#This Row],[Pós PLT 10³/mm³]]</f>
        <v>144</v>
      </c>
      <c r="BT335" s="125">
        <f>Tabela1[[#This Row],[Pré RDW %]]</f>
        <v>14.8</v>
      </c>
      <c r="BU335" s="125">
        <f>Tabela1[[#This Row],[Pós RDW %]]</f>
        <v>15.3</v>
      </c>
      <c r="BV335" s="179" t="str">
        <f>Tabela1[[#This Row],[Pré RET %]]</f>
        <v>-</v>
      </c>
      <c r="BW335" s="196" t="str">
        <f>Tabela1[[#This Row],[Pós RET %]]</f>
        <v>-</v>
      </c>
      <c r="BX335" s="197">
        <f>Tabela1[[#This Row],[Pré WBC 10³/mm³]]</f>
        <v>8.8000000000000007</v>
      </c>
      <c r="BY335" s="179">
        <f>Tabela1[[#This Row],[Pós WBC 10³/mm³]]</f>
        <v>8.5</v>
      </c>
      <c r="BZ335" s="125">
        <f>Tabela1[[#This Row],[Pré NEUT %]]</f>
        <v>68.3</v>
      </c>
      <c r="CA335" s="125">
        <f>Tabela1[[#This Row],[Pós NEUT %]]</f>
        <v>45.9</v>
      </c>
      <c r="CB335" s="125">
        <f>Tabela1[[#This Row],[Pré LINF %]]</f>
        <v>25.6</v>
      </c>
      <c r="CC335" s="125">
        <f>Tabela1[[#This Row],[Pós LINF %]]</f>
        <v>47.1</v>
      </c>
      <c r="CD335" s="125">
        <f>Tabela1[[#This Row],[Pré MONO %]]</f>
        <v>4.3</v>
      </c>
      <c r="CE335" s="125">
        <f>Tabela1[[#This Row],[Pós MONO %]]</f>
        <v>5.8</v>
      </c>
      <c r="CF335" s="125">
        <f>Tabela1[[#This Row],[Pré EOS %]]</f>
        <v>1.7</v>
      </c>
      <c r="CG335" s="125">
        <f>Tabela1[[#This Row],[Pós EOS %]]</f>
        <v>1</v>
      </c>
      <c r="CH335" s="125">
        <f>Tabela1[[#This Row],[Pré BASO %]]</f>
        <v>0.1</v>
      </c>
      <c r="CI335" s="198">
        <f>Tabela1[[#This Row],[Pós BASO %]]</f>
        <v>0.2</v>
      </c>
      <c r="CJ335" s="199" t="str">
        <f t="shared" si="21"/>
        <v>NÃO</v>
      </c>
      <c r="CK335" s="200" t="str">
        <f t="shared" si="22"/>
        <v>SIM</v>
      </c>
      <c r="CL335" s="194">
        <f t="shared" si="23"/>
        <v>65.962705</v>
      </c>
      <c r="CM335" s="125">
        <f>Tabela1[[#This Row],[MCT KG]]</f>
        <v>75.55</v>
      </c>
      <c r="CN335" s="85">
        <f>Tabela1[[#This Row],[ESTATURA]]</f>
        <v>177.5</v>
      </c>
      <c r="CO335" s="85">
        <f>Tabela1[[#This Row],[vo2max estimado]]</f>
        <v>50.61</v>
      </c>
      <c r="CP335" s="85">
        <f>Tabela1[[#This Row],[Handgrip     Dominante]]</f>
        <v>56</v>
      </c>
      <c r="CQ335" s="85">
        <f>Tabela1[[#This Row],[Handgrip Contrário]]</f>
        <v>50</v>
      </c>
      <c r="CR335" s="281">
        <f>Tabela1[[#This Row],[% gordura]]</f>
        <v>12.69</v>
      </c>
    </row>
    <row r="336" spans="1:96" ht="15.75" customHeight="1">
      <c r="A336" s="279">
        <f>Tabela1[[#This Row],[Ano]]</f>
        <v>2022</v>
      </c>
      <c r="B336" s="181" t="str">
        <f>Tabela1[[#This Row],[Missão]]</f>
        <v>Avelar</v>
      </c>
      <c r="C336" s="181">
        <f>Tabela1[[#This Row],[Aluno]]</f>
        <v>3248</v>
      </c>
      <c r="D336" s="181">
        <f>Tabela1[[#This Row],[Idade]]</f>
        <v>31</v>
      </c>
      <c r="E336" s="182">
        <f>Tabela1[[#This Row],[Peso Kg]]</f>
        <v>76</v>
      </c>
      <c r="F336" s="191">
        <f>Tabela1[[#This Row],[Cor da pele]]</f>
        <v>0</v>
      </c>
      <c r="G336" s="192" t="str">
        <f>Tabela1[[#This Row],[ACTN3]]</f>
        <v>XX</v>
      </c>
      <c r="H336" s="85" t="str">
        <f>Tabela1[[#This Row],[AGT]]</f>
        <v>MT</v>
      </c>
      <c r="I336" s="85" t="str">
        <f>Tabela1[[#This Row],[ECA]]</f>
        <v>ID</v>
      </c>
      <c r="J336" s="85" t="str">
        <f>Tabela1[[#This Row],[BDKRB2]]</f>
        <v>(+9, +9)</v>
      </c>
      <c r="K336" s="85">
        <f>Tabela1[[#This Row],[Score Força%]]</f>
        <v>50</v>
      </c>
      <c r="L336" s="193">
        <f>Tabela1[[#This Row],[Score Resistência %]]</f>
        <v>50</v>
      </c>
      <c r="M336" s="192">
        <f>Tabela1[[#This Row],[Pré CK (U/L)]]</f>
        <v>70</v>
      </c>
      <c r="N336" s="85">
        <f>Tabela1[[#This Row],[Pós CK (U/L)]]</f>
        <v>3768</v>
      </c>
      <c r="O336" s="85" t="str">
        <f>Tabela1[[#This Row],[Pré CK MB U/L]]</f>
        <v>-</v>
      </c>
      <c r="P336" s="85" t="str">
        <f>Tabela1[[#This Row],[Pós CK MB U/L]]</f>
        <v>-</v>
      </c>
      <c r="Q336" s="85">
        <f>Tabela1[[#This Row],[Pré Lactato (mmol/L)]]</f>
        <v>4</v>
      </c>
      <c r="R336" s="85">
        <f>Tabela1[[#This Row],[Pós Lactato (mmol/L)]]</f>
        <v>2.7</v>
      </c>
      <c r="S336" s="85">
        <f>Tabela1[[#This Row],[Pré LDH (U/L)]]</f>
        <v>252</v>
      </c>
      <c r="T336" s="85">
        <f>Tabela1[[#This Row],[Pós LDH (U/L)]]</f>
        <v>631</v>
      </c>
      <c r="U336" s="85">
        <f>Tabela1[[#This Row],[Pré AST (U/L)]]</f>
        <v>31</v>
      </c>
      <c r="V336" s="193">
        <f>Tabela1[[#This Row],[Pós AST (U/L)]]</f>
        <v>111</v>
      </c>
      <c r="W336" s="194" t="str">
        <f>Tabela1[[#This Row],[Pré Albumina (g/dL)]]</f>
        <v>-</v>
      </c>
      <c r="X336" s="125" t="str">
        <f>Tabela1[[#This Row],[Pós Albumina (g/dL)]]</f>
        <v>-</v>
      </c>
      <c r="Y336" s="85" t="str">
        <f>Tabela1[[#This Row],[Pré TGP (g/dL)]]</f>
        <v>-</v>
      </c>
      <c r="Z336" s="85" t="str">
        <f>Tabela1[[#This Row],[Pós TGP (g/dL)]]</f>
        <v>-</v>
      </c>
      <c r="AA336" s="85" t="str">
        <f>Tabela1[[#This Row],[Pré GGT U/L]]</f>
        <v>-</v>
      </c>
      <c r="AB336" s="193" t="str">
        <f>Tabela1[[#This Row],[Pós GGT U/L]]</f>
        <v>-</v>
      </c>
      <c r="AC336" s="194">
        <f>Tabela1[[#This Row],[Pré Ac. Úrico (mg/dL)]]</f>
        <v>5.2</v>
      </c>
      <c r="AD336" s="125">
        <f>Tabela1[[#This Row],[Pós Ac. Úrico (mg/dL)2]]</f>
        <v>5.7</v>
      </c>
      <c r="AE33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3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336" s="85">
        <f>Tabela1[[#This Row],[Pré Ureia mg/dL]]</f>
        <v>39</v>
      </c>
      <c r="AH336" s="85">
        <f>Tabela1[[#This Row],[Pós Ureia mg/dL]]</f>
        <v>39</v>
      </c>
      <c r="AI336" s="125">
        <f>Tabela1[[#This Row],[Pré creatinina mg/dL]]</f>
        <v>0.8</v>
      </c>
      <c r="AJ336" s="125">
        <f>Tabela1[[#This Row],[Pós creatinina mg/dL]]</f>
        <v>0.8</v>
      </c>
      <c r="AK336" s="180">
        <f t="shared" si="20"/>
        <v>0</v>
      </c>
      <c r="AL336" s="125">
        <f>Tabela1[[#This Row],[Pré Fósforo mg/dL]]</f>
        <v>4.8</v>
      </c>
      <c r="AM336" s="125">
        <f>Tabela1[[#This Row],[Pós Fósforo mg/dL]]</f>
        <v>4.4000000000000004</v>
      </c>
      <c r="AN336" s="125">
        <f>Tabela1[[#This Row],[Pré Proteína Total (g/dL)]]</f>
        <v>7.8</v>
      </c>
      <c r="AO336" s="125">
        <f>Tabela1[[#This Row],[Pós Proteína Total (g/dL)]]</f>
        <v>6.4</v>
      </c>
      <c r="AP336" s="85">
        <f>Tabela1[[#This Row],[Pré FE (ug/dL)]]</f>
        <v>77</v>
      </c>
      <c r="AQ336" s="193">
        <f>Tabela1[[#This Row],[Pós FE (ug/dL)]]</f>
        <v>83</v>
      </c>
      <c r="AR336" s="194">
        <f>Tabela1[[#This Row],[Pré calcio mg/dL]]</f>
        <v>9.1</v>
      </c>
      <c r="AS336" s="125">
        <f>Tabela1[[#This Row],[Pós calcio mg/dL]]</f>
        <v>7.8</v>
      </c>
      <c r="AT336" s="125">
        <f>Tabela1[[#This Row],[Pré Potássio mmol/L]]</f>
        <v>4.7</v>
      </c>
      <c r="AU336" s="125">
        <f>Tabela1[[#This Row],[Pós Potássio mmol/L]]</f>
        <v>4</v>
      </c>
      <c r="AV336" s="85">
        <f>Tabela1[[#This Row],[Glicose pré]]</f>
        <v>77</v>
      </c>
      <c r="AW336" s="85">
        <f>Tabela1[[#This Row],[Glicose pós]]</f>
        <v>79</v>
      </c>
      <c r="AX336" s="85">
        <f>Tabela1[[#This Row],[Pré Sódio mmol/L]]</f>
        <v>144</v>
      </c>
      <c r="AY336" s="85">
        <f>Tabela1[[#This Row],[Pós Sódio mmol/L]]</f>
        <v>116</v>
      </c>
      <c r="AZ336" s="125">
        <f>Tabela1[[#This Row],[Pré Magnésio mg/dL]]</f>
        <v>2.1</v>
      </c>
      <c r="BA336" s="125">
        <f>Tabela1[[#This Row],[Pós Magnésio mg/dL]]</f>
        <v>1.5</v>
      </c>
      <c r="BB336" s="85">
        <f>Tabela1[[#This Row],[Pré Cloro mmol/L]]</f>
        <v>98</v>
      </c>
      <c r="BC336" s="85">
        <f>Tabela1[[#This Row],[Pós Cloro mmol/L]]</f>
        <v>74</v>
      </c>
      <c r="BD33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302.00144444444442</v>
      </c>
      <c r="BE33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248.74722222222223</v>
      </c>
      <c r="BF336" s="194">
        <f>Tabela1[[#This Row],[Pré RBC 10^6/mm³]]</f>
        <v>5.0199999999999996</v>
      </c>
      <c r="BG336" s="125">
        <f>Tabela1[[#This Row],[Pós RBC 10^6/mm³]]</f>
        <v>4.32</v>
      </c>
      <c r="BH336" s="125">
        <f>Tabela1[[#This Row],[Pré HGB g/dL]]</f>
        <v>15.6</v>
      </c>
      <c r="BI336" s="125">
        <f>Tabela1[[#This Row],[Pós HGB g/dL]]</f>
        <v>15.4</v>
      </c>
      <c r="BJ336" s="125">
        <f>Tabela1[[#This Row],[Pré HCT %]]</f>
        <v>46</v>
      </c>
      <c r="BK336" s="125">
        <f>Tabela1[[#This Row],[Pós HCT %]]</f>
        <v>29.1</v>
      </c>
      <c r="BL336" s="125">
        <f>Tabela1[[#This Row],[Pré MCV fL]]</f>
        <v>92</v>
      </c>
      <c r="BM336" s="125">
        <f>Tabela1[[#This Row],[Pós MCV fL]]</f>
        <v>67</v>
      </c>
      <c r="BN336" s="125">
        <f>Tabela1[[#This Row],[Pré MCH pg]]</f>
        <v>31</v>
      </c>
      <c r="BO336" s="125">
        <f>Tabela1[[#This Row],[Pós MCH pg]]</f>
        <v>35.5</v>
      </c>
      <c r="BP336" s="125">
        <f>Tabela1[[#This Row],[Pré MCHC g/dL]]</f>
        <v>33.799999999999997</v>
      </c>
      <c r="BQ336" s="125">
        <f>Tabela1[[#This Row],[Pós MCHC g/dL]]</f>
        <v>52.8</v>
      </c>
      <c r="BR336" s="85">
        <f>Tabela1[[#This Row],[Pré PLT 10³/mm³]]</f>
        <v>279</v>
      </c>
      <c r="BS336" s="85">
        <f>Tabela1[[#This Row],[Pós PLT 10³/mm³]]</f>
        <v>371</v>
      </c>
      <c r="BT336" s="125">
        <f>Tabela1[[#This Row],[Pré RDW %]]</f>
        <v>13.7</v>
      </c>
      <c r="BU336" s="125">
        <f>Tabela1[[#This Row],[Pós RDW %]]</f>
        <v>34.5</v>
      </c>
      <c r="BV336" s="179" t="str">
        <f>Tabela1[[#This Row],[Pré RET %]]</f>
        <v>-</v>
      </c>
      <c r="BW336" s="196" t="str">
        <f>Tabela1[[#This Row],[Pós RET %]]</f>
        <v>-</v>
      </c>
      <c r="BX336" s="197">
        <f>Tabela1[[#This Row],[Pré WBC 10³/mm³]]</f>
        <v>9.8000000000000007</v>
      </c>
      <c r="BY336" s="179">
        <f>Tabela1[[#This Row],[Pós WBC 10³/mm³]]</f>
        <v>11.8</v>
      </c>
      <c r="BZ336" s="125">
        <f>Tabela1[[#This Row],[Pré NEUT %]]</f>
        <v>71.099999999999994</v>
      </c>
      <c r="CA336" s="125">
        <f>Tabela1[[#This Row],[Pós NEUT %]]</f>
        <v>55.8</v>
      </c>
      <c r="CB336" s="125">
        <f>Tabela1[[#This Row],[Pré LINF %]]</f>
        <v>25.1</v>
      </c>
      <c r="CC336" s="125">
        <f>Tabela1[[#This Row],[Pós LINF %]]</f>
        <v>38.5</v>
      </c>
      <c r="CD336" s="125">
        <f>Tabela1[[#This Row],[Pré MONO %]]</f>
        <v>1.9</v>
      </c>
      <c r="CE336" s="125">
        <f>Tabela1[[#This Row],[Pós MONO %]]</f>
        <v>3.5</v>
      </c>
      <c r="CF336" s="125">
        <f>Tabela1[[#This Row],[Pré EOS %]]</f>
        <v>1.8</v>
      </c>
      <c r="CG336" s="125">
        <f>Tabela1[[#This Row],[Pós EOS %]]</f>
        <v>1.3</v>
      </c>
      <c r="CH336" s="125">
        <f>Tabela1[[#This Row],[Pré BASO %]]</f>
        <v>0.1</v>
      </c>
      <c r="CI336" s="198">
        <f>Tabela1[[#This Row],[Pós BASO %]]</f>
        <v>0.9</v>
      </c>
      <c r="CJ336" s="199" t="str">
        <f t="shared" si="21"/>
        <v>NÃO</v>
      </c>
      <c r="CK336" s="200" t="str">
        <f t="shared" si="22"/>
        <v>SIM</v>
      </c>
      <c r="CL336" s="194">
        <f t="shared" si="23"/>
        <v>71.403599999999997</v>
      </c>
      <c r="CM336" s="125">
        <f>Tabela1[[#This Row],[MCT KG]]</f>
        <v>78.5</v>
      </c>
      <c r="CN336" s="85">
        <f>Tabela1[[#This Row],[ESTATURA]]</f>
        <v>173.5</v>
      </c>
      <c r="CO336" s="85">
        <f>Tabela1[[#This Row],[vo2max estimado]]</f>
        <v>51.8</v>
      </c>
      <c r="CP336" s="85">
        <f>Tabela1[[#This Row],[Handgrip     Dominante]]</f>
        <v>57</v>
      </c>
      <c r="CQ336" s="85">
        <f>Tabela1[[#This Row],[Handgrip Contrário]]</f>
        <v>60</v>
      </c>
      <c r="CR336" s="281">
        <f>Tabela1[[#This Row],[% gordura]]</f>
        <v>9.0399999999999991</v>
      </c>
    </row>
    <row r="337" spans="1:96" ht="15.75" customHeight="1">
      <c r="A337" s="279">
        <f>Tabela1[[#This Row],[Ano]]</f>
        <v>2022</v>
      </c>
      <c r="B337" s="181" t="str">
        <f>Tabela1[[#This Row],[Missão]]</f>
        <v>Avelar</v>
      </c>
      <c r="C337" s="181">
        <f>Tabela1[[#This Row],[Aluno]]</f>
        <v>3249</v>
      </c>
      <c r="D337" s="181">
        <f>Tabela1[[#This Row],[Idade]]</f>
        <v>32</v>
      </c>
      <c r="E337" s="182">
        <f>Tabela1[[#This Row],[Peso Kg]]</f>
        <v>78</v>
      </c>
      <c r="F337" s="191">
        <f>Tabela1[[#This Row],[Cor da pele]]</f>
        <v>0</v>
      </c>
      <c r="G337" s="192" t="str">
        <f>Tabela1[[#This Row],[ACTN3]]</f>
        <v>RR</v>
      </c>
      <c r="H337" s="85" t="str">
        <f>Tabela1[[#This Row],[AGT]]</f>
        <v>TT</v>
      </c>
      <c r="I337" s="85" t="str">
        <f>Tabela1[[#This Row],[ECA]]</f>
        <v>ID</v>
      </c>
      <c r="J337" s="85" t="str">
        <f>Tabela1[[#This Row],[BDKRB2]]</f>
        <v>(+9, +9)</v>
      </c>
      <c r="K337" s="85">
        <f>Tabela1[[#This Row],[Score Força%]]</f>
        <v>87.5</v>
      </c>
      <c r="L337" s="193">
        <f>Tabela1[[#This Row],[Score Resistência %]]</f>
        <v>12.5</v>
      </c>
      <c r="M337" s="192">
        <f>Tabela1[[#This Row],[Pré CK (U/L)]]</f>
        <v>76</v>
      </c>
      <c r="N337" s="85">
        <f>Tabela1[[#This Row],[Pós CK (U/L)]]</f>
        <v>8713</v>
      </c>
      <c r="O337" s="85" t="str">
        <f>Tabela1[[#This Row],[Pré CK MB U/L]]</f>
        <v>-</v>
      </c>
      <c r="P337" s="85" t="str">
        <f>Tabela1[[#This Row],[Pós CK MB U/L]]</f>
        <v>-</v>
      </c>
      <c r="Q337" s="85">
        <f>Tabela1[[#This Row],[Pré Lactato (mmol/L)]]</f>
        <v>3.4</v>
      </c>
      <c r="R337" s="85">
        <f>Tabela1[[#This Row],[Pós Lactato (mmol/L)]]</f>
        <v>2.8</v>
      </c>
      <c r="S337" s="85">
        <f>Tabela1[[#This Row],[Pré LDH (U/L)]]</f>
        <v>224</v>
      </c>
      <c r="T337" s="85">
        <f>Tabela1[[#This Row],[Pós LDH (U/L)]]</f>
        <v>1171</v>
      </c>
      <c r="U337" s="85">
        <f>Tabela1[[#This Row],[Pré AST (U/L)]]</f>
        <v>26</v>
      </c>
      <c r="V337" s="193">
        <f>Tabela1[[#This Row],[Pós AST (U/L)]]</f>
        <v>151</v>
      </c>
      <c r="W337" s="194" t="str">
        <f>Tabela1[[#This Row],[Pré Albumina (g/dL)]]</f>
        <v>-</v>
      </c>
      <c r="X337" s="125" t="str">
        <f>Tabela1[[#This Row],[Pós Albumina (g/dL)]]</f>
        <v>-</v>
      </c>
      <c r="Y337" s="85" t="str">
        <f>Tabela1[[#This Row],[Pré TGP (g/dL)]]</f>
        <v>-</v>
      </c>
      <c r="Z337" s="85" t="str">
        <f>Tabela1[[#This Row],[Pós TGP (g/dL)]]</f>
        <v>-</v>
      </c>
      <c r="AA337" s="85" t="str">
        <f>Tabela1[[#This Row],[Pré GGT U/L]]</f>
        <v>-</v>
      </c>
      <c r="AB337" s="193" t="str">
        <f>Tabela1[[#This Row],[Pós GGT U/L]]</f>
        <v>-</v>
      </c>
      <c r="AC337" s="194">
        <f>Tabela1[[#This Row],[Pré Ac. Úrico (mg/dL)]]</f>
        <v>6.3</v>
      </c>
      <c r="AD337" s="125">
        <f>Tabela1[[#This Row],[Pós Ac. Úrico (mg/dL)2]]</f>
        <v>14.9</v>
      </c>
      <c r="AE33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3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43.160651287458506</v>
      </c>
      <c r="AG337" s="85">
        <f>Tabela1[[#This Row],[Pré Ureia mg/dL]]</f>
        <v>37</v>
      </c>
      <c r="AH337" s="85">
        <f>Tabela1[[#This Row],[Pós Ureia mg/dL]]</f>
        <v>103</v>
      </c>
      <c r="AI337" s="125">
        <f>Tabela1[[#This Row],[Pré creatinina mg/dL]]</f>
        <v>0.8</v>
      </c>
      <c r="AJ337" s="125">
        <f>Tabela1[[#This Row],[Pós creatinina mg/dL]]</f>
        <v>2.1</v>
      </c>
      <c r="AK337" s="180">
        <f t="shared" si="20"/>
        <v>1.3</v>
      </c>
      <c r="AL337" s="125">
        <f>Tabela1[[#This Row],[Pré Fósforo mg/dL]]</f>
        <v>5.2</v>
      </c>
      <c r="AM337" s="125">
        <f>Tabela1[[#This Row],[Pós Fósforo mg/dL]]</f>
        <v>8.1999999999999993</v>
      </c>
      <c r="AN337" s="125">
        <f>Tabela1[[#This Row],[Pré Proteína Total (g/dL)]]</f>
        <v>7.6</v>
      </c>
      <c r="AO337" s="125">
        <f>Tabela1[[#This Row],[Pós Proteína Total (g/dL)]]</f>
        <v>9.3000000000000007</v>
      </c>
      <c r="AP337" s="85">
        <f>Tabela1[[#This Row],[Pré FE (ug/dL)]]</f>
        <v>62</v>
      </c>
      <c r="AQ337" s="193">
        <f>Tabela1[[#This Row],[Pós FE (ug/dL)]]</f>
        <v>29</v>
      </c>
      <c r="AR337" s="194">
        <f>Tabela1[[#This Row],[Pré calcio mg/dL]]</f>
        <v>9.3000000000000007</v>
      </c>
      <c r="AS337" s="125">
        <f>Tabela1[[#This Row],[Pós calcio mg/dL]]</f>
        <v>10.5</v>
      </c>
      <c r="AT337" s="125">
        <f>Tabela1[[#This Row],[Pré Potássio mmol/L]]</f>
        <v>4.8</v>
      </c>
      <c r="AU337" s="125">
        <f>Tabela1[[#This Row],[Pós Potássio mmol/L]]</f>
        <v>5.0999999999999996</v>
      </c>
      <c r="AV337" s="85">
        <f>Tabela1[[#This Row],[Glicose pré]]</f>
        <v>76</v>
      </c>
      <c r="AW337" s="85">
        <f>Tabela1[[#This Row],[Glicose pós]]</f>
        <v>96</v>
      </c>
      <c r="AX337" s="85">
        <f>Tabela1[[#This Row],[Pré Sódio mmol/L]]</f>
        <v>140</v>
      </c>
      <c r="AY337" s="85">
        <f>Tabela1[[#This Row],[Pós Sódio mmol/L]]</f>
        <v>149</v>
      </c>
      <c r="AZ337" s="125">
        <f>Tabela1[[#This Row],[Pré Magnésio mg/dL]]</f>
        <v>2</v>
      </c>
      <c r="BA337" s="125">
        <f>Tabela1[[#This Row],[Pós Magnésio mg/dL]]</f>
        <v>3</v>
      </c>
      <c r="BB337" s="85">
        <f>Tabela1[[#This Row],[Pré Cloro mmol/L]]</f>
        <v>95</v>
      </c>
      <c r="BC337" s="85">
        <f>Tabela1[[#This Row],[Pós Cloro mmol/L]]</f>
        <v>84</v>
      </c>
      <c r="BD33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294.35022222222227</v>
      </c>
      <c r="BE33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323.92599999999999</v>
      </c>
      <c r="BF337" s="194">
        <f>Tabela1[[#This Row],[Pré RBC 10^6/mm³]]</f>
        <v>4.79</v>
      </c>
      <c r="BG337" s="125">
        <f>Tabela1[[#This Row],[Pós RBC 10^6/mm³]]</f>
        <v>4.8600000000000003</v>
      </c>
      <c r="BH337" s="125">
        <f>Tabela1[[#This Row],[Pré HGB g/dL]]</f>
        <v>14.4</v>
      </c>
      <c r="BI337" s="125">
        <f>Tabela1[[#This Row],[Pós HGB g/dL]]</f>
        <v>14.9</v>
      </c>
      <c r="BJ337" s="125">
        <f>Tabela1[[#This Row],[Pré HCT %]]</f>
        <v>42.9</v>
      </c>
      <c r="BK337" s="125">
        <f>Tabela1[[#This Row],[Pós HCT %]]</f>
        <v>46.7</v>
      </c>
      <c r="BL337" s="125">
        <f>Tabela1[[#This Row],[Pré MCV fL]]</f>
        <v>90</v>
      </c>
      <c r="BM337" s="125">
        <f>Tabela1[[#This Row],[Pós MCV fL]]</f>
        <v>96</v>
      </c>
      <c r="BN337" s="125">
        <f>Tabela1[[#This Row],[Pré MCH pg]]</f>
        <v>30.2</v>
      </c>
      <c r="BO337" s="125">
        <f>Tabela1[[#This Row],[Pós MCH pg]]</f>
        <v>30.6</v>
      </c>
      <c r="BP337" s="125">
        <f>Tabela1[[#This Row],[Pré MCHC g/dL]]</f>
        <v>33.700000000000003</v>
      </c>
      <c r="BQ337" s="125">
        <f>Tabela1[[#This Row],[Pós MCHC g/dL]]</f>
        <v>31.8</v>
      </c>
      <c r="BR337" s="85">
        <f>Tabela1[[#This Row],[Pré PLT 10³/mm³]]</f>
        <v>346</v>
      </c>
      <c r="BS337" s="85">
        <f>Tabela1[[#This Row],[Pós PLT 10³/mm³]]</f>
        <v>246</v>
      </c>
      <c r="BT337" s="125">
        <f>Tabela1[[#This Row],[Pré RDW %]]</f>
        <v>14</v>
      </c>
      <c r="BU337" s="125">
        <f>Tabela1[[#This Row],[Pós RDW %]]</f>
        <v>13.8</v>
      </c>
      <c r="BV337" s="179" t="str">
        <f>Tabela1[[#This Row],[Pré RET %]]</f>
        <v>-</v>
      </c>
      <c r="BW337" s="196" t="str">
        <f>Tabela1[[#This Row],[Pós RET %]]</f>
        <v>-</v>
      </c>
      <c r="BX337" s="197">
        <f>Tabela1[[#This Row],[Pré WBC 10³/mm³]]</f>
        <v>10.5</v>
      </c>
      <c r="BY337" s="179">
        <f>Tabela1[[#This Row],[Pós WBC 10³/mm³]]</f>
        <v>12.5</v>
      </c>
      <c r="BZ337" s="125">
        <f>Tabela1[[#This Row],[Pré NEUT %]]</f>
        <v>78.099999999999994</v>
      </c>
      <c r="CA337" s="125">
        <f>Tabela1[[#This Row],[Pós NEUT %]]</f>
        <v>74.3</v>
      </c>
      <c r="CB337" s="125">
        <f>Tabela1[[#This Row],[Pré LINF %]]</f>
        <v>17.7</v>
      </c>
      <c r="CC337" s="125">
        <f>Tabela1[[#This Row],[Pós LINF %]]</f>
        <v>21.3</v>
      </c>
      <c r="CD337" s="125">
        <f>Tabela1[[#This Row],[Pré MONO %]]</f>
        <v>2.4</v>
      </c>
      <c r="CE337" s="125">
        <f>Tabela1[[#This Row],[Pós MONO %]]</f>
        <v>2.9</v>
      </c>
      <c r="CF337" s="125">
        <f>Tabela1[[#This Row],[Pré EOS %]]</f>
        <v>1.7</v>
      </c>
      <c r="CG337" s="125">
        <f>Tabela1[[#This Row],[Pós EOS %]]</f>
        <v>1.1000000000000001</v>
      </c>
      <c r="CH337" s="125">
        <f>Tabela1[[#This Row],[Pré BASO %]]</f>
        <v>0.1</v>
      </c>
      <c r="CI337" s="198">
        <f>Tabela1[[#This Row],[Pós BASO %]]</f>
        <v>0.4</v>
      </c>
      <c r="CJ337" s="199" t="str">
        <f t="shared" si="21"/>
        <v>SIM</v>
      </c>
      <c r="CK337" s="200" t="str">
        <f t="shared" si="22"/>
        <v>SIM</v>
      </c>
      <c r="CL337" s="194">
        <f t="shared" si="23"/>
        <v>71.568749999999994</v>
      </c>
      <c r="CM337" s="125">
        <f>Tabela1[[#This Row],[MCT KG]]</f>
        <v>82.5</v>
      </c>
      <c r="CN337" s="85">
        <f>Tabela1[[#This Row],[ESTATURA]]</f>
        <v>174</v>
      </c>
      <c r="CO337" s="85">
        <f>Tabela1[[#This Row],[vo2max estimado]]</f>
        <v>50.33</v>
      </c>
      <c r="CP337" s="85">
        <f>Tabela1[[#This Row],[Handgrip     Dominante]]</f>
        <v>56</v>
      </c>
      <c r="CQ337" s="85">
        <f>Tabela1[[#This Row],[Handgrip Contrário]]</f>
        <v>53</v>
      </c>
      <c r="CR337" s="281">
        <f>Tabela1[[#This Row],[% gordura]]</f>
        <v>13.25</v>
      </c>
    </row>
    <row r="338" spans="1:96" ht="15.75" customHeight="1">
      <c r="A338" s="279">
        <f>Tabela1[[#This Row],[Ano]]</f>
        <v>2022</v>
      </c>
      <c r="B338" s="181" t="str">
        <f>Tabela1[[#This Row],[Missão]]</f>
        <v>Avelar</v>
      </c>
      <c r="C338" s="181">
        <f>Tabela1[[#This Row],[Aluno]]</f>
        <v>3250</v>
      </c>
      <c r="D338" s="181">
        <f>Tabela1[[#This Row],[Idade]]</f>
        <v>33</v>
      </c>
      <c r="E338" s="182">
        <f>Tabela1[[#This Row],[Peso Kg]]</f>
        <v>68</v>
      </c>
      <c r="F338" s="191">
        <f>Tabela1[[#This Row],[Cor da pele]]</f>
        <v>0</v>
      </c>
      <c r="G338" s="192" t="str">
        <f>Tabela1[[#This Row],[ACTN3]]</f>
        <v>RR</v>
      </c>
      <c r="H338" s="85" t="str">
        <f>Tabela1[[#This Row],[AGT]]</f>
        <v>MT</v>
      </c>
      <c r="I338" s="85" t="str">
        <f>Tabela1[[#This Row],[ECA]]</f>
        <v>ID</v>
      </c>
      <c r="J338" s="85" t="str">
        <f>Tabela1[[#This Row],[BDKRB2]]</f>
        <v>(+9, +9)</v>
      </c>
      <c r="K338" s="85">
        <f>Tabela1[[#This Row],[Score Força%]]</f>
        <v>75</v>
      </c>
      <c r="L338" s="193">
        <f>Tabela1[[#This Row],[Score Resistência %]]</f>
        <v>25</v>
      </c>
      <c r="M338" s="192">
        <f>Tabela1[[#This Row],[Pré CK (U/L)]]</f>
        <v>99</v>
      </c>
      <c r="N338" s="85">
        <f>Tabela1[[#This Row],[Pós CK (U/L)]]</f>
        <v>5093</v>
      </c>
      <c r="O338" s="85" t="str">
        <f>Tabela1[[#This Row],[Pré CK MB U/L]]</f>
        <v>-</v>
      </c>
      <c r="P338" s="85" t="str">
        <f>Tabela1[[#This Row],[Pós CK MB U/L]]</f>
        <v>-</v>
      </c>
      <c r="Q338" s="85">
        <f>Tabela1[[#This Row],[Pré Lactato (mmol/L)]]</f>
        <v>2.5</v>
      </c>
      <c r="R338" s="85">
        <f>Tabela1[[#This Row],[Pós Lactato (mmol/L)]]</f>
        <v>4.5</v>
      </c>
      <c r="S338" s="85">
        <f>Tabela1[[#This Row],[Pré LDH (U/L)]]</f>
        <v>191</v>
      </c>
      <c r="T338" s="85">
        <f>Tabela1[[#This Row],[Pós LDH (U/L)]]</f>
        <v>711</v>
      </c>
      <c r="U338" s="85">
        <f>Tabela1[[#This Row],[Pré AST (U/L)]]</f>
        <v>26</v>
      </c>
      <c r="V338" s="193">
        <f>Tabela1[[#This Row],[Pós AST (U/L)]]</f>
        <v>95</v>
      </c>
      <c r="W338" s="194" t="str">
        <f>Tabela1[[#This Row],[Pré Albumina (g/dL)]]</f>
        <v>-</v>
      </c>
      <c r="X338" s="125" t="str">
        <f>Tabela1[[#This Row],[Pós Albumina (g/dL)]]</f>
        <v>-</v>
      </c>
      <c r="Y338" s="85" t="str">
        <f>Tabela1[[#This Row],[Pré TGP (g/dL)]]</f>
        <v>-</v>
      </c>
      <c r="Z338" s="85" t="str">
        <f>Tabela1[[#This Row],[Pós TGP (g/dL)]]</f>
        <v>-</v>
      </c>
      <c r="AA338" s="85" t="str">
        <f>Tabela1[[#This Row],[Pré GGT U/L]]</f>
        <v>-</v>
      </c>
      <c r="AB338" s="193" t="str">
        <f>Tabela1[[#This Row],[Pós GGT U/L]]</f>
        <v>-</v>
      </c>
      <c r="AC338" s="194">
        <f>Tabela1[[#This Row],[Pré Ac. Úrico (mg/dL)]]</f>
        <v>6.4</v>
      </c>
      <c r="AD338" s="125">
        <f>Tabela1[[#This Row],[Pós Ac. Úrico (mg/dL)2]]</f>
        <v>8.9</v>
      </c>
      <c r="AE33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93.773455753121382</v>
      </c>
      <c r="AF33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338" s="85">
        <f>Tabela1[[#This Row],[Pré Ureia mg/dL]]</f>
        <v>43</v>
      </c>
      <c r="AH338" s="85">
        <f>Tabela1[[#This Row],[Pós Ureia mg/dL]]</f>
        <v>60</v>
      </c>
      <c r="AI338" s="125">
        <f>Tabela1[[#This Row],[Pré creatinina mg/dL]]</f>
        <v>1.1000000000000001</v>
      </c>
      <c r="AJ338" s="125">
        <f>Tabela1[[#This Row],[Pós creatinina mg/dL]]</f>
        <v>1</v>
      </c>
      <c r="AK338" s="180">
        <f t="shared" si="20"/>
        <v>0</v>
      </c>
      <c r="AL338" s="125">
        <f>Tabela1[[#This Row],[Pré Fósforo mg/dL]]</f>
        <v>4.5999999999999996</v>
      </c>
      <c r="AM338" s="125">
        <f>Tabela1[[#This Row],[Pós Fósforo mg/dL]]</f>
        <v>5.2</v>
      </c>
      <c r="AN338" s="125">
        <f>Tabela1[[#This Row],[Pré Proteína Total (g/dL)]]</f>
        <v>8.6</v>
      </c>
      <c r="AO338" s="125">
        <f>Tabela1[[#This Row],[Pós Proteína Total (g/dL)]]</f>
        <v>7.1</v>
      </c>
      <c r="AP338" s="85">
        <f>Tabela1[[#This Row],[Pré FE (ug/dL)]]</f>
        <v>60</v>
      </c>
      <c r="AQ338" s="193">
        <f>Tabela1[[#This Row],[Pós FE (ug/dL)]]</f>
        <v>15</v>
      </c>
      <c r="AR338" s="194">
        <f>Tabela1[[#This Row],[Pré calcio mg/dL]]</f>
        <v>10.7</v>
      </c>
      <c r="AS338" s="125">
        <f>Tabela1[[#This Row],[Pós calcio mg/dL]]</f>
        <v>8.9</v>
      </c>
      <c r="AT338" s="125">
        <f>Tabela1[[#This Row],[Pré Potássio mmol/L]]</f>
        <v>4.8</v>
      </c>
      <c r="AU338" s="125">
        <f>Tabela1[[#This Row],[Pós Potássio mmol/L]]</f>
        <v>4</v>
      </c>
      <c r="AV338" s="85">
        <f>Tabela1[[#This Row],[Glicose pré]]</f>
        <v>105</v>
      </c>
      <c r="AW338" s="85">
        <f>Tabela1[[#This Row],[Glicose pós]]</f>
        <v>114</v>
      </c>
      <c r="AX338" s="85">
        <f>Tabela1[[#This Row],[Pré Sódio mmol/L]]</f>
        <v>167</v>
      </c>
      <c r="AY338" s="85">
        <f>Tabela1[[#This Row],[Pós Sódio mmol/L]]</f>
        <v>127</v>
      </c>
      <c r="AZ338" s="125">
        <f>Tabela1[[#This Row],[Pré Magnésio mg/dL]]</f>
        <v>2.2999999999999998</v>
      </c>
      <c r="BA338" s="125">
        <f>Tabela1[[#This Row],[Pós Magnésio mg/dL]]</f>
        <v>1.9</v>
      </c>
      <c r="BB338" s="85">
        <f>Tabela1[[#This Row],[Pré Cloro mmol/L]]</f>
        <v>91</v>
      </c>
      <c r="BC338" s="85">
        <f>Tabela1[[#This Row],[Pós Cloro mmol/L]]</f>
        <v>78</v>
      </c>
      <c r="BD33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347.42300000000006</v>
      </c>
      <c r="BE33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274.94333333333338</v>
      </c>
      <c r="BF338" s="194">
        <f>Tabela1[[#This Row],[Pré RBC 10^6/mm³]]</f>
        <v>4.59</v>
      </c>
      <c r="BG338" s="125">
        <f>Tabela1[[#This Row],[Pós RBC 10^6/mm³]]</f>
        <v>4.03</v>
      </c>
      <c r="BH338" s="125">
        <f>Tabela1[[#This Row],[Pré HGB g/dL]]</f>
        <v>14</v>
      </c>
      <c r="BI338" s="125">
        <f>Tabela1[[#This Row],[Pós HGB g/dL]]</f>
        <v>14.4</v>
      </c>
      <c r="BJ338" s="125">
        <f>Tabela1[[#This Row],[Pré HCT %]]</f>
        <v>41</v>
      </c>
      <c r="BK338" s="125">
        <f>Tabela1[[#This Row],[Pós HCT %]]</f>
        <v>28.2</v>
      </c>
      <c r="BL338" s="125">
        <f>Tabela1[[#This Row],[Pré MCV fL]]</f>
        <v>89</v>
      </c>
      <c r="BM338" s="125">
        <f>Tabela1[[#This Row],[Pós MCV fL]]</f>
        <v>70</v>
      </c>
      <c r="BN338" s="125">
        <f>Tabela1[[#This Row],[Pré MCH pg]]</f>
        <v>30.5</v>
      </c>
      <c r="BO338" s="125">
        <f>Tabela1[[#This Row],[Pós MCH pg]]</f>
        <v>35.700000000000003</v>
      </c>
      <c r="BP338" s="125">
        <f>Tabela1[[#This Row],[Pré MCHC g/dL]]</f>
        <v>34.200000000000003</v>
      </c>
      <c r="BQ338" s="125">
        <f>Tabela1[[#This Row],[Pós MCHC g/dL]]</f>
        <v>51.1</v>
      </c>
      <c r="BR338" s="85">
        <f>Tabela1[[#This Row],[Pré PLT 10³/mm³]]</f>
        <v>311</v>
      </c>
      <c r="BS338" s="85">
        <f>Tabela1[[#This Row],[Pós PLT 10³/mm³]]</f>
        <v>343</v>
      </c>
      <c r="BT338" s="125">
        <f>Tabela1[[#This Row],[Pré RDW %]]</f>
        <v>14.1</v>
      </c>
      <c r="BU338" s="125">
        <f>Tabela1[[#This Row],[Pós RDW %]]</f>
        <v>30.6</v>
      </c>
      <c r="BV338" s="179" t="str">
        <f>Tabela1[[#This Row],[Pré RET %]]</f>
        <v>-</v>
      </c>
      <c r="BW338" s="196" t="str">
        <f>Tabela1[[#This Row],[Pós RET %]]</f>
        <v>-</v>
      </c>
      <c r="BX338" s="197">
        <f>Tabela1[[#This Row],[Pré WBC 10³/mm³]]</f>
        <v>6.7</v>
      </c>
      <c r="BY338" s="179" t="str">
        <f>Tabela1[[#This Row],[Pós WBC 10³/mm³]]</f>
        <v>-</v>
      </c>
      <c r="BZ338" s="125">
        <f>Tabela1[[#This Row],[Pré NEUT %]]</f>
        <v>61.8</v>
      </c>
      <c r="CA338" s="125" t="str">
        <f>Tabela1[[#This Row],[Pós NEUT %]]</f>
        <v>-</v>
      </c>
      <c r="CB338" s="125">
        <f>Tabela1[[#This Row],[Pré LINF %]]</f>
        <v>34</v>
      </c>
      <c r="CC338" s="125" t="str">
        <f>Tabela1[[#This Row],[Pós LINF %]]</f>
        <v>-</v>
      </c>
      <c r="CD338" s="125">
        <f>Tabela1[[#This Row],[Pré MONO %]]</f>
        <v>2.7</v>
      </c>
      <c r="CE338" s="125" t="str">
        <f>Tabela1[[#This Row],[Pós MONO %]]</f>
        <v>-</v>
      </c>
      <c r="CF338" s="125">
        <f>Tabela1[[#This Row],[Pré EOS %]]</f>
        <v>1.4</v>
      </c>
      <c r="CG338" s="125" t="str">
        <f>Tabela1[[#This Row],[Pós EOS %]]</f>
        <v>-</v>
      </c>
      <c r="CH338" s="125">
        <f>Tabela1[[#This Row],[Pré BASO %]]</f>
        <v>0.1</v>
      </c>
      <c r="CI338" s="198" t="str">
        <f>Tabela1[[#This Row],[Pós BASO %]]</f>
        <v>-</v>
      </c>
      <c r="CJ338" s="199" t="str">
        <f t="shared" si="21"/>
        <v>NÃO</v>
      </c>
      <c r="CK338" s="200" t="str">
        <f t="shared" si="22"/>
        <v>SIM</v>
      </c>
      <c r="CL338" s="194">
        <f t="shared" si="23"/>
        <v>64.357799999999997</v>
      </c>
      <c r="CM338" s="125">
        <f>Tabela1[[#This Row],[MCT KG]]</f>
        <v>74</v>
      </c>
      <c r="CN338" s="85">
        <f>Tabela1[[#This Row],[ESTATURA]]</f>
        <v>172</v>
      </c>
      <c r="CO338" s="85">
        <f>Tabela1[[#This Row],[vo2max estimado]]</f>
        <v>52.46</v>
      </c>
      <c r="CP338" s="85">
        <f>Tabela1[[#This Row],[Handgrip     Dominante]]</f>
        <v>60</v>
      </c>
      <c r="CQ338" s="85">
        <f>Tabela1[[#This Row],[Handgrip Contrário]]</f>
        <v>58</v>
      </c>
      <c r="CR338" s="281">
        <f>Tabela1[[#This Row],[% gordura]]</f>
        <v>13.03</v>
      </c>
    </row>
    <row r="339" spans="1:96" ht="15.75" customHeight="1">
      <c r="A339" s="279">
        <f>Tabela1[[#This Row],[Ano]]</f>
        <v>2022</v>
      </c>
      <c r="B339" s="181" t="str">
        <f>Tabela1[[#This Row],[Missão]]</f>
        <v>Avelar</v>
      </c>
      <c r="C339" s="181">
        <f>Tabela1[[#This Row],[Aluno]]</f>
        <v>3251</v>
      </c>
      <c r="D339" s="181">
        <f>Tabela1[[#This Row],[Idade]]</f>
        <v>31</v>
      </c>
      <c r="E339" s="182">
        <f>Tabela1[[#This Row],[Peso Kg]]</f>
        <v>82</v>
      </c>
      <c r="F339" s="191">
        <f>Tabela1[[#This Row],[Cor da pele]]</f>
        <v>0</v>
      </c>
      <c r="G339" s="192" t="str">
        <f>Tabela1[[#This Row],[ACTN3]]</f>
        <v>RX</v>
      </c>
      <c r="H339" s="85" t="str">
        <f>Tabela1[[#This Row],[AGT]]</f>
        <v>MT</v>
      </c>
      <c r="I339" s="85" t="str">
        <f>Tabela1[[#This Row],[ECA]]</f>
        <v>II</v>
      </c>
      <c r="J339" s="85" t="str">
        <f>Tabela1[[#This Row],[BDKRB2]]</f>
        <v>(+9, +9)</v>
      </c>
      <c r="K339" s="85">
        <f>Tabela1[[#This Row],[Score Força%]]</f>
        <v>50</v>
      </c>
      <c r="L339" s="193">
        <f>Tabela1[[#This Row],[Score Resistência %]]</f>
        <v>50</v>
      </c>
      <c r="M339" s="192">
        <f>Tabela1[[#This Row],[Pré CK (U/L)]]</f>
        <v>146</v>
      </c>
      <c r="N339" s="85">
        <f>Tabela1[[#This Row],[Pós CK (U/L)]]</f>
        <v>11557</v>
      </c>
      <c r="O339" s="85" t="str">
        <f>Tabela1[[#This Row],[Pré CK MB U/L]]</f>
        <v>-</v>
      </c>
      <c r="P339" s="85" t="str">
        <f>Tabela1[[#This Row],[Pós CK MB U/L]]</f>
        <v>-</v>
      </c>
      <c r="Q339" s="85">
        <f>Tabela1[[#This Row],[Pré Lactato (mmol/L)]]</f>
        <v>2.5</v>
      </c>
      <c r="R339" s="85">
        <f>Tabela1[[#This Row],[Pós Lactato (mmol/L)]]</f>
        <v>2.2999999999999998</v>
      </c>
      <c r="S339" s="85">
        <f>Tabela1[[#This Row],[Pré LDH (U/L)]]</f>
        <v>177</v>
      </c>
      <c r="T339" s="85">
        <f>Tabela1[[#This Row],[Pós LDH (U/L)]]</f>
        <v>1417</v>
      </c>
      <c r="U339" s="85">
        <f>Tabela1[[#This Row],[Pré AST (U/L)]]</f>
        <v>27</v>
      </c>
      <c r="V339" s="193">
        <f>Tabela1[[#This Row],[Pós AST (U/L)]]</f>
        <v>121</v>
      </c>
      <c r="W339" s="194" t="str">
        <f>Tabela1[[#This Row],[Pré Albumina (g/dL)]]</f>
        <v>-</v>
      </c>
      <c r="X339" s="125" t="str">
        <f>Tabela1[[#This Row],[Pós Albumina (g/dL)]]</f>
        <v>-</v>
      </c>
      <c r="Y339" s="85" t="str">
        <f>Tabela1[[#This Row],[Pré TGP (g/dL)]]</f>
        <v>-</v>
      </c>
      <c r="Z339" s="85" t="str">
        <f>Tabela1[[#This Row],[Pós TGP (g/dL)]]</f>
        <v>-</v>
      </c>
      <c r="AA339" s="85" t="str">
        <f>Tabela1[[#This Row],[Pré GGT U/L]]</f>
        <v>-</v>
      </c>
      <c r="AB339" s="193" t="str">
        <f>Tabela1[[#This Row],[Pós GGT U/L]]</f>
        <v>-</v>
      </c>
      <c r="AC339" s="194">
        <f>Tabela1[[#This Row],[Pré Ac. Úrico (mg/dL)]]</f>
        <v>4.8</v>
      </c>
      <c r="AD339" s="125">
        <f>Tabela1[[#This Row],[Pós Ac. Úrico (mg/dL)2]]</f>
        <v>7.8</v>
      </c>
      <c r="AE33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3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339" s="85">
        <f>Tabela1[[#This Row],[Pré Ureia mg/dL]]</f>
        <v>31</v>
      </c>
      <c r="AH339" s="85">
        <f>Tabela1[[#This Row],[Pós Ureia mg/dL]]</f>
        <v>43</v>
      </c>
      <c r="AI339" s="125">
        <f>Tabela1[[#This Row],[Pré creatinina mg/dL]]</f>
        <v>0.9</v>
      </c>
      <c r="AJ339" s="125">
        <f>Tabela1[[#This Row],[Pós creatinina mg/dL]]</f>
        <v>1</v>
      </c>
      <c r="AK339" s="180">
        <f t="shared" si="20"/>
        <v>9.9999999999999978E-2</v>
      </c>
      <c r="AL339" s="125">
        <f>Tabela1[[#This Row],[Pré Fósforo mg/dL]]</f>
        <v>4.7</v>
      </c>
      <c r="AM339" s="125">
        <f>Tabela1[[#This Row],[Pós Fósforo mg/dL]]</f>
        <v>5.0999999999999996</v>
      </c>
      <c r="AN339" s="125">
        <f>Tabela1[[#This Row],[Pré Proteína Total (g/dL)]]</f>
        <v>6.7</v>
      </c>
      <c r="AO339" s="125">
        <f>Tabela1[[#This Row],[Pós Proteína Total (g/dL)]]</f>
        <v>5.8</v>
      </c>
      <c r="AP339" s="85">
        <f>Tabela1[[#This Row],[Pré FE (ug/dL)]]</f>
        <v>78</v>
      </c>
      <c r="AQ339" s="193">
        <f>Tabela1[[#This Row],[Pós FE (ug/dL)]]</f>
        <v>30</v>
      </c>
      <c r="AR339" s="194">
        <f>Tabela1[[#This Row],[Pré calcio mg/dL]]</f>
        <v>9</v>
      </c>
      <c r="AS339" s="125">
        <f>Tabela1[[#This Row],[Pós calcio mg/dL]]</f>
        <v>7.6</v>
      </c>
      <c r="AT339" s="125">
        <f>Tabela1[[#This Row],[Pré Potássio mmol/L]]</f>
        <v>4.2</v>
      </c>
      <c r="AU339" s="125">
        <f>Tabela1[[#This Row],[Pós Potássio mmol/L]]</f>
        <v>4.3</v>
      </c>
      <c r="AV339" s="85">
        <f>Tabela1[[#This Row],[Glicose pré]]</f>
        <v>97</v>
      </c>
      <c r="AW339" s="85">
        <f>Tabela1[[#This Row],[Glicose pós]]</f>
        <v>90</v>
      </c>
      <c r="AX339" s="85">
        <f>Tabela1[[#This Row],[Pré Sódio mmol/L]]</f>
        <v>139</v>
      </c>
      <c r="AY339" s="85">
        <f>Tabela1[[#This Row],[Pós Sódio mmol/L]]</f>
        <v>114</v>
      </c>
      <c r="AZ339" s="125">
        <f>Tabela1[[#This Row],[Pré Magnésio mg/dL]]</f>
        <v>1.6</v>
      </c>
      <c r="BA339" s="125">
        <f>Tabela1[[#This Row],[Pós Magnésio mg/dL]]</f>
        <v>1.6</v>
      </c>
      <c r="BB339" s="85">
        <f>Tabela1[[#This Row],[Pré Cloro mmol/L]]</f>
        <v>99</v>
      </c>
      <c r="BC339" s="85">
        <f>Tabela1[[#This Row],[Pós Cloro mmol/L]]</f>
        <v>75</v>
      </c>
      <c r="BD33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291.71588888888886</v>
      </c>
      <c r="BE33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246.95466666666667</v>
      </c>
      <c r="BF339" s="194">
        <f>Tabela1[[#This Row],[Pré RBC 10^6/mm³]]</f>
        <v>4.7699999999999996</v>
      </c>
      <c r="BG339" s="125">
        <f>Tabela1[[#This Row],[Pós RBC 10^6/mm³]]</f>
        <v>0.35</v>
      </c>
      <c r="BH339" s="125">
        <f>Tabela1[[#This Row],[Pré HGB g/dL]]</f>
        <v>14.3</v>
      </c>
      <c r="BI339" s="125">
        <f>Tabela1[[#This Row],[Pós HGB g/dL]]</f>
        <v>3.2</v>
      </c>
      <c r="BJ339" s="125">
        <f>Tabela1[[#This Row],[Pré HCT %]]</f>
        <v>42</v>
      </c>
      <c r="BK339" s="125">
        <f>Tabela1[[#This Row],[Pós HCT %]]</f>
        <v>25</v>
      </c>
      <c r="BL339" s="125">
        <f>Tabela1[[#This Row],[Pré MCV fL]]</f>
        <v>88</v>
      </c>
      <c r="BM339" s="125">
        <f>Tabela1[[#This Row],[Pós MCV fL]]</f>
        <v>71</v>
      </c>
      <c r="BN339" s="125">
        <f>Tabela1[[#This Row],[Pré MCH pg]]</f>
        <v>30</v>
      </c>
      <c r="BO339" s="125">
        <f>Tabela1[[#This Row],[Pós MCH pg]]</f>
        <v>92.1</v>
      </c>
      <c r="BP339" s="125">
        <f>Tabela1[[#This Row],[Pré MCHC g/dL]]</f>
        <v>34.1</v>
      </c>
      <c r="BQ339" s="125">
        <f>Tabela1[[#This Row],[Pós MCHC g/dL]]</f>
        <v>129</v>
      </c>
      <c r="BR339" s="85">
        <f>Tabela1[[#This Row],[Pré PLT 10³/mm³]]</f>
        <v>283</v>
      </c>
      <c r="BS339" s="85">
        <f>Tabela1[[#This Row],[Pós PLT 10³/mm³]]</f>
        <v>363</v>
      </c>
      <c r="BT339" s="125">
        <f>Tabela1[[#This Row],[Pré RDW %]]</f>
        <v>14.1</v>
      </c>
      <c r="BU339" s="125">
        <f>Tabela1[[#This Row],[Pós RDW %]]</f>
        <v>32.299999999999997</v>
      </c>
      <c r="BV339" s="179" t="str">
        <f>Tabela1[[#This Row],[Pré RET %]]</f>
        <v>-</v>
      </c>
      <c r="BW339" s="196" t="str">
        <f>Tabela1[[#This Row],[Pós RET %]]</f>
        <v>-</v>
      </c>
      <c r="BX339" s="197">
        <f>Tabela1[[#This Row],[Pré WBC 10³/mm³]]</f>
        <v>8.6</v>
      </c>
      <c r="BY339" s="179" t="str">
        <f>Tabela1[[#This Row],[Pós WBC 10³/mm³]]</f>
        <v>-</v>
      </c>
      <c r="BZ339" s="125">
        <f>Tabela1[[#This Row],[Pré NEUT %]]</f>
        <v>671</v>
      </c>
      <c r="CA339" s="125" t="str">
        <f>Tabela1[[#This Row],[Pós NEUT %]]</f>
        <v>-</v>
      </c>
      <c r="CB339" s="125">
        <f>Tabela1[[#This Row],[Pré LINF %]]</f>
        <v>28.5</v>
      </c>
      <c r="CC339" s="125" t="str">
        <f>Tabela1[[#This Row],[Pós LINF %]]</f>
        <v>-</v>
      </c>
      <c r="CD339" s="125">
        <f>Tabela1[[#This Row],[Pré MONO %]]</f>
        <v>2.2999999999999998</v>
      </c>
      <c r="CE339" s="125" t="str">
        <f>Tabela1[[#This Row],[Pós MONO %]]</f>
        <v>-</v>
      </c>
      <c r="CF339" s="125">
        <f>Tabela1[[#This Row],[Pré EOS %]]</f>
        <v>1.9</v>
      </c>
      <c r="CG339" s="125" t="str">
        <f>Tabela1[[#This Row],[Pós EOS %]]</f>
        <v>-</v>
      </c>
      <c r="CH339" s="125">
        <f>Tabela1[[#This Row],[Pré BASO %]]</f>
        <v>0.2</v>
      </c>
      <c r="CI339" s="198" t="str">
        <f>Tabela1[[#This Row],[Pós BASO %]]</f>
        <v>-</v>
      </c>
      <c r="CJ339" s="199" t="str">
        <f t="shared" si="21"/>
        <v>NÃO</v>
      </c>
      <c r="CK339" s="200" t="str">
        <f t="shared" si="22"/>
        <v>SIM</v>
      </c>
      <c r="CL339" s="194">
        <f t="shared" si="23"/>
        <v>75.540360000000007</v>
      </c>
      <c r="CM339" s="125">
        <f>Tabela1[[#This Row],[MCT KG]]</f>
        <v>81.2</v>
      </c>
      <c r="CN339" s="85">
        <f>Tabela1[[#This Row],[ESTATURA]]</f>
        <v>174</v>
      </c>
      <c r="CO339" s="85">
        <f>Tabela1[[#This Row],[vo2max estimado]]</f>
        <v>49.27</v>
      </c>
      <c r="CP339" s="85">
        <f>Tabela1[[#This Row],[Handgrip     Dominante]]</f>
        <v>64</v>
      </c>
      <c r="CQ339" s="85">
        <f>Tabela1[[#This Row],[Handgrip Contrário]]</f>
        <v>64</v>
      </c>
      <c r="CR339" s="281">
        <f>Tabela1[[#This Row],[% gordura]]</f>
        <v>6.97</v>
      </c>
    </row>
    <row r="340" spans="1:96" ht="15.75" customHeight="1">
      <c r="A340" s="279">
        <f>Tabela1[[#This Row],[Ano]]</f>
        <v>2022</v>
      </c>
      <c r="B340" s="181" t="str">
        <f>Tabela1[[#This Row],[Missão]]</f>
        <v>Avelar</v>
      </c>
      <c r="C340" s="181">
        <f>Tabela1[[#This Row],[Aluno]]</f>
        <v>3255</v>
      </c>
      <c r="D340" s="181">
        <f>Tabela1[[#This Row],[Idade]]</f>
        <v>28</v>
      </c>
      <c r="E340" s="182">
        <f>Tabela1[[#This Row],[Peso Kg]]</f>
        <v>77</v>
      </c>
      <c r="F340" s="191">
        <f>Tabela1[[#This Row],[Cor da pele]]</f>
        <v>0</v>
      </c>
      <c r="G340" s="192" t="str">
        <f>Tabela1[[#This Row],[ACTN3]]</f>
        <v>RR</v>
      </c>
      <c r="H340" s="85" t="str">
        <f>Tabela1[[#This Row],[AGT]]</f>
        <v>MT</v>
      </c>
      <c r="I340" s="85" t="str">
        <f>Tabela1[[#This Row],[ECA]]</f>
        <v>ID</v>
      </c>
      <c r="J340" s="85" t="str">
        <f>Tabela1[[#This Row],[BDKRB2]]</f>
        <v>(-9 , -9)</v>
      </c>
      <c r="K340" s="85">
        <f>Tabela1[[#This Row],[Score Força%]]</f>
        <v>50</v>
      </c>
      <c r="L340" s="193">
        <f>Tabela1[[#This Row],[Score Resistência %]]</f>
        <v>50</v>
      </c>
      <c r="M340" s="192">
        <f>Tabela1[[#This Row],[Pré CK (U/L)]]</f>
        <v>76</v>
      </c>
      <c r="N340" s="85">
        <f>Tabela1[[#This Row],[Pós CK (U/L)]]</f>
        <v>4629</v>
      </c>
      <c r="O340" s="85" t="str">
        <f>Tabela1[[#This Row],[Pré CK MB U/L]]</f>
        <v>-</v>
      </c>
      <c r="P340" s="85" t="str">
        <f>Tabela1[[#This Row],[Pós CK MB U/L]]</f>
        <v>-</v>
      </c>
      <c r="Q340" s="85">
        <f>Tabela1[[#This Row],[Pré Lactato (mmol/L)]]</f>
        <v>1.4</v>
      </c>
      <c r="R340" s="85">
        <f>Tabela1[[#This Row],[Pós Lactato (mmol/L)]]</f>
        <v>2.8</v>
      </c>
      <c r="S340" s="85">
        <f>Tabela1[[#This Row],[Pré LDH (U/L)]]</f>
        <v>166</v>
      </c>
      <c r="T340" s="85">
        <f>Tabela1[[#This Row],[Pós LDH (U/L)]]</f>
        <v>587</v>
      </c>
      <c r="U340" s="85">
        <f>Tabela1[[#This Row],[Pré AST (U/L)]]</f>
        <v>21</v>
      </c>
      <c r="V340" s="193">
        <f>Tabela1[[#This Row],[Pós AST (U/L)]]</f>
        <v>76</v>
      </c>
      <c r="W340" s="194" t="str">
        <f>Tabela1[[#This Row],[Pré Albumina (g/dL)]]</f>
        <v>-</v>
      </c>
      <c r="X340" s="125" t="str">
        <f>Tabela1[[#This Row],[Pós Albumina (g/dL)]]</f>
        <v>-</v>
      </c>
      <c r="Y340" s="85" t="str">
        <f>Tabela1[[#This Row],[Pré TGP (g/dL)]]</f>
        <v>-</v>
      </c>
      <c r="Z340" s="85" t="str">
        <f>Tabela1[[#This Row],[Pós TGP (g/dL)]]</f>
        <v>-</v>
      </c>
      <c r="AA340" s="85" t="str">
        <f>Tabela1[[#This Row],[Pré GGT U/L]]</f>
        <v>-</v>
      </c>
      <c r="AB340" s="193" t="str">
        <f>Tabela1[[#This Row],[Pós GGT U/L]]</f>
        <v>-</v>
      </c>
      <c r="AC340" s="194">
        <f>Tabela1[[#This Row],[Pré Ac. Úrico (mg/dL)]]</f>
        <v>4.5999999999999996</v>
      </c>
      <c r="AD340" s="125">
        <f>Tabela1[[#This Row],[Pós Ac. Úrico (mg/dL)2]]</f>
        <v>7.6</v>
      </c>
      <c r="AE34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4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340" s="85">
        <f>Tabela1[[#This Row],[Pré Ureia mg/dL]]</f>
        <v>33</v>
      </c>
      <c r="AH340" s="85">
        <f>Tabela1[[#This Row],[Pós Ureia mg/dL]]</f>
        <v>56</v>
      </c>
      <c r="AI340" s="125">
        <f>Tabela1[[#This Row],[Pré creatinina mg/dL]]</f>
        <v>0.9</v>
      </c>
      <c r="AJ340" s="125">
        <f>Tabela1[[#This Row],[Pós creatinina mg/dL]]</f>
        <v>1.2</v>
      </c>
      <c r="AK340" s="180">
        <f t="shared" si="20"/>
        <v>0.29999999999999993</v>
      </c>
      <c r="AL340" s="125">
        <f>Tabela1[[#This Row],[Pré Fósforo mg/dL]]</f>
        <v>4.5</v>
      </c>
      <c r="AM340" s="125">
        <f>Tabela1[[#This Row],[Pós Fósforo mg/dL]]</f>
        <v>5.4</v>
      </c>
      <c r="AN340" s="125">
        <f>Tabela1[[#This Row],[Pré Proteína Total (g/dL)]]</f>
        <v>7.9</v>
      </c>
      <c r="AO340" s="125">
        <f>Tabela1[[#This Row],[Pós Proteína Total (g/dL)]]</f>
        <v>7.9</v>
      </c>
      <c r="AP340" s="85">
        <f>Tabela1[[#This Row],[Pré FE (ug/dL)]]</f>
        <v>34</v>
      </c>
      <c r="AQ340" s="193">
        <f>Tabela1[[#This Row],[Pós FE (ug/dL)]]</f>
        <v>86</v>
      </c>
      <c r="AR340" s="194">
        <f>Tabela1[[#This Row],[Pré calcio mg/dL]]</f>
        <v>9.5</v>
      </c>
      <c r="AS340" s="125">
        <f>Tabela1[[#This Row],[Pós calcio mg/dL]]</f>
        <v>8.6999999999999993</v>
      </c>
      <c r="AT340" s="125">
        <f>Tabela1[[#This Row],[Pré Potássio mmol/L]]</f>
        <v>4.0999999999999996</v>
      </c>
      <c r="AU340" s="125">
        <f>Tabela1[[#This Row],[Pós Potássio mmol/L]]</f>
        <v>3.7</v>
      </c>
      <c r="AV340" s="85">
        <f>Tabela1[[#This Row],[Glicose pré]]</f>
        <v>97</v>
      </c>
      <c r="AW340" s="85">
        <f>Tabela1[[#This Row],[Glicose pós]]</f>
        <v>97</v>
      </c>
      <c r="AX340" s="85">
        <f>Tabela1[[#This Row],[Pré Sódio mmol/L]]</f>
        <v>144</v>
      </c>
      <c r="AY340" s="85">
        <f>Tabela1[[#This Row],[Pós Sódio mmol/L]]</f>
        <v>126</v>
      </c>
      <c r="AZ340" s="125">
        <f>Tabela1[[#This Row],[Pré Magnésio mg/dL]]</f>
        <v>2</v>
      </c>
      <c r="BA340" s="125">
        <f>Tabela1[[#This Row],[Pós Magnésio mg/dL]]</f>
        <v>1.8</v>
      </c>
      <c r="BB340" s="85">
        <f>Tabela1[[#This Row],[Pré Cloro mmol/L]]</f>
        <v>99</v>
      </c>
      <c r="BC340" s="85">
        <f>Tabela1[[#This Row],[Pós Cloro mmol/L]]</f>
        <v>76</v>
      </c>
      <c r="BD34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301.1632222222222</v>
      </c>
      <c r="BE34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270.77255555555553</v>
      </c>
      <c r="BF340" s="194">
        <f>Tabela1[[#This Row],[Pré RBC 10^6/mm³]]</f>
        <v>4.84</v>
      </c>
      <c r="BG340" s="125">
        <f>Tabela1[[#This Row],[Pós RBC 10^6/mm³]]</f>
        <v>5.31</v>
      </c>
      <c r="BH340" s="125">
        <f>Tabela1[[#This Row],[Pré HGB g/dL]]</f>
        <v>14.6</v>
      </c>
      <c r="BI340" s="125">
        <f>Tabela1[[#This Row],[Pós HGB g/dL]]</f>
        <v>16.100000000000001</v>
      </c>
      <c r="BJ340" s="125">
        <f>Tabela1[[#This Row],[Pré HCT %]]</f>
        <v>44</v>
      </c>
      <c r="BK340" s="125">
        <f>Tabela1[[#This Row],[Pós HCT %]]</f>
        <v>47.4</v>
      </c>
      <c r="BL340" s="125">
        <f>Tabela1[[#This Row],[Pré MCV fL]]</f>
        <v>91</v>
      </c>
      <c r="BM340" s="125">
        <f>Tabela1[[#This Row],[Pós MCV fL]]</f>
        <v>89</v>
      </c>
      <c r="BN340" s="125">
        <f>Tabela1[[#This Row],[Pré MCH pg]]</f>
        <v>30.1</v>
      </c>
      <c r="BO340" s="125">
        <f>Tabela1[[#This Row],[Pós MCH pg]]</f>
        <v>30.3</v>
      </c>
      <c r="BP340" s="125">
        <f>Tabela1[[#This Row],[Pré MCHC g/dL]]</f>
        <v>33.200000000000003</v>
      </c>
      <c r="BQ340" s="125">
        <f>Tabela1[[#This Row],[Pós MCHC g/dL]]</f>
        <v>34</v>
      </c>
      <c r="BR340" s="85">
        <f>Tabela1[[#This Row],[Pré PLT 10³/mm³]]</f>
        <v>236</v>
      </c>
      <c r="BS340" s="85">
        <f>Tabela1[[#This Row],[Pós PLT 10³/mm³]]</f>
        <v>306</v>
      </c>
      <c r="BT340" s="125">
        <f>Tabela1[[#This Row],[Pré RDW %]]</f>
        <v>14</v>
      </c>
      <c r="BU340" s="125">
        <f>Tabela1[[#This Row],[Pós RDW %]]</f>
        <v>14.4</v>
      </c>
      <c r="BV340" s="179" t="str">
        <f>Tabela1[[#This Row],[Pré RET %]]</f>
        <v>-</v>
      </c>
      <c r="BW340" s="196" t="str">
        <f>Tabela1[[#This Row],[Pós RET %]]</f>
        <v>-</v>
      </c>
      <c r="BX340" s="197">
        <f>Tabela1[[#This Row],[Pré WBC 10³/mm³]]</f>
        <v>7.5</v>
      </c>
      <c r="BY340" s="179" t="str">
        <f>Tabela1[[#This Row],[Pós WBC 10³/mm³]]</f>
        <v>-</v>
      </c>
      <c r="BZ340" s="125">
        <f>Tabela1[[#This Row],[Pré NEUT %]]</f>
        <v>62.8</v>
      </c>
      <c r="CA340" s="125" t="str">
        <f>Tabela1[[#This Row],[Pós NEUT %]]</f>
        <v>-</v>
      </c>
      <c r="CB340" s="125">
        <f>Tabela1[[#This Row],[Pré LINF %]]</f>
        <v>35.4</v>
      </c>
      <c r="CC340" s="125" t="str">
        <f>Tabela1[[#This Row],[Pós LINF %]]</f>
        <v>-</v>
      </c>
      <c r="CD340" s="125">
        <f>Tabela1[[#This Row],[Pré MONO %]]</f>
        <v>1.4</v>
      </c>
      <c r="CE340" s="125" t="str">
        <f>Tabela1[[#This Row],[Pós MONO %]]</f>
        <v>-</v>
      </c>
      <c r="CF340" s="125">
        <f>Tabela1[[#This Row],[Pré EOS %]]</f>
        <v>0.3</v>
      </c>
      <c r="CG340" s="125" t="str">
        <f>Tabela1[[#This Row],[Pós EOS %]]</f>
        <v>-</v>
      </c>
      <c r="CH340" s="125">
        <f>Tabela1[[#This Row],[Pré BASO %]]</f>
        <v>0.1</v>
      </c>
      <c r="CI340" s="198" t="str">
        <f>Tabela1[[#This Row],[Pós BASO %]]</f>
        <v>-</v>
      </c>
      <c r="CJ340" s="199" t="str">
        <f t="shared" si="21"/>
        <v>SIM</v>
      </c>
      <c r="CK340" s="200" t="str">
        <f t="shared" si="22"/>
        <v>SIM</v>
      </c>
      <c r="CL340" s="194">
        <f t="shared" si="23"/>
        <v>71.013225000000006</v>
      </c>
      <c r="CM340" s="125">
        <f>Tabela1[[#This Row],[MCT KG]]</f>
        <v>80.25</v>
      </c>
      <c r="CN340" s="85">
        <f>Tabela1[[#This Row],[ESTATURA]]</f>
        <v>179</v>
      </c>
      <c r="CO340" s="85">
        <f>Tabela1[[#This Row],[vo2max estimado]]</f>
        <v>49.57</v>
      </c>
      <c r="CP340" s="85">
        <f>Tabela1[[#This Row],[Handgrip     Dominante]]</f>
        <v>57</v>
      </c>
      <c r="CQ340" s="85">
        <f>Tabela1[[#This Row],[Handgrip Contrário]]</f>
        <v>52</v>
      </c>
      <c r="CR340" s="281">
        <f>Tabela1[[#This Row],[% gordura]]</f>
        <v>11.51</v>
      </c>
    </row>
    <row r="341" spans="1:96" ht="15.75" customHeight="1">
      <c r="A341" s="279">
        <f>Tabela1[[#This Row],[Ano]]</f>
        <v>2022</v>
      </c>
      <c r="B341" s="181" t="str">
        <f>Tabela1[[#This Row],[Missão]]</f>
        <v>Avelar</v>
      </c>
      <c r="C341" s="181">
        <f>Tabela1[[#This Row],[Aluno]]</f>
        <v>3256</v>
      </c>
      <c r="D341" s="181">
        <f>Tabela1[[#This Row],[Idade]]</f>
        <v>29</v>
      </c>
      <c r="E341" s="182">
        <f>Tabela1[[#This Row],[Peso Kg]]</f>
        <v>83</v>
      </c>
      <c r="F341" s="191">
        <f>Tabela1[[#This Row],[Cor da pele]]</f>
        <v>0</v>
      </c>
      <c r="G341" s="192" t="str">
        <f>Tabela1[[#This Row],[ACTN3]]</f>
        <v>RX</v>
      </c>
      <c r="H341" s="85" t="str">
        <f>Tabela1[[#This Row],[AGT]]</f>
        <v>TT</v>
      </c>
      <c r="I341" s="85" t="str">
        <f>Tabela1[[#This Row],[ECA]]</f>
        <v>DD</v>
      </c>
      <c r="J341" s="85" t="str">
        <f>Tabela1[[#This Row],[BDKRB2]]</f>
        <v>(+9, +9)</v>
      </c>
      <c r="K341" s="85">
        <f>Tabela1[[#This Row],[Score Força%]]</f>
        <v>87.5</v>
      </c>
      <c r="L341" s="193">
        <f>Tabela1[[#This Row],[Score Resistência %]]</f>
        <v>12.5</v>
      </c>
      <c r="M341" s="192">
        <f>Tabela1[[#This Row],[Pré CK (U/L)]]</f>
        <v>91</v>
      </c>
      <c r="N341" s="85">
        <f>Tabela1[[#This Row],[Pós CK (U/L)]]</f>
        <v>3942</v>
      </c>
      <c r="O341" s="85" t="str">
        <f>Tabela1[[#This Row],[Pré CK MB U/L]]</f>
        <v>-</v>
      </c>
      <c r="P341" s="85" t="str">
        <f>Tabela1[[#This Row],[Pós CK MB U/L]]</f>
        <v>-</v>
      </c>
      <c r="Q341" s="85">
        <f>Tabela1[[#This Row],[Pré Lactato (mmol/L)]]</f>
        <v>4.0999999999999996</v>
      </c>
      <c r="R341" s="85">
        <f>Tabela1[[#This Row],[Pós Lactato (mmol/L)]]</f>
        <v>3.3</v>
      </c>
      <c r="S341" s="85">
        <f>Tabela1[[#This Row],[Pré LDH (U/L)]]</f>
        <v>206</v>
      </c>
      <c r="T341" s="85">
        <f>Tabela1[[#This Row],[Pós LDH (U/L)]]</f>
        <v>668</v>
      </c>
      <c r="U341" s="85">
        <f>Tabela1[[#This Row],[Pré AST (U/L)]]</f>
        <v>28</v>
      </c>
      <c r="V341" s="193">
        <f>Tabela1[[#This Row],[Pós AST (U/L)]]</f>
        <v>77</v>
      </c>
      <c r="W341" s="194" t="str">
        <f>Tabela1[[#This Row],[Pré Albumina (g/dL)]]</f>
        <v>-</v>
      </c>
      <c r="X341" s="125" t="str">
        <f>Tabela1[[#This Row],[Pós Albumina (g/dL)]]</f>
        <v>-</v>
      </c>
      <c r="Y341" s="85" t="str">
        <f>Tabela1[[#This Row],[Pré TGP (g/dL)]]</f>
        <v>-</v>
      </c>
      <c r="Z341" s="85" t="str">
        <f>Tabela1[[#This Row],[Pós TGP (g/dL)]]</f>
        <v>-</v>
      </c>
      <c r="AA341" s="85" t="str">
        <f>Tabela1[[#This Row],[Pré GGT U/L]]</f>
        <v>-</v>
      </c>
      <c r="AB341" s="193" t="str">
        <f>Tabela1[[#This Row],[Pós GGT U/L]]</f>
        <v>-</v>
      </c>
      <c r="AC341" s="194">
        <f>Tabela1[[#This Row],[Pré Ac. Úrico (mg/dL)]]</f>
        <v>4.7</v>
      </c>
      <c r="AD341" s="125">
        <f>Tabela1[[#This Row],[Pós Ac. Úrico (mg/dL)2]]</f>
        <v>6.4</v>
      </c>
      <c r="AE34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34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341" s="85">
        <f>Tabela1[[#This Row],[Pré Ureia mg/dL]]</f>
        <v>33</v>
      </c>
      <c r="AH341" s="85">
        <f>Tabela1[[#This Row],[Pós Ureia mg/dL]]</f>
        <v>43</v>
      </c>
      <c r="AI341" s="125">
        <f>Tabela1[[#This Row],[Pré creatinina mg/dL]]</f>
        <v>0.7</v>
      </c>
      <c r="AJ341" s="125">
        <f>Tabela1[[#This Row],[Pós creatinina mg/dL]]</f>
        <v>0.8</v>
      </c>
      <c r="AK341" s="180">
        <f t="shared" si="20"/>
        <v>0.10000000000000009</v>
      </c>
      <c r="AL341" s="125">
        <f>Tabela1[[#This Row],[Pré Fósforo mg/dL]]</f>
        <v>5</v>
      </c>
      <c r="AM341" s="125">
        <f>Tabela1[[#This Row],[Pós Fósforo mg/dL]]</f>
        <v>6.5</v>
      </c>
      <c r="AN341" s="125">
        <f>Tabela1[[#This Row],[Pré Proteína Total (g/dL)]]</f>
        <v>8.4</v>
      </c>
      <c r="AO341" s="125">
        <f>Tabela1[[#This Row],[Pós Proteína Total (g/dL)]]</f>
        <v>9</v>
      </c>
      <c r="AP341" s="85">
        <f>Tabela1[[#This Row],[Pré FE (ug/dL)]]</f>
        <v>100</v>
      </c>
      <c r="AQ341" s="193">
        <f>Tabela1[[#This Row],[Pós FE (ug/dL)]]</f>
        <v>62</v>
      </c>
      <c r="AR341" s="194">
        <f>Tabela1[[#This Row],[Pré calcio mg/dL]]</f>
        <v>10</v>
      </c>
      <c r="AS341" s="125">
        <f>Tabela1[[#This Row],[Pós calcio mg/dL]]</f>
        <v>9.1999999999999993</v>
      </c>
      <c r="AT341" s="125">
        <f>Tabela1[[#This Row],[Pré Potássio mmol/L]]</f>
        <v>4.7</v>
      </c>
      <c r="AU341" s="125">
        <f>Tabela1[[#This Row],[Pós Potássio mmol/L]]</f>
        <v>5.3</v>
      </c>
      <c r="AV341" s="85">
        <f>Tabela1[[#This Row],[Glicose pré]]</f>
        <v>98</v>
      </c>
      <c r="AW341" s="85">
        <f>Tabela1[[#This Row],[Glicose pós]]</f>
        <v>89</v>
      </c>
      <c r="AX341" s="85">
        <f>Tabela1[[#This Row],[Pré Sódio mmol/L]]</f>
        <v>142</v>
      </c>
      <c r="AY341" s="85">
        <f>Tabela1[[#This Row],[Pós Sódio mmol/L]]</f>
        <v>131</v>
      </c>
      <c r="AZ341" s="125">
        <f>Tabela1[[#This Row],[Pré Magnésio mg/dL]]</f>
        <v>2.1</v>
      </c>
      <c r="BA341" s="125">
        <f>Tabela1[[#This Row],[Pós Magnésio mg/dL]]</f>
        <v>1.9</v>
      </c>
      <c r="BB341" s="85">
        <f>Tabela1[[#This Row],[Pré Cloro mmol/L]]</f>
        <v>97</v>
      </c>
      <c r="BC341" s="85">
        <f>Tabela1[[#This Row],[Pós Cloro mmol/L]]</f>
        <v>79</v>
      </c>
      <c r="BD34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298.62311111111109</v>
      </c>
      <c r="BE34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280.37077777777785</v>
      </c>
      <c r="BF341" s="194">
        <f>Tabela1[[#This Row],[Pré RBC 10^6/mm³]]</f>
        <v>5.83</v>
      </c>
      <c r="BG341" s="125">
        <f>Tabela1[[#This Row],[Pós RBC 10^6/mm³]]</f>
        <v>3.74</v>
      </c>
      <c r="BH341" s="125">
        <f>Tabela1[[#This Row],[Pré HGB g/dL]]</f>
        <v>15.9</v>
      </c>
      <c r="BI341" s="125">
        <f>Tabela1[[#This Row],[Pós HGB g/dL]]</f>
        <v>13.7</v>
      </c>
      <c r="BJ341" s="125">
        <f>Tabela1[[#This Row],[Pré HCT %]]</f>
        <v>47.2</v>
      </c>
      <c r="BK341" s="125">
        <f>Tabela1[[#This Row],[Pós HCT %]]</f>
        <v>24.8</v>
      </c>
      <c r="BL341" s="125">
        <f>Tabela1[[#This Row],[Pré MCV fL]]</f>
        <v>81</v>
      </c>
      <c r="BM341" s="125">
        <f>Tabela1[[#This Row],[Pós MCV fL]]</f>
        <v>66</v>
      </c>
      <c r="BN341" s="125">
        <f>Tabela1[[#This Row],[Pré MCH pg]]</f>
        <v>27.2</v>
      </c>
      <c r="BO341" s="125">
        <f>Tabela1[[#This Row],[Pós MCH pg]]</f>
        <v>36.700000000000003</v>
      </c>
      <c r="BP341" s="125">
        <f>Tabela1[[#This Row],[Pré MCHC g/dL]]</f>
        <v>33.6</v>
      </c>
      <c r="BQ341" s="125">
        <f>Tabela1[[#This Row],[Pós MCHC g/dL]]</f>
        <v>55.4</v>
      </c>
      <c r="BR341" s="85">
        <f>Tabela1[[#This Row],[Pré PLT 10³/mm³]]</f>
        <v>275</v>
      </c>
      <c r="BS341" s="85">
        <f>Tabela1[[#This Row],[Pós PLT 10³/mm³]]</f>
        <v>214</v>
      </c>
      <c r="BT341" s="125">
        <f>Tabela1[[#This Row],[Pré RDW %]]</f>
        <v>13.8</v>
      </c>
      <c r="BU341" s="125">
        <f>Tabela1[[#This Row],[Pós RDW %]]</f>
        <v>32.700000000000003</v>
      </c>
      <c r="BV341" s="179" t="str">
        <f>Tabela1[[#This Row],[Pré RET %]]</f>
        <v>-</v>
      </c>
      <c r="BW341" s="196" t="str">
        <f>Tabela1[[#This Row],[Pós RET %]]</f>
        <v>-</v>
      </c>
      <c r="BX341" s="197">
        <f>Tabela1[[#This Row],[Pré WBC 10³/mm³]]</f>
        <v>8.3000000000000007</v>
      </c>
      <c r="BY341" s="179" t="str">
        <f>Tabela1[[#This Row],[Pós WBC 10³/mm³]]</f>
        <v>-</v>
      </c>
      <c r="BZ341" s="125">
        <f>Tabela1[[#This Row],[Pré NEUT %]]</f>
        <v>67.900000000000006</v>
      </c>
      <c r="CA341" s="125" t="str">
        <f>Tabela1[[#This Row],[Pós NEUT %]]</f>
        <v>-</v>
      </c>
      <c r="CB341" s="125">
        <f>Tabela1[[#This Row],[Pré LINF %]]</f>
        <v>26.8</v>
      </c>
      <c r="CC341" s="125" t="str">
        <f>Tabela1[[#This Row],[Pós LINF %]]</f>
        <v>-</v>
      </c>
      <c r="CD341" s="125">
        <f>Tabela1[[#This Row],[Pré MONO %]]</f>
        <v>2.7</v>
      </c>
      <c r="CE341" s="125" t="str">
        <f>Tabela1[[#This Row],[Pós MONO %]]</f>
        <v>-</v>
      </c>
      <c r="CF341" s="125">
        <f>Tabela1[[#This Row],[Pré EOS %]]</f>
        <v>2.5</v>
      </c>
      <c r="CG341" s="125" t="str">
        <f>Tabela1[[#This Row],[Pós EOS %]]</f>
        <v>-</v>
      </c>
      <c r="CH341" s="125">
        <f>Tabela1[[#This Row],[Pré BASO %]]</f>
        <v>0.1</v>
      </c>
      <c r="CI341" s="198" t="str">
        <f>Tabela1[[#This Row],[Pós BASO %]]</f>
        <v>-</v>
      </c>
      <c r="CJ341" s="199" t="str">
        <f t="shared" si="21"/>
        <v>NÃO</v>
      </c>
      <c r="CK341" s="200" t="str">
        <f t="shared" si="22"/>
        <v>SIM</v>
      </c>
      <c r="CL341" s="194">
        <f t="shared" si="23"/>
        <v>71.552219999999991</v>
      </c>
      <c r="CM341" s="125">
        <f>Tabela1[[#This Row],[MCT KG]]</f>
        <v>83.55</v>
      </c>
      <c r="CN341" s="85">
        <f>Tabela1[[#This Row],[ESTATURA]]</f>
        <v>182.6</v>
      </c>
      <c r="CO341" s="85">
        <f>Tabela1[[#This Row],[vo2max estimado]]</f>
        <v>51.94</v>
      </c>
      <c r="CP341" s="85">
        <f>Tabela1[[#This Row],[Handgrip     Dominante]]</f>
        <v>56</v>
      </c>
      <c r="CQ341" s="85">
        <f>Tabela1[[#This Row],[Handgrip Contrário]]</f>
        <v>52</v>
      </c>
      <c r="CR341" s="281">
        <f>Tabela1[[#This Row],[% gordura]]</f>
        <v>14.36</v>
      </c>
    </row>
    <row r="342" spans="1:96" ht="15.75" customHeight="1">
      <c r="A342" s="279">
        <f>Tabela1[[#This Row],[Ano]]</f>
        <v>2022</v>
      </c>
      <c r="B342" s="181" t="str">
        <f>Tabela1[[#This Row],[Missão]]</f>
        <v>Avelar</v>
      </c>
      <c r="C342" s="181">
        <f>Tabela1[[#This Row],[Aluno]]</f>
        <v>3257</v>
      </c>
      <c r="D342" s="181">
        <f>Tabela1[[#This Row],[Idade]]</f>
        <v>28</v>
      </c>
      <c r="E342" s="182">
        <f>Tabela1[[#This Row],[Peso Kg]]</f>
        <v>92</v>
      </c>
      <c r="F342" s="191">
        <f>Tabela1[[#This Row],[Cor da pele]]</f>
        <v>0</v>
      </c>
      <c r="G342" s="192" t="str">
        <f>Tabela1[[#This Row],[ACTN3]]</f>
        <v>RX</v>
      </c>
      <c r="H342" s="85" t="str">
        <f>Tabela1[[#This Row],[AGT]]</f>
        <v>TT</v>
      </c>
      <c r="I342" s="85" t="str">
        <f>Tabela1[[#This Row],[ECA]]</f>
        <v>II</v>
      </c>
      <c r="J342" s="85" t="str">
        <f>Tabela1[[#This Row],[BDKRB2]]</f>
        <v>(+9, +9)</v>
      </c>
      <c r="K342" s="85">
        <f>Tabela1[[#This Row],[Score Força%]]</f>
        <v>62.5</v>
      </c>
      <c r="L342" s="193">
        <f>Tabela1[[#This Row],[Score Resistência %]]</f>
        <v>37.5</v>
      </c>
      <c r="M342" s="192">
        <f>Tabela1[[#This Row],[Pré CK (U/L)]]</f>
        <v>109</v>
      </c>
      <c r="N342" s="85">
        <f>Tabela1[[#This Row],[Pós CK (U/L)]]</f>
        <v>3279</v>
      </c>
      <c r="O342" s="85" t="str">
        <f>Tabela1[[#This Row],[Pré CK MB U/L]]</f>
        <v>-</v>
      </c>
      <c r="P342" s="85" t="str">
        <f>Tabela1[[#This Row],[Pós CK MB U/L]]</f>
        <v>-</v>
      </c>
      <c r="Q342" s="85">
        <f>Tabela1[[#This Row],[Pré Lactato (mmol/L)]]</f>
        <v>1.6</v>
      </c>
      <c r="R342" s="85">
        <f>Tabela1[[#This Row],[Pós Lactato (mmol/L)]]</f>
        <v>2.1</v>
      </c>
      <c r="S342" s="85">
        <f>Tabela1[[#This Row],[Pré LDH (U/L)]]</f>
        <v>198</v>
      </c>
      <c r="T342" s="85">
        <f>Tabela1[[#This Row],[Pós LDH (U/L)]]</f>
        <v>662</v>
      </c>
      <c r="U342" s="85">
        <f>Tabela1[[#This Row],[Pré AST (U/L)]]</f>
        <v>34</v>
      </c>
      <c r="V342" s="193">
        <f>Tabela1[[#This Row],[Pós AST (U/L)]]</f>
        <v>96</v>
      </c>
      <c r="W342" s="194" t="str">
        <f>Tabela1[[#This Row],[Pré Albumina (g/dL)]]</f>
        <v>-</v>
      </c>
      <c r="X342" s="125" t="str">
        <f>Tabela1[[#This Row],[Pós Albumina (g/dL)]]</f>
        <v>-</v>
      </c>
      <c r="Y342" s="85" t="str">
        <f>Tabela1[[#This Row],[Pré TGP (g/dL)]]</f>
        <v>-</v>
      </c>
      <c r="Z342" s="85" t="str">
        <f>Tabela1[[#This Row],[Pós TGP (g/dL)]]</f>
        <v>-</v>
      </c>
      <c r="AA342" s="85" t="str">
        <f>Tabela1[[#This Row],[Pré GGT U/L]]</f>
        <v>-</v>
      </c>
      <c r="AB342" s="193" t="str">
        <f>Tabela1[[#This Row],[Pós GGT U/L]]</f>
        <v>-</v>
      </c>
      <c r="AC342" s="194">
        <f>Tabela1[[#This Row],[Pré Ac. Úrico (mg/dL)]]</f>
        <v>5.3</v>
      </c>
      <c r="AD342" s="125">
        <f>Tabela1[[#This Row],[Pós Ac. Úrico (mg/dL)2]]</f>
        <v>7.9</v>
      </c>
      <c r="AE34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4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123.62553772503618</v>
      </c>
      <c r="AG342" s="85">
        <f>Tabela1[[#This Row],[Pré Ureia mg/dL]]</f>
        <v>40</v>
      </c>
      <c r="AH342" s="85">
        <f>Tabela1[[#This Row],[Pós Ureia mg/dL]]</f>
        <v>53</v>
      </c>
      <c r="AI342" s="125">
        <f>Tabela1[[#This Row],[Pré creatinina mg/dL]]</f>
        <v>0.8</v>
      </c>
      <c r="AJ342" s="125">
        <f>Tabela1[[#This Row],[Pós creatinina mg/dL]]</f>
        <v>0.8</v>
      </c>
      <c r="AK342" s="180">
        <f t="shared" si="20"/>
        <v>0</v>
      </c>
      <c r="AL342" s="125">
        <f>Tabela1[[#This Row],[Pré Fósforo mg/dL]]</f>
        <v>4.5999999999999996</v>
      </c>
      <c r="AM342" s="125">
        <f>Tabela1[[#This Row],[Pós Fósforo mg/dL]]</f>
        <v>7.4</v>
      </c>
      <c r="AN342" s="125">
        <f>Tabela1[[#This Row],[Pré Proteína Total (g/dL)]]</f>
        <v>7.7</v>
      </c>
      <c r="AO342" s="125">
        <f>Tabela1[[#This Row],[Pós Proteína Total (g/dL)]]</f>
        <v>8.6</v>
      </c>
      <c r="AP342" s="85">
        <f>Tabela1[[#This Row],[Pré FE (ug/dL)]]</f>
        <v>38</v>
      </c>
      <c r="AQ342" s="193">
        <f>Tabela1[[#This Row],[Pós FE (ug/dL)]]</f>
        <v>10</v>
      </c>
      <c r="AR342" s="194">
        <f>Tabela1[[#This Row],[Pré calcio mg/dL]]</f>
        <v>10.1</v>
      </c>
      <c r="AS342" s="125">
        <f>Tabela1[[#This Row],[Pós calcio mg/dL]]</f>
        <v>0.2</v>
      </c>
      <c r="AT342" s="125">
        <f>Tabela1[[#This Row],[Pré Potássio mmol/L]]</f>
        <v>4.8</v>
      </c>
      <c r="AU342" s="125">
        <f>Tabela1[[#This Row],[Pós Potássio mmol/L]]</f>
        <v>5</v>
      </c>
      <c r="AV342" s="85">
        <f>Tabela1[[#This Row],[Glicose pré]]</f>
        <v>89</v>
      </c>
      <c r="AW342" s="85">
        <f>Tabela1[[#This Row],[Glicose pós]]</f>
        <v>101</v>
      </c>
      <c r="AX342" s="85">
        <f>Tabela1[[#This Row],[Pré Sódio mmol/L]]</f>
        <v>144</v>
      </c>
      <c r="AY342" s="85">
        <f>Tabela1[[#This Row],[Pós Sódio mmol/L]]</f>
        <v>141</v>
      </c>
      <c r="AZ342" s="125">
        <f>Tabela1[[#This Row],[Pré Magnésio mg/dL]]</f>
        <v>1.9</v>
      </c>
      <c r="BA342" s="125">
        <f>Tabela1[[#This Row],[Pós Magnésio mg/dL]]</f>
        <v>1.9</v>
      </c>
      <c r="BB342" s="85">
        <f>Tabela1[[#This Row],[Pré Cloro mmol/L]]</f>
        <v>101</v>
      </c>
      <c r="BC342" s="85">
        <f>Tabela1[[#This Row],[Pós Cloro mmol/L]]</f>
        <v>82</v>
      </c>
      <c r="BD34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303.12077777777785</v>
      </c>
      <c r="BE34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300.8461111111111</v>
      </c>
      <c r="BF342" s="194">
        <f>Tabela1[[#This Row],[Pré RBC 10^6/mm³]]</f>
        <v>4.7699999999999996</v>
      </c>
      <c r="BG342" s="125">
        <f>Tabela1[[#This Row],[Pós RBC 10^6/mm³]]</f>
        <v>3.49</v>
      </c>
      <c r="BH342" s="125">
        <f>Tabela1[[#This Row],[Pré HGB g/dL]]</f>
        <v>14.8</v>
      </c>
      <c r="BI342" s="125">
        <f>Tabela1[[#This Row],[Pós HGB g/dL]]</f>
        <v>11.6</v>
      </c>
      <c r="BJ342" s="125">
        <f>Tabela1[[#This Row],[Pré HCT %]]</f>
        <v>44.3</v>
      </c>
      <c r="BK342" s="125">
        <f>Tabela1[[#This Row],[Pós HCT %]]</f>
        <v>32.4</v>
      </c>
      <c r="BL342" s="125">
        <f>Tabela1[[#This Row],[Pré MCV fL]]</f>
        <v>93</v>
      </c>
      <c r="BM342" s="125">
        <f>Tabela1[[#This Row],[Pós MCV fL]]</f>
        <v>93</v>
      </c>
      <c r="BN342" s="125">
        <f>Tabela1[[#This Row],[Pré MCH pg]]</f>
        <v>31</v>
      </c>
      <c r="BO342" s="125">
        <f>Tabela1[[#This Row],[Pós MCH pg]]</f>
        <v>33.4</v>
      </c>
      <c r="BP342" s="125">
        <f>Tabela1[[#This Row],[Pré MCHC g/dL]]</f>
        <v>33.4</v>
      </c>
      <c r="BQ342" s="125">
        <f>Tabela1[[#This Row],[Pós MCHC g/dL]]</f>
        <v>36</v>
      </c>
      <c r="BR342" s="85">
        <f>Tabela1[[#This Row],[Pré PLT 10³/mm³]]</f>
        <v>264</v>
      </c>
      <c r="BS342" s="85">
        <f>Tabela1[[#This Row],[Pós PLT 10³/mm³]]</f>
        <v>124</v>
      </c>
      <c r="BT342" s="125">
        <f>Tabela1[[#This Row],[Pré RDW %]]</f>
        <v>13.3</v>
      </c>
      <c r="BU342" s="125">
        <f>Tabela1[[#This Row],[Pós RDW %]]</f>
        <v>14.8</v>
      </c>
      <c r="BV342" s="179" t="str">
        <f>Tabela1[[#This Row],[Pré RET %]]</f>
        <v>-</v>
      </c>
      <c r="BW342" s="196" t="str">
        <f>Tabela1[[#This Row],[Pós RET %]]</f>
        <v>-</v>
      </c>
      <c r="BX342" s="197">
        <f>Tabela1[[#This Row],[Pré WBC 10³/mm³]]</f>
        <v>4.4000000000000004</v>
      </c>
      <c r="BY342" s="179" t="str">
        <f>Tabela1[[#This Row],[Pós WBC 10³/mm³]]</f>
        <v>-</v>
      </c>
      <c r="BZ342" s="125">
        <f>Tabela1[[#This Row],[Pré NEUT %]]</f>
        <v>43.2</v>
      </c>
      <c r="CA342" s="125" t="str">
        <f>Tabela1[[#This Row],[Pós NEUT %]]</f>
        <v>-</v>
      </c>
      <c r="CB342" s="125">
        <f>Tabela1[[#This Row],[Pré LINF %]]</f>
        <v>46.7</v>
      </c>
      <c r="CC342" s="125" t="str">
        <f>Tabela1[[#This Row],[Pós LINF %]]</f>
        <v>-</v>
      </c>
      <c r="CD342" s="125">
        <f>Tabela1[[#This Row],[Pré MONO %]]</f>
        <v>2.1</v>
      </c>
      <c r="CE342" s="125" t="str">
        <f>Tabela1[[#This Row],[Pós MONO %]]</f>
        <v>-</v>
      </c>
      <c r="CF342" s="125">
        <f>Tabela1[[#This Row],[Pré EOS %]]</f>
        <v>7.9</v>
      </c>
      <c r="CG342" s="125" t="str">
        <f>Tabela1[[#This Row],[Pós EOS %]]</f>
        <v>-</v>
      </c>
      <c r="CH342" s="125">
        <f>Tabela1[[#This Row],[Pré BASO %]]</f>
        <v>0.1</v>
      </c>
      <c r="CI342" s="198" t="str">
        <f>Tabela1[[#This Row],[Pós BASO %]]</f>
        <v>-</v>
      </c>
      <c r="CJ342" s="199" t="str">
        <f t="shared" si="21"/>
        <v>NÃO</v>
      </c>
      <c r="CK342" s="200" t="str">
        <f t="shared" si="22"/>
        <v>SIM</v>
      </c>
      <c r="CL342" s="194">
        <f t="shared" si="23"/>
        <v>79.259819999999991</v>
      </c>
      <c r="CM342" s="125">
        <f>Tabela1[[#This Row],[MCT KG]]</f>
        <v>92.55</v>
      </c>
      <c r="CN342" s="85">
        <f>Tabela1[[#This Row],[ESTATURA]]</f>
        <v>183.2</v>
      </c>
      <c r="CO342" s="85">
        <f>Tabela1[[#This Row],[vo2max estimado]]</f>
        <v>45.83</v>
      </c>
      <c r="CP342" s="85">
        <f>Tabela1[[#This Row],[Handgrip     Dominante]]</f>
        <v>58</v>
      </c>
      <c r="CQ342" s="85">
        <f>Tabela1[[#This Row],[Handgrip Contrário]]</f>
        <v>62</v>
      </c>
      <c r="CR342" s="281">
        <f>Tabela1[[#This Row],[% gordura]]</f>
        <v>14.36</v>
      </c>
    </row>
    <row r="343" spans="1:96" ht="15.75" customHeight="1">
      <c r="A343" s="279">
        <f>Tabela1[[#This Row],[Ano]]</f>
        <v>2022</v>
      </c>
      <c r="B343" s="181" t="str">
        <f>Tabela1[[#This Row],[Missão]]</f>
        <v>Avelar</v>
      </c>
      <c r="C343" s="181">
        <f>Tabela1[[#This Row],[Aluno]]</f>
        <v>3258</v>
      </c>
      <c r="D343" s="181">
        <f>Tabela1[[#This Row],[Idade]]</f>
        <v>26</v>
      </c>
      <c r="E343" s="182">
        <f>Tabela1[[#This Row],[Peso Kg]]</f>
        <v>82</v>
      </c>
      <c r="F343" s="191">
        <f>Tabela1[[#This Row],[Cor da pele]]</f>
        <v>0</v>
      </c>
      <c r="G343" s="192" t="str">
        <f>Tabela1[[#This Row],[ACTN3]]</f>
        <v>XX</v>
      </c>
      <c r="H343" s="85" t="str">
        <f>Tabela1[[#This Row],[AGT]]</f>
        <v>MT</v>
      </c>
      <c r="I343" s="85" t="str">
        <f>Tabela1[[#This Row],[ECA]]</f>
        <v>ID</v>
      </c>
      <c r="J343" s="85" t="str">
        <f>Tabela1[[#This Row],[BDKRB2]]</f>
        <v>(+9, -9)</v>
      </c>
      <c r="K343" s="85">
        <f>Tabela1[[#This Row],[Score Força%]]</f>
        <v>37.5</v>
      </c>
      <c r="L343" s="193">
        <f>Tabela1[[#This Row],[Score Resistência %]]</f>
        <v>62.5</v>
      </c>
      <c r="M343" s="192">
        <f>Tabela1[[#This Row],[Pré CK (U/L)]]</f>
        <v>106</v>
      </c>
      <c r="N343" s="85">
        <f>Tabela1[[#This Row],[Pós CK (U/L)]]</f>
        <v>7134</v>
      </c>
      <c r="O343" s="85" t="str">
        <f>Tabela1[[#This Row],[Pré CK MB U/L]]</f>
        <v>-</v>
      </c>
      <c r="P343" s="85" t="str">
        <f>Tabela1[[#This Row],[Pós CK MB U/L]]</f>
        <v>-</v>
      </c>
      <c r="Q343" s="85">
        <f>Tabela1[[#This Row],[Pré Lactato (mmol/L)]]</f>
        <v>2.2999999999999998</v>
      </c>
      <c r="R343" s="85">
        <f>Tabela1[[#This Row],[Pós Lactato (mmol/L)]]</f>
        <v>3.4</v>
      </c>
      <c r="S343" s="85">
        <f>Tabela1[[#This Row],[Pré LDH (U/L)]]</f>
        <v>194</v>
      </c>
      <c r="T343" s="85">
        <f>Tabela1[[#This Row],[Pós LDH (U/L)]]</f>
        <v>655</v>
      </c>
      <c r="U343" s="85">
        <f>Tabela1[[#This Row],[Pré AST (U/L)]]</f>
        <v>37</v>
      </c>
      <c r="V343" s="193">
        <f>Tabela1[[#This Row],[Pós AST (U/L)]]</f>
        <v>100</v>
      </c>
      <c r="W343" s="194" t="str">
        <f>Tabela1[[#This Row],[Pré Albumina (g/dL)]]</f>
        <v>-</v>
      </c>
      <c r="X343" s="125" t="str">
        <f>Tabela1[[#This Row],[Pós Albumina (g/dL)]]</f>
        <v>-</v>
      </c>
      <c r="Y343" s="85" t="str">
        <f>Tabela1[[#This Row],[Pré TGP (g/dL)]]</f>
        <v>-</v>
      </c>
      <c r="Z343" s="85" t="str">
        <f>Tabela1[[#This Row],[Pós TGP (g/dL)]]</f>
        <v>-</v>
      </c>
      <c r="AA343" s="85" t="str">
        <f>Tabela1[[#This Row],[Pré GGT U/L]]</f>
        <v>-</v>
      </c>
      <c r="AB343" s="193" t="str">
        <f>Tabela1[[#This Row],[Pós GGT U/L]]</f>
        <v>-</v>
      </c>
      <c r="AC343" s="194">
        <f>Tabela1[[#This Row],[Pré Ac. Úrico (mg/dL)]]</f>
        <v>4.7</v>
      </c>
      <c r="AD343" s="125">
        <f>Tabela1[[#This Row],[Pós Ac. Úrico (mg/dL)2]]</f>
        <v>7.5</v>
      </c>
      <c r="AE34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4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343" s="85">
        <f>Tabela1[[#This Row],[Pré Ureia mg/dL]]</f>
        <v>37</v>
      </c>
      <c r="AH343" s="85">
        <f>Tabela1[[#This Row],[Pós Ureia mg/dL]]</f>
        <v>46</v>
      </c>
      <c r="AI343" s="125">
        <f>Tabela1[[#This Row],[Pré creatinina mg/dL]]</f>
        <v>0.8</v>
      </c>
      <c r="AJ343" s="125">
        <f>Tabela1[[#This Row],[Pós creatinina mg/dL]]</f>
        <v>1.1000000000000001</v>
      </c>
      <c r="AK343" s="180">
        <f t="shared" si="20"/>
        <v>0.30000000000000004</v>
      </c>
      <c r="AL343" s="125">
        <f>Tabela1[[#This Row],[Pré Fósforo mg/dL]]</f>
        <v>4.5</v>
      </c>
      <c r="AM343" s="125">
        <f>Tabela1[[#This Row],[Pós Fósforo mg/dL]]</f>
        <v>5.6</v>
      </c>
      <c r="AN343" s="125">
        <f>Tabela1[[#This Row],[Pré Proteína Total (g/dL)]]</f>
        <v>7.4</v>
      </c>
      <c r="AO343" s="125">
        <f>Tabela1[[#This Row],[Pós Proteína Total (g/dL)]]</f>
        <v>8.1999999999999993</v>
      </c>
      <c r="AP343" s="85">
        <f>Tabela1[[#This Row],[Pré FE (ug/dL)]]</f>
        <v>49</v>
      </c>
      <c r="AQ343" s="193">
        <f>Tabela1[[#This Row],[Pós FE (ug/dL)]]</f>
        <v>40</v>
      </c>
      <c r="AR343" s="194">
        <f>Tabela1[[#This Row],[Pré calcio mg/dL]]</f>
        <v>9.1999999999999993</v>
      </c>
      <c r="AS343" s="125">
        <f>Tabela1[[#This Row],[Pós calcio mg/dL]]</f>
        <v>9.4</v>
      </c>
      <c r="AT343" s="125">
        <f>Tabela1[[#This Row],[Pré Potássio mmol/L]]</f>
        <v>4.0999999999999996</v>
      </c>
      <c r="AU343" s="125">
        <f>Tabela1[[#This Row],[Pós Potássio mmol/L]]</f>
        <v>4.3</v>
      </c>
      <c r="AV343" s="85">
        <f>Tabela1[[#This Row],[Glicose pré]]</f>
        <v>86</v>
      </c>
      <c r="AW343" s="85">
        <f>Tabela1[[#This Row],[Glicose pós]]</f>
        <v>90</v>
      </c>
      <c r="AX343" s="85">
        <f>Tabela1[[#This Row],[Pré Sódio mmol/L]]</f>
        <v>141</v>
      </c>
      <c r="AY343" s="85">
        <f>Tabela1[[#This Row],[Pós Sódio mmol/L]]</f>
        <v>131</v>
      </c>
      <c r="AZ343" s="125">
        <f>Tabela1[[#This Row],[Pré Magnésio mg/dL]]</f>
        <v>1.9</v>
      </c>
      <c r="BA343" s="125">
        <f>Tabela1[[#This Row],[Pós Magnésio mg/dL]]</f>
        <v>1.8</v>
      </c>
      <c r="BB343" s="85">
        <f>Tabela1[[#This Row],[Pré Cloro mmol/L]]</f>
        <v>99</v>
      </c>
      <c r="BC343" s="85">
        <f>Tabela1[[#This Row],[Pós Cloro mmol/L]]</f>
        <v>79</v>
      </c>
      <c r="BD34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295.54711111111118</v>
      </c>
      <c r="BE34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279.0746666666667</v>
      </c>
      <c r="BF343" s="194">
        <f>Tabela1[[#This Row],[Pré RBC 10^6/mm³]]</f>
        <v>4.93</v>
      </c>
      <c r="BG343" s="125" t="str">
        <f>Tabela1[[#This Row],[Pós RBC 10^6/mm³]]</f>
        <v>-</v>
      </c>
      <c r="BH343" s="125">
        <f>Tabela1[[#This Row],[Pré HGB g/dL]]</f>
        <v>15.5</v>
      </c>
      <c r="BI343" s="125" t="str">
        <f>Tabela1[[#This Row],[Pós HGB g/dL]]</f>
        <v>-</v>
      </c>
      <c r="BJ343" s="125">
        <f>Tabela1[[#This Row],[Pré HCT %]]</f>
        <v>46.2</v>
      </c>
      <c r="BK343" s="125" t="str">
        <f>Tabela1[[#This Row],[Pós HCT %]]</f>
        <v>-</v>
      </c>
      <c r="BL343" s="125">
        <f>Tabela1[[#This Row],[Pré MCV fL]]</f>
        <v>94</v>
      </c>
      <c r="BM343" s="125" t="str">
        <f>Tabela1[[#This Row],[Pós MCV fL]]</f>
        <v>-</v>
      </c>
      <c r="BN343" s="125">
        <f>Tabela1[[#This Row],[Pré MCH pg]]</f>
        <v>31.5</v>
      </c>
      <c r="BO343" s="125" t="str">
        <f>Tabela1[[#This Row],[Pós MCH pg]]</f>
        <v>-</v>
      </c>
      <c r="BP343" s="125">
        <f>Tabela1[[#This Row],[Pré MCHC g/dL]]</f>
        <v>33.5</v>
      </c>
      <c r="BQ343" s="125" t="str">
        <f>Tabela1[[#This Row],[Pós MCHC g/dL]]</f>
        <v>-</v>
      </c>
      <c r="BR343" s="85">
        <f>Tabela1[[#This Row],[Pré PLT 10³/mm³]]</f>
        <v>280</v>
      </c>
      <c r="BS343" s="85" t="str">
        <f>Tabela1[[#This Row],[Pós PLT 10³/mm³]]</f>
        <v>-</v>
      </c>
      <c r="BT343" s="125">
        <f>Tabela1[[#This Row],[Pré RDW %]]</f>
        <v>13.5</v>
      </c>
      <c r="BU343" s="125" t="str">
        <f>Tabela1[[#This Row],[Pós RDW %]]</f>
        <v>-</v>
      </c>
      <c r="BV343" s="179" t="str">
        <f>Tabela1[[#This Row],[Pré RET %]]</f>
        <v>-</v>
      </c>
      <c r="BW343" s="196" t="str">
        <f>Tabela1[[#This Row],[Pós RET %]]</f>
        <v>-</v>
      </c>
      <c r="BX343" s="197">
        <f>Tabela1[[#This Row],[Pré WBC 10³/mm³]]</f>
        <v>10.199999999999999</v>
      </c>
      <c r="BY343" s="179" t="str">
        <f>Tabela1[[#This Row],[Pós WBC 10³/mm³]]</f>
        <v>-</v>
      </c>
      <c r="BZ343" s="125">
        <f>Tabela1[[#This Row],[Pré NEUT %]]</f>
        <v>61.9</v>
      </c>
      <c r="CA343" s="125" t="str">
        <f>Tabela1[[#This Row],[Pós NEUT %]]</f>
        <v>-</v>
      </c>
      <c r="CB343" s="125">
        <f>Tabela1[[#This Row],[Pré LINF %]]</f>
        <v>32.6</v>
      </c>
      <c r="CC343" s="125" t="str">
        <f>Tabela1[[#This Row],[Pós LINF %]]</f>
        <v>-</v>
      </c>
      <c r="CD343" s="125">
        <f>Tabela1[[#This Row],[Pré MONO %]]</f>
        <v>2.4</v>
      </c>
      <c r="CE343" s="125" t="str">
        <f>Tabela1[[#This Row],[Pós MONO %]]</f>
        <v>-</v>
      </c>
      <c r="CF343" s="125">
        <f>Tabela1[[#This Row],[Pré EOS %]]</f>
        <v>3</v>
      </c>
      <c r="CG343" s="125" t="str">
        <f>Tabela1[[#This Row],[Pós EOS %]]</f>
        <v>-</v>
      </c>
      <c r="CH343" s="125">
        <f>Tabela1[[#This Row],[Pré BASO %]]</f>
        <v>0.1</v>
      </c>
      <c r="CI343" s="198" t="str">
        <f>Tabela1[[#This Row],[Pós BASO %]]</f>
        <v>-</v>
      </c>
      <c r="CJ343" s="199" t="str">
        <f t="shared" si="21"/>
        <v>SIM</v>
      </c>
      <c r="CK343" s="200" t="str">
        <f t="shared" si="22"/>
        <v>SIM</v>
      </c>
      <c r="CL343" s="194">
        <f t="shared" si="23"/>
        <v>72.216679999999997</v>
      </c>
      <c r="CM343" s="125">
        <f>Tabela1[[#This Row],[MCT KG]]</f>
        <v>87.05</v>
      </c>
      <c r="CN343" s="85">
        <f>Tabela1[[#This Row],[ESTATURA]]</f>
        <v>173.3</v>
      </c>
      <c r="CO343" s="85">
        <f>Tabela1[[#This Row],[vo2max estimado]]</f>
        <v>46.36</v>
      </c>
      <c r="CP343" s="85">
        <f>Tabela1[[#This Row],[Handgrip     Dominante]]</f>
        <v>50</v>
      </c>
      <c r="CQ343" s="85">
        <f>Tabela1[[#This Row],[Handgrip Contrário]]</f>
        <v>46</v>
      </c>
      <c r="CR343" s="281">
        <f>Tabela1[[#This Row],[% gordura]]</f>
        <v>17.04</v>
      </c>
    </row>
    <row r="344" spans="1:96" ht="15.75" customHeight="1">
      <c r="A344" s="279">
        <f>Tabela1[[#This Row],[Ano]]</f>
        <v>2022</v>
      </c>
      <c r="B344" s="181" t="str">
        <f>Tabela1[[#This Row],[Missão]]</f>
        <v>Avelar</v>
      </c>
      <c r="C344" s="181">
        <f>Tabela1[[#This Row],[Aluno]]</f>
        <v>3259</v>
      </c>
      <c r="D344" s="181">
        <f>Tabela1[[#This Row],[Idade]]</f>
        <v>25</v>
      </c>
      <c r="E344" s="182">
        <f>Tabela1[[#This Row],[Peso Kg]]</f>
        <v>68.7</v>
      </c>
      <c r="F344" s="191">
        <f>Tabela1[[#This Row],[Cor da pele]]</f>
        <v>0</v>
      </c>
      <c r="G344" s="192" t="str">
        <f>Tabela1[[#This Row],[ACTN3]]</f>
        <v>RR</v>
      </c>
      <c r="H344" s="85" t="str">
        <f>Tabela1[[#This Row],[AGT]]</f>
        <v>TT</v>
      </c>
      <c r="I344" s="85" t="str">
        <f>Tabela1[[#This Row],[ECA]]</f>
        <v>ID</v>
      </c>
      <c r="J344" s="85" t="str">
        <f>Tabela1[[#This Row],[BDKRB2]]</f>
        <v>(+9, -9)</v>
      </c>
      <c r="K344" s="85">
        <f>Tabela1[[#This Row],[Score Força%]]</f>
        <v>75</v>
      </c>
      <c r="L344" s="193">
        <f>Tabela1[[#This Row],[Score Resistência %]]</f>
        <v>25</v>
      </c>
      <c r="M344" s="192">
        <f>Tabela1[[#This Row],[Pré CK (U/L)]]</f>
        <v>345</v>
      </c>
      <c r="N344" s="85">
        <f>Tabela1[[#This Row],[Pós CK (U/L)]]</f>
        <v>10820</v>
      </c>
      <c r="O344" s="85" t="str">
        <f>Tabela1[[#This Row],[Pré CK MB U/L]]</f>
        <v>-</v>
      </c>
      <c r="P344" s="85" t="str">
        <f>Tabela1[[#This Row],[Pós CK MB U/L]]</f>
        <v>-</v>
      </c>
      <c r="Q344" s="85">
        <f>Tabela1[[#This Row],[Pré Lactato (mmol/L)]]</f>
        <v>1.3</v>
      </c>
      <c r="R344" s="85">
        <f>Tabela1[[#This Row],[Pós Lactato (mmol/L)]]</f>
        <v>2.1</v>
      </c>
      <c r="S344" s="85">
        <f>Tabela1[[#This Row],[Pré LDH (U/L)]]</f>
        <v>180</v>
      </c>
      <c r="T344" s="85">
        <f>Tabela1[[#This Row],[Pós LDH (U/L)]]</f>
        <v>903</v>
      </c>
      <c r="U344" s="85">
        <f>Tabela1[[#This Row],[Pré AST (U/L)]]</f>
        <v>35</v>
      </c>
      <c r="V344" s="193">
        <f>Tabela1[[#This Row],[Pós AST (U/L)]]</f>
        <v>171</v>
      </c>
      <c r="W344" s="194" t="str">
        <f>Tabela1[[#This Row],[Pré Albumina (g/dL)]]</f>
        <v>-</v>
      </c>
      <c r="X344" s="125" t="str">
        <f>Tabela1[[#This Row],[Pós Albumina (g/dL)]]</f>
        <v>-</v>
      </c>
      <c r="Y344" s="85" t="str">
        <f>Tabela1[[#This Row],[Pré TGP (g/dL)]]</f>
        <v>-</v>
      </c>
      <c r="Z344" s="85" t="str">
        <f>Tabela1[[#This Row],[Pós TGP (g/dL)]]</f>
        <v>-</v>
      </c>
      <c r="AA344" s="85" t="str">
        <f>Tabela1[[#This Row],[Pré GGT U/L]]</f>
        <v>-</v>
      </c>
      <c r="AB344" s="193" t="str">
        <f>Tabela1[[#This Row],[Pós GGT U/L]]</f>
        <v>-</v>
      </c>
      <c r="AC344" s="194">
        <f>Tabela1[[#This Row],[Pré Ac. Úrico (mg/dL)]]</f>
        <v>4.9000000000000004</v>
      </c>
      <c r="AD344" s="125">
        <f>Tabela1[[#This Row],[Pós Ac. Úrico (mg/dL)2]]</f>
        <v>8.3000000000000007</v>
      </c>
      <c r="AE34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4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344" s="85">
        <f>Tabela1[[#This Row],[Pré Ureia mg/dL]]</f>
        <v>31</v>
      </c>
      <c r="AH344" s="85">
        <f>Tabela1[[#This Row],[Pós Ureia mg/dL]]</f>
        <v>58</v>
      </c>
      <c r="AI344" s="125">
        <f>Tabela1[[#This Row],[Pré creatinina mg/dL]]</f>
        <v>0.9</v>
      </c>
      <c r="AJ344" s="125">
        <f>Tabela1[[#This Row],[Pós creatinina mg/dL]]</f>
        <v>1.1000000000000001</v>
      </c>
      <c r="AK344" s="180">
        <f t="shared" si="20"/>
        <v>0.20000000000000007</v>
      </c>
      <c r="AL344" s="125">
        <f>Tabela1[[#This Row],[Pré Fósforo mg/dL]]</f>
        <v>5.0999999999999996</v>
      </c>
      <c r="AM344" s="125">
        <f>Tabela1[[#This Row],[Pós Fósforo mg/dL]]</f>
        <v>6.7</v>
      </c>
      <c r="AN344" s="125">
        <f>Tabela1[[#This Row],[Pré Proteína Total (g/dL)]]</f>
        <v>7.1</v>
      </c>
      <c r="AO344" s="125">
        <f>Tabela1[[#This Row],[Pós Proteína Total (g/dL)]]</f>
        <v>8.1999999999999993</v>
      </c>
      <c r="AP344" s="85">
        <f>Tabela1[[#This Row],[Pré FE (ug/dL)]]</f>
        <v>85</v>
      </c>
      <c r="AQ344" s="193">
        <f>Tabela1[[#This Row],[Pós FE (ug/dL)]]</f>
        <v>27</v>
      </c>
      <c r="AR344" s="194">
        <f>Tabela1[[#This Row],[Pré calcio mg/dL]]</f>
        <v>9.3000000000000007</v>
      </c>
      <c r="AS344" s="125">
        <f>Tabela1[[#This Row],[Pós calcio mg/dL]]</f>
        <v>9.6</v>
      </c>
      <c r="AT344" s="125">
        <f>Tabela1[[#This Row],[Pré Potássio mmol/L]]</f>
        <v>4.3</v>
      </c>
      <c r="AU344" s="125">
        <f>Tabela1[[#This Row],[Pós Potássio mmol/L]]</f>
        <v>4.9000000000000004</v>
      </c>
      <c r="AV344" s="85">
        <f>Tabela1[[#This Row],[Glicose pré]]</f>
        <v>76</v>
      </c>
      <c r="AW344" s="85">
        <f>Tabela1[[#This Row],[Glicose pós]]</f>
        <v>134</v>
      </c>
      <c r="AX344" s="85">
        <f>Tabela1[[#This Row],[Pré Sódio mmol/L]]</f>
        <v>140</v>
      </c>
      <c r="AY344" s="85">
        <f>Tabela1[[#This Row],[Pós Sódio mmol/L]]</f>
        <v>139</v>
      </c>
      <c r="AZ344" s="125">
        <f>Tabela1[[#This Row],[Pré Magnésio mg/dL]]</f>
        <v>1.8</v>
      </c>
      <c r="BA344" s="125">
        <f>Tabela1[[#This Row],[Pós Magnésio mg/dL]]</f>
        <v>2.2000000000000002</v>
      </c>
      <c r="BB344" s="85">
        <f>Tabela1[[#This Row],[Pré Cloro mmol/L]]</f>
        <v>97</v>
      </c>
      <c r="BC344" s="85">
        <f>Tabela1[[#This Row],[Pós Cloro mmol/L]]</f>
        <v>82</v>
      </c>
      <c r="BD34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292.42022222222226</v>
      </c>
      <c r="BE34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299.88177777777781</v>
      </c>
      <c r="BF344" s="194">
        <f>Tabela1[[#This Row],[Pré RBC 10^6/mm³]]</f>
        <v>5.18</v>
      </c>
      <c r="BG344" s="125" t="str">
        <f>Tabela1[[#This Row],[Pós RBC 10^6/mm³]]</f>
        <v>-</v>
      </c>
      <c r="BH344" s="125">
        <f>Tabela1[[#This Row],[Pré HGB g/dL]]</f>
        <v>15.5</v>
      </c>
      <c r="BI344" s="125" t="str">
        <f>Tabela1[[#This Row],[Pós HGB g/dL]]</f>
        <v>-</v>
      </c>
      <c r="BJ344" s="125">
        <f>Tabela1[[#This Row],[Pré HCT %]]</f>
        <v>46.7</v>
      </c>
      <c r="BK344" s="125" t="str">
        <f>Tabela1[[#This Row],[Pós HCT %]]</f>
        <v>-</v>
      </c>
      <c r="BL344" s="125">
        <f>Tabela1[[#This Row],[Pré MCV fL]]</f>
        <v>90</v>
      </c>
      <c r="BM344" s="125" t="str">
        <f>Tabela1[[#This Row],[Pós MCV fL]]</f>
        <v>-</v>
      </c>
      <c r="BN344" s="125">
        <f>Tabela1[[#This Row],[Pré MCH pg]]</f>
        <v>29.9</v>
      </c>
      <c r="BO344" s="125" t="str">
        <f>Tabela1[[#This Row],[Pós MCH pg]]</f>
        <v>-</v>
      </c>
      <c r="BP344" s="125">
        <f>Tabela1[[#This Row],[Pré MCHC g/dL]]</f>
        <v>33.200000000000003</v>
      </c>
      <c r="BQ344" s="125" t="str">
        <f>Tabela1[[#This Row],[Pós MCHC g/dL]]</f>
        <v>-</v>
      </c>
      <c r="BR344" s="85">
        <f>Tabela1[[#This Row],[Pré PLT 10³/mm³]]</f>
        <v>198</v>
      </c>
      <c r="BS344" s="85" t="str">
        <f>Tabela1[[#This Row],[Pós PLT 10³/mm³]]</f>
        <v>-</v>
      </c>
      <c r="BT344" s="125">
        <f>Tabela1[[#This Row],[Pré RDW %]]</f>
        <v>15.3</v>
      </c>
      <c r="BU344" s="125" t="str">
        <f>Tabela1[[#This Row],[Pós RDW %]]</f>
        <v>-</v>
      </c>
      <c r="BV344" s="179" t="str">
        <f>Tabela1[[#This Row],[Pré RET %]]</f>
        <v>-</v>
      </c>
      <c r="BW344" s="196" t="str">
        <f>Tabela1[[#This Row],[Pós RET %]]</f>
        <v>-</v>
      </c>
      <c r="BX344" s="197">
        <f>Tabela1[[#This Row],[Pré WBC 10³/mm³]]</f>
        <v>7.8</v>
      </c>
      <c r="BY344" s="179" t="str">
        <f>Tabela1[[#This Row],[Pós WBC 10³/mm³]]</f>
        <v>-</v>
      </c>
      <c r="BZ344" s="125">
        <f>Tabela1[[#This Row],[Pré NEUT %]]</f>
        <v>66.400000000000006</v>
      </c>
      <c r="CA344" s="125" t="str">
        <f>Tabela1[[#This Row],[Pós NEUT %]]</f>
        <v>-</v>
      </c>
      <c r="CB344" s="125">
        <f>Tabela1[[#This Row],[Pré LINF %]]</f>
        <v>29.4</v>
      </c>
      <c r="CC344" s="125" t="str">
        <f>Tabela1[[#This Row],[Pós LINF %]]</f>
        <v>-</v>
      </c>
      <c r="CD344" s="125">
        <f>Tabela1[[#This Row],[Pré MONO %]]</f>
        <v>1.3</v>
      </c>
      <c r="CE344" s="125" t="str">
        <f>Tabela1[[#This Row],[Pós MONO %]]</f>
        <v>-</v>
      </c>
      <c r="CF344" s="125">
        <f>Tabela1[[#This Row],[Pré EOS %]]</f>
        <v>2.8</v>
      </c>
      <c r="CG344" s="125" t="str">
        <f>Tabela1[[#This Row],[Pós EOS %]]</f>
        <v>-</v>
      </c>
      <c r="CH344" s="125">
        <f>Tabela1[[#This Row],[Pré BASO %]]</f>
        <v>0.1</v>
      </c>
      <c r="CI344" s="198" t="str">
        <f>Tabela1[[#This Row],[Pós BASO %]]</f>
        <v>-</v>
      </c>
      <c r="CJ344" s="199" t="str">
        <f t="shared" si="21"/>
        <v>NÃO</v>
      </c>
      <c r="CK344" s="200" t="str">
        <f t="shared" si="22"/>
        <v>SIM</v>
      </c>
      <c r="CL344" s="194">
        <f t="shared" si="23"/>
        <v>66.786999999999992</v>
      </c>
      <c r="CM344" s="125">
        <f>Tabela1[[#This Row],[MCT KG]]</f>
        <v>71.05</v>
      </c>
      <c r="CN344" s="85">
        <f>Tabela1[[#This Row],[ESTATURA]]</f>
        <v>172.4</v>
      </c>
      <c r="CO344" s="85">
        <f>Tabela1[[#This Row],[vo2max estimado]]</f>
        <v>56.66</v>
      </c>
      <c r="CP344" s="85">
        <f>Tabela1[[#This Row],[Handgrip     Dominante]]</f>
        <v>58</v>
      </c>
      <c r="CQ344" s="85">
        <f>Tabela1[[#This Row],[Handgrip Contrário]]</f>
        <v>44</v>
      </c>
      <c r="CR344" s="281">
        <f>Tabela1[[#This Row],[% gordura]]</f>
        <v>6</v>
      </c>
    </row>
    <row r="345" spans="1:96" ht="15.75" customHeight="1">
      <c r="A345" s="279">
        <f>Tabela1[[#This Row],[Ano]]</f>
        <v>2022</v>
      </c>
      <c r="B345" s="181" t="str">
        <f>Tabela1[[#This Row],[Missão]]</f>
        <v>Avelar</v>
      </c>
      <c r="C345" s="181">
        <f>Tabela1[[#This Row],[Aluno]]</f>
        <v>3260</v>
      </c>
      <c r="D345" s="181">
        <f>Tabela1[[#This Row],[Idade]]</f>
        <v>25</v>
      </c>
      <c r="E345" s="182">
        <f>Tabela1[[#This Row],[Peso Kg]]</f>
        <v>0</v>
      </c>
      <c r="F345" s="191">
        <f>Tabela1[[#This Row],[Cor da pele]]</f>
        <v>0</v>
      </c>
      <c r="G345" s="192" t="str">
        <f>Tabela1[[#This Row],[ACTN3]]</f>
        <v>RR</v>
      </c>
      <c r="H345" s="85" t="str">
        <f>Tabela1[[#This Row],[AGT]]</f>
        <v>MT</v>
      </c>
      <c r="I345" s="85" t="str">
        <f>Tabela1[[#This Row],[ECA]]</f>
        <v>ID</v>
      </c>
      <c r="J345" s="85" t="str">
        <f>Tabela1[[#This Row],[BDKRB2]]</f>
        <v>(+9, +9)</v>
      </c>
      <c r="K345" s="85">
        <f>Tabela1[[#This Row],[Score Força%]]</f>
        <v>75</v>
      </c>
      <c r="L345" s="193">
        <f>Tabela1[[#This Row],[Score Resistência %]]</f>
        <v>25</v>
      </c>
      <c r="M345" s="192">
        <f>Tabela1[[#This Row],[Pré CK (U/L)]]</f>
        <v>134</v>
      </c>
      <c r="N345" s="85">
        <f>Tabela1[[#This Row],[Pós CK (U/L)]]</f>
        <v>11501</v>
      </c>
      <c r="O345" s="85" t="str">
        <f>Tabela1[[#This Row],[Pré CK MB U/L]]</f>
        <v>-</v>
      </c>
      <c r="P345" s="85" t="str">
        <f>Tabela1[[#This Row],[Pós CK MB U/L]]</f>
        <v>-</v>
      </c>
      <c r="Q345" s="85">
        <f>Tabela1[[#This Row],[Pré Lactato (mmol/L)]]</f>
        <v>1.8</v>
      </c>
      <c r="R345" s="85" t="str">
        <f>Tabela1[[#This Row],[Pós Lactato (mmol/L)]]</f>
        <v>-</v>
      </c>
      <c r="S345" s="85">
        <f>Tabela1[[#This Row],[Pré LDH (U/L)]]</f>
        <v>164</v>
      </c>
      <c r="T345" s="85">
        <f>Tabela1[[#This Row],[Pós LDH (U/L)]]</f>
        <v>663</v>
      </c>
      <c r="U345" s="85">
        <f>Tabela1[[#This Row],[Pré AST (U/L)]]</f>
        <v>25</v>
      </c>
      <c r="V345" s="193">
        <f>Tabela1[[#This Row],[Pós AST (U/L)]]</f>
        <v>178</v>
      </c>
      <c r="W345" s="194" t="str">
        <f>Tabela1[[#This Row],[Pré Albumina (g/dL)]]</f>
        <v>-</v>
      </c>
      <c r="X345" s="125" t="str">
        <f>Tabela1[[#This Row],[Pós Albumina (g/dL)]]</f>
        <v>-</v>
      </c>
      <c r="Y345" s="85" t="str">
        <f>Tabela1[[#This Row],[Pré TGP (g/dL)]]</f>
        <v>-</v>
      </c>
      <c r="Z345" s="85" t="str">
        <f>Tabela1[[#This Row],[Pós TGP (g/dL)]]</f>
        <v>-</v>
      </c>
      <c r="AA345" s="85" t="str">
        <f>Tabela1[[#This Row],[Pré GGT U/L]]</f>
        <v>-</v>
      </c>
      <c r="AB345" s="193" t="str">
        <f>Tabela1[[#This Row],[Pós GGT U/L]]</f>
        <v>-</v>
      </c>
      <c r="AC345" s="194">
        <f>Tabela1[[#This Row],[Pré Ac. Úrico (mg/dL)]]</f>
        <v>4.8</v>
      </c>
      <c r="AD345" s="125">
        <f>Tabela1[[#This Row],[Pós Ac. Úrico (mg/dL)2]]</f>
        <v>9.8000000000000007</v>
      </c>
      <c r="AE34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34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345" s="85">
        <f>Tabela1[[#This Row],[Pré Ureia mg/dL]]</f>
        <v>34</v>
      </c>
      <c r="AH345" s="85">
        <f>Tabela1[[#This Row],[Pós Ureia mg/dL]]</f>
        <v>71</v>
      </c>
      <c r="AI345" s="125">
        <f>Tabela1[[#This Row],[Pré creatinina mg/dL]]</f>
        <v>1</v>
      </c>
      <c r="AJ345" s="125">
        <f>Tabela1[[#This Row],[Pós creatinina mg/dL]]</f>
        <v>1.3</v>
      </c>
      <c r="AK345" s="180">
        <f t="shared" si="20"/>
        <v>0.30000000000000004</v>
      </c>
      <c r="AL345" s="125">
        <f>Tabela1[[#This Row],[Pré Fósforo mg/dL]]</f>
        <v>5.0999999999999996</v>
      </c>
      <c r="AM345" s="125">
        <f>Tabela1[[#This Row],[Pós Fósforo mg/dL]]</f>
        <v>5.5</v>
      </c>
      <c r="AN345" s="125">
        <f>Tabela1[[#This Row],[Pré Proteína Total (g/dL)]]</f>
        <v>7.5</v>
      </c>
      <c r="AO345" s="125">
        <f>Tabela1[[#This Row],[Pós Proteína Total (g/dL)]]</f>
        <v>8.4</v>
      </c>
      <c r="AP345" s="85">
        <f>Tabela1[[#This Row],[Pré FE (ug/dL)]]</f>
        <v>42</v>
      </c>
      <c r="AQ345" s="193">
        <f>Tabela1[[#This Row],[Pós FE (ug/dL)]]</f>
        <v>10</v>
      </c>
      <c r="AR345" s="194">
        <f>Tabela1[[#This Row],[Pré calcio mg/dL]]</f>
        <v>9.6</v>
      </c>
      <c r="AS345" s="125">
        <f>Tabela1[[#This Row],[Pós calcio mg/dL]]</f>
        <v>8.9</v>
      </c>
      <c r="AT345" s="125">
        <f>Tabela1[[#This Row],[Pré Potássio mmol/L]]</f>
        <v>4.0999999999999996</v>
      </c>
      <c r="AU345" s="125">
        <f>Tabela1[[#This Row],[Pós Potássio mmol/L]]</f>
        <v>4.9000000000000004</v>
      </c>
      <c r="AV345" s="85">
        <f>Tabela1[[#This Row],[Glicose pré]]</f>
        <v>85</v>
      </c>
      <c r="AW345" s="85">
        <f>Tabela1[[#This Row],[Glicose pós]]</f>
        <v>68</v>
      </c>
      <c r="AX345" s="85">
        <f>Tabela1[[#This Row],[Pré Sódio mmol/L]]</f>
        <v>143</v>
      </c>
      <c r="AY345" s="85">
        <f>Tabela1[[#This Row],[Pós Sódio mmol/L]]</f>
        <v>140</v>
      </c>
      <c r="AZ345" s="125">
        <f>Tabela1[[#This Row],[Pré Magnésio mg/dL]]</f>
        <v>1.8</v>
      </c>
      <c r="BA345" s="125">
        <f>Tabela1[[#This Row],[Pós Magnésio mg/dL]]</f>
        <v>2.6</v>
      </c>
      <c r="BB345" s="85">
        <f>Tabela1[[#This Row],[Pré Cloro mmol/L]]</f>
        <v>98</v>
      </c>
      <c r="BC345" s="85">
        <f>Tabela1[[#This Row],[Pós Cloro mmol/L]]</f>
        <v>83</v>
      </c>
      <c r="BD34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298.70322222222222</v>
      </c>
      <c r="BE34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299.69177777777776</v>
      </c>
      <c r="BF345" s="194">
        <f>Tabela1[[#This Row],[Pré RBC 10^6/mm³]]</f>
        <v>5.47</v>
      </c>
      <c r="BG345" s="125" t="str">
        <f>Tabela1[[#This Row],[Pós RBC 10^6/mm³]]</f>
        <v>-</v>
      </c>
      <c r="BH345" s="125">
        <f>Tabela1[[#This Row],[Pré HGB g/dL]]</f>
        <v>15.3</v>
      </c>
      <c r="BI345" s="125" t="str">
        <f>Tabela1[[#This Row],[Pós HGB g/dL]]</f>
        <v>-</v>
      </c>
      <c r="BJ345" s="125">
        <f>Tabela1[[#This Row],[Pré HCT %]]</f>
        <v>46.1</v>
      </c>
      <c r="BK345" s="125" t="str">
        <f>Tabela1[[#This Row],[Pós HCT %]]</f>
        <v>-</v>
      </c>
      <c r="BL345" s="125">
        <f>Tabela1[[#This Row],[Pré MCV fL]]</f>
        <v>84</v>
      </c>
      <c r="BM345" s="125" t="str">
        <f>Tabela1[[#This Row],[Pós MCV fL]]</f>
        <v>-</v>
      </c>
      <c r="BN345" s="125">
        <f>Tabela1[[#This Row],[Pré MCH pg]]</f>
        <v>28</v>
      </c>
      <c r="BO345" s="125" t="str">
        <f>Tabela1[[#This Row],[Pós MCH pg]]</f>
        <v>-</v>
      </c>
      <c r="BP345" s="125">
        <f>Tabela1[[#This Row],[Pré MCHC g/dL]]</f>
        <v>33.200000000000003</v>
      </c>
      <c r="BQ345" s="125" t="str">
        <f>Tabela1[[#This Row],[Pós MCHC g/dL]]</f>
        <v>-</v>
      </c>
      <c r="BR345" s="85">
        <f>Tabela1[[#This Row],[Pré PLT 10³/mm³]]</f>
        <v>267</v>
      </c>
      <c r="BS345" s="85" t="str">
        <f>Tabela1[[#This Row],[Pós PLT 10³/mm³]]</f>
        <v>-</v>
      </c>
      <c r="BT345" s="125">
        <f>Tabela1[[#This Row],[Pré RDW %]]</f>
        <v>14.5</v>
      </c>
      <c r="BU345" s="125" t="str">
        <f>Tabela1[[#This Row],[Pós RDW %]]</f>
        <v>-</v>
      </c>
      <c r="BV345" s="179" t="str">
        <f>Tabela1[[#This Row],[Pré RET %]]</f>
        <v>-</v>
      </c>
      <c r="BW345" s="196" t="str">
        <f>Tabela1[[#This Row],[Pós RET %]]</f>
        <v>-</v>
      </c>
      <c r="BX345" s="197">
        <f>Tabela1[[#This Row],[Pré WBC 10³/mm³]]</f>
        <v>6.1</v>
      </c>
      <c r="BY345" s="179" t="str">
        <f>Tabela1[[#This Row],[Pós WBC 10³/mm³]]</f>
        <v>-</v>
      </c>
      <c r="BZ345" s="125">
        <f>Tabela1[[#This Row],[Pré NEUT %]]</f>
        <v>65</v>
      </c>
      <c r="CA345" s="125" t="str">
        <f>Tabela1[[#This Row],[Pós NEUT %]]</f>
        <v>-</v>
      </c>
      <c r="CB345" s="125">
        <f>Tabela1[[#This Row],[Pré LINF %]]</f>
        <v>30.3</v>
      </c>
      <c r="CC345" s="125" t="str">
        <f>Tabela1[[#This Row],[Pós LINF %]]</f>
        <v>-</v>
      </c>
      <c r="CD345" s="125">
        <f>Tabela1[[#This Row],[Pré MONO %]]</f>
        <v>2.4</v>
      </c>
      <c r="CE345" s="125" t="str">
        <f>Tabela1[[#This Row],[Pós MONO %]]</f>
        <v>-</v>
      </c>
      <c r="CF345" s="125">
        <f>Tabela1[[#This Row],[Pré EOS %]]</f>
        <v>2.2000000000000002</v>
      </c>
      <c r="CG345" s="125" t="str">
        <f>Tabela1[[#This Row],[Pós EOS %]]</f>
        <v>-</v>
      </c>
      <c r="CH345" s="125">
        <f>Tabela1[[#This Row],[Pré BASO %]]</f>
        <v>0.1</v>
      </c>
      <c r="CI345" s="198" t="str">
        <f>Tabela1[[#This Row],[Pós BASO %]]</f>
        <v>-</v>
      </c>
      <c r="CJ345" s="199" t="str">
        <f t="shared" si="21"/>
        <v>SIM</v>
      </c>
      <c r="CK345" s="200" t="str">
        <f t="shared" si="22"/>
        <v>SIM</v>
      </c>
      <c r="CL345" s="194">
        <f t="shared" si="23"/>
        <v>72.202060000000003</v>
      </c>
      <c r="CM345" s="125">
        <f>Tabela1[[#This Row],[MCT KG]]</f>
        <v>78.2</v>
      </c>
      <c r="CN345" s="85">
        <f>Tabela1[[#This Row],[ESTATURA]]</f>
        <v>182.1</v>
      </c>
      <c r="CO345" s="85">
        <f>Tabela1[[#This Row],[vo2max estimado]]</f>
        <v>51.94</v>
      </c>
      <c r="CP345" s="85">
        <f>Tabela1[[#This Row],[Handgrip     Dominante]]</f>
        <v>62</v>
      </c>
      <c r="CQ345" s="85">
        <f>Tabela1[[#This Row],[Handgrip Contrário]]</f>
        <v>65</v>
      </c>
      <c r="CR345" s="281">
        <f>Tabela1[[#This Row],[% gordura]]</f>
        <v>7.67</v>
      </c>
    </row>
    <row r="346" spans="1:96" ht="15.75" customHeight="1">
      <c r="A346" s="279">
        <f>Tabela1[[#This Row],[Ano]]</f>
        <v>2023</v>
      </c>
      <c r="B346" s="181" t="str">
        <f>Tabela1[[#This Row],[Missão]]</f>
        <v>CIASC</v>
      </c>
      <c r="C346" s="181">
        <f>Tabela1[[#This Row],[Aluno]]</f>
        <v>3261</v>
      </c>
      <c r="D346" s="181" t="str">
        <f>Tabela1[[#This Row],[Idade]]</f>
        <v>-</v>
      </c>
      <c r="E346" s="182">
        <f>Tabela1[[#This Row],[Peso Kg]]</f>
        <v>55.4</v>
      </c>
      <c r="F346" s="191" t="str">
        <f>Tabela1[[#This Row],[Cor da pele]]</f>
        <v>-</v>
      </c>
      <c r="G346" s="192" t="str">
        <f>Tabela1[[#This Row],[ACTN3]]</f>
        <v>-</v>
      </c>
      <c r="H346" s="85" t="str">
        <f>Tabela1[[#This Row],[AGT]]</f>
        <v>-</v>
      </c>
      <c r="I346" s="85" t="str">
        <f>Tabela1[[#This Row],[ECA]]</f>
        <v>-</v>
      </c>
      <c r="J346" s="85" t="str">
        <f>Tabela1[[#This Row],[BDKRB2]]</f>
        <v>-</v>
      </c>
      <c r="K346" s="85" t="str">
        <f>Tabela1[[#This Row],[Score Força%]]</f>
        <v>-</v>
      </c>
      <c r="L346" s="193" t="str">
        <f>Tabela1[[#This Row],[Score Resistência %]]</f>
        <v>-</v>
      </c>
      <c r="M346" s="192">
        <f>Tabela1[[#This Row],[Pré CK (U/L)]]</f>
        <v>553</v>
      </c>
      <c r="N346" s="85">
        <f>Tabela1[[#This Row],[Pós CK (U/L)]]</f>
        <v>1450</v>
      </c>
      <c r="O346" s="85" t="str">
        <f>Tabela1[[#This Row],[Pré CK MB U/L]]</f>
        <v>-</v>
      </c>
      <c r="P346" s="85" t="str">
        <f>Tabela1[[#This Row],[Pós CK MB U/L]]</f>
        <v>-</v>
      </c>
      <c r="Q346" s="85">
        <f>Tabela1[[#This Row],[Pré Lactato (mmol/L)]]</f>
        <v>4.3</v>
      </c>
      <c r="R346" s="85">
        <f>Tabela1[[#This Row],[Pós Lactato (mmol/L)]]</f>
        <v>2.9</v>
      </c>
      <c r="S346" s="85">
        <f>Tabela1[[#This Row],[Pré LDH (U/L)]]</f>
        <v>218</v>
      </c>
      <c r="T346" s="85">
        <f>Tabela1[[#This Row],[Pós LDH (U/L)]]</f>
        <v>398</v>
      </c>
      <c r="U346" s="85">
        <f>Tabela1[[#This Row],[Pré AST (U/L)]]</f>
        <v>46</v>
      </c>
      <c r="V346" s="193">
        <f>Tabela1[[#This Row],[Pós AST (U/L)]]</f>
        <v>103</v>
      </c>
      <c r="W346" s="194">
        <f>Tabela1[[#This Row],[Pré Albumina (g/dL)]]</f>
        <v>4.7</v>
      </c>
      <c r="X346" s="125">
        <f>Tabela1[[#This Row],[Pós Albumina (g/dL)]]</f>
        <v>4.8</v>
      </c>
      <c r="Y346" s="85">
        <f>Tabela1[[#This Row],[Pré TGP (g/dL)]]</f>
        <v>30</v>
      </c>
      <c r="Z346" s="85">
        <f>Tabela1[[#This Row],[Pós TGP (g/dL)]]</f>
        <v>71</v>
      </c>
      <c r="AA346" s="85">
        <f>Tabela1[[#This Row],[Pré GGT U/L]]</f>
        <v>22</v>
      </c>
      <c r="AB346" s="193">
        <f>Tabela1[[#This Row],[Pós GGT U/L]]</f>
        <v>20</v>
      </c>
      <c r="AC346" s="194">
        <f>Tabela1[[#This Row],[Pré Ac. Úrico (mg/dL)]]</f>
        <v>5.3</v>
      </c>
      <c r="AD346" s="125">
        <f>Tabela1[[#This Row],[Pós Ac. Úrico (mg/dL)2]]</f>
        <v>5</v>
      </c>
      <c r="AE34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34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346" s="85">
        <f>Tabela1[[#This Row],[Pré Ureia mg/dL]]</f>
        <v>47</v>
      </c>
      <c r="AH346" s="85">
        <f>Tabela1[[#This Row],[Pós Ureia mg/dL]]</f>
        <v>39</v>
      </c>
      <c r="AI346" s="125">
        <f>Tabela1[[#This Row],[Pré creatinina mg/dL]]</f>
        <v>0.7</v>
      </c>
      <c r="AJ346" s="125">
        <f>Tabela1[[#This Row],[Pós creatinina mg/dL]]</f>
        <v>0.9</v>
      </c>
      <c r="AK346" s="180">
        <f t="shared" si="20"/>
        <v>0.20000000000000007</v>
      </c>
      <c r="AL346" s="125">
        <f>Tabela1[[#This Row],[Pré Fósforo mg/dL]]</f>
        <v>4</v>
      </c>
      <c r="AM346" s="125">
        <f>Tabela1[[#This Row],[Pós Fósforo mg/dL]]</f>
        <v>4.5</v>
      </c>
      <c r="AN346" s="125">
        <f>Tabela1[[#This Row],[Pré Proteína Total (g/dL)]]</f>
        <v>7.8</v>
      </c>
      <c r="AO346" s="125">
        <f>Tabela1[[#This Row],[Pós Proteína Total (g/dL)]]</f>
        <v>7.3</v>
      </c>
      <c r="AP346" s="85">
        <f>Tabela1[[#This Row],[Pré FE (ug/dL)]]</f>
        <v>28</v>
      </c>
      <c r="AQ346" s="193">
        <f>Tabela1[[#This Row],[Pós FE (ug/dL)]]</f>
        <v>30</v>
      </c>
      <c r="AR346" s="194">
        <f>Tabela1[[#This Row],[Pré calcio mg/dL]]</f>
        <v>8</v>
      </c>
      <c r="AS346" s="125">
        <f>Tabela1[[#This Row],[Pós calcio mg/dL]]</f>
        <v>9.1</v>
      </c>
      <c r="AT346" s="125">
        <f>Tabela1[[#This Row],[Pré Potássio mmol/L]]</f>
        <v>4.4000000000000004</v>
      </c>
      <c r="AU346" s="125">
        <f>Tabela1[[#This Row],[Pós Potássio mmol/L]]</f>
        <v>3.8</v>
      </c>
      <c r="AV346" s="85">
        <f>Tabela1[[#This Row],[Glicose pré]]</f>
        <v>98</v>
      </c>
      <c r="AW346" s="85">
        <f>Tabela1[[#This Row],[Glicose pós]]</f>
        <v>83</v>
      </c>
      <c r="AX346" s="85">
        <f>Tabela1[[#This Row],[Pré Sódio mmol/L]]</f>
        <v>137</v>
      </c>
      <c r="AY346" s="85">
        <f>Tabela1[[#This Row],[Pós Sódio mmol/L]]</f>
        <v>136</v>
      </c>
      <c r="AZ346" s="125">
        <f>Tabela1[[#This Row],[Pré Magnésio mg/dL]]</f>
        <v>2.2999999999999998</v>
      </c>
      <c r="BA346" s="125">
        <f>Tabela1[[#This Row],[Pós Magnésio mg/dL]]</f>
        <v>2.2999999999999998</v>
      </c>
      <c r="BB346" s="85">
        <f>Tabela1[[#This Row],[Pré Cloro mmol/L]]</f>
        <v>102</v>
      </c>
      <c r="BC346" s="85">
        <f>Tabela1[[#This Row],[Pós Cloro mmol/L]]</f>
        <v>100</v>
      </c>
      <c r="BD34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291.09844444444445</v>
      </c>
      <c r="BE34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285.83077777777783</v>
      </c>
      <c r="BF346" s="194">
        <f>Tabela1[[#This Row],[Pré RBC 10^6/mm³]]</f>
        <v>5.25</v>
      </c>
      <c r="BG346" s="125">
        <f>Tabela1[[#This Row],[Pós RBC 10^6/mm³]]</f>
        <v>4.47</v>
      </c>
      <c r="BH346" s="125">
        <f>Tabela1[[#This Row],[Pré HGB g/dL]]</f>
        <v>15.6</v>
      </c>
      <c r="BI346" s="125">
        <f>Tabela1[[#This Row],[Pós HGB g/dL]]</f>
        <v>13.3</v>
      </c>
      <c r="BJ346" s="125">
        <f>Tabela1[[#This Row],[Pré HCT %]]</f>
        <v>46.8</v>
      </c>
      <c r="BK346" s="125">
        <f>Tabela1[[#This Row],[Pós HCT %]]</f>
        <v>40.299999999999997</v>
      </c>
      <c r="BL346" s="125">
        <f>Tabela1[[#This Row],[Pré MCV fL]]</f>
        <v>89.2</v>
      </c>
      <c r="BM346" s="125">
        <f>Tabela1[[#This Row],[Pós MCV fL]]</f>
        <v>90.1</v>
      </c>
      <c r="BN346" s="125">
        <f>Tabela1[[#This Row],[Pré MCH pg]]</f>
        <v>29.7</v>
      </c>
      <c r="BO346" s="125">
        <f>Tabela1[[#This Row],[Pós MCH pg]]</f>
        <v>29.8</v>
      </c>
      <c r="BP346" s="125">
        <f>Tabela1[[#This Row],[Pré MCHC g/dL]]</f>
        <v>33.299999999999997</v>
      </c>
      <c r="BQ346" s="125">
        <f>Tabela1[[#This Row],[Pós MCHC g/dL]]</f>
        <v>33.1</v>
      </c>
      <c r="BR346" s="85">
        <f>Tabela1[[#This Row],[Pré PLT 10³/mm³]]</f>
        <v>248</v>
      </c>
      <c r="BS346" s="85">
        <f>Tabela1[[#This Row],[Pós PLT 10³/mm³]]</f>
        <v>349</v>
      </c>
      <c r="BT346" s="125">
        <f>Tabela1[[#This Row],[Pré RDW %]]</f>
        <v>12</v>
      </c>
      <c r="BU346" s="125">
        <f>Tabela1[[#This Row],[Pós RDW %]]</f>
        <v>12.6</v>
      </c>
      <c r="BV346" s="179" t="str">
        <f>Tabela1[[#This Row],[Pré RET %]]</f>
        <v>-</v>
      </c>
      <c r="BW346" s="196" t="str">
        <f>Tabela1[[#This Row],[Pós RET %]]</f>
        <v>-</v>
      </c>
      <c r="BX346" s="197">
        <f>Tabela1[[#This Row],[Pré WBC 10³/mm³]]</f>
        <v>7.24</v>
      </c>
      <c r="BY346" s="179">
        <f>Tabela1[[#This Row],[Pós WBC 10³/mm³]]</f>
        <v>10.93</v>
      </c>
      <c r="BZ346" s="125">
        <f>Tabela1[[#This Row],[Pré NEUT %]]</f>
        <v>0.60499999999999998</v>
      </c>
      <c r="CA346" s="125">
        <f>Tabela1[[#This Row],[Pós NEUT %]]</f>
        <v>75.099999999999994</v>
      </c>
      <c r="CB346" s="125">
        <f>Tabela1[[#This Row],[Pré LINF %]]</f>
        <v>29</v>
      </c>
      <c r="CC346" s="125">
        <f>Tabela1[[#This Row],[Pós LINF %]]</f>
        <v>17.3</v>
      </c>
      <c r="CD346" s="125">
        <f>Tabela1[[#This Row],[Pré MONO %]]</f>
        <v>7.17</v>
      </c>
      <c r="CE346" s="125">
        <f>Tabela1[[#This Row],[Pós MONO %]]</f>
        <v>5.9</v>
      </c>
      <c r="CF346" s="125">
        <f>Tabela1[[#This Row],[Pré EOS %]]</f>
        <v>2.38</v>
      </c>
      <c r="CG346" s="125">
        <f>Tabela1[[#This Row],[Pós EOS %]]</f>
        <v>1.4</v>
      </c>
      <c r="CH346" s="125">
        <f>Tabela1[[#This Row],[Pré BASO %]]</f>
        <v>0.9365</v>
      </c>
      <c r="CI346" s="198">
        <f>Tabela1[[#This Row],[Pós BASO %]]</f>
        <v>0.3</v>
      </c>
      <c r="CJ346" s="199" t="str">
        <f t="shared" si="21"/>
        <v>NÃO</v>
      </c>
      <c r="CK346" s="200" t="str">
        <f t="shared" si="22"/>
        <v>SIM</v>
      </c>
      <c r="CL346" s="194">
        <f t="shared" si="23"/>
        <v>73.156725000000009</v>
      </c>
      <c r="CM346" s="125">
        <f>Tabela1[[#This Row],[MCT KG]]</f>
        <v>81.150000000000006</v>
      </c>
      <c r="CN346" s="85">
        <f>Tabela1[[#This Row],[ESTATURA]]</f>
        <v>178.5</v>
      </c>
      <c r="CO346" s="85" t="str">
        <f>Tabela1[[#This Row],[vo2max estimado]]</f>
        <v>51,41</v>
      </c>
      <c r="CP346" s="85">
        <f>Tabela1[[#This Row],[Handgrip     Dominante]]</f>
        <v>56</v>
      </c>
      <c r="CQ346" s="85">
        <f>Tabela1[[#This Row],[Handgrip Contrário]]</f>
        <v>50</v>
      </c>
      <c r="CR346" s="281" t="str">
        <f>Tabela1[[#This Row],[% gordura]]</f>
        <v>9,85</v>
      </c>
    </row>
    <row r="347" spans="1:96" ht="15.75" customHeight="1">
      <c r="A347" s="279">
        <f>Tabela1[[#This Row],[Ano]]</f>
        <v>2023</v>
      </c>
      <c r="B347" s="181" t="str">
        <f>Tabela1[[#This Row],[Missão]]</f>
        <v>CIASC</v>
      </c>
      <c r="C347" s="181">
        <f>Tabela1[[#This Row],[Aluno]]</f>
        <v>3262</v>
      </c>
      <c r="D347" s="181">
        <f>Tabela1[[#This Row],[Idade]]</f>
        <v>25</v>
      </c>
      <c r="E347" s="182">
        <f>Tabela1[[#This Row],[Peso Kg]]</f>
        <v>73.099999999999994</v>
      </c>
      <c r="F347" s="191">
        <f>Tabela1[[#This Row],[Cor da pele]]</f>
        <v>1</v>
      </c>
      <c r="G347" s="192" t="str">
        <f>Tabela1[[#This Row],[ACTN3]]</f>
        <v>XX</v>
      </c>
      <c r="H347" s="85" t="str">
        <f>Tabela1[[#This Row],[AGT]]</f>
        <v>MM</v>
      </c>
      <c r="I347" s="85" t="str">
        <f>Tabela1[[#This Row],[ECA]]</f>
        <v>ID</v>
      </c>
      <c r="J347" s="85" t="str">
        <f>Tabela1[[#This Row],[BDKRB2]]</f>
        <v xml:space="preserve"> +9,+9</v>
      </c>
      <c r="K347" s="85">
        <f>Tabela1[[#This Row],[Score Força%]]</f>
        <v>37.5</v>
      </c>
      <c r="L347" s="193">
        <f>Tabela1[[#This Row],[Score Resistência %]]</f>
        <v>62.5</v>
      </c>
      <c r="M347" s="192">
        <f>Tabela1[[#This Row],[Pré CK (U/L)]]</f>
        <v>292</v>
      </c>
      <c r="N347" s="85">
        <f>Tabela1[[#This Row],[Pós CK (U/L)]]</f>
        <v>5109</v>
      </c>
      <c r="O347" s="85" t="str">
        <f>Tabela1[[#This Row],[Pré CK MB U/L]]</f>
        <v>-</v>
      </c>
      <c r="P347" s="85" t="str">
        <f>Tabela1[[#This Row],[Pós CK MB U/L]]</f>
        <v>-</v>
      </c>
      <c r="Q347" s="85">
        <f>Tabela1[[#This Row],[Pré Lactato (mmol/L)]]</f>
        <v>4.4000000000000004</v>
      </c>
      <c r="R347" s="85">
        <f>Tabela1[[#This Row],[Pós Lactato (mmol/L)]]</f>
        <v>2.6</v>
      </c>
      <c r="S347" s="85">
        <f>Tabela1[[#This Row],[Pré LDH (U/L)]]</f>
        <v>260</v>
      </c>
      <c r="T347" s="85">
        <f>Tabela1[[#This Row],[Pós LDH (U/L)]]</f>
        <v>595</v>
      </c>
      <c r="U347" s="85">
        <f>Tabela1[[#This Row],[Pré AST (U/L)]]</f>
        <v>47</v>
      </c>
      <c r="V347" s="193">
        <f>Tabela1[[#This Row],[Pós AST (U/L)]]</f>
        <v>231</v>
      </c>
      <c r="W347" s="194">
        <f>Tabela1[[#This Row],[Pré Albumina (g/dL)]]</f>
        <v>5.4</v>
      </c>
      <c r="X347" s="125">
        <f>Tabela1[[#This Row],[Pós Albumina (g/dL)]]</f>
        <v>4.0999999999999996</v>
      </c>
      <c r="Y347" s="85">
        <f>Tabela1[[#This Row],[Pré TGP (g/dL)]]</f>
        <v>36</v>
      </c>
      <c r="Z347" s="85">
        <f>Tabela1[[#This Row],[Pós TGP (g/dL)]]</f>
        <v>134</v>
      </c>
      <c r="AA347" s="85">
        <f>Tabela1[[#This Row],[Pré GGT U/L]]</f>
        <v>26</v>
      </c>
      <c r="AB347" s="193">
        <f>Tabela1[[#This Row],[Pós GGT U/L]]</f>
        <v>23</v>
      </c>
      <c r="AC347" s="194">
        <f>Tabela1[[#This Row],[Pré Ac. Úrico (mg/dL)]]</f>
        <v>5.0999999999999996</v>
      </c>
      <c r="AD347" s="125">
        <f>Tabela1[[#This Row],[Pós Ac. Úrico (mg/dL)2]]</f>
        <v>4.5999999999999996</v>
      </c>
      <c r="AE34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4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123.16261292672075</v>
      </c>
      <c r="AG347" s="85">
        <f>Tabela1[[#This Row],[Pré Ureia mg/dL]]</f>
        <v>49</v>
      </c>
      <c r="AH347" s="85">
        <f>Tabela1[[#This Row],[Pós Ureia mg/dL]]</f>
        <v>37</v>
      </c>
      <c r="AI347" s="125">
        <f>Tabela1[[#This Row],[Pré creatinina mg/dL]]</f>
        <v>0.8</v>
      </c>
      <c r="AJ347" s="125">
        <f>Tabela1[[#This Row],[Pós creatinina mg/dL]]</f>
        <v>0.81</v>
      </c>
      <c r="AK347" s="180">
        <f t="shared" si="20"/>
        <v>1.0000000000000009E-2</v>
      </c>
      <c r="AL347" s="125">
        <f>Tabela1[[#This Row],[Pré Fósforo mg/dL]]</f>
        <v>4.0999999999999996</v>
      </c>
      <c r="AM347" s="125">
        <f>Tabela1[[#This Row],[Pós Fósforo mg/dL]]</f>
        <v>3.4</v>
      </c>
      <c r="AN347" s="125">
        <f>Tabela1[[#This Row],[Pré Proteína Total (g/dL)]]</f>
        <v>9.4</v>
      </c>
      <c r="AO347" s="125">
        <f>Tabela1[[#This Row],[Pós Proteína Total (g/dL)]]</f>
        <v>6.4</v>
      </c>
      <c r="AP347" s="85">
        <f>Tabela1[[#This Row],[Pré FE (ug/dL)]]</f>
        <v>20</v>
      </c>
      <c r="AQ347" s="193">
        <f>Tabela1[[#This Row],[Pós FE (ug/dL)]]</f>
        <v>29</v>
      </c>
      <c r="AR347" s="194">
        <f>Tabela1[[#This Row],[Pré calcio mg/dL]]</f>
        <v>9.4</v>
      </c>
      <c r="AS347" s="125">
        <f>Tabela1[[#This Row],[Pós calcio mg/dL]]</f>
        <v>8.8000000000000007</v>
      </c>
      <c r="AT347" s="125">
        <f>Tabela1[[#This Row],[Pré Potássio mmol/L]]</f>
        <v>5.2</v>
      </c>
      <c r="AU347" s="125">
        <f>Tabela1[[#This Row],[Pós Potássio mmol/L]]</f>
        <v>4.2</v>
      </c>
      <c r="AV347" s="85">
        <f>Tabela1[[#This Row],[Glicose pré]]</f>
        <v>112</v>
      </c>
      <c r="AW347" s="85">
        <f>Tabela1[[#This Row],[Glicose pós]]</f>
        <v>114</v>
      </c>
      <c r="AX347" s="85">
        <f>Tabela1[[#This Row],[Pré Sódio mmol/L]]</f>
        <v>149</v>
      </c>
      <c r="AY347" s="85">
        <f>Tabela1[[#This Row],[Pós Sódio mmol/L]]</f>
        <v>135</v>
      </c>
      <c r="AZ347" s="125">
        <f>Tabela1[[#This Row],[Pré Magnésio mg/dL]]</f>
        <v>2.6</v>
      </c>
      <c r="BA347" s="125">
        <f>Tabela1[[#This Row],[Pós Magnésio mg/dL]]</f>
        <v>2.1</v>
      </c>
      <c r="BB347" s="85">
        <f>Tabela1[[#This Row],[Pré Cloro mmol/L]]</f>
        <v>107</v>
      </c>
      <c r="BC347" s="85">
        <f>Tabela1[[#This Row],[Pós Cloro mmol/L]]</f>
        <v>102</v>
      </c>
      <c r="BD34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316.13422222222226</v>
      </c>
      <c r="BE34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286.36200000000002</v>
      </c>
      <c r="BF347" s="194">
        <f>Tabela1[[#This Row],[Pré RBC 10^6/mm³]]</f>
        <v>5.48</v>
      </c>
      <c r="BG347" s="125">
        <f>Tabela1[[#This Row],[Pós RBC 10^6/mm³]]</f>
        <v>4.3600000000000003</v>
      </c>
      <c r="BH347" s="125">
        <f>Tabela1[[#This Row],[Pré HGB g/dL]]</f>
        <v>16</v>
      </c>
      <c r="BI347" s="125">
        <f>Tabela1[[#This Row],[Pós HGB g/dL]]</f>
        <v>13.1</v>
      </c>
      <c r="BJ347" s="125">
        <f>Tabela1[[#This Row],[Pré HCT %]]</f>
        <v>49.3</v>
      </c>
      <c r="BK347" s="125">
        <f>Tabela1[[#This Row],[Pós HCT %]]</f>
        <v>39.6</v>
      </c>
      <c r="BL347" s="125">
        <f>Tabela1[[#This Row],[Pré MCV fL]]</f>
        <v>90</v>
      </c>
      <c r="BM347" s="125">
        <f>Tabela1[[#This Row],[Pós MCV fL]]</f>
        <v>90.7</v>
      </c>
      <c r="BN347" s="125">
        <f>Tabela1[[#This Row],[Pré MCH pg]]</f>
        <v>29.7</v>
      </c>
      <c r="BO347" s="125">
        <f>Tabela1[[#This Row],[Pós MCH pg]]</f>
        <v>30.1</v>
      </c>
      <c r="BP347" s="125">
        <f>Tabela1[[#This Row],[Pré MCHC g/dL]]</f>
        <v>32.5</v>
      </c>
      <c r="BQ347" s="125">
        <f>Tabela1[[#This Row],[Pós MCHC g/dL]]</f>
        <v>33.200000000000003</v>
      </c>
      <c r="BR347" s="85">
        <f>Tabela1[[#This Row],[Pré PLT 10³/mm³]]</f>
        <v>215</v>
      </c>
      <c r="BS347" s="85">
        <f>Tabela1[[#This Row],[Pós PLT 10³/mm³]]</f>
        <v>235</v>
      </c>
      <c r="BT347" s="125">
        <f>Tabela1[[#This Row],[Pré RDW %]]</f>
        <v>11.7</v>
      </c>
      <c r="BU347" s="125">
        <f>Tabela1[[#This Row],[Pós RDW %]]</f>
        <v>12.4</v>
      </c>
      <c r="BV347" s="179" t="str">
        <f>Tabela1[[#This Row],[Pré RET %]]</f>
        <v>-</v>
      </c>
      <c r="BW347" s="196" t="str">
        <f>Tabela1[[#This Row],[Pós RET %]]</f>
        <v>-</v>
      </c>
      <c r="BX347" s="197">
        <f>Tabela1[[#This Row],[Pré WBC 10³/mm³]]</f>
        <v>6.84</v>
      </c>
      <c r="BY347" s="179">
        <f>Tabela1[[#This Row],[Pós WBC 10³/mm³]]</f>
        <v>10.19</v>
      </c>
      <c r="BZ347" s="125">
        <f>Tabela1[[#This Row],[Pré NEUT %]]</f>
        <v>60.9</v>
      </c>
      <c r="CA347" s="125">
        <f>Tabela1[[#This Row],[Pós NEUT %]]</f>
        <v>78.599999999999994</v>
      </c>
      <c r="CB347" s="125">
        <f>Tabela1[[#This Row],[Pré LINF %]]</f>
        <v>1.83</v>
      </c>
      <c r="CC347" s="125">
        <f>Tabela1[[#This Row],[Pós LINF %]]</f>
        <v>12.3</v>
      </c>
      <c r="CD347" s="125">
        <f>Tabela1[[#This Row],[Pré MONO %]]</f>
        <v>9.14</v>
      </c>
      <c r="CE347" s="125">
        <f>Tabela1[[#This Row],[Pós MONO %]]</f>
        <v>8.3000000000000007</v>
      </c>
      <c r="CF347" s="125">
        <f>Tabela1[[#This Row],[Pré EOS %]]</f>
        <v>2.0299999999999998</v>
      </c>
      <c r="CG347" s="125">
        <f>Tabela1[[#This Row],[Pós EOS %]]</f>
        <v>0.6</v>
      </c>
      <c r="CH347" s="125">
        <f>Tabela1[[#This Row],[Pré BASO %]]</f>
        <v>1.1599999999999999</v>
      </c>
      <c r="CI347" s="198">
        <f>Tabela1[[#This Row],[Pós BASO %]]</f>
        <v>0.2</v>
      </c>
      <c r="CJ347" s="199" t="str">
        <f t="shared" si="21"/>
        <v>NÃO</v>
      </c>
      <c r="CK347" s="200" t="str">
        <f t="shared" si="22"/>
        <v>SIM</v>
      </c>
      <c r="CL347" s="194">
        <f t="shared" si="23"/>
        <v>63.201930000000004</v>
      </c>
      <c r="CM347" s="125">
        <f>Tabela1[[#This Row],[MCT KG]]</f>
        <v>75.900000000000006</v>
      </c>
      <c r="CN347" s="85">
        <f>Tabela1[[#This Row],[ESTATURA]]</f>
        <v>179</v>
      </c>
      <c r="CO347" s="85" t="str">
        <f>Tabela1[[#This Row],[vo2max estimado]]</f>
        <v>51,73</v>
      </c>
      <c r="CP347" s="85">
        <f>Tabela1[[#This Row],[Handgrip     Dominante]]</f>
        <v>52</v>
      </c>
      <c r="CQ347" s="85">
        <f>Tabela1[[#This Row],[Handgrip Contrário]]</f>
        <v>58</v>
      </c>
      <c r="CR347" s="281" t="str">
        <f>Tabela1[[#This Row],[% gordura]]</f>
        <v>16,73</v>
      </c>
    </row>
    <row r="348" spans="1:96" ht="15.75" customHeight="1">
      <c r="A348" s="279">
        <f>Tabela1[[#This Row],[Ano]]</f>
        <v>2023</v>
      </c>
      <c r="B348" s="181" t="str">
        <f>Tabela1[[#This Row],[Missão]]</f>
        <v>CIASC</v>
      </c>
      <c r="C348" s="181">
        <f>Tabela1[[#This Row],[Aluno]]</f>
        <v>3267</v>
      </c>
      <c r="D348" s="181">
        <f>Tabela1[[#This Row],[Idade]]</f>
        <v>25</v>
      </c>
      <c r="E348" s="182">
        <f>Tabela1[[#This Row],[Peso Kg]]</f>
        <v>75.3</v>
      </c>
      <c r="F348" s="191">
        <f>Tabela1[[#This Row],[Cor da pele]]</f>
        <v>1</v>
      </c>
      <c r="G348" s="192" t="str">
        <f>Tabela1[[#This Row],[ACTN3]]</f>
        <v>-</v>
      </c>
      <c r="H348" s="85" t="str">
        <f>Tabela1[[#This Row],[AGT]]</f>
        <v>-</v>
      </c>
      <c r="I348" s="85" t="str">
        <f>Tabela1[[#This Row],[ECA]]</f>
        <v>-</v>
      </c>
      <c r="J348" s="85" t="str">
        <f>Tabela1[[#This Row],[BDKRB2]]</f>
        <v>-</v>
      </c>
      <c r="K348" s="85" t="str">
        <f>Tabela1[[#This Row],[Score Força%]]</f>
        <v>-</v>
      </c>
      <c r="L348" s="193" t="str">
        <f>Tabela1[[#This Row],[Score Resistência %]]</f>
        <v>-</v>
      </c>
      <c r="M348" s="192">
        <f>Tabela1[[#This Row],[Pré CK (U/L)]]</f>
        <v>488</v>
      </c>
      <c r="N348" s="85">
        <f>Tabela1[[#This Row],[Pós CK (U/L)]]</f>
        <v>2528</v>
      </c>
      <c r="O348" s="85" t="str">
        <f>Tabela1[[#This Row],[Pré CK MB U/L]]</f>
        <v>-</v>
      </c>
      <c r="P348" s="85" t="str">
        <f>Tabela1[[#This Row],[Pós CK MB U/L]]</f>
        <v>-</v>
      </c>
      <c r="Q348" s="85">
        <f>Tabela1[[#This Row],[Pré Lactato (mmol/L)]]</f>
        <v>4</v>
      </c>
      <c r="R348" s="85">
        <f>Tabela1[[#This Row],[Pós Lactato (mmol/L)]]</f>
        <v>2.8</v>
      </c>
      <c r="S348" s="85">
        <f>Tabela1[[#This Row],[Pré LDH (U/L)]]</f>
        <v>227</v>
      </c>
      <c r="T348" s="85">
        <f>Tabela1[[#This Row],[Pós LDH (U/L)]]</f>
        <v>430</v>
      </c>
      <c r="U348" s="85">
        <f>Tabela1[[#This Row],[Pré AST (U/L)]]</f>
        <v>55</v>
      </c>
      <c r="V348" s="193">
        <f>Tabela1[[#This Row],[Pós AST (U/L)]]</f>
        <v>159</v>
      </c>
      <c r="W348" s="194">
        <f>Tabela1[[#This Row],[Pré Albumina (g/dL)]]</f>
        <v>5.4</v>
      </c>
      <c r="X348" s="125">
        <f>Tabela1[[#This Row],[Pós Albumina (g/dL)]]</f>
        <v>4.5999999999999996</v>
      </c>
      <c r="Y348" s="85">
        <f>Tabela1[[#This Row],[Pré TGP (g/dL)]]</f>
        <v>35</v>
      </c>
      <c r="Z348" s="85">
        <f>Tabela1[[#This Row],[Pós TGP (g/dL)]]</f>
        <v>72</v>
      </c>
      <c r="AA348" s="85">
        <f>Tabela1[[#This Row],[Pré GGT U/L]]</f>
        <v>26</v>
      </c>
      <c r="AB348" s="193">
        <f>Tabela1[[#This Row],[Pós GGT U/L]]</f>
        <v>20</v>
      </c>
      <c r="AC348" s="194">
        <f>Tabela1[[#This Row],[Pré Ac. Úrico (mg/dL)]]</f>
        <v>4.2</v>
      </c>
      <c r="AD348" s="125">
        <f>Tabela1[[#This Row],[Pós Ac. Úrico (mg/dL)2]]</f>
        <v>3.9</v>
      </c>
      <c r="AE34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48" s="180" t="str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Dados Insuficientes</v>
      </c>
      <c r="AG348" s="85">
        <f>Tabela1[[#This Row],[Pré Ureia mg/dL]]</f>
        <v>46</v>
      </c>
      <c r="AH348" s="85">
        <f>Tabela1[[#This Row],[Pós Ureia mg/dL]]</f>
        <v>44</v>
      </c>
      <c r="AI348" s="125">
        <f>Tabela1[[#This Row],[Pré creatinina mg/dL]]</f>
        <v>0.9</v>
      </c>
      <c r="AJ348" s="125" t="str">
        <f>Tabela1[[#This Row],[Pós creatinina mg/dL]]</f>
        <v>-</v>
      </c>
      <c r="AK348" s="180" t="str">
        <f t="shared" si="20"/>
        <v>Dados Insuficientes</v>
      </c>
      <c r="AL348" s="125">
        <f>Tabela1[[#This Row],[Pré Fósforo mg/dL]]</f>
        <v>4.3</v>
      </c>
      <c r="AM348" s="125">
        <f>Tabela1[[#This Row],[Pós Fósforo mg/dL]]</f>
        <v>3.9</v>
      </c>
      <c r="AN348" s="125">
        <f>Tabela1[[#This Row],[Pré Proteína Total (g/dL)]]</f>
        <v>8.9</v>
      </c>
      <c r="AO348" s="125">
        <f>Tabela1[[#This Row],[Pós Proteína Total (g/dL)]]</f>
        <v>6.5</v>
      </c>
      <c r="AP348" s="85">
        <f>Tabela1[[#This Row],[Pré FE (ug/dL)]]</f>
        <v>11</v>
      </c>
      <c r="AQ348" s="193">
        <f>Tabela1[[#This Row],[Pós FE (ug/dL)]]</f>
        <v>35</v>
      </c>
      <c r="AR348" s="194">
        <f>Tabela1[[#This Row],[Pré calcio mg/dL]]</f>
        <v>9.1</v>
      </c>
      <c r="AS348" s="125">
        <f>Tabela1[[#This Row],[Pós calcio mg/dL]]</f>
        <v>9</v>
      </c>
      <c r="AT348" s="125">
        <f>Tabela1[[#This Row],[Pré Potássio mmol/L]]</f>
        <v>4.4000000000000004</v>
      </c>
      <c r="AU348" s="125">
        <f>Tabela1[[#This Row],[Pós Potássio mmol/L]]</f>
        <v>4.0999999999999996</v>
      </c>
      <c r="AV348" s="85">
        <f>Tabela1[[#This Row],[Glicose pré]]</f>
        <v>115</v>
      </c>
      <c r="AW348" s="85">
        <f>Tabela1[[#This Row],[Glicose pós]]</f>
        <v>118</v>
      </c>
      <c r="AX348" s="85">
        <f>Tabela1[[#This Row],[Pré Sódio mmol/L]]</f>
        <v>146</v>
      </c>
      <c r="AY348" s="85">
        <f>Tabela1[[#This Row],[Pós Sódio mmol/L]]</f>
        <v>136</v>
      </c>
      <c r="AZ348" s="125">
        <f>Tabela1[[#This Row],[Pré Magnésio mg/dL]]</f>
        <v>2.2000000000000002</v>
      </c>
      <c r="BA348" s="125">
        <f>Tabela1[[#This Row],[Pós Magnésio mg/dL]]</f>
        <v>1.9</v>
      </c>
      <c r="BB348" s="85">
        <f>Tabela1[[#This Row],[Pré Cloro mmol/L]]</f>
        <v>106</v>
      </c>
      <c r="BC348" s="85">
        <f>Tabela1[[#This Row],[Pós Cloro mmol/L]]</f>
        <v>104</v>
      </c>
      <c r="BD34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308.75788888888894</v>
      </c>
      <c r="BE34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289.45822222222222</v>
      </c>
      <c r="BF348" s="194">
        <f>Tabela1[[#This Row],[Pré RBC 10^6/mm³]]</f>
        <v>4.9000000000000004</v>
      </c>
      <c r="BG348" s="125" t="str">
        <f>Tabela1[[#This Row],[Pós RBC 10^6/mm³]]</f>
        <v>-</v>
      </c>
      <c r="BH348" s="125">
        <f>Tabela1[[#This Row],[Pré HGB g/dL]]</f>
        <v>14.3</v>
      </c>
      <c r="BI348" s="125" t="str">
        <f>Tabela1[[#This Row],[Pós HGB g/dL]]</f>
        <v>-</v>
      </c>
      <c r="BJ348" s="125">
        <f>Tabela1[[#This Row],[Pré HCT %]]</f>
        <v>44.4</v>
      </c>
      <c r="BK348" s="125" t="str">
        <f>Tabela1[[#This Row],[Pós HCT %]]</f>
        <v>-</v>
      </c>
      <c r="BL348" s="125">
        <f>Tabela1[[#This Row],[Pré MCV fL]]</f>
        <v>90.6</v>
      </c>
      <c r="BM348" s="125" t="str">
        <f>Tabela1[[#This Row],[Pós MCV fL]]</f>
        <v>-</v>
      </c>
      <c r="BN348" s="125">
        <f>Tabela1[[#This Row],[Pré MCH pg]]</f>
        <v>29.3</v>
      </c>
      <c r="BO348" s="125" t="str">
        <f>Tabela1[[#This Row],[Pós MCH pg]]</f>
        <v>-</v>
      </c>
      <c r="BP348" s="125">
        <f>Tabela1[[#This Row],[Pré MCHC g/dL]]</f>
        <v>32.299999999999997</v>
      </c>
      <c r="BQ348" s="125" t="str">
        <f>Tabela1[[#This Row],[Pós MCHC g/dL]]</f>
        <v>-</v>
      </c>
      <c r="BR348" s="85">
        <f>Tabela1[[#This Row],[Pré PLT 10³/mm³]]</f>
        <v>206</v>
      </c>
      <c r="BS348" s="85" t="str">
        <f>Tabela1[[#This Row],[Pós PLT 10³/mm³]]</f>
        <v>-</v>
      </c>
      <c r="BT348" s="125">
        <f>Tabela1[[#This Row],[Pré RDW %]]</f>
        <v>11.7</v>
      </c>
      <c r="BU348" s="125" t="str">
        <f>Tabela1[[#This Row],[Pós RDW %]]</f>
        <v>-</v>
      </c>
      <c r="BV348" s="179" t="str">
        <f>Tabela1[[#This Row],[Pré RET %]]</f>
        <v>-</v>
      </c>
      <c r="BW348" s="196" t="str">
        <f>Tabela1[[#This Row],[Pós RET %]]</f>
        <v>-</v>
      </c>
      <c r="BX348" s="197">
        <f>Tabela1[[#This Row],[Pré WBC 10³/mm³]]</f>
        <v>7.1</v>
      </c>
      <c r="BY348" s="179" t="str">
        <f>Tabela1[[#This Row],[Pós WBC 10³/mm³]]</f>
        <v>-</v>
      </c>
      <c r="BZ348" s="125">
        <f>Tabela1[[#This Row],[Pré NEUT %]]</f>
        <v>63.8</v>
      </c>
      <c r="CA348" s="125" t="str">
        <f>Tabela1[[#This Row],[Pós NEUT %]]</f>
        <v>-</v>
      </c>
      <c r="CB348" s="125">
        <f>Tabela1[[#This Row],[Pré LINF %]]</f>
        <v>23.5</v>
      </c>
      <c r="CC348" s="125" t="str">
        <f>Tabela1[[#This Row],[Pós LINF %]]</f>
        <v>-</v>
      </c>
      <c r="CD348" s="125">
        <f>Tabela1[[#This Row],[Pré MONO %]]</f>
        <v>7.59</v>
      </c>
      <c r="CE348" s="125" t="str">
        <f>Tabela1[[#This Row],[Pós MONO %]]</f>
        <v>-</v>
      </c>
      <c r="CF348" s="125">
        <f>Tabela1[[#This Row],[Pré EOS %]]</f>
        <v>3.88</v>
      </c>
      <c r="CG348" s="125" t="str">
        <f>Tabela1[[#This Row],[Pós EOS %]]</f>
        <v>-</v>
      </c>
      <c r="CH348" s="125">
        <f>Tabela1[[#This Row],[Pré BASO %]]</f>
        <v>1.24</v>
      </c>
      <c r="CI348" s="198" t="str">
        <f>Tabela1[[#This Row],[Pós BASO %]]</f>
        <v>-</v>
      </c>
      <c r="CJ348" s="199" t="str">
        <f t="shared" si="21"/>
        <v>Dados insuficientes</v>
      </c>
      <c r="CK348" s="200" t="str">
        <f t="shared" si="22"/>
        <v>SIM</v>
      </c>
      <c r="CL348" s="194">
        <f t="shared" si="23"/>
        <v>69.765299999999996</v>
      </c>
      <c r="CM348" s="125">
        <f>Tabela1[[#This Row],[MCT KG]]</f>
        <v>78.3</v>
      </c>
      <c r="CN348" s="85">
        <f>Tabela1[[#This Row],[ESTATURA]]</f>
        <v>173</v>
      </c>
      <c r="CO348" s="85" t="str">
        <f>Tabela1[[#This Row],[vo2max estimado]]</f>
        <v>52,21</v>
      </c>
      <c r="CP348" s="85">
        <f>Tabela1[[#This Row],[Handgrip     Dominante]]</f>
        <v>58</v>
      </c>
      <c r="CQ348" s="85">
        <f>Tabela1[[#This Row],[Handgrip Contrário]]</f>
        <v>54</v>
      </c>
      <c r="CR348" s="281" t="str">
        <f>Tabela1[[#This Row],[% gordura]]</f>
        <v>10,90</v>
      </c>
    </row>
    <row r="349" spans="1:96" ht="15.75" customHeight="1">
      <c r="A349" s="279">
        <f>Tabela1[[#This Row],[Ano]]</f>
        <v>2023</v>
      </c>
      <c r="B349" s="181" t="str">
        <f>Tabela1[[#This Row],[Missão]]</f>
        <v>CIASC</v>
      </c>
      <c r="C349" s="181">
        <f>Tabela1[[#This Row],[Aluno]]</f>
        <v>3268</v>
      </c>
      <c r="D349" s="181">
        <f>Tabela1[[#This Row],[Idade]]</f>
        <v>24</v>
      </c>
      <c r="E349" s="182">
        <f>Tabela1[[#This Row],[Peso Kg]]</f>
        <v>75.7</v>
      </c>
      <c r="F349" s="191">
        <f>Tabela1[[#This Row],[Cor da pele]]</f>
        <v>2</v>
      </c>
      <c r="G349" s="192" t="str">
        <f>Tabela1[[#This Row],[ACTN3]]</f>
        <v>RR</v>
      </c>
      <c r="H349" s="85" t="str">
        <f>Tabela1[[#This Row],[AGT]]</f>
        <v>MT</v>
      </c>
      <c r="I349" s="85" t="str">
        <f>Tabela1[[#This Row],[ECA]]</f>
        <v>ID</v>
      </c>
      <c r="J349" s="85" t="str">
        <f>Tabela1[[#This Row],[BDKRB2]]</f>
        <v>-9,-9</v>
      </c>
      <c r="K349" s="85">
        <f>Tabela1[[#This Row],[Score Força%]]</f>
        <v>50</v>
      </c>
      <c r="L349" s="193">
        <f>Tabela1[[#This Row],[Score Resistência %]]</f>
        <v>50</v>
      </c>
      <c r="M349" s="192">
        <f>Tabela1[[#This Row],[Pré CK (U/L)]]</f>
        <v>600</v>
      </c>
      <c r="N349" s="85">
        <f>Tabela1[[#This Row],[Pós CK (U/L)]]</f>
        <v>4243</v>
      </c>
      <c r="O349" s="85" t="str">
        <f>Tabela1[[#This Row],[Pré CK MB U/L]]</f>
        <v>-</v>
      </c>
      <c r="P349" s="85" t="str">
        <f>Tabela1[[#This Row],[Pós CK MB U/L]]</f>
        <v>-</v>
      </c>
      <c r="Q349" s="85">
        <f>Tabela1[[#This Row],[Pré Lactato (mmol/L)]]</f>
        <v>3.3</v>
      </c>
      <c r="R349" s="85">
        <f>Tabela1[[#This Row],[Pós Lactato (mmol/L)]]</f>
        <v>2.5</v>
      </c>
      <c r="S349" s="85">
        <f>Tabela1[[#This Row],[Pré LDH (U/L)]]</f>
        <v>212</v>
      </c>
      <c r="T349" s="85">
        <f>Tabela1[[#This Row],[Pós LDH (U/L)]]</f>
        <v>555</v>
      </c>
      <c r="U349" s="85">
        <f>Tabela1[[#This Row],[Pré AST (U/L)]]</f>
        <v>42</v>
      </c>
      <c r="V349" s="193">
        <f>Tabela1[[#This Row],[Pós AST (U/L)]]</f>
        <v>133</v>
      </c>
      <c r="W349" s="194">
        <f>Tabela1[[#This Row],[Pré Albumina (g/dL)]]</f>
        <v>4.5999999999999996</v>
      </c>
      <c r="X349" s="125">
        <f>Tabela1[[#This Row],[Pós Albumina (g/dL)]]</f>
        <v>4.9000000000000004</v>
      </c>
      <c r="Y349" s="85">
        <f>Tabela1[[#This Row],[Pré TGP (g/dL)]]</f>
        <v>61</v>
      </c>
      <c r="Z349" s="85">
        <f>Tabela1[[#This Row],[Pós TGP (g/dL)]]</f>
        <v>142</v>
      </c>
      <c r="AA349" s="85">
        <f>Tabela1[[#This Row],[Pré GGT U/L]]</f>
        <v>16</v>
      </c>
      <c r="AB349" s="193">
        <f>Tabela1[[#This Row],[Pós GGT U/L]]</f>
        <v>59</v>
      </c>
      <c r="AC349" s="194">
        <f>Tabela1[[#This Row],[Pré Ac. Úrico (mg/dL)]]</f>
        <v>4.8</v>
      </c>
      <c r="AD349" s="125">
        <f>Tabela1[[#This Row],[Pós Ac. Úrico (mg/dL)2]]</f>
        <v>5.7</v>
      </c>
      <c r="AE34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34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73.998920648507308</v>
      </c>
      <c r="AG349" s="85">
        <f>Tabela1[[#This Row],[Pré Ureia mg/dL]]</f>
        <v>36</v>
      </c>
      <c r="AH349" s="85">
        <f>Tabela1[[#This Row],[Pós Ureia mg/dL]]</f>
        <v>32</v>
      </c>
      <c r="AI349" s="125">
        <f>Tabela1[[#This Row],[Pré creatinina mg/dL]]</f>
        <v>0.7</v>
      </c>
      <c r="AJ349" s="125">
        <f>Tabela1[[#This Row],[Pós creatinina mg/dL]]</f>
        <v>1.34</v>
      </c>
      <c r="AK349" s="180">
        <f t="shared" si="20"/>
        <v>0.64000000000000012</v>
      </c>
      <c r="AL349" s="125">
        <f>Tabela1[[#This Row],[Pré Fósforo mg/dL]]</f>
        <v>4</v>
      </c>
      <c r="AM349" s="125">
        <f>Tabela1[[#This Row],[Pós Fósforo mg/dL]]</f>
        <v>3.5</v>
      </c>
      <c r="AN349" s="125">
        <f>Tabela1[[#This Row],[Pré Proteína Total (g/dL)]]</f>
        <v>7.6</v>
      </c>
      <c r="AO349" s="125">
        <f>Tabela1[[#This Row],[Pós Proteína Total (g/dL)]]</f>
        <v>7.3</v>
      </c>
      <c r="AP349" s="85">
        <f>Tabela1[[#This Row],[Pré FE (ug/dL)]]</f>
        <v>46</v>
      </c>
      <c r="AQ349" s="193">
        <f>Tabela1[[#This Row],[Pós FE (ug/dL)]]</f>
        <v>34</v>
      </c>
      <c r="AR349" s="194">
        <f>Tabela1[[#This Row],[Pré calcio mg/dL]]</f>
        <v>7.8</v>
      </c>
      <c r="AS349" s="125">
        <f>Tabela1[[#This Row],[Pós calcio mg/dL]]</f>
        <v>9.1</v>
      </c>
      <c r="AT349" s="125">
        <f>Tabela1[[#This Row],[Pré Potássio mmol/L]]</f>
        <v>5.4</v>
      </c>
      <c r="AU349" s="125">
        <f>Tabela1[[#This Row],[Pós Potássio mmol/L]]</f>
        <v>4.4000000000000004</v>
      </c>
      <c r="AV349" s="85">
        <f>Tabela1[[#This Row],[Glicose pré]]</f>
        <v>104</v>
      </c>
      <c r="AW349" s="85">
        <f>Tabela1[[#This Row],[Glicose pós]]</f>
        <v>139</v>
      </c>
      <c r="AX349" s="85">
        <f>Tabela1[[#This Row],[Pré Sódio mmol/L]]</f>
        <v>135</v>
      </c>
      <c r="AY349" s="85">
        <f>Tabela1[[#This Row],[Pós Sódio mmol/L]]</f>
        <v>139</v>
      </c>
      <c r="AZ349" s="125">
        <f>Tabela1[[#This Row],[Pré Magnésio mg/dL]]</f>
        <v>2</v>
      </c>
      <c r="BA349" s="125">
        <f>Tabela1[[#This Row],[Pós Magnésio mg/dL]]</f>
        <v>1.9</v>
      </c>
      <c r="BB349" s="85">
        <f>Tabela1[[#This Row],[Pré Cloro mmol/L]]</f>
        <v>102</v>
      </c>
      <c r="BC349" s="85">
        <f>Tabela1[[#This Row],[Pós Cloro mmol/L]]</f>
        <v>107</v>
      </c>
      <c r="BD34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287.78844444444445</v>
      </c>
      <c r="BE34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294.93788888888889</v>
      </c>
      <c r="BF349" s="194">
        <f>Tabela1[[#This Row],[Pré RBC 10^6/mm³]]</f>
        <v>4.9000000000000004</v>
      </c>
      <c r="BG349" s="125">
        <f>Tabela1[[#This Row],[Pós RBC 10^6/mm³]]</f>
        <v>4.17</v>
      </c>
      <c r="BH349" s="125">
        <f>Tabela1[[#This Row],[Pré HGB g/dL]]</f>
        <v>14.6</v>
      </c>
      <c r="BI349" s="125">
        <f>Tabela1[[#This Row],[Pós HGB g/dL]]</f>
        <v>12.6</v>
      </c>
      <c r="BJ349" s="125">
        <f>Tabela1[[#This Row],[Pré HCT %]]</f>
        <v>44.6</v>
      </c>
      <c r="BK349" s="125">
        <f>Tabela1[[#This Row],[Pós HCT %]]</f>
        <v>37.9</v>
      </c>
      <c r="BL349" s="125">
        <f>Tabela1[[#This Row],[Pré MCV fL]]</f>
        <v>91.1</v>
      </c>
      <c r="BM349" s="125">
        <f>Tabela1[[#This Row],[Pós MCV fL]]</f>
        <v>90.9</v>
      </c>
      <c r="BN349" s="125">
        <f>Tabela1[[#This Row],[Pré MCH pg]]</f>
        <v>29.8</v>
      </c>
      <c r="BO349" s="125">
        <f>Tabela1[[#This Row],[Pós MCH pg]]</f>
        <v>30.2</v>
      </c>
      <c r="BP349" s="125">
        <f>Tabela1[[#This Row],[Pré MCHC g/dL]]</f>
        <v>32.700000000000003</v>
      </c>
      <c r="BQ349" s="125">
        <f>Tabela1[[#This Row],[Pós MCHC g/dL]]</f>
        <v>33.299999999999997</v>
      </c>
      <c r="BR349" s="85">
        <f>Tabela1[[#This Row],[Pré PLT 10³/mm³]]</f>
        <v>228</v>
      </c>
      <c r="BS349" s="85">
        <f>Tabela1[[#This Row],[Pós PLT 10³/mm³]]</f>
        <v>267</v>
      </c>
      <c r="BT349" s="125">
        <f>Tabela1[[#This Row],[Pré RDW %]]</f>
        <v>11.7</v>
      </c>
      <c r="BU349" s="125">
        <f>Tabela1[[#This Row],[Pós RDW %]]</f>
        <v>12.2</v>
      </c>
      <c r="BV349" s="179" t="str">
        <f>Tabela1[[#This Row],[Pré RET %]]</f>
        <v>-</v>
      </c>
      <c r="BW349" s="196" t="str">
        <f>Tabela1[[#This Row],[Pós RET %]]</f>
        <v>-</v>
      </c>
      <c r="BX349" s="197">
        <f>Tabela1[[#This Row],[Pré WBC 10³/mm³]]</f>
        <v>5.32</v>
      </c>
      <c r="BY349" s="179">
        <f>Tabela1[[#This Row],[Pós WBC 10³/mm³]]</f>
        <v>9.2200000000000006</v>
      </c>
      <c r="BZ349" s="125">
        <f>Tabela1[[#This Row],[Pré NEUT %]]</f>
        <v>48.2</v>
      </c>
      <c r="CA349" s="125">
        <f>Tabela1[[#This Row],[Pós NEUT %]]</f>
        <v>76.3</v>
      </c>
      <c r="CB349" s="125">
        <f>Tabela1[[#This Row],[Pré LINF %]]</f>
        <v>38</v>
      </c>
      <c r="CC349" s="125">
        <f>Tabela1[[#This Row],[Pós LINF %]]</f>
        <v>15.2</v>
      </c>
      <c r="CD349" s="125">
        <f>Tabela1[[#This Row],[Pré MONO %]]</f>
        <v>7.42</v>
      </c>
      <c r="CE349" s="125">
        <f>Tabela1[[#This Row],[Pós MONO %]]</f>
        <v>6.4</v>
      </c>
      <c r="CF349" s="125">
        <f>Tabela1[[#This Row],[Pré EOS %]]</f>
        <v>4.82</v>
      </c>
      <c r="CG349" s="125">
        <f>Tabela1[[#This Row],[Pós EOS %]]</f>
        <v>2</v>
      </c>
      <c r="CH349" s="125">
        <f>Tabela1[[#This Row],[Pré BASO %]]</f>
        <v>1.57</v>
      </c>
      <c r="CI349" s="198">
        <f>Tabela1[[#This Row],[Pós BASO %]]</f>
        <v>0.1</v>
      </c>
      <c r="CJ349" s="199" t="str">
        <f t="shared" si="21"/>
        <v>SIM</v>
      </c>
      <c r="CK349" s="200" t="str">
        <f t="shared" si="22"/>
        <v>SIM</v>
      </c>
      <c r="CL349" s="194">
        <f t="shared" si="23"/>
        <v>69.677400000000006</v>
      </c>
      <c r="CM349" s="125">
        <f>Tabela1[[#This Row],[MCT KG]]</f>
        <v>78</v>
      </c>
      <c r="CN349" s="85">
        <f>Tabela1[[#This Row],[ESTATURA]]</f>
        <v>178</v>
      </c>
      <c r="CO349" s="85" t="str">
        <f>Tabela1[[#This Row],[vo2max estimado]]</f>
        <v>52,07</v>
      </c>
      <c r="CP349" s="85">
        <f>Tabela1[[#This Row],[Handgrip     Dominante]]</f>
        <v>56</v>
      </c>
      <c r="CQ349" s="85">
        <f>Tabela1[[#This Row],[Handgrip Contrário]]</f>
        <v>56</v>
      </c>
      <c r="CR349" s="281" t="str">
        <f>Tabela1[[#This Row],[% gordura]]</f>
        <v>10,67</v>
      </c>
    </row>
    <row r="350" spans="1:96" ht="15.75" customHeight="1">
      <c r="A350" s="279">
        <f>Tabela1[[#This Row],[Ano]]</f>
        <v>2023</v>
      </c>
      <c r="B350" s="181" t="str">
        <f>Tabela1[[#This Row],[Missão]]</f>
        <v>CIASC</v>
      </c>
      <c r="C350" s="181">
        <f>Tabela1[[#This Row],[Aluno]]</f>
        <v>3274</v>
      </c>
      <c r="D350" s="181">
        <f>Tabela1[[#This Row],[Idade]]</f>
        <v>34</v>
      </c>
      <c r="E350" s="182">
        <f>Tabela1[[#This Row],[Peso Kg]]</f>
        <v>80.099999999999994</v>
      </c>
      <c r="F350" s="191">
        <f>Tabela1[[#This Row],[Cor da pele]]</f>
        <v>1</v>
      </c>
      <c r="G350" s="192" t="str">
        <f>Tabela1[[#This Row],[ACTN3]]</f>
        <v>RX</v>
      </c>
      <c r="H350" s="85" t="str">
        <f>Tabela1[[#This Row],[AGT]]</f>
        <v>MT</v>
      </c>
      <c r="I350" s="85" t="str">
        <f>Tabela1[[#This Row],[ECA]]</f>
        <v>ID</v>
      </c>
      <c r="J350" s="85">
        <f>Tabela1[[#This Row],[BDKRB2]]</f>
        <v>0</v>
      </c>
      <c r="K350" s="85">
        <f>Tabela1[[#This Row],[Score Força%]]</f>
        <v>50</v>
      </c>
      <c r="L350" s="193">
        <f>Tabela1[[#This Row],[Score Resistência %]]</f>
        <v>50</v>
      </c>
      <c r="M350" s="192">
        <f>Tabela1[[#This Row],[Pré CK (U/L)]]</f>
        <v>292</v>
      </c>
      <c r="N350" s="85">
        <f>Tabela1[[#This Row],[Pós CK (U/L)]]</f>
        <v>1958</v>
      </c>
      <c r="O350" s="85" t="str">
        <f>Tabela1[[#This Row],[Pré CK MB U/L]]</f>
        <v>-</v>
      </c>
      <c r="P350" s="85" t="str">
        <f>Tabela1[[#This Row],[Pós CK MB U/L]]</f>
        <v>-</v>
      </c>
      <c r="Q350" s="85">
        <f>Tabela1[[#This Row],[Pré Lactato (mmol/L)]]</f>
        <v>3.4</v>
      </c>
      <c r="R350" s="85">
        <f>Tabela1[[#This Row],[Pós Lactato (mmol/L)]]</f>
        <v>2.7</v>
      </c>
      <c r="S350" s="85">
        <f>Tabela1[[#This Row],[Pré LDH (U/L)]]</f>
        <v>192</v>
      </c>
      <c r="T350" s="85">
        <f>Tabela1[[#This Row],[Pós LDH (U/L)]]</f>
        <v>346</v>
      </c>
      <c r="U350" s="85">
        <f>Tabela1[[#This Row],[Pré AST (U/L)]]</f>
        <v>38</v>
      </c>
      <c r="V350" s="193">
        <f>Tabela1[[#This Row],[Pós AST (U/L)]]</f>
        <v>97</v>
      </c>
      <c r="W350" s="194">
        <f>Tabela1[[#This Row],[Pré Albumina (g/dL)]]</f>
        <v>4.3</v>
      </c>
      <c r="X350" s="125">
        <f>Tabela1[[#This Row],[Pós Albumina (g/dL)]]</f>
        <v>4.5999999999999996</v>
      </c>
      <c r="Y350" s="85">
        <f>Tabela1[[#This Row],[Pré TGP (g/dL)]]</f>
        <v>34</v>
      </c>
      <c r="Z350" s="85">
        <f>Tabela1[[#This Row],[Pós TGP (g/dL)]]</f>
        <v>67</v>
      </c>
      <c r="AA350" s="85">
        <f>Tabela1[[#This Row],[Pré GGT U/L]]</f>
        <v>17</v>
      </c>
      <c r="AB350" s="193">
        <f>Tabela1[[#This Row],[Pós GGT U/L]]</f>
        <v>17</v>
      </c>
      <c r="AC350" s="194">
        <f>Tabela1[[#This Row],[Pré Ac. Úrico (mg/dL)]]</f>
        <v>6.5</v>
      </c>
      <c r="AD350" s="125">
        <f>Tabela1[[#This Row],[Pós Ac. Úrico (mg/dL)2]]</f>
        <v>7</v>
      </c>
      <c r="AE35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35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127.62241419356421</v>
      </c>
      <c r="AG350" s="85">
        <f>Tabela1[[#This Row],[Pré Ureia mg/dL]]</f>
        <v>35</v>
      </c>
      <c r="AH350" s="85">
        <f>Tabela1[[#This Row],[Pós Ureia mg/dL]]</f>
        <v>37</v>
      </c>
      <c r="AI350" s="125">
        <f>Tabela1[[#This Row],[Pré creatinina mg/dL]]</f>
        <v>1</v>
      </c>
      <c r="AJ350" s="125">
        <f>Tabela1[[#This Row],[Pós creatinina mg/dL]]</f>
        <v>0.72</v>
      </c>
      <c r="AK350" s="180">
        <f t="shared" si="20"/>
        <v>0</v>
      </c>
      <c r="AL350" s="125">
        <f>Tabela1[[#This Row],[Pré Fósforo mg/dL]]</f>
        <v>3.3</v>
      </c>
      <c r="AM350" s="125">
        <f>Tabela1[[#This Row],[Pós Fósforo mg/dL]]</f>
        <v>4.0999999999999996</v>
      </c>
      <c r="AN350" s="125">
        <f>Tabela1[[#This Row],[Pré Proteína Total (g/dL)]]</f>
        <v>7.4</v>
      </c>
      <c r="AO350" s="125">
        <f>Tabela1[[#This Row],[Pós Proteína Total (g/dL)]]</f>
        <v>7</v>
      </c>
      <c r="AP350" s="85">
        <f>Tabela1[[#This Row],[Pré FE (ug/dL)]]</f>
        <v>60</v>
      </c>
      <c r="AQ350" s="193">
        <f>Tabela1[[#This Row],[Pós FE (ug/dL)]]</f>
        <v>60</v>
      </c>
      <c r="AR350" s="194">
        <f>Tabela1[[#This Row],[Pré calcio mg/dL]]</f>
        <v>7.7</v>
      </c>
      <c r="AS350" s="125">
        <f>Tabela1[[#This Row],[Pós calcio mg/dL]]</f>
        <v>8.9</v>
      </c>
      <c r="AT350" s="125">
        <f>Tabela1[[#This Row],[Pré Potássio mmol/L]]</f>
        <v>4.7</v>
      </c>
      <c r="AU350" s="125">
        <f>Tabela1[[#This Row],[Pós Potássio mmol/L]]</f>
        <v>4.0999999999999996</v>
      </c>
      <c r="AV350" s="85">
        <f>Tabela1[[#This Row],[Glicose pré]]</f>
        <v>108</v>
      </c>
      <c r="AW350" s="85">
        <f>Tabela1[[#This Row],[Glicose pós]]</f>
        <v>125</v>
      </c>
      <c r="AX350" s="85">
        <f>Tabela1[[#This Row],[Pré Sódio mmol/L]]</f>
        <v>136</v>
      </c>
      <c r="AY350" s="85">
        <f>Tabela1[[#This Row],[Pós Sódio mmol/L]]</f>
        <v>138</v>
      </c>
      <c r="AZ350" s="125">
        <f>Tabela1[[#This Row],[Pré Magnésio mg/dL]]</f>
        <v>2.2000000000000002</v>
      </c>
      <c r="BA350" s="125">
        <f>Tabela1[[#This Row],[Pós Magnésio mg/dL]]</f>
        <v>2.1</v>
      </c>
      <c r="BB350" s="85">
        <f>Tabela1[[#This Row],[Pré Cloro mmol/L]]</f>
        <v>102</v>
      </c>
      <c r="BC350" s="85">
        <f>Tabela1[[#This Row],[Pós Cloro mmol/L]]</f>
        <v>104</v>
      </c>
      <c r="BD35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288.43533333333329</v>
      </c>
      <c r="BE35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292.45877777777775</v>
      </c>
      <c r="BF350" s="194">
        <f>Tabela1[[#This Row],[Pré RBC 10^6/mm³]]</f>
        <v>5.87</v>
      </c>
      <c r="BG350" s="125" t="str">
        <f>Tabela1[[#This Row],[Pós RBC 10^6/mm³]]</f>
        <v>-</v>
      </c>
      <c r="BH350" s="125">
        <f>Tabela1[[#This Row],[Pré HGB g/dL]]</f>
        <v>13</v>
      </c>
      <c r="BI350" s="125" t="str">
        <f>Tabela1[[#This Row],[Pós HGB g/dL]]</f>
        <v>-</v>
      </c>
      <c r="BJ350" s="125">
        <f>Tabela1[[#This Row],[Pré HCT %]]</f>
        <v>44</v>
      </c>
      <c r="BK350" s="125" t="str">
        <f>Tabela1[[#This Row],[Pós HCT %]]</f>
        <v>-</v>
      </c>
      <c r="BL350" s="125">
        <f>Tabela1[[#This Row],[Pré MCV fL]]</f>
        <v>74.900000000000006</v>
      </c>
      <c r="BM350" s="125" t="str">
        <f>Tabela1[[#This Row],[Pós MCV fL]]</f>
        <v>-</v>
      </c>
      <c r="BN350" s="125">
        <f>Tabela1[[#This Row],[Pré MCH pg]]</f>
        <v>22.2</v>
      </c>
      <c r="BO350" s="125" t="str">
        <f>Tabela1[[#This Row],[Pós MCH pg]]</f>
        <v>-</v>
      </c>
      <c r="BP350" s="125">
        <f>Tabela1[[#This Row],[Pré MCHC g/dL]]</f>
        <v>29.6</v>
      </c>
      <c r="BQ350" s="125" t="str">
        <f>Tabela1[[#This Row],[Pós MCHC g/dL]]</f>
        <v>-</v>
      </c>
      <c r="BR350" s="85">
        <f>Tabela1[[#This Row],[Pré PLT 10³/mm³]]</f>
        <v>247</v>
      </c>
      <c r="BS350" s="85" t="str">
        <f>Tabela1[[#This Row],[Pós PLT 10³/mm³]]</f>
        <v>-</v>
      </c>
      <c r="BT350" s="125">
        <f>Tabela1[[#This Row],[Pré RDW %]]</f>
        <v>12.2</v>
      </c>
      <c r="BU350" s="125" t="str">
        <f>Tabela1[[#This Row],[Pós RDW %]]</f>
        <v>-</v>
      </c>
      <c r="BV350" s="179" t="str">
        <f>Tabela1[[#This Row],[Pré RET %]]</f>
        <v>-</v>
      </c>
      <c r="BW350" s="196" t="str">
        <f>Tabela1[[#This Row],[Pós RET %]]</f>
        <v>-</v>
      </c>
      <c r="BX350" s="197">
        <f>Tabela1[[#This Row],[Pré WBC 10³/mm³]]</f>
        <v>9.11</v>
      </c>
      <c r="BY350" s="179" t="str">
        <f>Tabela1[[#This Row],[Pós WBC 10³/mm³]]</f>
        <v>-</v>
      </c>
      <c r="BZ350" s="125">
        <f>Tabela1[[#This Row],[Pré NEUT %]]</f>
        <v>60.3</v>
      </c>
      <c r="CA350" s="125" t="str">
        <f>Tabela1[[#This Row],[Pós NEUT %]]</f>
        <v>-</v>
      </c>
      <c r="CB350" s="125">
        <f>Tabela1[[#This Row],[Pré LINF %]]</f>
        <v>26.1</v>
      </c>
      <c r="CC350" s="125" t="str">
        <f>Tabela1[[#This Row],[Pós LINF %]]</f>
        <v>-</v>
      </c>
      <c r="CD350" s="125">
        <f>Tabela1[[#This Row],[Pré MONO %]]</f>
        <v>8</v>
      </c>
      <c r="CE350" s="125" t="str">
        <f>Tabela1[[#This Row],[Pós MONO %]]</f>
        <v>-</v>
      </c>
      <c r="CF350" s="125">
        <f>Tabela1[[#This Row],[Pré EOS %]]</f>
        <v>4.43</v>
      </c>
      <c r="CG350" s="125" t="str">
        <f>Tabela1[[#This Row],[Pós EOS %]]</f>
        <v>-</v>
      </c>
      <c r="CH350" s="125">
        <f>Tabela1[[#This Row],[Pré BASO %]]</f>
        <v>1.21</v>
      </c>
      <c r="CI350" s="198" t="str">
        <f>Tabela1[[#This Row],[Pós BASO %]]</f>
        <v>-</v>
      </c>
      <c r="CJ350" s="199" t="str">
        <f t="shared" si="21"/>
        <v>NÃO</v>
      </c>
      <c r="CK350" s="200" t="str">
        <f t="shared" si="22"/>
        <v>SIM</v>
      </c>
      <c r="CL350" s="194">
        <f t="shared" si="23"/>
        <v>65.063019999999995</v>
      </c>
      <c r="CM350" s="125">
        <f>Tabela1[[#This Row],[MCT KG]]</f>
        <v>81.400000000000006</v>
      </c>
      <c r="CN350" s="85">
        <f>Tabela1[[#This Row],[ESTATURA]]</f>
        <v>178.5</v>
      </c>
      <c r="CO350" s="85" t="str">
        <f>Tabela1[[#This Row],[vo2max estimado]]</f>
        <v>47,31</v>
      </c>
      <c r="CP350" s="85">
        <f>Tabela1[[#This Row],[Handgrip     Dominante]]</f>
        <v>52</v>
      </c>
      <c r="CQ350" s="85">
        <f>Tabela1[[#This Row],[Handgrip Contrário]]</f>
        <v>52</v>
      </c>
      <c r="CR350" s="281" t="str">
        <f>Tabela1[[#This Row],[% gordura]]</f>
        <v>20,07</v>
      </c>
    </row>
    <row r="351" spans="1:96" ht="15.75" customHeight="1">
      <c r="A351" s="279">
        <f>Tabela1[[#This Row],[Ano]]</f>
        <v>2023</v>
      </c>
      <c r="B351" s="181" t="str">
        <f>Tabela1[[#This Row],[Missão]]</f>
        <v>CIASC</v>
      </c>
      <c r="C351" s="181">
        <f>Tabela1[[#This Row],[Aluno]]</f>
        <v>3277</v>
      </c>
      <c r="D351" s="181">
        <f>Tabela1[[#This Row],[Idade]]</f>
        <v>32</v>
      </c>
      <c r="E351" s="182">
        <f>Tabela1[[#This Row],[Peso Kg]]</f>
        <v>77.3</v>
      </c>
      <c r="F351" s="191">
        <f>Tabela1[[#This Row],[Cor da pele]]</f>
        <v>2</v>
      </c>
      <c r="G351" s="192" t="str">
        <f>Tabela1[[#This Row],[ACTN3]]</f>
        <v>RR</v>
      </c>
      <c r="H351" s="85" t="str">
        <f>Tabela1[[#This Row],[AGT]]</f>
        <v>MT</v>
      </c>
      <c r="I351" s="85" t="str">
        <f>Tabela1[[#This Row],[ECA]]</f>
        <v>II</v>
      </c>
      <c r="J351" s="85" t="str">
        <f>Tabela1[[#This Row],[BDKRB2]]</f>
        <v xml:space="preserve"> +9,+9</v>
      </c>
      <c r="K351" s="85">
        <f>Tabela1[[#This Row],[Score Força%]]</f>
        <v>62.5</v>
      </c>
      <c r="L351" s="193">
        <f>Tabela1[[#This Row],[Score Resistência %]]</f>
        <v>37.5</v>
      </c>
      <c r="M351" s="192">
        <f>Tabela1[[#This Row],[Pré CK (U/L)]]</f>
        <v>671</v>
      </c>
      <c r="N351" s="85">
        <f>Tabela1[[#This Row],[Pós CK (U/L)]]</f>
        <v>1635</v>
      </c>
      <c r="O351" s="85" t="str">
        <f>Tabela1[[#This Row],[Pré CK MB U/L]]</f>
        <v>-</v>
      </c>
      <c r="P351" s="85" t="str">
        <f>Tabela1[[#This Row],[Pós CK MB U/L]]</f>
        <v>-</v>
      </c>
      <c r="Q351" s="85" t="str">
        <f>Tabela1[[#This Row],[Pré Lactato (mmol/L)]]</f>
        <v>-</v>
      </c>
      <c r="R351" s="85">
        <f>Tabela1[[#This Row],[Pós Lactato (mmol/L)]]</f>
        <v>2.4</v>
      </c>
      <c r="S351" s="85">
        <f>Tabela1[[#This Row],[Pré LDH (U/L)]]</f>
        <v>206</v>
      </c>
      <c r="T351" s="85">
        <f>Tabela1[[#This Row],[Pós LDH (U/L)]]</f>
        <v>338</v>
      </c>
      <c r="U351" s="85">
        <f>Tabela1[[#This Row],[Pré AST (U/L)]]</f>
        <v>49</v>
      </c>
      <c r="V351" s="193">
        <f>Tabela1[[#This Row],[Pós AST (U/L)]]</f>
        <v>82</v>
      </c>
      <c r="W351" s="194">
        <f>Tabela1[[#This Row],[Pré Albumina (g/dL)]]</f>
        <v>5</v>
      </c>
      <c r="X351" s="125">
        <f>Tabela1[[#This Row],[Pós Albumina (g/dL)]]</f>
        <v>4.9000000000000004</v>
      </c>
      <c r="Y351" s="85">
        <f>Tabela1[[#This Row],[Pré TGP (g/dL)]]</f>
        <v>30</v>
      </c>
      <c r="Z351" s="85">
        <f>Tabela1[[#This Row],[Pós TGP (g/dL)]]</f>
        <v>56</v>
      </c>
      <c r="AA351" s="85">
        <f>Tabela1[[#This Row],[Pré GGT U/L]]</f>
        <v>16</v>
      </c>
      <c r="AB351" s="193">
        <f>Tabela1[[#This Row],[Pós GGT U/L]]</f>
        <v>25</v>
      </c>
      <c r="AC351" s="194">
        <f>Tabela1[[#This Row],[Pré Ac. Úrico (mg/dL)]]</f>
        <v>5.5</v>
      </c>
      <c r="AD351" s="125">
        <f>Tabela1[[#This Row],[Pós Ac. Úrico (mg/dL)2]]</f>
        <v>5</v>
      </c>
      <c r="AE35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5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126.0587127925829</v>
      </c>
      <c r="AG351" s="85">
        <f>Tabela1[[#This Row],[Pré Ureia mg/dL]]</f>
        <v>4.8</v>
      </c>
      <c r="AH351" s="85">
        <f>Tabela1[[#This Row],[Pós Ureia mg/dL]]</f>
        <v>50</v>
      </c>
      <c r="AI351" s="125">
        <f>Tabela1[[#This Row],[Pré creatinina mg/dL]]</f>
        <v>0.8</v>
      </c>
      <c r="AJ351" s="125">
        <f>Tabela1[[#This Row],[Pós creatinina mg/dL]]</f>
        <v>0.75</v>
      </c>
      <c r="AK351" s="180">
        <f t="shared" si="20"/>
        <v>0</v>
      </c>
      <c r="AL351" s="125">
        <f>Tabela1[[#This Row],[Pré Fósforo mg/dL]]</f>
        <v>3.8</v>
      </c>
      <c r="AM351" s="125">
        <f>Tabela1[[#This Row],[Pós Fósforo mg/dL]]</f>
        <v>3.7</v>
      </c>
      <c r="AN351" s="125">
        <f>Tabela1[[#This Row],[Pré Proteína Total (g/dL)]]</f>
        <v>8.5</v>
      </c>
      <c r="AO351" s="125">
        <f>Tabela1[[#This Row],[Pós Proteína Total (g/dL)]]</f>
        <v>7.6</v>
      </c>
      <c r="AP351" s="85">
        <f>Tabela1[[#This Row],[Pré FE (ug/dL)]]</f>
        <v>47</v>
      </c>
      <c r="AQ351" s="193">
        <f>Tabela1[[#This Row],[Pós FE (ug/dL)]]</f>
        <v>56</v>
      </c>
      <c r="AR351" s="194">
        <f>Tabela1[[#This Row],[Pré calcio mg/dL]]</f>
        <v>8.9</v>
      </c>
      <c r="AS351" s="125">
        <f>Tabela1[[#This Row],[Pós calcio mg/dL]]</f>
        <v>9.9</v>
      </c>
      <c r="AT351" s="125">
        <f>Tabela1[[#This Row],[Pré Potássio mmol/L]]</f>
        <v>5</v>
      </c>
      <c r="AU351" s="125">
        <f>Tabela1[[#This Row],[Pós Potássio mmol/L]]</f>
        <v>4.4000000000000004</v>
      </c>
      <c r="AV351" s="85">
        <f>Tabela1[[#This Row],[Glicose pré]]</f>
        <v>89</v>
      </c>
      <c r="AW351" s="85">
        <f>Tabela1[[#This Row],[Glicose pós]]</f>
        <v>94</v>
      </c>
      <c r="AX351" s="85">
        <f>Tabela1[[#This Row],[Pré Sódio mmol/L]]</f>
        <v>145</v>
      </c>
      <c r="AY351" s="85">
        <f>Tabela1[[#This Row],[Pós Sódio mmol/L]]</f>
        <v>142</v>
      </c>
      <c r="AZ351" s="125">
        <f>Tabela1[[#This Row],[Pré Magnésio mg/dL]]</f>
        <v>2.2000000000000002</v>
      </c>
      <c r="BA351" s="125">
        <f>Tabela1[[#This Row],[Pós Magnésio mg/dL]]</f>
        <v>2.2000000000000002</v>
      </c>
      <c r="BB351" s="85">
        <f>Tabela1[[#This Row],[Pré Cloro mmol/L]]</f>
        <v>108</v>
      </c>
      <c r="BC351" s="85">
        <f>Tabela1[[#This Row],[Pós Cloro mmol/L]]</f>
        <v>107</v>
      </c>
      <c r="BD35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299.48611111111114</v>
      </c>
      <c r="BE35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300.64288888888888</v>
      </c>
      <c r="BF351" s="194">
        <f>Tabela1[[#This Row],[Pré RBC 10^6/mm³]]</f>
        <v>5.12</v>
      </c>
      <c r="BG351" s="125" t="str">
        <f>Tabela1[[#This Row],[Pós RBC 10^6/mm³]]</f>
        <v>-</v>
      </c>
      <c r="BH351" s="125">
        <f>Tabela1[[#This Row],[Pré HGB g/dL]]</f>
        <v>13.9</v>
      </c>
      <c r="BI351" s="125" t="str">
        <f>Tabela1[[#This Row],[Pós HGB g/dL]]</f>
        <v>-</v>
      </c>
      <c r="BJ351" s="125">
        <f>Tabela1[[#This Row],[Pré HCT %]]</f>
        <v>42.8</v>
      </c>
      <c r="BK351" s="125" t="str">
        <f>Tabela1[[#This Row],[Pós HCT %]]</f>
        <v>-</v>
      </c>
      <c r="BL351" s="125">
        <f>Tabela1[[#This Row],[Pré MCV fL]]</f>
        <v>83.6</v>
      </c>
      <c r="BM351" s="125" t="str">
        <f>Tabela1[[#This Row],[Pós MCV fL]]</f>
        <v>-</v>
      </c>
      <c r="BN351" s="125">
        <f>Tabela1[[#This Row],[Pré MCH pg]]</f>
        <v>27.3</v>
      </c>
      <c r="BO351" s="125" t="str">
        <f>Tabela1[[#This Row],[Pós MCH pg]]</f>
        <v>-</v>
      </c>
      <c r="BP351" s="125">
        <f>Tabela1[[#This Row],[Pré MCHC g/dL]]</f>
        <v>32.6</v>
      </c>
      <c r="BQ351" s="125" t="str">
        <f>Tabela1[[#This Row],[Pós MCHC g/dL]]</f>
        <v>-</v>
      </c>
      <c r="BR351" s="85">
        <f>Tabela1[[#This Row],[Pré PLT 10³/mm³]]</f>
        <v>230</v>
      </c>
      <c r="BS351" s="85" t="str">
        <f>Tabela1[[#This Row],[Pós PLT 10³/mm³]]</f>
        <v>-</v>
      </c>
      <c r="BT351" s="125">
        <f>Tabela1[[#This Row],[Pré RDW %]]</f>
        <v>12.8</v>
      </c>
      <c r="BU351" s="125" t="str">
        <f>Tabela1[[#This Row],[Pós RDW %]]</f>
        <v>-</v>
      </c>
      <c r="BV351" s="179" t="str">
        <f>Tabela1[[#This Row],[Pré RET %]]</f>
        <v>-</v>
      </c>
      <c r="BW351" s="196" t="str">
        <f>Tabela1[[#This Row],[Pós RET %]]</f>
        <v>-</v>
      </c>
      <c r="BX351" s="197">
        <f>Tabela1[[#This Row],[Pré WBC 10³/mm³]]</f>
        <v>3.93</v>
      </c>
      <c r="BY351" s="179" t="str">
        <f>Tabela1[[#This Row],[Pós WBC 10³/mm³]]</f>
        <v>-</v>
      </c>
      <c r="BZ351" s="125">
        <f>Tabela1[[#This Row],[Pré NEUT %]]</f>
        <v>55.2</v>
      </c>
      <c r="CA351" s="125" t="str">
        <f>Tabela1[[#This Row],[Pós NEUT %]]</f>
        <v>-</v>
      </c>
      <c r="CB351" s="125">
        <f>Tabela1[[#This Row],[Pré LINF %]]</f>
        <v>33.200000000000003</v>
      </c>
      <c r="CC351" s="125" t="str">
        <f>Tabela1[[#This Row],[Pós LINF %]]</f>
        <v>-</v>
      </c>
      <c r="CD351" s="125">
        <f>Tabela1[[#This Row],[Pré MONO %]]</f>
        <v>10.4</v>
      </c>
      <c r="CE351" s="125" t="str">
        <f>Tabela1[[#This Row],[Pós MONO %]]</f>
        <v>-</v>
      </c>
      <c r="CF351" s="125">
        <f>Tabela1[[#This Row],[Pré EOS %]]</f>
        <v>0.53300000000000003</v>
      </c>
      <c r="CG351" s="125" t="str">
        <f>Tabela1[[#This Row],[Pós EOS %]]</f>
        <v>-</v>
      </c>
      <c r="CH351" s="125">
        <f>Tabela1[[#This Row],[Pré BASO %]]</f>
        <v>0.56100000000000005</v>
      </c>
      <c r="CI351" s="198" t="str">
        <f>Tabela1[[#This Row],[Pós BASO %]]</f>
        <v>-</v>
      </c>
      <c r="CJ351" s="199" t="str">
        <f t="shared" si="21"/>
        <v>NÃO</v>
      </c>
      <c r="CK351" s="200" t="str">
        <f t="shared" si="22"/>
        <v>SIM</v>
      </c>
      <c r="CL351" s="194">
        <f t="shared" si="23"/>
        <v>67.988160000000008</v>
      </c>
      <c r="CM351" s="125">
        <f>Tabela1[[#This Row],[MCT KG]]</f>
        <v>77.400000000000006</v>
      </c>
      <c r="CN351" s="85">
        <f>Tabela1[[#This Row],[ESTATURA]]</f>
        <v>172</v>
      </c>
      <c r="CO351" s="85" t="str">
        <f>Tabela1[[#This Row],[vo2max estimado]]</f>
        <v>50,97</v>
      </c>
      <c r="CP351" s="85">
        <f>Tabela1[[#This Row],[Handgrip     Dominante]]</f>
        <v>52</v>
      </c>
      <c r="CQ351" s="85">
        <f>Tabela1[[#This Row],[Handgrip Contrário]]</f>
        <v>56</v>
      </c>
      <c r="CR351" s="281" t="str">
        <f>Tabela1[[#This Row],[% gordura]]</f>
        <v>12,16</v>
      </c>
    </row>
    <row r="352" spans="1:96" ht="15.75" customHeight="1">
      <c r="A352" s="279">
        <f>Tabela1[[#This Row],[Ano]]</f>
        <v>2023</v>
      </c>
      <c r="B352" s="181" t="str">
        <f>Tabela1[[#This Row],[Missão]]</f>
        <v>CIASC</v>
      </c>
      <c r="C352" s="181">
        <f>Tabela1[[#This Row],[Aluno]]</f>
        <v>3278</v>
      </c>
      <c r="D352" s="181">
        <f>Tabela1[[#This Row],[Idade]]</f>
        <v>33</v>
      </c>
      <c r="E352" s="182">
        <f>Tabela1[[#This Row],[Peso Kg]]</f>
        <v>89.6</v>
      </c>
      <c r="F352" s="191">
        <f>Tabela1[[#This Row],[Cor da pele]]</f>
        <v>2</v>
      </c>
      <c r="G352" s="192" t="str">
        <f>Tabela1[[#This Row],[ACTN3]]</f>
        <v>-</v>
      </c>
      <c r="H352" s="85" t="str">
        <f>Tabela1[[#This Row],[AGT]]</f>
        <v>-</v>
      </c>
      <c r="I352" s="85" t="str">
        <f>Tabela1[[#This Row],[ECA]]</f>
        <v>-</v>
      </c>
      <c r="J352" s="85" t="str">
        <f>Tabela1[[#This Row],[BDKRB2]]</f>
        <v>-</v>
      </c>
      <c r="K352" s="85" t="str">
        <f>Tabela1[[#This Row],[Score Força%]]</f>
        <v>-</v>
      </c>
      <c r="L352" s="193" t="str">
        <f>Tabela1[[#This Row],[Score Resistência %]]</f>
        <v>-</v>
      </c>
      <c r="M352" s="192">
        <f>Tabela1[[#This Row],[Pré CK (U/L)]]</f>
        <v>672</v>
      </c>
      <c r="N352" s="85">
        <f>Tabela1[[#This Row],[Pós CK (U/L)]]</f>
        <v>3232</v>
      </c>
      <c r="O352" s="85" t="str">
        <f>Tabela1[[#This Row],[Pré CK MB U/L]]</f>
        <v>-</v>
      </c>
      <c r="P352" s="85" t="str">
        <f>Tabela1[[#This Row],[Pós CK MB U/L]]</f>
        <v>-</v>
      </c>
      <c r="Q352" s="85" t="str">
        <f>Tabela1[[#This Row],[Pré Lactato (mmol/L)]]</f>
        <v>-</v>
      </c>
      <c r="R352" s="85">
        <f>Tabela1[[#This Row],[Pós Lactato (mmol/L)]]</f>
        <v>3.9</v>
      </c>
      <c r="S352" s="85">
        <f>Tabela1[[#This Row],[Pré LDH (U/L)]]</f>
        <v>222</v>
      </c>
      <c r="T352" s="85">
        <f>Tabela1[[#This Row],[Pós LDH (U/L)]]</f>
        <v>495</v>
      </c>
      <c r="U352" s="85">
        <f>Tabela1[[#This Row],[Pré AST (U/L)]]</f>
        <v>62</v>
      </c>
      <c r="V352" s="193">
        <f>Tabela1[[#This Row],[Pós AST (U/L)]]</f>
        <v>175</v>
      </c>
      <c r="W352" s="194">
        <f>Tabela1[[#This Row],[Pré Albumina (g/dL)]]</f>
        <v>4.9000000000000004</v>
      </c>
      <c r="X352" s="125">
        <f>Tabela1[[#This Row],[Pós Albumina (g/dL)]]</f>
        <v>4.4000000000000004</v>
      </c>
      <c r="Y352" s="85">
        <f>Tabela1[[#This Row],[Pré TGP (g/dL)]]</f>
        <v>39</v>
      </c>
      <c r="Z352" s="85">
        <f>Tabela1[[#This Row],[Pós TGP (g/dL)]]</f>
        <v>142</v>
      </c>
      <c r="AA352" s="85">
        <f>Tabela1[[#This Row],[Pré GGT U/L]]</f>
        <v>17</v>
      </c>
      <c r="AB352" s="193">
        <f>Tabela1[[#This Row],[Pós GGT U/L]]</f>
        <v>25</v>
      </c>
      <c r="AC352" s="194">
        <f>Tabela1[[#This Row],[Pré Ac. Úrico (mg/dL)]]</f>
        <v>6.8</v>
      </c>
      <c r="AD352" s="125">
        <f>Tabela1[[#This Row],[Pós Ac. Úrico (mg/dL)2]]</f>
        <v>5</v>
      </c>
      <c r="AE35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352" s="180" t="str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Dados Insuficientes</v>
      </c>
      <c r="AG352" s="85">
        <f>Tabela1[[#This Row],[Pré Ureia mg/dL]]</f>
        <v>45</v>
      </c>
      <c r="AH352" s="85">
        <f>Tabela1[[#This Row],[Pós Ureia mg/dL]]</f>
        <v>43</v>
      </c>
      <c r="AI352" s="125">
        <f>Tabela1[[#This Row],[Pré creatinina mg/dL]]</f>
        <v>1</v>
      </c>
      <c r="AJ352" s="125" t="str">
        <f>Tabela1[[#This Row],[Pós creatinina mg/dL]]</f>
        <v>-</v>
      </c>
      <c r="AK352" s="180" t="str">
        <f t="shared" si="20"/>
        <v>Dados Insuficientes</v>
      </c>
      <c r="AL352" s="125">
        <f>Tabela1[[#This Row],[Pré Fósforo mg/dL]]</f>
        <v>3.9</v>
      </c>
      <c r="AM352" s="125">
        <f>Tabela1[[#This Row],[Pós Fósforo mg/dL]]</f>
        <v>3.5</v>
      </c>
      <c r="AN352" s="125">
        <f>Tabela1[[#This Row],[Pré Proteína Total (g/dL)]]</f>
        <v>8.4</v>
      </c>
      <c r="AO352" s="125">
        <f>Tabela1[[#This Row],[Pós Proteína Total (g/dL)]]</f>
        <v>6.4</v>
      </c>
      <c r="AP352" s="85">
        <f>Tabela1[[#This Row],[Pré FE (ug/dL)]]</f>
        <v>10</v>
      </c>
      <c r="AQ352" s="193">
        <f>Tabela1[[#This Row],[Pós FE (ug/dL)]]</f>
        <v>21</v>
      </c>
      <c r="AR352" s="194">
        <f>Tabela1[[#This Row],[Pré calcio mg/dL]]</f>
        <v>8.8000000000000007</v>
      </c>
      <c r="AS352" s="125">
        <f>Tabela1[[#This Row],[Pós calcio mg/dL]]</f>
        <v>8.8000000000000007</v>
      </c>
      <c r="AT352" s="125">
        <f>Tabela1[[#This Row],[Pré Potássio mmol/L]]</f>
        <v>4.5999999999999996</v>
      </c>
      <c r="AU352" s="125">
        <f>Tabela1[[#This Row],[Pós Potássio mmol/L]]</f>
        <v>4.5</v>
      </c>
      <c r="AV352" s="85">
        <f>Tabela1[[#This Row],[Glicose pré]]</f>
        <v>102</v>
      </c>
      <c r="AW352" s="85">
        <f>Tabela1[[#This Row],[Glicose pós]]</f>
        <v>119</v>
      </c>
      <c r="AX352" s="85">
        <f>Tabela1[[#This Row],[Pré Sódio mmol/L]]</f>
        <v>145</v>
      </c>
      <c r="AY352" s="85">
        <f>Tabela1[[#This Row],[Pós Sódio mmol/L]]</f>
        <v>138</v>
      </c>
      <c r="AZ352" s="125">
        <f>Tabela1[[#This Row],[Pré Magnésio mg/dL]]</f>
        <v>2.1</v>
      </c>
      <c r="BA352" s="125">
        <f>Tabela1[[#This Row],[Pós Magnésio mg/dL]]</f>
        <v>2.1</v>
      </c>
      <c r="BB352" s="85">
        <f>Tabela1[[#This Row],[Pré Cloro mmol/L]]</f>
        <v>111</v>
      </c>
      <c r="BC352" s="85">
        <f>Tabela1[[#This Row],[Pós Cloro mmol/L]]</f>
        <v>105</v>
      </c>
      <c r="BD35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306.27266666666668</v>
      </c>
      <c r="BE35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293.81944444444446</v>
      </c>
      <c r="BF352" s="194">
        <f>Tabela1[[#This Row],[Pré RBC 10^6/mm³]]</f>
        <v>5.31</v>
      </c>
      <c r="BG352" s="125">
        <f>Tabela1[[#This Row],[Pós RBC 10^6/mm³]]</f>
        <v>4.58</v>
      </c>
      <c r="BH352" s="125">
        <f>Tabela1[[#This Row],[Pré HGB g/dL]]</f>
        <v>15.1</v>
      </c>
      <c r="BI352" s="125">
        <f>Tabela1[[#This Row],[Pós HGB g/dL]]</f>
        <v>12.6</v>
      </c>
      <c r="BJ352" s="125">
        <f>Tabela1[[#This Row],[Pré HCT %]]</f>
        <v>45.8</v>
      </c>
      <c r="BK352" s="125">
        <f>Tabela1[[#This Row],[Pós HCT %]]</f>
        <v>38.299999999999997</v>
      </c>
      <c r="BL352" s="125">
        <f>Tabela1[[#This Row],[Pré MCV fL]]</f>
        <v>86.2</v>
      </c>
      <c r="BM352" s="125">
        <f>Tabela1[[#This Row],[Pós MCV fL]]</f>
        <v>83.7</v>
      </c>
      <c r="BN352" s="125">
        <f>Tabela1[[#This Row],[Pré MCH pg]]</f>
        <v>28.3</v>
      </c>
      <c r="BO352" s="125">
        <f>Tabela1[[#This Row],[Pós MCH pg]]</f>
        <v>27.6</v>
      </c>
      <c r="BP352" s="125">
        <f>Tabela1[[#This Row],[Pré MCHC g/dL]]</f>
        <v>32.9</v>
      </c>
      <c r="BQ352" s="125">
        <f>Tabela1[[#This Row],[Pós MCHC g/dL]]</f>
        <v>33</v>
      </c>
      <c r="BR352" s="85">
        <f>Tabela1[[#This Row],[Pré PLT 10³/mm³]]</f>
        <v>266</v>
      </c>
      <c r="BS352" s="85">
        <f>Tabela1[[#This Row],[Pós PLT 10³/mm³]]</f>
        <v>296</v>
      </c>
      <c r="BT352" s="125">
        <f>Tabela1[[#This Row],[Pré RDW %]]</f>
        <v>12.1</v>
      </c>
      <c r="BU352" s="125">
        <f>Tabela1[[#This Row],[Pós RDW %]]</f>
        <v>13.6</v>
      </c>
      <c r="BV352" s="179" t="str">
        <f>Tabela1[[#This Row],[Pré RET %]]</f>
        <v>-</v>
      </c>
      <c r="BW352" s="196" t="str">
        <f>Tabela1[[#This Row],[Pós RET %]]</f>
        <v>-</v>
      </c>
      <c r="BX352" s="197">
        <f>Tabela1[[#This Row],[Pré WBC 10³/mm³]]</f>
        <v>8.69</v>
      </c>
      <c r="BY352" s="179">
        <f>Tabela1[[#This Row],[Pós WBC 10³/mm³]]</f>
        <v>10.11</v>
      </c>
      <c r="BZ352" s="125">
        <f>Tabela1[[#This Row],[Pré NEUT %]]</f>
        <v>66.099999999999994</v>
      </c>
      <c r="CA352" s="125">
        <f>Tabela1[[#This Row],[Pós NEUT %]]</f>
        <v>78.3</v>
      </c>
      <c r="CB352" s="125">
        <f>Tabela1[[#This Row],[Pré LINF %]]</f>
        <v>22.9</v>
      </c>
      <c r="CC352" s="125">
        <f>Tabela1[[#This Row],[Pós LINF %]]</f>
        <v>15.2</v>
      </c>
      <c r="CD352" s="125">
        <f>Tabela1[[#This Row],[Pré MONO %]]</f>
        <v>6.86</v>
      </c>
      <c r="CE352" s="125">
        <f>Tabela1[[#This Row],[Pós MONO %]]</f>
        <v>6.2</v>
      </c>
      <c r="CF352" s="125">
        <f>Tabela1[[#This Row],[Pré EOS %]]</f>
        <v>3.18</v>
      </c>
      <c r="CG352" s="125">
        <f>Tabela1[[#This Row],[Pós EOS %]]</f>
        <v>0.1</v>
      </c>
      <c r="CH352" s="125">
        <f>Tabela1[[#This Row],[Pré BASO %]]</f>
        <v>0.96599999999999997</v>
      </c>
      <c r="CI352" s="198">
        <f>Tabela1[[#This Row],[Pós BASO %]]</f>
        <v>0.2</v>
      </c>
      <c r="CJ352" s="199" t="str">
        <f t="shared" si="21"/>
        <v>Dados insuficientes</v>
      </c>
      <c r="CK352" s="200" t="str">
        <f t="shared" si="22"/>
        <v>SIM</v>
      </c>
      <c r="CL352" s="194">
        <f t="shared" si="23"/>
        <v>76.278030000000001</v>
      </c>
      <c r="CM352" s="125">
        <f>Tabela1[[#This Row],[MCT KG]]</f>
        <v>91.1</v>
      </c>
      <c r="CN352" s="85">
        <f>Tabela1[[#This Row],[ESTATURA]]</f>
        <v>182</v>
      </c>
      <c r="CO352" s="85" t="str">
        <f>Tabela1[[#This Row],[vo2max estimado]]</f>
        <v>47,64</v>
      </c>
      <c r="CP352" s="85">
        <f>Tabela1[[#This Row],[Handgrip     Dominante]]</f>
        <v>64</v>
      </c>
      <c r="CQ352" s="85">
        <f>Tabela1[[#This Row],[Handgrip Contrário]]</f>
        <v>64</v>
      </c>
      <c r="CR352" s="281" t="str">
        <f>Tabela1[[#This Row],[% gordura]]</f>
        <v>16,27</v>
      </c>
    </row>
    <row r="353" spans="1:96" ht="15.75" customHeight="1">
      <c r="A353" s="279">
        <f>Tabela1[[#This Row],[Ano]]</f>
        <v>2023</v>
      </c>
      <c r="B353" s="181" t="str">
        <f>Tabela1[[#This Row],[Missão]]</f>
        <v>CIASC</v>
      </c>
      <c r="C353" s="181">
        <f>Tabela1[[#This Row],[Aluno]]</f>
        <v>3282</v>
      </c>
      <c r="D353" s="181">
        <f>Tabela1[[#This Row],[Idade]]</f>
        <v>34</v>
      </c>
      <c r="E353" s="182">
        <f>Tabela1[[#This Row],[Peso Kg]]</f>
        <v>79.400000000000006</v>
      </c>
      <c r="F353" s="191">
        <f>Tabela1[[#This Row],[Cor da pele]]</f>
        <v>2</v>
      </c>
      <c r="G353" s="192" t="str">
        <f>Tabela1[[#This Row],[ACTN3]]</f>
        <v>RX</v>
      </c>
      <c r="H353" s="85" t="str">
        <f>Tabela1[[#This Row],[AGT]]</f>
        <v>TT</v>
      </c>
      <c r="I353" s="85" t="str">
        <f>Tabela1[[#This Row],[ECA]]</f>
        <v>ID</v>
      </c>
      <c r="J353" s="85" t="str">
        <f>Tabela1[[#This Row],[BDKRB2]]</f>
        <v xml:space="preserve"> +9,+9</v>
      </c>
      <c r="K353" s="85">
        <f>Tabela1[[#This Row],[Score Força%]]</f>
        <v>75</v>
      </c>
      <c r="L353" s="193">
        <f>Tabela1[[#This Row],[Score Resistência %]]</f>
        <v>25</v>
      </c>
      <c r="M353" s="192">
        <f>Tabela1[[#This Row],[Pré CK (U/L)]]</f>
        <v>204</v>
      </c>
      <c r="N353" s="85">
        <f>Tabela1[[#This Row],[Pós CK (U/L)]]</f>
        <v>2750</v>
      </c>
      <c r="O353" s="85" t="str">
        <f>Tabela1[[#This Row],[Pré CK MB U/L]]</f>
        <v>-</v>
      </c>
      <c r="P353" s="85" t="str">
        <f>Tabela1[[#This Row],[Pós CK MB U/L]]</f>
        <v>-</v>
      </c>
      <c r="Q353" s="85">
        <f>Tabela1[[#This Row],[Pré Lactato (mmol/L)]]</f>
        <v>4.5999999999999996</v>
      </c>
      <c r="R353" s="85">
        <f>Tabela1[[#This Row],[Pós Lactato (mmol/L)]]</f>
        <v>3.2</v>
      </c>
      <c r="S353" s="85">
        <f>Tabela1[[#This Row],[Pré LDH (U/L)]]</f>
        <v>224</v>
      </c>
      <c r="T353" s="85">
        <f>Tabela1[[#This Row],[Pós LDH (U/L)]]</f>
        <v>659</v>
      </c>
      <c r="U353" s="85">
        <f>Tabela1[[#This Row],[Pré AST (U/L)]]</f>
        <v>26</v>
      </c>
      <c r="V353" s="193">
        <f>Tabela1[[#This Row],[Pós AST (U/L)]]</f>
        <v>100</v>
      </c>
      <c r="W353" s="194">
        <f>Tabela1[[#This Row],[Pré Albumina (g/dL)]]</f>
        <v>4.2</v>
      </c>
      <c r="X353" s="125">
        <f>Tabela1[[#This Row],[Pós Albumina (g/dL)]]</f>
        <v>4.8</v>
      </c>
      <c r="Y353" s="85">
        <f>Tabela1[[#This Row],[Pré TGP (g/dL)]]</f>
        <v>29</v>
      </c>
      <c r="Z353" s="85">
        <f>Tabela1[[#This Row],[Pós TGP (g/dL)]]</f>
        <v>92</v>
      </c>
      <c r="AA353" s="85">
        <f>Tabela1[[#This Row],[Pré GGT U/L]]</f>
        <v>46</v>
      </c>
      <c r="AB353" s="193">
        <f>Tabela1[[#This Row],[Pós GGT U/L]]</f>
        <v>92</v>
      </c>
      <c r="AC353" s="194">
        <f>Tabela1[[#This Row],[Pré Ac. Úrico (mg/dL)]]</f>
        <v>4.7</v>
      </c>
      <c r="AD353" s="125">
        <f>Tabela1[[#This Row],[Pós Ac. Úrico (mg/dL)2]]</f>
        <v>5.9</v>
      </c>
      <c r="AE35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5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85.328633273985091</v>
      </c>
      <c r="AG353" s="85">
        <f>Tabela1[[#This Row],[Pré Ureia mg/dL]]</f>
        <v>29</v>
      </c>
      <c r="AH353" s="85">
        <f>Tabela1[[#This Row],[Pós Ureia mg/dL]]</f>
        <v>35</v>
      </c>
      <c r="AI353" s="125">
        <f>Tabela1[[#This Row],[Pré creatinina mg/dL]]</f>
        <v>0.9</v>
      </c>
      <c r="AJ353" s="125">
        <f>Tabela1[[#This Row],[Pós creatinina mg/dL]]</f>
        <v>1.19</v>
      </c>
      <c r="AK353" s="180">
        <f t="shared" si="20"/>
        <v>0.28999999999999992</v>
      </c>
      <c r="AL353" s="125">
        <f>Tabela1[[#This Row],[Pré Fósforo mg/dL]]</f>
        <v>3</v>
      </c>
      <c r="AM353" s="125">
        <f>Tabela1[[#This Row],[Pós Fósforo mg/dL]]</f>
        <v>3.9</v>
      </c>
      <c r="AN353" s="125">
        <f>Tabela1[[#This Row],[Pré Proteína Total (g/dL)]]</f>
        <v>6.6</v>
      </c>
      <c r="AO353" s="125">
        <f>Tabela1[[#This Row],[Pós Proteína Total (g/dL)]]</f>
        <v>7</v>
      </c>
      <c r="AP353" s="85">
        <f>Tabela1[[#This Row],[Pré FE (ug/dL)]]</f>
        <v>12</v>
      </c>
      <c r="AQ353" s="193">
        <f>Tabela1[[#This Row],[Pós FE (ug/dL)]]</f>
        <v>10</v>
      </c>
      <c r="AR353" s="194">
        <f>Tabela1[[#This Row],[Pré calcio mg/dL]]</f>
        <v>8.6</v>
      </c>
      <c r="AS353" s="125">
        <f>Tabela1[[#This Row],[Pós calcio mg/dL]]</f>
        <v>9.4</v>
      </c>
      <c r="AT353" s="125">
        <f>Tabela1[[#This Row],[Pré Potássio mmol/L]]</f>
        <v>4.9000000000000004</v>
      </c>
      <c r="AU353" s="125">
        <f>Tabela1[[#This Row],[Pós Potássio mmol/L]]</f>
        <v>3.8</v>
      </c>
      <c r="AV353" s="85">
        <f>Tabela1[[#This Row],[Glicose pré]]</f>
        <v>127</v>
      </c>
      <c r="AW353" s="85">
        <f>Tabela1[[#This Row],[Glicose pós]]</f>
        <v>98</v>
      </c>
      <c r="AX353" s="85">
        <f>Tabela1[[#This Row],[Pré Sódio mmol/L]]</f>
        <v>134</v>
      </c>
      <c r="AY353" s="85">
        <f>Tabela1[[#This Row],[Pós Sódio mmol/L]]</f>
        <v>139</v>
      </c>
      <c r="AZ353" s="125">
        <f>Tabela1[[#This Row],[Pré Magnésio mg/dL]]</f>
        <v>1.8</v>
      </c>
      <c r="BA353" s="125">
        <f>Tabela1[[#This Row],[Pós Magnésio mg/dL]]</f>
        <v>2.1</v>
      </c>
      <c r="BB353" s="85">
        <f>Tabela1[[#This Row],[Pré Cloro mmol/L]]</f>
        <v>100</v>
      </c>
      <c r="BC353" s="85">
        <f>Tabela1[[#This Row],[Pós Cloro mmol/L]]</f>
        <v>104</v>
      </c>
      <c r="BD35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285.30122222222224</v>
      </c>
      <c r="BE35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291.7024444444445</v>
      </c>
      <c r="BF353" s="194">
        <f>Tabela1[[#This Row],[Pré RBC 10^6/mm³]]</f>
        <v>5.7</v>
      </c>
      <c r="BG353" s="125" t="str">
        <f>Tabela1[[#This Row],[Pós RBC 10^6/mm³]]</f>
        <v>-</v>
      </c>
      <c r="BH353" s="125">
        <f>Tabela1[[#This Row],[Pré HGB g/dL]]</f>
        <v>15</v>
      </c>
      <c r="BI353" s="125" t="str">
        <f>Tabela1[[#This Row],[Pós HGB g/dL]]</f>
        <v>-</v>
      </c>
      <c r="BJ353" s="125">
        <f>Tabela1[[#This Row],[Pré HCT %]]</f>
        <v>49.1</v>
      </c>
      <c r="BK353" s="125" t="str">
        <f>Tabela1[[#This Row],[Pós HCT %]]</f>
        <v>-</v>
      </c>
      <c r="BL353" s="125">
        <f>Tabela1[[#This Row],[Pré MCV fL]]</f>
        <v>86.2</v>
      </c>
      <c r="BM353" s="125" t="str">
        <f>Tabela1[[#This Row],[Pós MCV fL]]</f>
        <v>-</v>
      </c>
      <c r="BN353" s="125">
        <f>Tabela1[[#This Row],[Pré MCH pg]]</f>
        <v>26.4</v>
      </c>
      <c r="BO353" s="125" t="str">
        <f>Tabela1[[#This Row],[Pós MCH pg]]</f>
        <v>-</v>
      </c>
      <c r="BP353" s="125">
        <f>Tabela1[[#This Row],[Pré MCHC g/dL]]</f>
        <v>30.6</v>
      </c>
      <c r="BQ353" s="125" t="str">
        <f>Tabela1[[#This Row],[Pós MCHC g/dL]]</f>
        <v>-</v>
      </c>
      <c r="BR353" s="85">
        <f>Tabela1[[#This Row],[Pré PLT 10³/mm³]]</f>
        <v>221</v>
      </c>
      <c r="BS353" s="85" t="str">
        <f>Tabela1[[#This Row],[Pós PLT 10³/mm³]]</f>
        <v>-</v>
      </c>
      <c r="BT353" s="125">
        <f>Tabela1[[#This Row],[Pré RDW %]]</f>
        <v>14</v>
      </c>
      <c r="BU353" s="125" t="str">
        <f>Tabela1[[#This Row],[Pós RDW %]]</f>
        <v>-</v>
      </c>
      <c r="BV353" s="179" t="str">
        <f>Tabela1[[#This Row],[Pré RET %]]</f>
        <v>-</v>
      </c>
      <c r="BW353" s="196" t="str">
        <f>Tabela1[[#This Row],[Pós RET %]]</f>
        <v>-</v>
      </c>
      <c r="BX353" s="197">
        <f>Tabela1[[#This Row],[Pré WBC 10³/mm³]]</f>
        <v>7.24</v>
      </c>
      <c r="BY353" s="179" t="str">
        <f>Tabela1[[#This Row],[Pós WBC 10³/mm³]]</f>
        <v>-</v>
      </c>
      <c r="BZ353" s="125">
        <f>Tabela1[[#This Row],[Pré NEUT %]]</f>
        <v>87</v>
      </c>
      <c r="CA353" s="125" t="str">
        <f>Tabela1[[#This Row],[Pós NEUT %]]</f>
        <v>-</v>
      </c>
      <c r="CB353" s="125">
        <f>Tabela1[[#This Row],[Pré LINF %]]</f>
        <v>10.1</v>
      </c>
      <c r="CC353" s="125" t="str">
        <f>Tabela1[[#This Row],[Pós LINF %]]</f>
        <v>-</v>
      </c>
      <c r="CD353" s="125">
        <f>Tabela1[[#This Row],[Pré MONO %]]</f>
        <v>2.3199999999999998</v>
      </c>
      <c r="CE353" s="125" t="str">
        <f>Tabela1[[#This Row],[Pós MONO %]]</f>
        <v>-</v>
      </c>
      <c r="CF353" s="125">
        <f>Tabela1[[#This Row],[Pré EOS %]]</f>
        <v>0.23499999999999999</v>
      </c>
      <c r="CG353" s="125" t="str">
        <f>Tabela1[[#This Row],[Pós EOS %]]</f>
        <v>-</v>
      </c>
      <c r="CH353" s="125">
        <f>Tabela1[[#This Row],[Pré BASO %]]</f>
        <v>0.34499999999999997</v>
      </c>
      <c r="CI353" s="198" t="str">
        <f>Tabela1[[#This Row],[Pós BASO %]]</f>
        <v>-</v>
      </c>
      <c r="CJ353" s="199" t="str">
        <f t="shared" si="21"/>
        <v>NÃO</v>
      </c>
      <c r="CK353" s="200" t="str">
        <f t="shared" si="22"/>
        <v>SIM</v>
      </c>
      <c r="CL353" s="194">
        <f t="shared" si="23"/>
        <v>64.173225000000002</v>
      </c>
      <c r="CM353" s="125">
        <f>Tabela1[[#This Row],[MCT KG]]</f>
        <v>84.25</v>
      </c>
      <c r="CN353" s="85">
        <f>Tabela1[[#This Row],[ESTATURA]]</f>
        <v>177</v>
      </c>
      <c r="CO353" s="85" t="str">
        <f>Tabela1[[#This Row],[vo2max estimado]]</f>
        <v>48,78</v>
      </c>
      <c r="CP353" s="85" t="str">
        <f>Tabela1[[#This Row],[Handgrip     Dominante]]</f>
        <v>-</v>
      </c>
      <c r="CQ353" s="85" t="str">
        <f>Tabela1[[#This Row],[Handgrip Contrário]]</f>
        <v>-</v>
      </c>
      <c r="CR353" s="281" t="str">
        <f>Tabela1[[#This Row],[% gordura]]</f>
        <v>23,83</v>
      </c>
    </row>
    <row r="354" spans="1:96" ht="15.75" customHeight="1">
      <c r="A354" s="279">
        <f>Tabela1[[#This Row],[Ano]]</f>
        <v>2023</v>
      </c>
      <c r="B354" s="181" t="str">
        <f>Tabela1[[#This Row],[Missão]]</f>
        <v>CIASC</v>
      </c>
      <c r="C354" s="181">
        <f>Tabela1[[#This Row],[Aluno]]</f>
        <v>3283</v>
      </c>
      <c r="D354" s="181">
        <f>Tabela1[[#This Row],[Idade]]</f>
        <v>33</v>
      </c>
      <c r="E354" s="182">
        <f>Tabela1[[#This Row],[Peso Kg]]</f>
        <v>68.099999999999994</v>
      </c>
      <c r="F354" s="191">
        <f>Tabela1[[#This Row],[Cor da pele]]</f>
        <v>2</v>
      </c>
      <c r="G354" s="192" t="str">
        <f>Tabela1[[#This Row],[ACTN3]]</f>
        <v>RR</v>
      </c>
      <c r="H354" s="85" t="str">
        <f>Tabela1[[#This Row],[AGT]]</f>
        <v>TT</v>
      </c>
      <c r="I354" s="85" t="str">
        <f>Tabela1[[#This Row],[ECA]]</f>
        <v>ID</v>
      </c>
      <c r="J354" s="85">
        <f>Tabela1[[#This Row],[BDKRB2]]</f>
        <v>0</v>
      </c>
      <c r="K354" s="85">
        <f>Tabela1[[#This Row],[Score Força%]]</f>
        <v>75</v>
      </c>
      <c r="L354" s="193">
        <f>Tabela1[[#This Row],[Score Resistência %]]</f>
        <v>25</v>
      </c>
      <c r="M354" s="192">
        <f>Tabela1[[#This Row],[Pré CK (U/L)]]</f>
        <v>846</v>
      </c>
      <c r="N354" s="85">
        <f>Tabela1[[#This Row],[Pós CK (U/L)]]</f>
        <v>5554</v>
      </c>
      <c r="O354" s="85" t="str">
        <f>Tabela1[[#This Row],[Pré CK MB U/L]]</f>
        <v>-</v>
      </c>
      <c r="P354" s="85" t="str">
        <f>Tabela1[[#This Row],[Pós CK MB U/L]]</f>
        <v>-</v>
      </c>
      <c r="Q354" s="85">
        <f>Tabela1[[#This Row],[Pré Lactato (mmol/L)]]</f>
        <v>2.9</v>
      </c>
      <c r="R354" s="85">
        <f>Tabela1[[#This Row],[Pós Lactato (mmol/L)]]</f>
        <v>3.3</v>
      </c>
      <c r="S354" s="85">
        <f>Tabela1[[#This Row],[Pré LDH (U/L)]]</f>
        <v>193</v>
      </c>
      <c r="T354" s="85">
        <f>Tabela1[[#This Row],[Pós LDH (U/L)]]</f>
        <v>511</v>
      </c>
      <c r="U354" s="85">
        <f>Tabela1[[#This Row],[Pré AST (U/L)]]</f>
        <v>60</v>
      </c>
      <c r="V354" s="193">
        <f>Tabela1[[#This Row],[Pós AST (U/L)]]</f>
        <v>271</v>
      </c>
      <c r="W354" s="194">
        <f>Tabela1[[#This Row],[Pré Albumina (g/dL)]]</f>
        <v>4.8</v>
      </c>
      <c r="X354" s="125">
        <f>Tabela1[[#This Row],[Pós Albumina (g/dL)]]</f>
        <v>4.9000000000000004</v>
      </c>
      <c r="Y354" s="85">
        <f>Tabela1[[#This Row],[Pré TGP (g/dL)]]</f>
        <v>39</v>
      </c>
      <c r="Z354" s="85">
        <f>Tabela1[[#This Row],[Pós TGP (g/dL)]]</f>
        <v>163</v>
      </c>
      <c r="AA354" s="85">
        <f>Tabela1[[#This Row],[Pré GGT U/L]]</f>
        <v>34</v>
      </c>
      <c r="AB354" s="193">
        <f>Tabela1[[#This Row],[Pós GGT U/L]]</f>
        <v>57</v>
      </c>
      <c r="AC354" s="194">
        <f>Tabela1[[#This Row],[Pré Ac. Úrico (mg/dL)]]</f>
        <v>5.7</v>
      </c>
      <c r="AD354" s="125">
        <f>Tabela1[[#This Row],[Pós Ac. Úrico (mg/dL)2]]</f>
        <v>5.6</v>
      </c>
      <c r="AE35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35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116.19989894453489</v>
      </c>
      <c r="AG354" s="85">
        <f>Tabela1[[#This Row],[Pré Ureia mg/dL]]</f>
        <v>26</v>
      </c>
      <c r="AH354" s="85">
        <f>Tabela1[[#This Row],[Pós Ureia mg/dL]]</f>
        <v>46</v>
      </c>
      <c r="AI354" s="125">
        <f>Tabela1[[#This Row],[Pré creatinina mg/dL]]</f>
        <v>0.7</v>
      </c>
      <c r="AJ354" s="125">
        <f>Tabela1[[#This Row],[Pós creatinina mg/dL]]</f>
        <v>0.92</v>
      </c>
      <c r="AK354" s="180">
        <f t="shared" si="20"/>
        <v>0.22000000000000008</v>
      </c>
      <c r="AL354" s="125">
        <f>Tabela1[[#This Row],[Pré Fósforo mg/dL]]</f>
        <v>3.2</v>
      </c>
      <c r="AM354" s="125">
        <f>Tabela1[[#This Row],[Pós Fósforo mg/dL]]</f>
        <v>3.5</v>
      </c>
      <c r="AN354" s="125">
        <f>Tabela1[[#This Row],[Pré Proteína Total (g/dL)]]</f>
        <v>7.8</v>
      </c>
      <c r="AO354" s="125">
        <f>Tabela1[[#This Row],[Pós Proteína Total (g/dL)]]</f>
        <v>7.8</v>
      </c>
      <c r="AP354" s="85">
        <f>Tabela1[[#This Row],[Pré FE (ug/dL)]]</f>
        <v>26</v>
      </c>
      <c r="AQ354" s="193">
        <f>Tabela1[[#This Row],[Pós FE (ug/dL)]]</f>
        <v>87</v>
      </c>
      <c r="AR354" s="194">
        <f>Tabela1[[#This Row],[Pré calcio mg/dL]]</f>
        <v>9.1999999999999993</v>
      </c>
      <c r="AS354" s="125">
        <f>Tabela1[[#This Row],[Pós calcio mg/dL]]</f>
        <v>9.6</v>
      </c>
      <c r="AT354" s="125">
        <f>Tabela1[[#This Row],[Pré Potássio mmol/L]]</f>
        <v>4.5999999999999996</v>
      </c>
      <c r="AU354" s="125">
        <f>Tabela1[[#This Row],[Pós Potássio mmol/L]]</f>
        <v>4.7</v>
      </c>
      <c r="AV354" s="85">
        <f>Tabela1[[#This Row],[Glicose pré]]</f>
        <v>105</v>
      </c>
      <c r="AW354" s="85">
        <f>Tabela1[[#This Row],[Glicose pós]]</f>
        <v>94</v>
      </c>
      <c r="AX354" s="85">
        <f>Tabela1[[#This Row],[Pré Sódio mmol/L]]</f>
        <v>135</v>
      </c>
      <c r="AY354" s="85">
        <f>Tabela1[[#This Row],[Pós Sódio mmol/L]]</f>
        <v>141</v>
      </c>
      <c r="AZ354" s="125">
        <f>Tabela1[[#This Row],[Pré Magnésio mg/dL]]</f>
        <v>1.9</v>
      </c>
      <c r="BA354" s="125">
        <f>Tabela1[[#This Row],[Pós Magnésio mg/dL]]</f>
        <v>2.1</v>
      </c>
      <c r="BB354" s="85">
        <f>Tabela1[[#This Row],[Pré Cloro mmol/L]]</f>
        <v>98</v>
      </c>
      <c r="BC354" s="85">
        <f>Tabela1[[#This Row],[Pós Cloro mmol/L]]</f>
        <v>103</v>
      </c>
      <c r="BD35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284.69766666666663</v>
      </c>
      <c r="BE35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298.67422222222223</v>
      </c>
      <c r="BF354" s="194">
        <f>Tabela1[[#This Row],[Pré RBC 10^6/mm³]]</f>
        <v>4.41</v>
      </c>
      <c r="BG354" s="125">
        <f>Tabela1[[#This Row],[Pós RBC 10^6/mm³]]</f>
        <v>4.92</v>
      </c>
      <c r="BH354" s="125">
        <f>Tabela1[[#This Row],[Pré HGB g/dL]]</f>
        <v>13.5</v>
      </c>
      <c r="BI354" s="125">
        <f>Tabela1[[#This Row],[Pós HGB g/dL]]</f>
        <v>13.2</v>
      </c>
      <c r="BJ354" s="125">
        <f>Tabela1[[#This Row],[Pré HCT %]]</f>
        <v>42.4</v>
      </c>
      <c r="BK354" s="125">
        <f>Tabela1[[#This Row],[Pós HCT %]]</f>
        <v>41.8</v>
      </c>
      <c r="BL354" s="125">
        <f>Tabela1[[#This Row],[Pré MCV fL]]</f>
        <v>96.1</v>
      </c>
      <c r="BM354" s="125">
        <f>Tabela1[[#This Row],[Pós MCV fL]]</f>
        <v>85</v>
      </c>
      <c r="BN354" s="125">
        <f>Tabela1[[#This Row],[Pré MCH pg]]</f>
        <v>30.7</v>
      </c>
      <c r="BO354" s="125">
        <f>Tabela1[[#This Row],[Pós MCH pg]]</f>
        <v>26.9</v>
      </c>
      <c r="BP354" s="125">
        <f>Tabela1[[#This Row],[Pré MCHC g/dL]]</f>
        <v>31.9</v>
      </c>
      <c r="BQ354" s="125">
        <f>Tabela1[[#This Row],[Pós MCHC g/dL]]</f>
        <v>31.6</v>
      </c>
      <c r="BR354" s="85">
        <f>Tabela1[[#This Row],[Pré PLT 10³/mm³]]</f>
        <v>176</v>
      </c>
      <c r="BS354" s="85">
        <f>Tabela1[[#This Row],[Pós PLT 10³/mm³]]</f>
        <v>273</v>
      </c>
      <c r="BT354" s="125">
        <f>Tabela1[[#This Row],[Pré RDW %]]</f>
        <v>11.9</v>
      </c>
      <c r="BU354" s="125">
        <f>Tabela1[[#This Row],[Pós RDW %]]</f>
        <v>14.3</v>
      </c>
      <c r="BV354" s="179" t="str">
        <f>Tabela1[[#This Row],[Pré RET %]]</f>
        <v>-</v>
      </c>
      <c r="BW354" s="196" t="str">
        <f>Tabela1[[#This Row],[Pós RET %]]</f>
        <v>-</v>
      </c>
      <c r="BX354" s="197">
        <f>Tabela1[[#This Row],[Pré WBC 10³/mm³]]</f>
        <v>4.43</v>
      </c>
      <c r="BY354" s="179">
        <f>Tabela1[[#This Row],[Pós WBC 10³/mm³]]</f>
        <v>13.44</v>
      </c>
      <c r="BZ354" s="125">
        <f>Tabela1[[#This Row],[Pré NEUT %]]</f>
        <v>71.099999999999994</v>
      </c>
      <c r="CA354" s="125">
        <f>Tabela1[[#This Row],[Pós NEUT %]]</f>
        <v>82.1</v>
      </c>
      <c r="CB354" s="125">
        <f>Tabela1[[#This Row],[Pré LINF %]]</f>
        <v>17.7</v>
      </c>
      <c r="CC354" s="125">
        <f>Tabela1[[#This Row],[Pós LINF %]]</f>
        <v>11.4</v>
      </c>
      <c r="CD354" s="125">
        <f>Tabela1[[#This Row],[Pré MONO %]]</f>
        <v>9.44</v>
      </c>
      <c r="CE354" s="125">
        <f>Tabela1[[#This Row],[Pós MONO %]]</f>
        <v>6</v>
      </c>
      <c r="CF354" s="125">
        <f>Tabela1[[#This Row],[Pré EOS %]]</f>
        <v>0.72799999999999998</v>
      </c>
      <c r="CG354" s="125">
        <f>Tabela1[[#This Row],[Pós EOS %]]</f>
        <v>0.5</v>
      </c>
      <c r="CH354" s="125">
        <f>Tabela1[[#This Row],[Pré BASO %]]</f>
        <v>1.06</v>
      </c>
      <c r="CI354" s="198">
        <f>Tabela1[[#This Row],[Pós BASO %]]</f>
        <v>0</v>
      </c>
      <c r="CJ354" s="199" t="str">
        <f t="shared" si="21"/>
        <v>NÃO</v>
      </c>
      <c r="CK354" s="200" t="str">
        <f t="shared" si="22"/>
        <v>SIM</v>
      </c>
      <c r="CL354" s="194">
        <f t="shared" si="23"/>
        <v>62.813019999999995</v>
      </c>
      <c r="CM354" s="125">
        <f>Tabela1[[#This Row],[MCT KG]]</f>
        <v>69.8</v>
      </c>
      <c r="CN354" s="85">
        <f>Tabela1[[#This Row],[ESTATURA]]</f>
        <v>175</v>
      </c>
      <c r="CO354" s="85" t="str">
        <f>Tabela1[[#This Row],[vo2max estimado]]</f>
        <v>49,28</v>
      </c>
      <c r="CP354" s="85">
        <f>Tabela1[[#This Row],[Handgrip     Dominante]]</f>
        <v>70</v>
      </c>
      <c r="CQ354" s="85">
        <f>Tabela1[[#This Row],[Handgrip Contrário]]</f>
        <v>61</v>
      </c>
      <c r="CR354" s="281" t="str">
        <f>Tabela1[[#This Row],[% gordura]]</f>
        <v>10,01</v>
      </c>
    </row>
    <row r="355" spans="1:96" ht="15.75" customHeight="1">
      <c r="A355" s="279">
        <f>Tabela1[[#This Row],[Ano]]</f>
        <v>2023</v>
      </c>
      <c r="B355" s="181" t="str">
        <f>Tabela1[[#This Row],[Missão]]</f>
        <v>CIASC</v>
      </c>
      <c r="C355" s="181">
        <f>Tabela1[[#This Row],[Aluno]]</f>
        <v>3289</v>
      </c>
      <c r="D355" s="181">
        <f>Tabela1[[#This Row],[Idade]]</f>
        <v>34</v>
      </c>
      <c r="E355" s="182">
        <f>Tabela1[[#This Row],[Peso Kg]]</f>
        <v>77.7</v>
      </c>
      <c r="F355" s="191">
        <f>Tabela1[[#This Row],[Cor da pele]]</f>
        <v>2</v>
      </c>
      <c r="G355" s="192" t="str">
        <f>Tabela1[[#This Row],[ACTN3]]</f>
        <v>RR</v>
      </c>
      <c r="H355" s="85" t="str">
        <f>Tabela1[[#This Row],[AGT]]</f>
        <v>TT</v>
      </c>
      <c r="I355" s="85" t="str">
        <f>Tabela1[[#This Row],[ECA]]</f>
        <v>DD</v>
      </c>
      <c r="J355" s="85" t="str">
        <f>Tabela1[[#This Row],[BDKRB2]]</f>
        <v>-9,-9</v>
      </c>
      <c r="K355" s="85">
        <f>Tabela1[[#This Row],[Score Força%]]</f>
        <v>75</v>
      </c>
      <c r="L355" s="193">
        <f>Tabela1[[#This Row],[Score Resistência %]]</f>
        <v>25</v>
      </c>
      <c r="M355" s="192">
        <f>Tabela1[[#This Row],[Pré CK (U/L)]]</f>
        <v>374</v>
      </c>
      <c r="N355" s="85">
        <f>Tabela1[[#This Row],[Pós CK (U/L)]]</f>
        <v>3380</v>
      </c>
      <c r="O355" s="85" t="str">
        <f>Tabela1[[#This Row],[Pré CK MB U/L]]</f>
        <v>-</v>
      </c>
      <c r="P355" s="85" t="str">
        <f>Tabela1[[#This Row],[Pós CK MB U/L]]</f>
        <v>-</v>
      </c>
      <c r="Q355" s="85">
        <f>Tabela1[[#This Row],[Pré Lactato (mmol/L)]]</f>
        <v>4</v>
      </c>
      <c r="R355" s="85">
        <f>Tabela1[[#This Row],[Pós Lactato (mmol/L)]]</f>
        <v>4.3</v>
      </c>
      <c r="S355" s="85">
        <f>Tabela1[[#This Row],[Pré LDH (U/L)]]</f>
        <v>173</v>
      </c>
      <c r="T355" s="85">
        <f>Tabela1[[#This Row],[Pós LDH (U/L)]]</f>
        <v>476</v>
      </c>
      <c r="U355" s="85">
        <f>Tabela1[[#This Row],[Pré AST (U/L)]]</f>
        <v>30</v>
      </c>
      <c r="V355" s="193">
        <f>Tabela1[[#This Row],[Pós AST (U/L)]]</f>
        <v>105</v>
      </c>
      <c r="W355" s="194">
        <f>Tabela1[[#This Row],[Pré Albumina (g/dL)]]</f>
        <v>3.9</v>
      </c>
      <c r="X355" s="125">
        <f>Tabela1[[#This Row],[Pós Albumina (g/dL)]]</f>
        <v>4.7</v>
      </c>
      <c r="Y355" s="85">
        <f>Tabela1[[#This Row],[Pré TGP (g/dL)]]</f>
        <v>24</v>
      </c>
      <c r="Z355" s="85">
        <f>Tabela1[[#This Row],[Pós TGP (g/dL)]]</f>
        <v>80</v>
      </c>
      <c r="AA355" s="85">
        <f>Tabela1[[#This Row],[Pré GGT U/L]]</f>
        <v>19</v>
      </c>
      <c r="AB355" s="193">
        <f>Tabela1[[#This Row],[Pós GGT U/L]]</f>
        <v>19</v>
      </c>
      <c r="AC355" s="194">
        <f>Tabela1[[#This Row],[Pré Ac. Úrico (mg/dL)]]</f>
        <v>4.3</v>
      </c>
      <c r="AD355" s="125">
        <f>Tabela1[[#This Row],[Pós Ac. Úrico (mg/dL)2]]</f>
        <v>4.8</v>
      </c>
      <c r="AE35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5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355" s="85">
        <f>Tabela1[[#This Row],[Pré Ureia mg/dL]]</f>
        <v>22</v>
      </c>
      <c r="AH355" s="85">
        <f>Tabela1[[#This Row],[Pós Ureia mg/dL]]</f>
        <v>33</v>
      </c>
      <c r="AI355" s="125">
        <f>Tabela1[[#This Row],[Pré creatinina mg/dL]]</f>
        <v>0.8</v>
      </c>
      <c r="AJ355" s="125">
        <f>Tabela1[[#This Row],[Pós creatinina mg/dL]]</f>
        <v>0.9</v>
      </c>
      <c r="AK355" s="180">
        <f t="shared" si="20"/>
        <v>9.9999999999999978E-2</v>
      </c>
      <c r="AL355" s="125">
        <f>Tabela1[[#This Row],[Pré Fósforo mg/dL]]</f>
        <v>2.5</v>
      </c>
      <c r="AM355" s="125">
        <f>Tabela1[[#This Row],[Pós Fósforo mg/dL]]</f>
        <v>4</v>
      </c>
      <c r="AN355" s="125">
        <f>Tabela1[[#This Row],[Pré Proteína Total (g/dL)]]</f>
        <v>6.4</v>
      </c>
      <c r="AO355" s="125">
        <f>Tabela1[[#This Row],[Pós Proteína Total (g/dL)]]</f>
        <v>7</v>
      </c>
      <c r="AP355" s="85">
        <f>Tabela1[[#This Row],[Pré FE (ug/dL)]]</f>
        <v>29</v>
      </c>
      <c r="AQ355" s="193">
        <f>Tabela1[[#This Row],[Pós FE (ug/dL)]]</f>
        <v>27</v>
      </c>
      <c r="AR355" s="194">
        <f>Tabela1[[#This Row],[Pré calcio mg/dL]]</f>
        <v>7.2</v>
      </c>
      <c r="AS355" s="125">
        <f>Tabela1[[#This Row],[Pós calcio mg/dL]]</f>
        <v>9</v>
      </c>
      <c r="AT355" s="125">
        <f>Tabela1[[#This Row],[Pré Potássio mmol/L]]</f>
        <v>4.5</v>
      </c>
      <c r="AU355" s="125">
        <f>Tabela1[[#This Row],[Pós Potássio mmol/L]]</f>
        <v>4.5</v>
      </c>
      <c r="AV355" s="85">
        <f>Tabela1[[#This Row],[Glicose pré]]</f>
        <v>78</v>
      </c>
      <c r="AW355" s="85">
        <f>Tabela1[[#This Row],[Glicose pós]]</f>
        <v>92</v>
      </c>
      <c r="AX355" s="85">
        <f>Tabela1[[#This Row],[Pré Sódio mmol/L]]</f>
        <v>134</v>
      </c>
      <c r="AY355" s="85">
        <f>Tabela1[[#This Row],[Pós Sódio mmol/L]]</f>
        <v>139</v>
      </c>
      <c r="AZ355" s="125">
        <f>Tabela1[[#This Row],[Pré Magnésio mg/dL]]</f>
        <v>2.1</v>
      </c>
      <c r="BA355" s="125">
        <f>Tabela1[[#This Row],[Pós Magnésio mg/dL]]</f>
        <v>2.4</v>
      </c>
      <c r="BB355" s="85">
        <f>Tabela1[[#This Row],[Pré Cloro mmol/L]]</f>
        <v>102</v>
      </c>
      <c r="BC355" s="85">
        <f>Tabela1[[#This Row],[Pós Cloro mmol/L]]</f>
        <v>105</v>
      </c>
      <c r="BD35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280.26000000000005</v>
      </c>
      <c r="BE35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292.28777777777782</v>
      </c>
      <c r="BF355" s="194">
        <f>Tabela1[[#This Row],[Pré RBC 10^6/mm³]]</f>
        <v>4.92</v>
      </c>
      <c r="BG355" s="125" t="str">
        <f>Tabela1[[#This Row],[Pós RBC 10^6/mm³]]</f>
        <v>-</v>
      </c>
      <c r="BH355" s="125">
        <f>Tabela1[[#This Row],[Pré HGB g/dL]]</f>
        <v>15.4</v>
      </c>
      <c r="BI355" s="125" t="str">
        <f>Tabela1[[#This Row],[Pós HGB g/dL]]</f>
        <v>-</v>
      </c>
      <c r="BJ355" s="125">
        <f>Tabela1[[#This Row],[Pré HCT %]]</f>
        <v>48.2</v>
      </c>
      <c r="BK355" s="125" t="str">
        <f>Tabela1[[#This Row],[Pós HCT %]]</f>
        <v>-</v>
      </c>
      <c r="BL355" s="125">
        <f>Tabela1[[#This Row],[Pré MCV fL]]</f>
        <v>98</v>
      </c>
      <c r="BM355" s="125" t="str">
        <f>Tabela1[[#This Row],[Pós MCV fL]]</f>
        <v>-</v>
      </c>
      <c r="BN355" s="125">
        <f>Tabela1[[#This Row],[Pré MCH pg]]</f>
        <v>31.2</v>
      </c>
      <c r="BO355" s="125" t="str">
        <f>Tabela1[[#This Row],[Pós MCH pg]]</f>
        <v>-</v>
      </c>
      <c r="BP355" s="125">
        <f>Tabela1[[#This Row],[Pré MCHC g/dL]]</f>
        <v>31.8</v>
      </c>
      <c r="BQ355" s="125" t="str">
        <f>Tabela1[[#This Row],[Pós MCHC g/dL]]</f>
        <v>-</v>
      </c>
      <c r="BR355" s="85">
        <f>Tabela1[[#This Row],[Pré PLT 10³/mm³]]</f>
        <v>234</v>
      </c>
      <c r="BS355" s="85" t="str">
        <f>Tabela1[[#This Row],[Pós PLT 10³/mm³]]</f>
        <v>-</v>
      </c>
      <c r="BT355" s="125">
        <f>Tabela1[[#This Row],[Pré RDW %]]</f>
        <v>13.5</v>
      </c>
      <c r="BU355" s="125" t="str">
        <f>Tabela1[[#This Row],[Pós RDW %]]</f>
        <v>-</v>
      </c>
      <c r="BV355" s="179" t="str">
        <f>Tabela1[[#This Row],[Pré RET %]]</f>
        <v>-</v>
      </c>
      <c r="BW355" s="196" t="str">
        <f>Tabela1[[#This Row],[Pós RET %]]</f>
        <v>-</v>
      </c>
      <c r="BX355" s="197">
        <f>Tabela1[[#This Row],[Pré WBC 10³/mm³]]</f>
        <v>4.46</v>
      </c>
      <c r="BY355" s="179" t="str">
        <f>Tabela1[[#This Row],[Pós WBC 10³/mm³]]</f>
        <v>-</v>
      </c>
      <c r="BZ355" s="125">
        <f>Tabela1[[#This Row],[Pré NEUT %]]</f>
        <v>43.4</v>
      </c>
      <c r="CA355" s="125" t="str">
        <f>Tabela1[[#This Row],[Pós NEUT %]]</f>
        <v>-</v>
      </c>
      <c r="CB355" s="125">
        <f>Tabela1[[#This Row],[Pré LINF %]]</f>
        <v>46.4</v>
      </c>
      <c r="CC355" s="125" t="str">
        <f>Tabela1[[#This Row],[Pós LINF %]]</f>
        <v>-</v>
      </c>
      <c r="CD355" s="125">
        <f>Tabela1[[#This Row],[Pré MONO %]]</f>
        <v>7.76</v>
      </c>
      <c r="CE355" s="125" t="str">
        <f>Tabela1[[#This Row],[Pós MONO %]]</f>
        <v>-</v>
      </c>
      <c r="CF355" s="125">
        <f>Tabela1[[#This Row],[Pré EOS %]]</f>
        <v>0.93899999999999995</v>
      </c>
      <c r="CG355" s="125" t="str">
        <f>Tabela1[[#This Row],[Pós EOS %]]</f>
        <v>-</v>
      </c>
      <c r="CH355" s="125">
        <f>Tabela1[[#This Row],[Pré BASO %]]</f>
        <v>1.48</v>
      </c>
      <c r="CI355" s="198" t="str">
        <f>Tabela1[[#This Row],[Pós BASO %]]</f>
        <v>-</v>
      </c>
      <c r="CJ355" s="199" t="str">
        <f t="shared" si="21"/>
        <v>NÃO</v>
      </c>
      <c r="CK355" s="200" t="str">
        <f t="shared" si="22"/>
        <v>SIM</v>
      </c>
      <c r="CL355" s="194">
        <f t="shared" si="23"/>
        <v>67.389839999999992</v>
      </c>
      <c r="CM355" s="125">
        <f>Tabela1[[#This Row],[MCT KG]]</f>
        <v>75.599999999999994</v>
      </c>
      <c r="CN355" s="85">
        <f>Tabela1[[#This Row],[ESTATURA]]</f>
        <v>177</v>
      </c>
      <c r="CO355" s="85" t="str">
        <f>Tabela1[[#This Row],[vo2max estimado]]</f>
        <v>53,53</v>
      </c>
      <c r="CP355" s="85">
        <f>Tabela1[[#This Row],[Handgrip     Dominante]]</f>
        <v>60</v>
      </c>
      <c r="CQ355" s="85">
        <f>Tabela1[[#This Row],[Handgrip Contrário]]</f>
        <v>59</v>
      </c>
      <c r="CR355" s="281" t="str">
        <f>Tabela1[[#This Row],[% gordura]]</f>
        <v>10,86</v>
      </c>
    </row>
    <row r="356" spans="1:96" ht="15.75" customHeight="1">
      <c r="A356" s="279">
        <f>Tabela1[[#This Row],[Ano]]</f>
        <v>2023</v>
      </c>
      <c r="B356" s="181" t="str">
        <f>Tabela1[[#This Row],[Missão]]</f>
        <v>CIASC</v>
      </c>
      <c r="C356" s="181">
        <f>Tabela1[[#This Row],[Aluno]]</f>
        <v>3291</v>
      </c>
      <c r="D356" s="181">
        <f>Tabela1[[#This Row],[Idade]]</f>
        <v>32</v>
      </c>
      <c r="E356" s="182">
        <f>Tabela1[[#This Row],[Peso Kg]]</f>
        <v>81.7</v>
      </c>
      <c r="F356" s="191">
        <f>Tabela1[[#This Row],[Cor da pele]]</f>
        <v>2</v>
      </c>
      <c r="G356" s="192" t="str">
        <f>Tabela1[[#This Row],[ACTN3]]</f>
        <v>XX</v>
      </c>
      <c r="H356" s="85" t="str">
        <f>Tabela1[[#This Row],[AGT]]</f>
        <v>MT</v>
      </c>
      <c r="I356" s="85" t="str">
        <f>Tabela1[[#This Row],[ECA]]</f>
        <v>ID</v>
      </c>
      <c r="J356" s="85">
        <f>Tabela1[[#This Row],[BDKRB2]]</f>
        <v>0</v>
      </c>
      <c r="K356" s="85">
        <f>Tabela1[[#This Row],[Score Força%]]</f>
        <v>37.5</v>
      </c>
      <c r="L356" s="193">
        <f>Tabela1[[#This Row],[Score Resistência %]]</f>
        <v>62.5</v>
      </c>
      <c r="M356" s="192">
        <f>Tabela1[[#This Row],[Pré CK (U/L)]]</f>
        <v>1276</v>
      </c>
      <c r="N356" s="85">
        <f>Tabela1[[#This Row],[Pós CK (U/L)]]</f>
        <v>2440</v>
      </c>
      <c r="O356" s="85" t="str">
        <f>Tabela1[[#This Row],[Pré CK MB U/L]]</f>
        <v>-</v>
      </c>
      <c r="P356" s="85" t="str">
        <f>Tabela1[[#This Row],[Pós CK MB U/L]]</f>
        <v>-</v>
      </c>
      <c r="Q356" s="85">
        <f>Tabela1[[#This Row],[Pré Lactato (mmol/L)]]</f>
        <v>3.1</v>
      </c>
      <c r="R356" s="85">
        <f>Tabela1[[#This Row],[Pós Lactato (mmol/L)]]</f>
        <v>2.9</v>
      </c>
      <c r="S356" s="85">
        <f>Tabela1[[#This Row],[Pré LDH (U/L)]]</f>
        <v>2.5</v>
      </c>
      <c r="T356" s="85">
        <f>Tabela1[[#This Row],[Pós LDH (U/L)]]</f>
        <v>530</v>
      </c>
      <c r="U356" s="85">
        <f>Tabela1[[#This Row],[Pré AST (U/L)]]</f>
        <v>94</v>
      </c>
      <c r="V356" s="193">
        <f>Tabela1[[#This Row],[Pós AST (U/L)]]</f>
        <v>138</v>
      </c>
      <c r="W356" s="194">
        <f>Tabela1[[#This Row],[Pré Albumina (g/dL)]]</f>
        <v>5.0999999999999996</v>
      </c>
      <c r="X356" s="125">
        <f>Tabela1[[#This Row],[Pós Albumina (g/dL)]]</f>
        <v>4.5</v>
      </c>
      <c r="Y356" s="85">
        <f>Tabela1[[#This Row],[Pré TGP (g/dL)]]</f>
        <v>49</v>
      </c>
      <c r="Z356" s="85">
        <f>Tabela1[[#This Row],[Pós TGP (g/dL)]]</f>
        <v>119</v>
      </c>
      <c r="AA356" s="85">
        <f>Tabela1[[#This Row],[Pré GGT U/L]]</f>
        <v>30</v>
      </c>
      <c r="AB356" s="193">
        <f>Tabela1[[#This Row],[Pós GGT U/L]]</f>
        <v>28</v>
      </c>
      <c r="AC356" s="194">
        <f>Tabela1[[#This Row],[Pré Ac. Úrico (mg/dL)]]</f>
        <v>3.4</v>
      </c>
      <c r="AD356" s="125">
        <f>Tabela1[[#This Row],[Pós Ac. Úrico (mg/dL)2]]</f>
        <v>5.0999999999999996</v>
      </c>
      <c r="AE35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5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106.41158441336107</v>
      </c>
      <c r="AG356" s="85">
        <f>Tabela1[[#This Row],[Pré Ureia mg/dL]]</f>
        <v>28</v>
      </c>
      <c r="AH356" s="85">
        <f>Tabela1[[#This Row],[Pós Ureia mg/dL]]</f>
        <v>37</v>
      </c>
      <c r="AI356" s="125">
        <f>Tabela1[[#This Row],[Pré creatinina mg/dL]]</f>
        <v>0.9</v>
      </c>
      <c r="AJ356" s="125">
        <f>Tabela1[[#This Row],[Pós creatinina mg/dL]]</f>
        <v>0.99</v>
      </c>
      <c r="AK356" s="180">
        <f t="shared" si="20"/>
        <v>8.9999999999999969E-2</v>
      </c>
      <c r="AL356" s="125">
        <f>Tabela1[[#This Row],[Pré Fósforo mg/dL]]</f>
        <v>4.0999999999999996</v>
      </c>
      <c r="AM356" s="125">
        <f>Tabela1[[#This Row],[Pós Fósforo mg/dL]]</f>
        <v>4.5999999999999996</v>
      </c>
      <c r="AN356" s="125">
        <f>Tabela1[[#This Row],[Pré Proteína Total (g/dL)]]</f>
        <v>8.1999999999999993</v>
      </c>
      <c r="AO356" s="125">
        <f>Tabela1[[#This Row],[Pós Proteína Total (g/dL)]]</f>
        <v>6.8</v>
      </c>
      <c r="AP356" s="85">
        <f>Tabela1[[#This Row],[Pré FE (ug/dL)]]</f>
        <v>46</v>
      </c>
      <c r="AQ356" s="193">
        <f>Tabela1[[#This Row],[Pós FE (ug/dL)]]</f>
        <v>74</v>
      </c>
      <c r="AR356" s="194">
        <f>Tabela1[[#This Row],[Pré calcio mg/dL]]</f>
        <v>8.6999999999999993</v>
      </c>
      <c r="AS356" s="125">
        <f>Tabela1[[#This Row],[Pós calcio mg/dL]]</f>
        <v>9.1999999999999993</v>
      </c>
      <c r="AT356" s="125">
        <f>Tabela1[[#This Row],[Pré Potássio mmol/L]]</f>
        <v>5</v>
      </c>
      <c r="AU356" s="125">
        <f>Tabela1[[#This Row],[Pós Potássio mmol/L]]</f>
        <v>4.3</v>
      </c>
      <c r="AV356" s="85">
        <f>Tabela1[[#This Row],[Glicose pré]]</f>
        <v>97</v>
      </c>
      <c r="AW356" s="85">
        <f>Tabela1[[#This Row],[Glicose pós]]</f>
        <v>104</v>
      </c>
      <c r="AX356" s="85">
        <f>Tabela1[[#This Row],[Pré Sódio mmol/L]]</f>
        <v>141</v>
      </c>
      <c r="AY356" s="85">
        <f>Tabela1[[#This Row],[Pós Sódio mmol/L]]</f>
        <v>140</v>
      </c>
      <c r="AZ356" s="125">
        <f>Tabela1[[#This Row],[Pré Magnésio mg/dL]]</f>
        <v>2.2000000000000002</v>
      </c>
      <c r="BA356" s="125">
        <f>Tabela1[[#This Row],[Pós Magnésio mg/dL]]</f>
        <v>2.2000000000000002</v>
      </c>
      <c r="BB356" s="85">
        <f>Tabela1[[#This Row],[Pré Cloro mmol/L]]</f>
        <v>108</v>
      </c>
      <c r="BC356" s="85">
        <f>Tabela1[[#This Row],[Pós Cloro mmol/L]]</f>
        <v>104</v>
      </c>
      <c r="BD35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296.42388888888888</v>
      </c>
      <c r="BE35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295.20911111111116</v>
      </c>
      <c r="BF356" s="194">
        <f>Tabela1[[#This Row],[Pré RBC 10^6/mm³]]</f>
        <v>6.28</v>
      </c>
      <c r="BG356" s="125">
        <f>Tabela1[[#This Row],[Pós RBC 10^6/mm³]]</f>
        <v>4.3499999999999996</v>
      </c>
      <c r="BH356" s="125">
        <f>Tabela1[[#This Row],[Pré HGB g/dL]]</f>
        <v>13.6</v>
      </c>
      <c r="BI356" s="125">
        <f>Tabela1[[#This Row],[Pós HGB g/dL]]</f>
        <v>13.9</v>
      </c>
      <c r="BJ356" s="125">
        <f>Tabela1[[#This Row],[Pré HCT %]]</f>
        <v>46.1</v>
      </c>
      <c r="BK356" s="125">
        <f>Tabela1[[#This Row],[Pós HCT %]]</f>
        <v>42.1</v>
      </c>
      <c r="BL356" s="125">
        <f>Tabela1[[#This Row],[Pré MCV fL]]</f>
        <v>73.400000000000006</v>
      </c>
      <c r="BM356" s="125">
        <f>Tabela1[[#This Row],[Pós MCV fL]]</f>
        <v>96.8</v>
      </c>
      <c r="BN356" s="125">
        <f>Tabela1[[#This Row],[Pré MCH pg]]</f>
        <v>21.7</v>
      </c>
      <c r="BO356" s="125">
        <f>Tabela1[[#This Row],[Pós MCH pg]]</f>
        <v>31.9</v>
      </c>
      <c r="BP356" s="125">
        <f>Tabela1[[#This Row],[Pré MCHC g/dL]]</f>
        <v>29.5</v>
      </c>
      <c r="BQ356" s="125">
        <f>Tabela1[[#This Row],[Pós MCHC g/dL]]</f>
        <v>33</v>
      </c>
      <c r="BR356" s="85">
        <f>Tabela1[[#This Row],[Pré PLT 10³/mm³]]</f>
        <v>279</v>
      </c>
      <c r="BS356" s="85">
        <f>Tabela1[[#This Row],[Pós PLT 10³/mm³]]</f>
        <v>280</v>
      </c>
      <c r="BT356" s="125">
        <f>Tabela1[[#This Row],[Pré RDW %]]</f>
        <v>13.2</v>
      </c>
      <c r="BU356" s="125">
        <f>Tabela1[[#This Row],[Pós RDW %]]</f>
        <v>13.2</v>
      </c>
      <c r="BV356" s="179" t="str">
        <f>Tabela1[[#This Row],[Pré RET %]]</f>
        <v>-</v>
      </c>
      <c r="BW356" s="196" t="str">
        <f>Tabela1[[#This Row],[Pós RET %]]</f>
        <v>-</v>
      </c>
      <c r="BX356" s="197">
        <f>Tabela1[[#This Row],[Pré WBC 10³/mm³]]</f>
        <v>9.3699999999999992</v>
      </c>
      <c r="BY356" s="179">
        <f>Tabela1[[#This Row],[Pós WBC 10³/mm³]]</f>
        <v>9.75</v>
      </c>
      <c r="BZ356" s="125">
        <f>Tabela1[[#This Row],[Pré NEUT %]]</f>
        <v>80.400000000000006</v>
      </c>
      <c r="CA356" s="125">
        <f>Tabela1[[#This Row],[Pós NEUT %]]</f>
        <v>75.099999999999994</v>
      </c>
      <c r="CB356" s="125">
        <f>Tabela1[[#This Row],[Pré LINF %]]</f>
        <v>11.2</v>
      </c>
      <c r="CC356" s="125">
        <f>Tabela1[[#This Row],[Pós LINF %]]</f>
        <v>18.7</v>
      </c>
      <c r="CD356" s="125">
        <f>Tabela1[[#This Row],[Pré MONO %]]</f>
        <v>7.76</v>
      </c>
      <c r="CE356" s="125">
        <f>Tabela1[[#This Row],[Pós MONO %]]</f>
        <v>5.6</v>
      </c>
      <c r="CF356" s="125">
        <f>Tabela1[[#This Row],[Pré EOS %]]</f>
        <v>3.6999999999999998E-2</v>
      </c>
      <c r="CG356" s="125">
        <f>Tabela1[[#This Row],[Pós EOS %]]</f>
        <v>0.5</v>
      </c>
      <c r="CH356" s="125">
        <f>Tabela1[[#This Row],[Pré BASO %]]</f>
        <v>0.52800000000000002</v>
      </c>
      <c r="CI356" s="198">
        <f>Tabela1[[#This Row],[Pós BASO %]]</f>
        <v>0.1</v>
      </c>
      <c r="CJ356" s="199" t="str">
        <f t="shared" si="21"/>
        <v>NÃO</v>
      </c>
      <c r="CK356" s="200" t="str">
        <f t="shared" si="22"/>
        <v>SIM</v>
      </c>
      <c r="CL356" s="194">
        <f t="shared" si="23"/>
        <v>63.856044999999995</v>
      </c>
      <c r="CM356" s="125">
        <f>Tabela1[[#This Row],[MCT KG]]</f>
        <v>79.849999999999994</v>
      </c>
      <c r="CN356" s="85">
        <f>Tabela1[[#This Row],[ESTATURA]]</f>
        <v>178.5</v>
      </c>
      <c r="CO356" s="85" t="str">
        <f>Tabela1[[#This Row],[vo2max estimado]]</f>
        <v>47,85</v>
      </c>
      <c r="CP356" s="85">
        <f>Tabela1[[#This Row],[Handgrip     Dominante]]</f>
        <v>50</v>
      </c>
      <c r="CQ356" s="85">
        <f>Tabela1[[#This Row],[Handgrip Contrário]]</f>
        <v>56</v>
      </c>
      <c r="CR356" s="281" t="str">
        <f>Tabela1[[#This Row],[% gordura]]</f>
        <v>20,03</v>
      </c>
    </row>
    <row r="357" spans="1:96" ht="15.75" customHeight="1">
      <c r="A357" s="279">
        <f>Tabela1[[#This Row],[Ano]]</f>
        <v>2023</v>
      </c>
      <c r="B357" s="181" t="str">
        <f>Tabela1[[#This Row],[Missão]]</f>
        <v>CIASC</v>
      </c>
      <c r="C357" s="181">
        <f>Tabela1[[#This Row],[Aluno]]</f>
        <v>3292</v>
      </c>
      <c r="D357" s="181">
        <f>Tabela1[[#This Row],[Idade]]</f>
        <v>30</v>
      </c>
      <c r="E357" s="182">
        <f>Tabela1[[#This Row],[Peso Kg]]</f>
        <v>73.900000000000006</v>
      </c>
      <c r="F357" s="191">
        <f>Tabela1[[#This Row],[Cor da pele]]</f>
        <v>2</v>
      </c>
      <c r="G357" s="192" t="str">
        <f>Tabela1[[#This Row],[ACTN3]]</f>
        <v>-</v>
      </c>
      <c r="H357" s="85" t="str">
        <f>Tabela1[[#This Row],[AGT]]</f>
        <v>-</v>
      </c>
      <c r="I357" s="85" t="str">
        <f>Tabela1[[#This Row],[ECA]]</f>
        <v>-</v>
      </c>
      <c r="J357" s="85" t="str">
        <f>Tabela1[[#This Row],[BDKRB2]]</f>
        <v>-</v>
      </c>
      <c r="K357" s="85" t="str">
        <f>Tabela1[[#This Row],[Score Força%]]</f>
        <v>-</v>
      </c>
      <c r="L357" s="193" t="str">
        <f>Tabela1[[#This Row],[Score Resistência %]]</f>
        <v>-</v>
      </c>
      <c r="M357" s="192">
        <f>Tabela1[[#This Row],[Pré CK (U/L)]]</f>
        <v>714</v>
      </c>
      <c r="N357" s="85">
        <f>Tabela1[[#This Row],[Pós CK (U/L)]]</f>
        <v>9503</v>
      </c>
      <c r="O357" s="85" t="str">
        <f>Tabela1[[#This Row],[Pré CK MB U/L]]</f>
        <v>-</v>
      </c>
      <c r="P357" s="85" t="str">
        <f>Tabela1[[#This Row],[Pós CK MB U/L]]</f>
        <v>-</v>
      </c>
      <c r="Q357" s="85">
        <f>Tabela1[[#This Row],[Pré Lactato (mmol/L)]]</f>
        <v>2.1</v>
      </c>
      <c r="R357" s="85">
        <f>Tabela1[[#This Row],[Pós Lactato (mmol/L)]]</f>
        <v>2.8</v>
      </c>
      <c r="S357" s="85">
        <f>Tabela1[[#This Row],[Pré LDH (U/L)]]</f>
        <v>238</v>
      </c>
      <c r="T357" s="85">
        <f>Tabela1[[#This Row],[Pós LDH (U/L)]]</f>
        <v>864</v>
      </c>
      <c r="U357" s="85">
        <f>Tabela1[[#This Row],[Pré AST (U/L)]]</f>
        <v>54</v>
      </c>
      <c r="V357" s="193">
        <f>Tabela1[[#This Row],[Pós AST (U/L)]]</f>
        <v>386</v>
      </c>
      <c r="W357" s="194">
        <f>Tabela1[[#This Row],[Pré Albumina (g/dL)]]</f>
        <v>5</v>
      </c>
      <c r="X357" s="125">
        <f>Tabela1[[#This Row],[Pós Albumina (g/dL)]]</f>
        <v>4.5</v>
      </c>
      <c r="Y357" s="85">
        <f>Tabela1[[#This Row],[Pré TGP (g/dL)]]</f>
        <v>40</v>
      </c>
      <c r="Z357" s="85">
        <f>Tabela1[[#This Row],[Pós TGP (g/dL)]]</f>
        <v>203</v>
      </c>
      <c r="AA357" s="85">
        <f>Tabela1[[#This Row],[Pré GGT U/L]]</f>
        <v>22</v>
      </c>
      <c r="AB357" s="193">
        <f>Tabela1[[#This Row],[Pós GGT U/L]]</f>
        <v>50</v>
      </c>
      <c r="AC357" s="194">
        <f>Tabela1[[#This Row],[Pré Ac. Úrico (mg/dL)]]</f>
        <v>3.5</v>
      </c>
      <c r="AD357" s="125">
        <f>Tabela1[[#This Row],[Pós Ac. Úrico (mg/dL)2]]</f>
        <v>4.8</v>
      </c>
      <c r="AE35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70.209761921634552</v>
      </c>
      <c r="AF357" s="180" t="str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Dados Insuficientes</v>
      </c>
      <c r="AG357" s="85">
        <f>Tabela1[[#This Row],[Pré Ureia mg/dL]]</f>
        <v>28</v>
      </c>
      <c r="AH357" s="85">
        <f>Tabela1[[#This Row],[Pós Ureia mg/dL]]</f>
        <v>67</v>
      </c>
      <c r="AI357" s="125">
        <f>Tabela1[[#This Row],[Pré creatinina mg/dL]]</f>
        <v>1.4</v>
      </c>
      <c r="AJ357" s="125" t="str">
        <f>Tabela1[[#This Row],[Pós creatinina mg/dL]]</f>
        <v>-</v>
      </c>
      <c r="AK357" s="180" t="str">
        <f t="shared" si="20"/>
        <v>Dados Insuficientes</v>
      </c>
      <c r="AL357" s="125">
        <f>Tabela1[[#This Row],[Pré Fósforo mg/dL]]</f>
        <v>4.5</v>
      </c>
      <c r="AM357" s="125">
        <f>Tabela1[[#This Row],[Pós Fósforo mg/dL]]</f>
        <v>4.0999999999999996</v>
      </c>
      <c r="AN357" s="125">
        <f>Tabela1[[#This Row],[Pré Proteína Total (g/dL)]]</f>
        <v>8.1999999999999993</v>
      </c>
      <c r="AO357" s="125">
        <f>Tabela1[[#This Row],[Pós Proteína Total (g/dL)]]</f>
        <v>6.8</v>
      </c>
      <c r="AP357" s="85">
        <f>Tabela1[[#This Row],[Pré FE (ug/dL)]]</f>
        <v>26</v>
      </c>
      <c r="AQ357" s="193">
        <f>Tabela1[[#This Row],[Pós FE (ug/dL)]]</f>
        <v>33</v>
      </c>
      <c r="AR357" s="194">
        <f>Tabela1[[#This Row],[Pré calcio mg/dL]]</f>
        <v>8.9</v>
      </c>
      <c r="AS357" s="125">
        <f>Tabela1[[#This Row],[Pós calcio mg/dL]]</f>
        <v>9</v>
      </c>
      <c r="AT357" s="125">
        <f>Tabela1[[#This Row],[Pré Potássio mmol/L]]</f>
        <v>4.8</v>
      </c>
      <c r="AU357" s="125">
        <f>Tabela1[[#This Row],[Pós Potássio mmol/L]]</f>
        <v>4.5</v>
      </c>
      <c r="AV357" s="85">
        <f>Tabela1[[#This Row],[Glicose pré]]</f>
        <v>106</v>
      </c>
      <c r="AW357" s="85">
        <f>Tabela1[[#This Row],[Glicose pós]]</f>
        <v>98</v>
      </c>
      <c r="AX357" s="85">
        <f>Tabela1[[#This Row],[Pré Sódio mmol/L]]</f>
        <v>143</v>
      </c>
      <c r="AY357" s="85">
        <f>Tabela1[[#This Row],[Pós Sódio mmol/L]]</f>
        <v>135</v>
      </c>
      <c r="AZ357" s="125">
        <f>Tabela1[[#This Row],[Pré Magnésio mg/dL]]</f>
        <v>2</v>
      </c>
      <c r="BA357" s="125">
        <f>Tabela1[[#This Row],[Pós Magnésio mg/dL]]</f>
        <v>1.9</v>
      </c>
      <c r="BB357" s="85">
        <f>Tabela1[[#This Row],[Pré Cloro mmol/L]]</f>
        <v>109</v>
      </c>
      <c r="BC357" s="85">
        <f>Tabela1[[#This Row],[Pós Cloro mmol/L]]</f>
        <v>102</v>
      </c>
      <c r="BD35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300.34688888888894</v>
      </c>
      <c r="BE35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290.89777777777783</v>
      </c>
      <c r="BF357" s="194">
        <f>Tabela1[[#This Row],[Pré RBC 10^6/mm³]]</f>
        <v>5.68</v>
      </c>
      <c r="BG357" s="125">
        <f>Tabela1[[#This Row],[Pós RBC 10^6/mm³]]</f>
        <v>5.53</v>
      </c>
      <c r="BH357" s="125">
        <f>Tabela1[[#This Row],[Pré HGB g/dL]]</f>
        <v>14.2</v>
      </c>
      <c r="BI357" s="125">
        <f>Tabela1[[#This Row],[Pós HGB g/dL]]</f>
        <v>12.7</v>
      </c>
      <c r="BJ357" s="125">
        <f>Tabela1[[#This Row],[Pré HCT %]]</f>
        <v>45.4</v>
      </c>
      <c r="BK357" s="125">
        <f>Tabela1[[#This Row],[Pós HCT %]]</f>
        <v>39.6</v>
      </c>
      <c r="BL357" s="125">
        <f>Tabela1[[#This Row],[Pré MCV fL]]</f>
        <v>79.8</v>
      </c>
      <c r="BM357" s="125">
        <f>Tabela1[[#This Row],[Pós MCV fL]]</f>
        <v>71.5</v>
      </c>
      <c r="BN357" s="125">
        <f>Tabela1[[#This Row],[Pré MCH pg]]</f>
        <v>25</v>
      </c>
      <c r="BO357" s="125">
        <f>Tabela1[[#This Row],[Pós MCH pg]]</f>
        <v>22.9</v>
      </c>
      <c r="BP357" s="125">
        <f>Tabela1[[#This Row],[Pré MCHC g/dL]]</f>
        <v>31.4</v>
      </c>
      <c r="BQ357" s="125">
        <f>Tabela1[[#This Row],[Pós MCHC g/dL]]</f>
        <v>32</v>
      </c>
      <c r="BR357" s="85">
        <f>Tabela1[[#This Row],[Pré PLT 10³/mm³]]</f>
        <v>262</v>
      </c>
      <c r="BS357" s="85">
        <f>Tabela1[[#This Row],[Pós PLT 10³/mm³]]</f>
        <v>312</v>
      </c>
      <c r="BT357" s="125">
        <f>Tabela1[[#This Row],[Pré RDW %]]</f>
        <v>12.8</v>
      </c>
      <c r="BU357" s="125">
        <f>Tabela1[[#This Row],[Pós RDW %]]</f>
        <v>14.2</v>
      </c>
      <c r="BV357" s="179" t="str">
        <f>Tabela1[[#This Row],[Pré RET %]]</f>
        <v>-</v>
      </c>
      <c r="BW357" s="196" t="str">
        <f>Tabela1[[#This Row],[Pós RET %]]</f>
        <v>-</v>
      </c>
      <c r="BX357" s="197">
        <f>Tabela1[[#This Row],[Pré WBC 10³/mm³]]</f>
        <v>5.13</v>
      </c>
      <c r="BY357" s="179">
        <f>Tabela1[[#This Row],[Pós WBC 10³/mm³]]</f>
        <v>13.82</v>
      </c>
      <c r="BZ357" s="125">
        <f>Tabela1[[#This Row],[Pré NEUT %]]</f>
        <v>70.5</v>
      </c>
      <c r="CA357" s="125">
        <f>Tabela1[[#This Row],[Pós NEUT %]]</f>
        <v>80.099999999999994</v>
      </c>
      <c r="CB357" s="125">
        <f>Tabela1[[#This Row],[Pré LINF %]]</f>
        <v>19.8</v>
      </c>
      <c r="CC357" s="125">
        <f>Tabela1[[#This Row],[Pós LINF %]]</f>
        <v>10.7</v>
      </c>
      <c r="CD357" s="125">
        <f>Tabela1[[#This Row],[Pré MONO %]]</f>
        <v>7.3</v>
      </c>
      <c r="CE357" s="125">
        <f>Tabela1[[#This Row],[Pós MONO %]]</f>
        <v>9.1</v>
      </c>
      <c r="CF357" s="125">
        <f>Tabela1[[#This Row],[Pré EOS %]]</f>
        <v>0.36899999999999999</v>
      </c>
      <c r="CG357" s="125">
        <f>Tabela1[[#This Row],[Pós EOS %]]</f>
        <v>0.4</v>
      </c>
      <c r="CH357" s="125">
        <f>Tabela1[[#This Row],[Pré BASO %]]</f>
        <v>1.98</v>
      </c>
      <c r="CI357" s="198">
        <f>Tabela1[[#This Row],[Pós BASO %]]</f>
        <v>0.1</v>
      </c>
      <c r="CJ357" s="199" t="str">
        <f t="shared" si="21"/>
        <v>Dados insuficientes</v>
      </c>
      <c r="CK357" s="200" t="str">
        <f t="shared" si="22"/>
        <v>SIM</v>
      </c>
      <c r="CL357" s="194">
        <f t="shared" si="23"/>
        <v>68.712220000000002</v>
      </c>
      <c r="CM357" s="125">
        <f>Tabela1[[#This Row],[MCT KG]]</f>
        <v>73.900000000000006</v>
      </c>
      <c r="CN357" s="85">
        <f>Tabela1[[#This Row],[ESTATURA]]</f>
        <v>188</v>
      </c>
      <c r="CO357" s="85" t="str">
        <f>Tabela1[[#This Row],[vo2max estimado]]</f>
        <v>50,44</v>
      </c>
      <c r="CP357" s="85">
        <f>Tabela1[[#This Row],[Handgrip     Dominante]]</f>
        <v>43</v>
      </c>
      <c r="CQ357" s="85">
        <f>Tabela1[[#This Row],[Handgrip Contrário]]</f>
        <v>47</v>
      </c>
      <c r="CR357" s="281" t="str">
        <f>Tabela1[[#This Row],[% gordura]]</f>
        <v>7,02</v>
      </c>
    </row>
    <row r="358" spans="1:96" ht="15.75" customHeight="1">
      <c r="A358" s="279">
        <f>Tabela1[[#This Row],[Ano]]</f>
        <v>2023</v>
      </c>
      <c r="B358" s="181" t="str">
        <f>Tabela1[[#This Row],[Missão]]</f>
        <v>CIASC</v>
      </c>
      <c r="C358" s="181">
        <f>Tabela1[[#This Row],[Aluno]]</f>
        <v>3296</v>
      </c>
      <c r="D358" s="181">
        <f>Tabela1[[#This Row],[Idade]]</f>
        <v>32</v>
      </c>
      <c r="E358" s="182">
        <f>Tabela1[[#This Row],[Peso Kg]]</f>
        <v>69.2</v>
      </c>
      <c r="F358" s="191">
        <f>Tabela1[[#This Row],[Cor da pele]]</f>
        <v>1</v>
      </c>
      <c r="G358" s="192" t="str">
        <f>Tabela1[[#This Row],[ACTN3]]</f>
        <v>-</v>
      </c>
      <c r="H358" s="85" t="str">
        <f>Tabela1[[#This Row],[AGT]]</f>
        <v>-</v>
      </c>
      <c r="I358" s="85" t="str">
        <f>Tabela1[[#This Row],[ECA]]</f>
        <v>-</v>
      </c>
      <c r="J358" s="85" t="str">
        <f>Tabela1[[#This Row],[BDKRB2]]</f>
        <v>-</v>
      </c>
      <c r="K358" s="85" t="str">
        <f>Tabela1[[#This Row],[Score Força%]]</f>
        <v>-</v>
      </c>
      <c r="L358" s="193" t="str">
        <f>Tabela1[[#This Row],[Score Resistência %]]</f>
        <v>-</v>
      </c>
      <c r="M358" s="192">
        <f>Tabela1[[#This Row],[Pré CK (U/L)]]</f>
        <v>389</v>
      </c>
      <c r="N358" s="85">
        <f>Tabela1[[#This Row],[Pós CK (U/L)]]</f>
        <v>4570</v>
      </c>
      <c r="O358" s="85" t="str">
        <f>Tabela1[[#This Row],[Pré CK MB U/L]]</f>
        <v>-</v>
      </c>
      <c r="P358" s="85" t="str">
        <f>Tabela1[[#This Row],[Pós CK MB U/L]]</f>
        <v>-</v>
      </c>
      <c r="Q358" s="85">
        <f>Tabela1[[#This Row],[Pré Lactato (mmol/L)]]</f>
        <v>3</v>
      </c>
      <c r="R358" s="85">
        <f>Tabela1[[#This Row],[Pós Lactato (mmol/L)]]</f>
        <v>3.7</v>
      </c>
      <c r="S358" s="85">
        <f>Tabela1[[#This Row],[Pré LDH (U/L)]]</f>
        <v>225</v>
      </c>
      <c r="T358" s="85">
        <f>Tabela1[[#This Row],[Pós LDH (U/L)]]</f>
        <v>485</v>
      </c>
      <c r="U358" s="85">
        <f>Tabela1[[#This Row],[Pré AST (U/L)]]</f>
        <v>34</v>
      </c>
      <c r="V358" s="193">
        <f>Tabela1[[#This Row],[Pós AST (U/L)]]</f>
        <v>213</v>
      </c>
      <c r="W358" s="194">
        <f>Tabela1[[#This Row],[Pré Albumina (g/dL)]]</f>
        <v>5.5</v>
      </c>
      <c r="X358" s="125">
        <f>Tabela1[[#This Row],[Pós Albumina (g/dL)]]</f>
        <v>4.3</v>
      </c>
      <c r="Y358" s="85">
        <f>Tabela1[[#This Row],[Pré TGP (g/dL)]]</f>
        <v>28</v>
      </c>
      <c r="Z358" s="85">
        <f>Tabela1[[#This Row],[Pós TGP (g/dL)]]</f>
        <v>109</v>
      </c>
      <c r="AA358" s="85">
        <f>Tabela1[[#This Row],[Pré GGT U/L]]</f>
        <v>25</v>
      </c>
      <c r="AB358" s="193">
        <f>Tabela1[[#This Row],[Pós GGT U/L]]</f>
        <v>39</v>
      </c>
      <c r="AC358" s="194">
        <f>Tabela1[[#This Row],[Pré Ac. Úrico (mg/dL)]]</f>
        <v>5.9</v>
      </c>
      <c r="AD358" s="125">
        <f>Tabela1[[#This Row],[Pós Ac. Úrico (mg/dL)2]]</f>
        <v>6.3</v>
      </c>
      <c r="AE35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58" s="180" t="str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Dados Insuficientes</v>
      </c>
      <c r="AG358" s="85">
        <f>Tabela1[[#This Row],[Pré Ureia mg/dL]]</f>
        <v>39</v>
      </c>
      <c r="AH358" s="85">
        <f>Tabela1[[#This Row],[Pós Ureia mg/dL]]</f>
        <v>37</v>
      </c>
      <c r="AI358" s="125">
        <f>Tabela1[[#This Row],[Pré creatinina mg/dL]]</f>
        <v>0.8</v>
      </c>
      <c r="AJ358" s="125" t="str">
        <f>Tabela1[[#This Row],[Pós creatinina mg/dL]]</f>
        <v>-</v>
      </c>
      <c r="AK358" s="180" t="str">
        <f t="shared" si="20"/>
        <v>Dados Insuficientes</v>
      </c>
      <c r="AL358" s="125">
        <f>Tabela1[[#This Row],[Pré Fósforo mg/dL]]</f>
        <v>4.2</v>
      </c>
      <c r="AM358" s="125">
        <f>Tabela1[[#This Row],[Pós Fósforo mg/dL]]</f>
        <v>3.8</v>
      </c>
      <c r="AN358" s="125">
        <f>Tabela1[[#This Row],[Pré Proteína Total (g/dL)]]</f>
        <v>8.4</v>
      </c>
      <c r="AO358" s="125">
        <f>Tabela1[[#This Row],[Pós Proteína Total (g/dL)]]</f>
        <v>6.9</v>
      </c>
      <c r="AP358" s="85">
        <f>Tabela1[[#This Row],[Pré FE (ug/dL)]]</f>
        <v>47</v>
      </c>
      <c r="AQ358" s="193">
        <f>Tabela1[[#This Row],[Pós FE (ug/dL)]]</f>
        <v>27</v>
      </c>
      <c r="AR358" s="194">
        <f>Tabela1[[#This Row],[Pré calcio mg/dL]]</f>
        <v>9.1</v>
      </c>
      <c r="AS358" s="125">
        <f>Tabela1[[#This Row],[Pós calcio mg/dL]]</f>
        <v>9.4</v>
      </c>
      <c r="AT358" s="125">
        <f>Tabela1[[#This Row],[Pré Potássio mmol/L]]</f>
        <v>5</v>
      </c>
      <c r="AU358" s="125">
        <f>Tabela1[[#This Row],[Pós Potássio mmol/L]]</f>
        <v>3.9</v>
      </c>
      <c r="AV358" s="85">
        <f>Tabela1[[#This Row],[Glicose pré]]</f>
        <v>86</v>
      </c>
      <c r="AW358" s="85">
        <f>Tabela1[[#This Row],[Glicose pós]]</f>
        <v>130</v>
      </c>
      <c r="AX358" s="85">
        <f>Tabela1[[#This Row],[Pré Sódio mmol/L]]</f>
        <v>148</v>
      </c>
      <c r="AY358" s="85">
        <f>Tabela1[[#This Row],[Pós Sódio mmol/L]]</f>
        <v>139</v>
      </c>
      <c r="AZ358" s="125">
        <f>Tabela1[[#This Row],[Pré Magnésio mg/dL]]</f>
        <v>2.2999999999999998</v>
      </c>
      <c r="BA358" s="125">
        <f>Tabela1[[#This Row],[Pós Magnésio mg/dL]]</f>
        <v>2.1</v>
      </c>
      <c r="BB358" s="85">
        <f>Tabela1[[#This Row],[Pré Cloro mmol/L]]</f>
        <v>110</v>
      </c>
      <c r="BC358" s="85">
        <f>Tabela1[[#This Row],[Pós Cloro mmol/L]]</f>
        <v>105</v>
      </c>
      <c r="BD35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310.57444444444451</v>
      </c>
      <c r="BE35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294.26622222222227</v>
      </c>
      <c r="BF358" s="194">
        <f>Tabela1[[#This Row],[Pré RBC 10^6/mm³]]</f>
        <v>5.71</v>
      </c>
      <c r="BG358" s="125" t="str">
        <f>Tabela1[[#This Row],[Pós RBC 10^6/mm³]]</f>
        <v>-</v>
      </c>
      <c r="BH358" s="125">
        <f>Tabela1[[#This Row],[Pré HGB g/dL]]</f>
        <v>15.7</v>
      </c>
      <c r="BI358" s="125" t="str">
        <f>Tabela1[[#This Row],[Pós HGB g/dL]]</f>
        <v>-</v>
      </c>
      <c r="BJ358" s="125">
        <f>Tabela1[[#This Row],[Pré HCT %]]</f>
        <v>48.5</v>
      </c>
      <c r="BK358" s="125" t="str">
        <f>Tabela1[[#This Row],[Pós HCT %]]</f>
        <v>-</v>
      </c>
      <c r="BL358" s="125">
        <f>Tabela1[[#This Row],[Pré MCV fL]]</f>
        <v>84.9</v>
      </c>
      <c r="BM358" s="125" t="str">
        <f>Tabela1[[#This Row],[Pós MCV fL]]</f>
        <v>-</v>
      </c>
      <c r="BN358" s="125">
        <f>Tabela1[[#This Row],[Pré MCH pg]]</f>
        <v>27.5</v>
      </c>
      <c r="BO358" s="125" t="str">
        <f>Tabela1[[#This Row],[Pós MCH pg]]</f>
        <v>-</v>
      </c>
      <c r="BP358" s="125">
        <f>Tabela1[[#This Row],[Pré MCHC g/dL]]</f>
        <v>32.4</v>
      </c>
      <c r="BQ358" s="125" t="str">
        <f>Tabela1[[#This Row],[Pós MCHC g/dL]]</f>
        <v>-</v>
      </c>
      <c r="BR358" s="85">
        <f>Tabela1[[#This Row],[Pré PLT 10³/mm³]]</f>
        <v>218</v>
      </c>
      <c r="BS358" s="85" t="str">
        <f>Tabela1[[#This Row],[Pós PLT 10³/mm³]]</f>
        <v>-</v>
      </c>
      <c r="BT358" s="125">
        <f>Tabela1[[#This Row],[Pré RDW %]]</f>
        <v>11.3</v>
      </c>
      <c r="BU358" s="125" t="str">
        <f>Tabela1[[#This Row],[Pós RDW %]]</f>
        <v>-</v>
      </c>
      <c r="BV358" s="179" t="str">
        <f>Tabela1[[#This Row],[Pré RET %]]</f>
        <v>-</v>
      </c>
      <c r="BW358" s="196" t="str">
        <f>Tabela1[[#This Row],[Pós RET %]]</f>
        <v>-</v>
      </c>
      <c r="BX358" s="197">
        <f>Tabela1[[#This Row],[Pré WBC 10³/mm³]]</f>
        <v>3.76</v>
      </c>
      <c r="BY358" s="179" t="str">
        <f>Tabela1[[#This Row],[Pós WBC 10³/mm³]]</f>
        <v>-</v>
      </c>
      <c r="BZ358" s="125">
        <f>Tabela1[[#This Row],[Pré NEUT %]]</f>
        <v>70.900000000000006</v>
      </c>
      <c r="CA358" s="125" t="str">
        <f>Tabela1[[#This Row],[Pós NEUT %]]</f>
        <v>-</v>
      </c>
      <c r="CB358" s="125">
        <f>Tabela1[[#This Row],[Pré LINF %]]</f>
        <v>20.8</v>
      </c>
      <c r="CC358" s="125" t="str">
        <f>Tabela1[[#This Row],[Pós LINF %]]</f>
        <v>-</v>
      </c>
      <c r="CD358" s="125">
        <f>Tabela1[[#This Row],[Pré MONO %]]</f>
        <v>5.61</v>
      </c>
      <c r="CE358" s="125" t="str">
        <f>Tabela1[[#This Row],[Pós MONO %]]</f>
        <v>-</v>
      </c>
      <c r="CF358" s="125">
        <f>Tabela1[[#This Row],[Pré EOS %]]</f>
        <v>2.02</v>
      </c>
      <c r="CG358" s="125" t="str">
        <f>Tabela1[[#This Row],[Pós EOS %]]</f>
        <v>-</v>
      </c>
      <c r="CH358" s="125">
        <f>Tabela1[[#This Row],[Pré BASO %]]</f>
        <v>0.67200000000000004</v>
      </c>
      <c r="CI358" s="198" t="str">
        <f>Tabela1[[#This Row],[Pós BASO %]]</f>
        <v>-</v>
      </c>
      <c r="CJ358" s="199" t="str">
        <f t="shared" si="21"/>
        <v>Dados insuficientes</v>
      </c>
      <c r="CK358" s="200" t="str">
        <f t="shared" si="22"/>
        <v>SIM</v>
      </c>
      <c r="CL358" s="194">
        <f t="shared" si="23"/>
        <v>63.499780000000001</v>
      </c>
      <c r="CM358" s="125">
        <f>Tabela1[[#This Row],[MCT KG]]</f>
        <v>71.3</v>
      </c>
      <c r="CN358" s="85">
        <f>Tabela1[[#This Row],[ESTATURA]]</f>
        <v>175.5</v>
      </c>
      <c r="CO358" s="85" t="str">
        <f>Tabela1[[#This Row],[vo2max estimado]]</f>
        <v>49,72</v>
      </c>
      <c r="CP358" s="85">
        <f>Tabela1[[#This Row],[Handgrip     Dominante]]</f>
        <v>59</v>
      </c>
      <c r="CQ358" s="85">
        <f>Tabela1[[#This Row],[Handgrip Contrário]]</f>
        <v>58</v>
      </c>
      <c r="CR358" s="281" t="str">
        <f>Tabela1[[#This Row],[% gordura]]</f>
        <v>10,94</v>
      </c>
    </row>
    <row r="359" spans="1:96" ht="15.75" customHeight="1">
      <c r="A359" s="279">
        <f>Tabela1[[#This Row],[Ano]]</f>
        <v>2023</v>
      </c>
      <c r="B359" s="181" t="str">
        <f>Tabela1[[#This Row],[Missão]]</f>
        <v>CIASC</v>
      </c>
      <c r="C359" s="181">
        <f>Tabela1[[#This Row],[Aluno]]</f>
        <v>3305</v>
      </c>
      <c r="D359" s="181">
        <f>Tabela1[[#This Row],[Idade]]</f>
        <v>33</v>
      </c>
      <c r="E359" s="182">
        <f>Tabela1[[#This Row],[Peso Kg]]</f>
        <v>83.4</v>
      </c>
      <c r="F359" s="191">
        <f>Tabela1[[#This Row],[Cor da pele]]</f>
        <v>2</v>
      </c>
      <c r="G359" s="192" t="str">
        <f>Tabela1[[#This Row],[ACTN3]]</f>
        <v>-</v>
      </c>
      <c r="H359" s="85" t="str">
        <f>Tabela1[[#This Row],[AGT]]</f>
        <v>-</v>
      </c>
      <c r="I359" s="85" t="str">
        <f>Tabela1[[#This Row],[ECA]]</f>
        <v>-</v>
      </c>
      <c r="J359" s="85" t="str">
        <f>Tabela1[[#This Row],[BDKRB2]]</f>
        <v>-</v>
      </c>
      <c r="K359" s="85" t="str">
        <f>Tabela1[[#This Row],[Score Força%]]</f>
        <v>-</v>
      </c>
      <c r="L359" s="193" t="str">
        <f>Tabela1[[#This Row],[Score Resistência %]]</f>
        <v>-</v>
      </c>
      <c r="M359" s="192">
        <f>Tabela1[[#This Row],[Pré CK (U/L)]]</f>
        <v>391</v>
      </c>
      <c r="N359" s="85">
        <f>Tabela1[[#This Row],[Pós CK (U/L)]]</f>
        <v>1701</v>
      </c>
      <c r="O359" s="85" t="str">
        <f>Tabela1[[#This Row],[Pré CK MB U/L]]</f>
        <v>-</v>
      </c>
      <c r="P359" s="85" t="str">
        <f>Tabela1[[#This Row],[Pós CK MB U/L]]</f>
        <v>-</v>
      </c>
      <c r="Q359" s="85">
        <f>Tabela1[[#This Row],[Pré Lactato (mmol/L)]]</f>
        <v>2.8</v>
      </c>
      <c r="R359" s="85">
        <f>Tabela1[[#This Row],[Pós Lactato (mmol/L)]]</f>
        <v>2.5</v>
      </c>
      <c r="S359" s="85">
        <f>Tabela1[[#This Row],[Pré LDH (U/L)]]</f>
        <v>184</v>
      </c>
      <c r="T359" s="85">
        <f>Tabela1[[#This Row],[Pós LDH (U/L)]]</f>
        <v>309</v>
      </c>
      <c r="U359" s="85">
        <f>Tabela1[[#This Row],[Pré AST (U/L)]]</f>
        <v>36</v>
      </c>
      <c r="V359" s="193">
        <f>Tabela1[[#This Row],[Pós AST (U/L)]]</f>
        <v>69</v>
      </c>
      <c r="W359" s="194">
        <f>Tabela1[[#This Row],[Pré Albumina (g/dL)]]</f>
        <v>4.9000000000000004</v>
      </c>
      <c r="X359" s="125">
        <f>Tabela1[[#This Row],[Pós Albumina (g/dL)]]</f>
        <v>3.9</v>
      </c>
      <c r="Y359" s="85">
        <f>Tabela1[[#This Row],[Pré TGP (g/dL)]]</f>
        <v>27</v>
      </c>
      <c r="Z359" s="85">
        <f>Tabela1[[#This Row],[Pós TGP (g/dL)]]</f>
        <v>49</v>
      </c>
      <c r="AA359" s="85">
        <f>Tabela1[[#This Row],[Pré GGT U/L]]</f>
        <v>28</v>
      </c>
      <c r="AB359" s="193">
        <f>Tabela1[[#This Row],[Pós GGT U/L]]</f>
        <v>22</v>
      </c>
      <c r="AC359" s="194">
        <f>Tabela1[[#This Row],[Pré Ac. Úrico (mg/dL)]]</f>
        <v>3.5</v>
      </c>
      <c r="AD359" s="125">
        <f>Tabela1[[#This Row],[Pós Ac. Úrico (mg/dL)2]]</f>
        <v>4.4000000000000004</v>
      </c>
      <c r="AE35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5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131.6259552440923</v>
      </c>
      <c r="AG359" s="85">
        <f>Tabela1[[#This Row],[Pré Ureia mg/dL]]</f>
        <v>33</v>
      </c>
      <c r="AH359" s="85">
        <f>Tabela1[[#This Row],[Pós Ureia mg/dL]]</f>
        <v>53</v>
      </c>
      <c r="AI359" s="125">
        <f>Tabela1[[#This Row],[Pré creatinina mg/dL]]</f>
        <v>0.8</v>
      </c>
      <c r="AJ359" s="125">
        <f>Tabela1[[#This Row],[Pós creatinina mg/dL]]</f>
        <v>0.65</v>
      </c>
      <c r="AK359" s="180">
        <f t="shared" si="20"/>
        <v>0</v>
      </c>
      <c r="AL359" s="125">
        <f>Tabela1[[#This Row],[Pré Fósforo mg/dL]]</f>
        <v>3.7</v>
      </c>
      <c r="AM359" s="125">
        <f>Tabela1[[#This Row],[Pós Fósforo mg/dL]]</f>
        <v>3.4</v>
      </c>
      <c r="AN359" s="125">
        <f>Tabela1[[#This Row],[Pré Proteína Total (g/dL)]]</f>
        <v>8.1999999999999993</v>
      </c>
      <c r="AO359" s="125">
        <f>Tabela1[[#This Row],[Pós Proteína Total (g/dL)]]</f>
        <v>6.3</v>
      </c>
      <c r="AP359" s="85">
        <f>Tabela1[[#This Row],[Pré FE (ug/dL)]]</f>
        <v>74</v>
      </c>
      <c r="AQ359" s="193">
        <f>Tabela1[[#This Row],[Pós FE (ug/dL)]]</f>
        <v>38</v>
      </c>
      <c r="AR359" s="194">
        <f>Tabela1[[#This Row],[Pré calcio mg/dL]]</f>
        <v>8.4</v>
      </c>
      <c r="AS359" s="125">
        <f>Tabela1[[#This Row],[Pós calcio mg/dL]]</f>
        <v>8.3000000000000007</v>
      </c>
      <c r="AT359" s="125">
        <f>Tabela1[[#This Row],[Pré Potássio mmol/L]]</f>
        <v>4.8</v>
      </c>
      <c r="AU359" s="125">
        <f>Tabela1[[#This Row],[Pós Potássio mmol/L]]</f>
        <v>4.2</v>
      </c>
      <c r="AV359" s="85">
        <f>Tabela1[[#This Row],[Glicose pré]]</f>
        <v>95</v>
      </c>
      <c r="AW359" s="85">
        <f>Tabela1[[#This Row],[Glicose pós]]</f>
        <v>105</v>
      </c>
      <c r="AX359" s="85">
        <f>Tabela1[[#This Row],[Pré Sódio mmol/L]]</f>
        <v>137</v>
      </c>
      <c r="AY359" s="85">
        <f>Tabela1[[#This Row],[Pós Sódio mmol/L]]</f>
        <v>136</v>
      </c>
      <c r="AZ359" s="125">
        <f>Tabela1[[#This Row],[Pré Magnésio mg/dL]]</f>
        <v>2.2000000000000002</v>
      </c>
      <c r="BA359" s="125">
        <f>Tabela1[[#This Row],[Pós Magnésio mg/dL]]</f>
        <v>2.1</v>
      </c>
      <c r="BB359" s="85">
        <f>Tabela1[[#This Row],[Pré Cloro mmol/L]]</f>
        <v>103</v>
      </c>
      <c r="BC359" s="85">
        <f>Tabela1[[#This Row],[Pós Cloro mmol/L]]</f>
        <v>105</v>
      </c>
      <c r="BD35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289.3174444444445</v>
      </c>
      <c r="BE35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290.31366666666662</v>
      </c>
      <c r="BF359" s="194">
        <f>Tabela1[[#This Row],[Pré RBC 10^6/mm³]]</f>
        <v>5.07</v>
      </c>
      <c r="BG359" s="125">
        <f>Tabela1[[#This Row],[Pós RBC 10^6/mm³]]</f>
        <v>4.0599999999999996</v>
      </c>
      <c r="BH359" s="125">
        <f>Tabela1[[#This Row],[Pré HGB g/dL]]</f>
        <v>15</v>
      </c>
      <c r="BI359" s="125">
        <f>Tabela1[[#This Row],[Pós HGB g/dL]]</f>
        <v>12.3</v>
      </c>
      <c r="BJ359" s="125">
        <f>Tabela1[[#This Row],[Pré HCT %]]</f>
        <v>46</v>
      </c>
      <c r="BK359" s="125">
        <f>Tabela1[[#This Row],[Pós HCT %]]</f>
        <v>37.200000000000003</v>
      </c>
      <c r="BL359" s="125">
        <f>Tabela1[[#This Row],[Pré MCV fL]]</f>
        <v>90.8</v>
      </c>
      <c r="BM359" s="125">
        <f>Tabela1[[#This Row],[Pós MCV fL]]</f>
        <v>91.8</v>
      </c>
      <c r="BN359" s="125">
        <f>Tabela1[[#This Row],[Pré MCH pg]]</f>
        <v>29.6</v>
      </c>
      <c r="BO359" s="125">
        <f>Tabela1[[#This Row],[Pós MCH pg]]</f>
        <v>30.4</v>
      </c>
      <c r="BP359" s="125">
        <f>Tabela1[[#This Row],[Pré MCHC g/dL]]</f>
        <v>32.6</v>
      </c>
      <c r="BQ359" s="125">
        <f>Tabela1[[#This Row],[Pós MCHC g/dL]]</f>
        <v>33.1</v>
      </c>
      <c r="BR359" s="85">
        <f>Tabela1[[#This Row],[Pré PLT 10³/mm³]]</f>
        <v>257</v>
      </c>
      <c r="BS359" s="85">
        <f>Tabela1[[#This Row],[Pós PLT 10³/mm³]]</f>
        <v>265</v>
      </c>
      <c r="BT359" s="125">
        <f>Tabela1[[#This Row],[Pré RDW %]]</f>
        <v>11.3</v>
      </c>
      <c r="BU359" s="125">
        <f>Tabela1[[#This Row],[Pós RDW %]]</f>
        <v>12.2</v>
      </c>
      <c r="BV359" s="179" t="str">
        <f>Tabela1[[#This Row],[Pré RET %]]</f>
        <v>-</v>
      </c>
      <c r="BW359" s="196" t="str">
        <f>Tabela1[[#This Row],[Pós RET %]]</f>
        <v>-</v>
      </c>
      <c r="BX359" s="197">
        <f>Tabela1[[#This Row],[Pré WBC 10³/mm³]]</f>
        <v>7.36</v>
      </c>
      <c r="BY359" s="179">
        <f>Tabela1[[#This Row],[Pós WBC 10³/mm³]]</f>
        <v>9.35</v>
      </c>
      <c r="BZ359" s="125">
        <f>Tabela1[[#This Row],[Pré NEUT %]]</f>
        <v>74.3</v>
      </c>
      <c r="CA359" s="125">
        <f>Tabela1[[#This Row],[Pós NEUT %]]</f>
        <v>83.2</v>
      </c>
      <c r="CB359" s="125">
        <f>Tabela1[[#This Row],[Pré LINF %]]</f>
        <v>15.5</v>
      </c>
      <c r="CC359" s="125">
        <f>Tabela1[[#This Row],[Pós LINF %]]</f>
        <v>8.1</v>
      </c>
      <c r="CD359" s="125">
        <f>Tabela1[[#This Row],[Pré MONO %]]</f>
        <v>8.8800000000000008</v>
      </c>
      <c r="CE359" s="125">
        <f>Tabela1[[#This Row],[Pós MONO %]]</f>
        <v>7.9</v>
      </c>
      <c r="CF359" s="125">
        <f>Tabela1[[#This Row],[Pré EOS %]]</f>
        <v>0.23100000000000001</v>
      </c>
      <c r="CG359" s="125">
        <f>Tabela1[[#This Row],[Pós EOS %]]</f>
        <v>0.6</v>
      </c>
      <c r="CH359" s="125">
        <f>Tabela1[[#This Row],[Pré BASO %]]</f>
        <v>1.05</v>
      </c>
      <c r="CI359" s="198">
        <f>Tabela1[[#This Row],[Pós BASO %]]</f>
        <v>0.2</v>
      </c>
      <c r="CJ359" s="199" t="str">
        <f t="shared" si="21"/>
        <v>NÃO</v>
      </c>
      <c r="CK359" s="200" t="str">
        <f t="shared" si="22"/>
        <v>SIM</v>
      </c>
      <c r="CL359" s="194">
        <f t="shared" si="23"/>
        <v>79.646280000000004</v>
      </c>
      <c r="CM359" s="125">
        <f>Tabela1[[#This Row],[MCT KG]]</f>
        <v>89.45</v>
      </c>
      <c r="CN359" s="85">
        <f>Tabela1[[#This Row],[ESTATURA]]</f>
        <v>179</v>
      </c>
      <c r="CO359" s="85" t="str">
        <f>Tabela1[[#This Row],[vo2max estimado]]</f>
        <v>49,25</v>
      </c>
      <c r="CP359" s="85">
        <f>Tabela1[[#This Row],[Handgrip     Dominante]]</f>
        <v>56</v>
      </c>
      <c r="CQ359" s="85">
        <f>Tabela1[[#This Row],[Handgrip Contrário]]</f>
        <v>54</v>
      </c>
      <c r="CR359" s="281" t="str">
        <f>Tabela1[[#This Row],[% gordura]]</f>
        <v>10,96</v>
      </c>
    </row>
    <row r="360" spans="1:96" ht="15.75" customHeight="1">
      <c r="A360" s="279">
        <f>Tabela1[[#This Row],[Ano]]</f>
        <v>2023</v>
      </c>
      <c r="B360" s="181" t="str">
        <f>Tabela1[[#This Row],[Missão]]</f>
        <v>CIASC</v>
      </c>
      <c r="C360" s="181">
        <f>Tabela1[[#This Row],[Aluno]]</f>
        <v>3306</v>
      </c>
      <c r="D360" s="181">
        <f>Tabela1[[#This Row],[Idade]]</f>
        <v>33</v>
      </c>
      <c r="E360" s="182">
        <f>Tabela1[[#This Row],[Peso Kg]]</f>
        <v>76.099999999999994</v>
      </c>
      <c r="F360" s="191">
        <f>Tabela1[[#This Row],[Cor da pele]]</f>
        <v>1</v>
      </c>
      <c r="G360" s="192" t="str">
        <f>Tabela1[[#This Row],[ACTN3]]</f>
        <v>RR</v>
      </c>
      <c r="H360" s="85" t="str">
        <f>Tabela1[[#This Row],[AGT]]</f>
        <v>MT</v>
      </c>
      <c r="I360" s="85" t="str">
        <f>Tabela1[[#This Row],[ECA]]</f>
        <v>ID</v>
      </c>
      <c r="J360" s="85">
        <f>Tabela1[[#This Row],[BDKRB2]]</f>
        <v>0</v>
      </c>
      <c r="K360" s="85">
        <f>Tabela1[[#This Row],[Score Força%]]</f>
        <v>62.5</v>
      </c>
      <c r="L360" s="193">
        <f>Tabela1[[#This Row],[Score Resistência %]]</f>
        <v>37.5</v>
      </c>
      <c r="M360" s="192">
        <f>Tabela1[[#This Row],[Pré CK (U/L)]]</f>
        <v>251</v>
      </c>
      <c r="N360" s="85">
        <f>Tabela1[[#This Row],[Pós CK (U/L)]]</f>
        <v>300</v>
      </c>
      <c r="O360" s="85" t="str">
        <f>Tabela1[[#This Row],[Pré CK MB U/L]]</f>
        <v>-</v>
      </c>
      <c r="P360" s="85" t="str">
        <f>Tabela1[[#This Row],[Pós CK MB U/L]]</f>
        <v>-</v>
      </c>
      <c r="Q360" s="85">
        <f>Tabela1[[#This Row],[Pré Lactato (mmol/L)]]</f>
        <v>1.9</v>
      </c>
      <c r="R360" s="85">
        <f>Tabela1[[#This Row],[Pós Lactato (mmol/L)]]</f>
        <v>3.7</v>
      </c>
      <c r="S360" s="85">
        <f>Tabela1[[#This Row],[Pré LDH (U/L)]]</f>
        <v>226</v>
      </c>
      <c r="T360" s="85">
        <f>Tabela1[[#This Row],[Pós LDH (U/L)]]</f>
        <v>216</v>
      </c>
      <c r="U360" s="85">
        <f>Tabela1[[#This Row],[Pré AST (U/L)]]</f>
        <v>49</v>
      </c>
      <c r="V360" s="193">
        <f>Tabela1[[#This Row],[Pós AST (U/L)]]</f>
        <v>44</v>
      </c>
      <c r="W360" s="194">
        <f>Tabela1[[#This Row],[Pré Albumina (g/dL)]]</f>
        <v>5.8</v>
      </c>
      <c r="X360" s="125">
        <f>Tabela1[[#This Row],[Pós Albumina (g/dL)]]</f>
        <v>5.8</v>
      </c>
      <c r="Y360" s="85">
        <f>Tabela1[[#This Row],[Pré TGP (g/dL)]]</f>
        <v>40</v>
      </c>
      <c r="Z360" s="85">
        <f>Tabela1[[#This Row],[Pós TGP (g/dL)]]</f>
        <v>39</v>
      </c>
      <c r="AA360" s="85">
        <f>Tabela1[[#This Row],[Pré GGT U/L]]</f>
        <v>18</v>
      </c>
      <c r="AB360" s="193">
        <f>Tabela1[[#This Row],[Pós GGT U/L]]</f>
        <v>17</v>
      </c>
      <c r="AC360" s="194">
        <f>Tabela1[[#This Row],[Pré Ac. Úrico (mg/dL)]]</f>
        <v>7.2</v>
      </c>
      <c r="AD360" s="125">
        <f>Tabela1[[#This Row],[Pós Ac. Úrico (mg/dL)2]]</f>
        <v>44964</v>
      </c>
      <c r="AE36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60" s="180" t="str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Dados Insuficientes</v>
      </c>
      <c r="AG360" s="85">
        <f>Tabela1[[#This Row],[Pré Ureia mg/dL]]</f>
        <v>42</v>
      </c>
      <c r="AH360" s="85">
        <f>Tabela1[[#This Row],[Pós Ureia mg/dL]]</f>
        <v>45</v>
      </c>
      <c r="AI360" s="125">
        <f>Tabela1[[#This Row],[Pré creatinina mg/dL]]</f>
        <v>0.8</v>
      </c>
      <c r="AJ360" s="125" t="str">
        <f>Tabela1[[#This Row],[Pós creatinina mg/dL]]</f>
        <v>-</v>
      </c>
      <c r="AK360" s="180" t="str">
        <f t="shared" si="20"/>
        <v>Dados Insuficientes</v>
      </c>
      <c r="AL360" s="125">
        <f>Tabela1[[#This Row],[Pré Fósforo mg/dL]]</f>
        <v>5.3</v>
      </c>
      <c r="AM360" s="125">
        <f>Tabela1[[#This Row],[Pós Fósforo mg/dL]]</f>
        <v>45021</v>
      </c>
      <c r="AN360" s="125">
        <f>Tabela1[[#This Row],[Pré Proteína Total (g/dL)]]</f>
        <v>7</v>
      </c>
      <c r="AO360" s="125">
        <f>Tabela1[[#This Row],[Pós Proteína Total (g/dL)]]</f>
        <v>10.4</v>
      </c>
      <c r="AP360" s="85">
        <f>Tabela1[[#This Row],[Pré FE (ug/dL)]]</f>
        <v>35</v>
      </c>
      <c r="AQ360" s="193">
        <f>Tabela1[[#This Row],[Pós FE (ug/dL)]]</f>
        <v>104</v>
      </c>
      <c r="AR360" s="194">
        <f>Tabela1[[#This Row],[Pré calcio mg/dL]]</f>
        <v>9.8000000000000007</v>
      </c>
      <c r="AS360" s="125">
        <f>Tabela1[[#This Row],[Pós calcio mg/dL]]</f>
        <v>11.8</v>
      </c>
      <c r="AT360" s="125">
        <f>Tabela1[[#This Row],[Pré Potássio mmol/L]]</f>
        <v>5.5</v>
      </c>
      <c r="AU360" s="125">
        <f>Tabela1[[#This Row],[Pós Potássio mmol/L]]</f>
        <v>5.6</v>
      </c>
      <c r="AV360" s="85">
        <f>Tabela1[[#This Row],[Glicose pré]]</f>
        <v>90</v>
      </c>
      <c r="AW360" s="85">
        <f>Tabela1[[#This Row],[Glicose pós]]</f>
        <v>96</v>
      </c>
      <c r="AX360" s="85">
        <f>Tabela1[[#This Row],[Pré Sódio mmol/L]]</f>
        <v>149</v>
      </c>
      <c r="AY360" s="85">
        <f>Tabela1[[#This Row],[Pós Sódio mmol/L]]</f>
        <v>172</v>
      </c>
      <c r="AZ360" s="125">
        <f>Tabela1[[#This Row],[Pré Magnésio mg/dL]]</f>
        <v>2.2000000000000002</v>
      </c>
      <c r="BA360" s="125">
        <f>Tabela1[[#This Row],[Pós Magnésio mg/dL]]</f>
        <v>2.2000000000000002</v>
      </c>
      <c r="BB360" s="85">
        <f>Tabela1[[#This Row],[Pré Cloro mmol/L]]</f>
        <v>109</v>
      </c>
      <c r="BC360" s="85">
        <f>Tabela1[[#This Row],[Pós Cloro mmol/L]]</f>
        <v>131</v>
      </c>
      <c r="BD36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314.12</v>
      </c>
      <c r="BE36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357.96933333333334</v>
      </c>
      <c r="BF360" s="194">
        <f>Tabela1[[#This Row],[Pré RBC 10^6/mm³]]</f>
        <v>5.32</v>
      </c>
      <c r="BG360" s="125">
        <f>Tabela1[[#This Row],[Pós RBC 10^6/mm³]]</f>
        <v>4.82</v>
      </c>
      <c r="BH360" s="125">
        <f>Tabela1[[#This Row],[Pré HGB g/dL]]</f>
        <v>15.2</v>
      </c>
      <c r="BI360" s="125">
        <f>Tabela1[[#This Row],[Pós HGB g/dL]]</f>
        <v>13.9</v>
      </c>
      <c r="BJ360" s="125">
        <f>Tabela1[[#This Row],[Pré HCT %]]</f>
        <v>47.3</v>
      </c>
      <c r="BK360" s="125">
        <f>Tabela1[[#This Row],[Pós HCT %]]</f>
        <v>42.5</v>
      </c>
      <c r="BL360" s="125">
        <f>Tabela1[[#This Row],[Pré MCV fL]]</f>
        <v>88.9</v>
      </c>
      <c r="BM360" s="125">
        <f>Tabela1[[#This Row],[Pós MCV fL]]</f>
        <v>88.3</v>
      </c>
      <c r="BN360" s="125">
        <f>Tabela1[[#This Row],[Pré MCH pg]]</f>
        <v>28.5</v>
      </c>
      <c r="BO360" s="125">
        <f>Tabela1[[#This Row],[Pós MCH pg]]</f>
        <v>28.9</v>
      </c>
      <c r="BP360" s="125">
        <f>Tabela1[[#This Row],[Pré MCHC g/dL]]</f>
        <v>32.1</v>
      </c>
      <c r="BQ360" s="125">
        <f>Tabela1[[#This Row],[Pós MCHC g/dL]]</f>
        <v>32.700000000000003</v>
      </c>
      <c r="BR360" s="85">
        <f>Tabela1[[#This Row],[Pré PLT 10³/mm³]]</f>
        <v>179</v>
      </c>
      <c r="BS360" s="85">
        <f>Tabela1[[#This Row],[Pós PLT 10³/mm³]]</f>
        <v>196</v>
      </c>
      <c r="BT360" s="125">
        <f>Tabela1[[#This Row],[Pré RDW %]]</f>
        <v>11.8</v>
      </c>
      <c r="BU360" s="125">
        <f>Tabela1[[#This Row],[Pós RDW %]]</f>
        <v>12.1</v>
      </c>
      <c r="BV360" s="179" t="str">
        <f>Tabela1[[#This Row],[Pré RET %]]</f>
        <v>-</v>
      </c>
      <c r="BW360" s="196" t="str">
        <f>Tabela1[[#This Row],[Pós RET %]]</f>
        <v>-</v>
      </c>
      <c r="BX360" s="197">
        <f>Tabela1[[#This Row],[Pré WBC 10³/mm³]]</f>
        <v>6.33</v>
      </c>
      <c r="BY360" s="179">
        <f>Tabela1[[#This Row],[Pós WBC 10³/mm³]]</f>
        <v>10.36</v>
      </c>
      <c r="BZ360" s="125">
        <f>Tabela1[[#This Row],[Pré NEUT %]]</f>
        <v>49.6</v>
      </c>
      <c r="CA360" s="125">
        <f>Tabela1[[#This Row],[Pós NEUT %]]</f>
        <v>56.6</v>
      </c>
      <c r="CB360" s="125">
        <f>Tabela1[[#This Row],[Pré LINF %]]</f>
        <v>35.5</v>
      </c>
      <c r="CC360" s="125">
        <f>Tabela1[[#This Row],[Pós LINF %]]</f>
        <v>35.799999999999997</v>
      </c>
      <c r="CD360" s="125">
        <f>Tabela1[[#This Row],[Pré MONO %]]</f>
        <v>11.7</v>
      </c>
      <c r="CE360" s="125">
        <f>Tabela1[[#This Row],[Pós MONO %]]</f>
        <v>5.6</v>
      </c>
      <c r="CF360" s="125">
        <f>Tabela1[[#This Row],[Pré EOS %]]</f>
        <v>1.43</v>
      </c>
      <c r="CG360" s="125">
        <f>Tabela1[[#This Row],[Pós EOS %]]</f>
        <v>2</v>
      </c>
      <c r="CH360" s="125">
        <f>Tabela1[[#This Row],[Pré BASO %]]</f>
        <v>1.8</v>
      </c>
      <c r="CI360" s="198">
        <f>Tabela1[[#This Row],[Pós BASO %]]</f>
        <v>0</v>
      </c>
      <c r="CJ360" s="199" t="str">
        <f t="shared" si="21"/>
        <v>Dados insuficientes</v>
      </c>
      <c r="CK360" s="200" t="str">
        <f t="shared" si="22"/>
        <v>NÃO</v>
      </c>
      <c r="CL360" s="194">
        <f t="shared" si="23"/>
        <v>63.732880000000009</v>
      </c>
      <c r="CM360" s="125">
        <f>Tabela1[[#This Row],[MCT KG]]</f>
        <v>76.400000000000006</v>
      </c>
      <c r="CN360" s="85">
        <f>Tabela1[[#This Row],[ESTATURA]]</f>
        <v>175.5</v>
      </c>
      <c r="CO360" s="85" t="str">
        <f>Tabela1[[#This Row],[vo2max estimado]]</f>
        <v>50,68</v>
      </c>
      <c r="CP360" s="85">
        <f>Tabela1[[#This Row],[Handgrip     Dominante]]</f>
        <v>53</v>
      </c>
      <c r="CQ360" s="85">
        <f>Tabela1[[#This Row],[Handgrip Contrário]]</f>
        <v>50</v>
      </c>
      <c r="CR360" s="281" t="str">
        <f>Tabela1[[#This Row],[% gordura]]</f>
        <v>16,58</v>
      </c>
    </row>
    <row r="361" spans="1:96" ht="15.75" customHeight="1">
      <c r="A361" s="279">
        <f>Tabela1[[#This Row],[Ano]]</f>
        <v>2023</v>
      </c>
      <c r="B361" s="181" t="str">
        <f>Tabela1[[#This Row],[Missão]]</f>
        <v>CIASC</v>
      </c>
      <c r="C361" s="181">
        <f>Tabela1[[#This Row],[Aluno]]</f>
        <v>3309</v>
      </c>
      <c r="D361" s="181">
        <f>Tabela1[[#This Row],[Idade]]</f>
        <v>30</v>
      </c>
      <c r="E361" s="182">
        <f>Tabela1[[#This Row],[Peso Kg]]</f>
        <v>91.5</v>
      </c>
      <c r="F361" s="191">
        <f>Tabela1[[#This Row],[Cor da pele]]</f>
        <v>2</v>
      </c>
      <c r="G361" s="192" t="str">
        <f>Tabela1[[#This Row],[ACTN3]]</f>
        <v>-</v>
      </c>
      <c r="H361" s="85" t="str">
        <f>Tabela1[[#This Row],[AGT]]</f>
        <v>-</v>
      </c>
      <c r="I361" s="85" t="str">
        <f>Tabela1[[#This Row],[ECA]]</f>
        <v>-</v>
      </c>
      <c r="J361" s="85" t="str">
        <f>Tabela1[[#This Row],[BDKRB2]]</f>
        <v>-</v>
      </c>
      <c r="K361" s="85" t="str">
        <f>Tabela1[[#This Row],[Score Força%]]</f>
        <v>-</v>
      </c>
      <c r="L361" s="193" t="str">
        <f>Tabela1[[#This Row],[Score Resistência %]]</f>
        <v>-</v>
      </c>
      <c r="M361" s="192">
        <f>Tabela1[[#This Row],[Pré CK (U/L)]]</f>
        <v>829</v>
      </c>
      <c r="N361" s="85">
        <f>Tabela1[[#This Row],[Pós CK (U/L)]]</f>
        <v>1558</v>
      </c>
      <c r="O361" s="85" t="str">
        <f>Tabela1[[#This Row],[Pré CK MB U/L]]</f>
        <v>-</v>
      </c>
      <c r="P361" s="85" t="str">
        <f>Tabela1[[#This Row],[Pós CK MB U/L]]</f>
        <v>-</v>
      </c>
      <c r="Q361" s="85">
        <f>Tabela1[[#This Row],[Pré Lactato (mmol/L)]]</f>
        <v>1.7</v>
      </c>
      <c r="R361" s="85">
        <f>Tabela1[[#This Row],[Pós Lactato (mmol/L)]]</f>
        <v>3.8</v>
      </c>
      <c r="S361" s="85">
        <f>Tabela1[[#This Row],[Pré LDH (U/L)]]</f>
        <v>278</v>
      </c>
      <c r="T361" s="85">
        <f>Tabela1[[#This Row],[Pós LDH (U/L)]]</f>
        <v>380</v>
      </c>
      <c r="U361" s="85">
        <f>Tabela1[[#This Row],[Pré AST (U/L)]]</f>
        <v>77</v>
      </c>
      <c r="V361" s="193">
        <f>Tabela1[[#This Row],[Pós AST (U/L)]]</f>
        <v>93</v>
      </c>
      <c r="W361" s="194">
        <f>Tabela1[[#This Row],[Pré Albumina (g/dL)]]</f>
        <v>5.7</v>
      </c>
      <c r="X361" s="125">
        <f>Tabela1[[#This Row],[Pós Albumina (g/dL)]]</f>
        <v>5.2</v>
      </c>
      <c r="Y361" s="85">
        <f>Tabela1[[#This Row],[Pré TGP (g/dL)]]</f>
        <v>60</v>
      </c>
      <c r="Z361" s="85">
        <f>Tabela1[[#This Row],[Pós TGP (g/dL)]]</f>
        <v>74</v>
      </c>
      <c r="AA361" s="85">
        <f>Tabela1[[#This Row],[Pré GGT U/L]]</f>
        <v>33</v>
      </c>
      <c r="AB361" s="193">
        <f>Tabela1[[#This Row],[Pós GGT U/L]]</f>
        <v>29</v>
      </c>
      <c r="AC361" s="194">
        <f>Tabela1[[#This Row],[Pré Ac. Úrico (mg/dL)]]</f>
        <v>7.2</v>
      </c>
      <c r="AD361" s="125">
        <f>Tabela1[[#This Row],[Pós Ac. Úrico (mg/dL)2]]</f>
        <v>6.7</v>
      </c>
      <c r="AE36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61" s="180" t="str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Dados Insuficientes</v>
      </c>
      <c r="AG361" s="85">
        <f>Tabela1[[#This Row],[Pré Ureia mg/dL]]</f>
        <v>45</v>
      </c>
      <c r="AH361" s="85">
        <f>Tabela1[[#This Row],[Pós Ureia mg/dL]]</f>
        <v>49</v>
      </c>
      <c r="AI361" s="125">
        <f>Tabela1[[#This Row],[Pré creatinina mg/dL]]</f>
        <v>0.8</v>
      </c>
      <c r="AJ361" s="125" t="str">
        <f>Tabela1[[#This Row],[Pós creatinina mg/dL]]</f>
        <v>-</v>
      </c>
      <c r="AK361" s="180" t="str">
        <f t="shared" si="20"/>
        <v>Dados Insuficientes</v>
      </c>
      <c r="AL361" s="125">
        <f>Tabela1[[#This Row],[Pré Fósforo mg/dL]]</f>
        <v>5</v>
      </c>
      <c r="AM361" s="125">
        <f>Tabela1[[#This Row],[Pós Fósforo mg/dL]]</f>
        <v>4.5</v>
      </c>
      <c r="AN361" s="125">
        <f>Tabela1[[#This Row],[Pré Proteína Total (g/dL)]]</f>
        <v>10.7</v>
      </c>
      <c r="AO361" s="125">
        <f>Tabela1[[#This Row],[Pós Proteína Total (g/dL)]]</f>
        <v>8.4</v>
      </c>
      <c r="AP361" s="85">
        <f>Tabela1[[#This Row],[Pré FE (ug/dL)]]</f>
        <v>67</v>
      </c>
      <c r="AQ361" s="193">
        <f>Tabela1[[#This Row],[Pós FE (ug/dL)]]</f>
        <v>87</v>
      </c>
      <c r="AR361" s="194">
        <f>Tabela1[[#This Row],[Pré calcio mg/dL]]</f>
        <v>9.6999999999999993</v>
      </c>
      <c r="AS361" s="125">
        <f>Tabela1[[#This Row],[Pós calcio mg/dL]]</f>
        <v>9.6</v>
      </c>
      <c r="AT361" s="125">
        <f>Tabela1[[#This Row],[Pré Potássio mmol/L]]</f>
        <v>5.9</v>
      </c>
      <c r="AU361" s="125">
        <f>Tabela1[[#This Row],[Pós Potássio mmol/L]]</f>
        <v>4.7</v>
      </c>
      <c r="AV361" s="85">
        <f>Tabela1[[#This Row],[Glicose pré]]</f>
        <v>110</v>
      </c>
      <c r="AW361" s="85">
        <f>Tabela1[[#This Row],[Glicose pós]]</f>
        <v>103</v>
      </c>
      <c r="AX361" s="85">
        <f>Tabela1[[#This Row],[Pré Sódio mmol/L]]</f>
        <v>152</v>
      </c>
      <c r="AY361" s="85">
        <f>Tabela1[[#This Row],[Pós Sódio mmol/L]]</f>
        <v>141</v>
      </c>
      <c r="AZ361" s="125">
        <f>Tabela1[[#This Row],[Pré Magnésio mg/dL]]</f>
        <v>2.2999999999999998</v>
      </c>
      <c r="BA361" s="125">
        <f>Tabela1[[#This Row],[Pós Magnésio mg/dL]]</f>
        <v>2.2000000000000002</v>
      </c>
      <c r="BB361" s="85">
        <f>Tabela1[[#This Row],[Pré Cloro mmol/L]]</f>
        <v>111</v>
      </c>
      <c r="BC361" s="85">
        <f>Tabela1[[#This Row],[Pós Cloro mmol/L]]</f>
        <v>106</v>
      </c>
      <c r="BD36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322.22177777777779</v>
      </c>
      <c r="BE36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299.74922222222227</v>
      </c>
      <c r="BF361" s="194">
        <f>Tabela1[[#This Row],[Pré RBC 10^6/mm³]]</f>
        <v>5.2</v>
      </c>
      <c r="BG361" s="125">
        <f>Tabela1[[#This Row],[Pós RBC 10^6/mm³]]</f>
        <v>4.58</v>
      </c>
      <c r="BH361" s="125">
        <f>Tabela1[[#This Row],[Pré HGB g/dL]]</f>
        <v>15.2</v>
      </c>
      <c r="BI361" s="125">
        <f>Tabela1[[#This Row],[Pós HGB g/dL]]</f>
        <v>13.5</v>
      </c>
      <c r="BJ361" s="125">
        <f>Tabela1[[#This Row],[Pré HCT %]]</f>
        <v>46.9</v>
      </c>
      <c r="BK361" s="125">
        <f>Tabela1[[#This Row],[Pós HCT %]]</f>
        <v>41.5</v>
      </c>
      <c r="BL361" s="125">
        <f>Tabela1[[#This Row],[Pré MCV fL]]</f>
        <v>90.3</v>
      </c>
      <c r="BM361" s="125">
        <f>Tabela1[[#This Row],[Pós MCV fL]]</f>
        <v>90.8</v>
      </c>
      <c r="BN361" s="125">
        <f>Tabela1[[#This Row],[Pré MCH pg]]</f>
        <v>29.2</v>
      </c>
      <c r="BO361" s="125">
        <f>Tabela1[[#This Row],[Pós MCH pg]]</f>
        <v>29.5</v>
      </c>
      <c r="BP361" s="125">
        <f>Tabela1[[#This Row],[Pré MCHC g/dL]]</f>
        <v>32.299999999999997</v>
      </c>
      <c r="BQ361" s="125">
        <f>Tabela1[[#This Row],[Pós MCHC g/dL]]</f>
        <v>32.5</v>
      </c>
      <c r="BR361" s="85">
        <f>Tabela1[[#This Row],[Pré PLT 10³/mm³]]</f>
        <v>307</v>
      </c>
      <c r="BS361" s="85">
        <f>Tabela1[[#This Row],[Pós PLT 10³/mm³]]</f>
        <v>371</v>
      </c>
      <c r="BT361" s="125">
        <f>Tabela1[[#This Row],[Pré RDW %]]</f>
        <v>12.5</v>
      </c>
      <c r="BU361" s="125">
        <f>Tabela1[[#This Row],[Pós RDW %]]</f>
        <v>13.1</v>
      </c>
      <c r="BV361" s="179" t="str">
        <f>Tabela1[[#This Row],[Pré RET %]]</f>
        <v>-</v>
      </c>
      <c r="BW361" s="196" t="str">
        <f>Tabela1[[#This Row],[Pós RET %]]</f>
        <v>-</v>
      </c>
      <c r="BX361" s="197">
        <f>Tabela1[[#This Row],[Pré WBC 10³/mm³]]</f>
        <v>6.36</v>
      </c>
      <c r="BY361" s="179">
        <f>Tabela1[[#This Row],[Pós WBC 10³/mm³]]</f>
        <v>12.54</v>
      </c>
      <c r="BZ361" s="125">
        <f>Tabela1[[#This Row],[Pré NEUT %]]</f>
        <v>62</v>
      </c>
      <c r="CA361" s="125">
        <f>Tabela1[[#This Row],[Pós NEUT %]]</f>
        <v>82.7</v>
      </c>
      <c r="CB361" s="125">
        <f>Tabela1[[#This Row],[Pré LINF %]]</f>
        <v>30.9</v>
      </c>
      <c r="CC361" s="125">
        <f>Tabela1[[#This Row],[Pós LINF %]]</f>
        <v>13.6</v>
      </c>
      <c r="CD361" s="125">
        <f>Tabela1[[#This Row],[Pré MONO %]]</f>
        <v>3.89</v>
      </c>
      <c r="CE361" s="125">
        <f>Tabela1[[#This Row],[Pós MONO %]]</f>
        <v>3.1</v>
      </c>
      <c r="CF361" s="125">
        <f>Tabela1[[#This Row],[Pré EOS %]]</f>
        <v>2.0299999999999998</v>
      </c>
      <c r="CG361" s="125">
        <f>Tabela1[[#This Row],[Pós EOS %]]</f>
        <v>0.3</v>
      </c>
      <c r="CH361" s="125">
        <f>Tabela1[[#This Row],[Pré BASO %]]</f>
        <v>1.1599999999999999</v>
      </c>
      <c r="CI361" s="198">
        <f>Tabela1[[#This Row],[Pós BASO %]]</f>
        <v>0.3</v>
      </c>
      <c r="CJ361" s="199" t="str">
        <f t="shared" si="21"/>
        <v>Dados insuficientes</v>
      </c>
      <c r="CK361" s="200" t="str">
        <f t="shared" si="22"/>
        <v>SIM</v>
      </c>
      <c r="CL361" s="194">
        <f t="shared" si="23"/>
        <v>76.103560000000002</v>
      </c>
      <c r="CM361" s="125">
        <f>Tabela1[[#This Row],[MCT KG]]</f>
        <v>88.4</v>
      </c>
      <c r="CN361" s="85">
        <f>Tabela1[[#This Row],[ESTATURA]]</f>
        <v>183</v>
      </c>
      <c r="CO361" s="85" t="str">
        <f>Tabela1[[#This Row],[vo2max estimado]]</f>
        <v>49,52</v>
      </c>
      <c r="CP361" s="85" t="str">
        <f>Tabela1[[#This Row],[Handgrip     Dominante]]</f>
        <v>-</v>
      </c>
      <c r="CQ361" s="85" t="str">
        <f>Tabela1[[#This Row],[Handgrip Contrário]]</f>
        <v>-</v>
      </c>
      <c r="CR361" s="281" t="str">
        <f>Tabela1[[#This Row],[% gordura]]</f>
        <v>13,91</v>
      </c>
    </row>
    <row r="362" spans="1:96" ht="15.75" customHeight="1">
      <c r="A362" s="279">
        <f>Tabela1[[#This Row],[Ano]]</f>
        <v>2023</v>
      </c>
      <c r="B362" s="181" t="str">
        <f>Tabela1[[#This Row],[Missão]]</f>
        <v>CIASC</v>
      </c>
      <c r="C362" s="181">
        <f>Tabela1[[#This Row],[Aluno]]</f>
        <v>3311</v>
      </c>
      <c r="D362" s="181">
        <f>Tabela1[[#This Row],[Idade]]</f>
        <v>35</v>
      </c>
      <c r="E362" s="182">
        <f>Tabela1[[#This Row],[Peso Kg]]</f>
        <v>77.099999999999994</v>
      </c>
      <c r="F362" s="191">
        <f>Tabela1[[#This Row],[Cor da pele]]</f>
        <v>2</v>
      </c>
      <c r="G362" s="192" t="str">
        <f>Tabela1[[#This Row],[ACTN3]]</f>
        <v>-</v>
      </c>
      <c r="H362" s="85" t="str">
        <f>Tabela1[[#This Row],[AGT]]</f>
        <v>-</v>
      </c>
      <c r="I362" s="85" t="str">
        <f>Tabela1[[#This Row],[ECA]]</f>
        <v>-</v>
      </c>
      <c r="J362" s="85" t="str">
        <f>Tabela1[[#This Row],[BDKRB2]]</f>
        <v>-</v>
      </c>
      <c r="K362" s="85" t="str">
        <f>Tabela1[[#This Row],[Score Força%]]</f>
        <v>-</v>
      </c>
      <c r="L362" s="193" t="str">
        <f>Tabela1[[#This Row],[Score Resistência %]]</f>
        <v>-</v>
      </c>
      <c r="M362" s="192">
        <f>Tabela1[[#This Row],[Pré CK (U/L)]]</f>
        <v>751</v>
      </c>
      <c r="N362" s="85">
        <f>Tabela1[[#This Row],[Pós CK (U/L)]]</f>
        <v>7349</v>
      </c>
      <c r="O362" s="85" t="str">
        <f>Tabela1[[#This Row],[Pré CK MB U/L]]</f>
        <v>-</v>
      </c>
      <c r="P362" s="85" t="str">
        <f>Tabela1[[#This Row],[Pós CK MB U/L]]</f>
        <v>-</v>
      </c>
      <c r="Q362" s="85">
        <f>Tabela1[[#This Row],[Pré Lactato (mmol/L)]]</f>
        <v>3</v>
      </c>
      <c r="R362" s="85">
        <f>Tabela1[[#This Row],[Pós Lactato (mmol/L)]]</f>
        <v>3.5</v>
      </c>
      <c r="S362" s="85">
        <f>Tabela1[[#This Row],[Pré LDH (U/L)]]</f>
        <v>336</v>
      </c>
      <c r="T362" s="85">
        <f>Tabela1[[#This Row],[Pós LDH (U/L)]]</f>
        <v>779</v>
      </c>
      <c r="U362" s="85">
        <f>Tabela1[[#This Row],[Pré AST (U/L)]]</f>
        <v>64</v>
      </c>
      <c r="V362" s="193">
        <f>Tabela1[[#This Row],[Pós AST (U/L)]]</f>
        <v>299</v>
      </c>
      <c r="W362" s="194">
        <f>Tabela1[[#This Row],[Pré Albumina (g/dL)]]</f>
        <v>5.8</v>
      </c>
      <c r="X362" s="125">
        <f>Tabela1[[#This Row],[Pós Albumina (g/dL)]]</f>
        <v>4.5999999999999996</v>
      </c>
      <c r="Y362" s="85">
        <f>Tabela1[[#This Row],[Pré TGP (g/dL)]]</f>
        <v>80</v>
      </c>
      <c r="Z362" s="85">
        <f>Tabela1[[#This Row],[Pós TGP (g/dL)]]</f>
        <v>277</v>
      </c>
      <c r="AA362" s="85">
        <f>Tabela1[[#This Row],[Pré GGT U/L]]</f>
        <v>38</v>
      </c>
      <c r="AB362" s="193">
        <f>Tabela1[[#This Row],[Pós GGT U/L]]</f>
        <v>31</v>
      </c>
      <c r="AC362" s="194">
        <f>Tabela1[[#This Row],[Pré Ac. Úrico (mg/dL)]]</f>
        <v>6.2</v>
      </c>
      <c r="AD362" s="125">
        <f>Tabela1[[#This Row],[Pós Ac. Úrico (mg/dL)2]]</f>
        <v>5.2</v>
      </c>
      <c r="AE36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36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53.350186480682147</v>
      </c>
      <c r="AG362" s="85">
        <f>Tabela1[[#This Row],[Pré Ureia mg/dL]]</f>
        <v>37</v>
      </c>
      <c r="AH362" s="85">
        <f>Tabela1[[#This Row],[Pós Ureia mg/dL]]</f>
        <v>42</v>
      </c>
      <c r="AI362" s="125">
        <f>Tabela1[[#This Row],[Pré creatinina mg/dL]]</f>
        <v>1</v>
      </c>
      <c r="AJ362" s="125">
        <f>Tabela1[[#This Row],[Pós creatinina mg/dL]]</f>
        <v>1.76</v>
      </c>
      <c r="AK362" s="180">
        <f t="shared" si="20"/>
        <v>0.76</v>
      </c>
      <c r="AL362" s="125">
        <f>Tabela1[[#This Row],[Pré Fósforo mg/dL]]</f>
        <v>3.6</v>
      </c>
      <c r="AM362" s="125">
        <f>Tabela1[[#This Row],[Pós Fósforo mg/dL]]</f>
        <v>4.0999999999999996</v>
      </c>
      <c r="AN362" s="125">
        <f>Tabela1[[#This Row],[Pré Proteína Total (g/dL)]]</f>
        <v>10</v>
      </c>
      <c r="AO362" s="125">
        <f>Tabela1[[#This Row],[Pós Proteína Total (g/dL)]]</f>
        <v>6.9</v>
      </c>
      <c r="AP362" s="85">
        <f>Tabela1[[#This Row],[Pré FE (ug/dL)]]</f>
        <v>47</v>
      </c>
      <c r="AQ362" s="193">
        <f>Tabela1[[#This Row],[Pós FE (ug/dL)]]</f>
        <v>67</v>
      </c>
      <c r="AR362" s="194">
        <f>Tabela1[[#This Row],[Pré calcio mg/dL]]</f>
        <v>10.199999999999999</v>
      </c>
      <c r="AS362" s="125">
        <f>Tabela1[[#This Row],[Pós calcio mg/dL]]</f>
        <v>9.3000000000000007</v>
      </c>
      <c r="AT362" s="125">
        <f>Tabela1[[#This Row],[Pré Potássio mmol/L]]</f>
        <v>5.0999999999999996</v>
      </c>
      <c r="AU362" s="125">
        <f>Tabela1[[#This Row],[Pós Potássio mmol/L]]</f>
        <v>4.2</v>
      </c>
      <c r="AV362" s="85">
        <f>Tabela1[[#This Row],[Glicose pré]]</f>
        <v>107</v>
      </c>
      <c r="AW362" s="85">
        <f>Tabela1[[#This Row],[Glicose pós]]</f>
        <v>92</v>
      </c>
      <c r="AX362" s="85">
        <f>Tabela1[[#This Row],[Pré Sódio mmol/L]]</f>
        <v>155</v>
      </c>
      <c r="AY362" s="85">
        <f>Tabela1[[#This Row],[Pós Sódio mmol/L]]</f>
        <v>139</v>
      </c>
      <c r="AZ362" s="125">
        <f>Tabela1[[#This Row],[Pré Magnésio mg/dL]]</f>
        <v>2.5</v>
      </c>
      <c r="BA362" s="125">
        <f>Tabela1[[#This Row],[Pós Magnésio mg/dL]]</f>
        <v>2.2999999999999998</v>
      </c>
      <c r="BB362" s="85">
        <f>Tabela1[[#This Row],[Pré Cloro mmol/L]]</f>
        <v>116</v>
      </c>
      <c r="BC362" s="85">
        <f>Tabela1[[#This Row],[Pós Cloro mmol/L]]</f>
        <v>103</v>
      </c>
      <c r="BD36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324.7887777777778</v>
      </c>
      <c r="BE36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293.22977777777777</v>
      </c>
      <c r="BF362" s="194">
        <f>Tabela1[[#This Row],[Pré RBC 10^6/mm³]]</f>
        <v>5.25</v>
      </c>
      <c r="BG362" s="125">
        <f>Tabela1[[#This Row],[Pós RBC 10^6/mm³]]</f>
        <v>4.8</v>
      </c>
      <c r="BH362" s="125">
        <f>Tabela1[[#This Row],[Pré HGB g/dL]]</f>
        <v>15.9</v>
      </c>
      <c r="BI362" s="125">
        <f>Tabela1[[#This Row],[Pós HGB g/dL]]</f>
        <v>14.5</v>
      </c>
      <c r="BJ362" s="125">
        <f>Tabela1[[#This Row],[Pré HCT %]]</f>
        <v>47.6</v>
      </c>
      <c r="BK362" s="125">
        <f>Tabela1[[#This Row],[Pós HCT %]]</f>
        <v>44.5</v>
      </c>
      <c r="BL362" s="125">
        <f>Tabela1[[#This Row],[Pré MCV fL]]</f>
        <v>90.6</v>
      </c>
      <c r="BM362" s="125">
        <f>Tabela1[[#This Row],[Pós MCV fL]]</f>
        <v>92.7</v>
      </c>
      <c r="BN362" s="125">
        <f>Tabela1[[#This Row],[Pré MCH pg]]</f>
        <v>30.2</v>
      </c>
      <c r="BO362" s="125">
        <f>Tabela1[[#This Row],[Pós MCH pg]]</f>
        <v>30.2</v>
      </c>
      <c r="BP362" s="125">
        <f>Tabela1[[#This Row],[Pré MCHC g/dL]]</f>
        <v>33.299999999999997</v>
      </c>
      <c r="BQ362" s="125">
        <f>Tabela1[[#This Row],[Pós MCHC g/dL]]</f>
        <v>32.6</v>
      </c>
      <c r="BR362" s="85">
        <f>Tabela1[[#This Row],[Pré PLT 10³/mm³]]</f>
        <v>190</v>
      </c>
      <c r="BS362" s="85">
        <f>Tabela1[[#This Row],[Pós PLT 10³/mm³]]</f>
        <v>212</v>
      </c>
      <c r="BT362" s="125">
        <f>Tabela1[[#This Row],[Pré RDW %]]</f>
        <v>12.1</v>
      </c>
      <c r="BU362" s="125">
        <f>Tabela1[[#This Row],[Pós RDW %]]</f>
        <v>13.2</v>
      </c>
      <c r="BV362" s="179" t="str">
        <f>Tabela1[[#This Row],[Pré RET %]]</f>
        <v>-</v>
      </c>
      <c r="BW362" s="196" t="str">
        <f>Tabela1[[#This Row],[Pós RET %]]</f>
        <v>-</v>
      </c>
      <c r="BX362" s="197">
        <f>Tabela1[[#This Row],[Pré WBC 10³/mm³]]</f>
        <v>5.6</v>
      </c>
      <c r="BY362" s="179">
        <f>Tabela1[[#This Row],[Pós WBC 10³/mm³]]</f>
        <v>8.77</v>
      </c>
      <c r="BZ362" s="125">
        <f>Tabela1[[#This Row],[Pré NEUT %]]</f>
        <v>68.900000000000006</v>
      </c>
      <c r="CA362" s="125">
        <f>Tabela1[[#This Row],[Pós NEUT %]]</f>
        <v>70.599999999999994</v>
      </c>
      <c r="CB362" s="125">
        <f>Tabela1[[#This Row],[Pré LINF %]]</f>
        <v>22.2</v>
      </c>
      <c r="CC362" s="125">
        <f>Tabela1[[#This Row],[Pós LINF %]]</f>
        <v>18.600000000000001</v>
      </c>
      <c r="CD362" s="125">
        <f>Tabela1[[#This Row],[Pré MONO %]]</f>
        <v>7.41</v>
      </c>
      <c r="CE362" s="125">
        <f>Tabela1[[#This Row],[Pós MONO %]]</f>
        <v>8.6999999999999993</v>
      </c>
      <c r="CF362" s="125">
        <f>Tabela1[[#This Row],[Pré EOS %]]</f>
        <v>0.318</v>
      </c>
      <c r="CG362" s="125">
        <f>Tabela1[[#This Row],[Pós EOS %]]</f>
        <v>2</v>
      </c>
      <c r="CH362" s="125">
        <f>Tabela1[[#This Row],[Pré BASO %]]</f>
        <v>1.1499999999999999</v>
      </c>
      <c r="CI362" s="198">
        <f>Tabela1[[#This Row],[Pós BASO %]]</f>
        <v>0.1</v>
      </c>
      <c r="CJ362" s="199" t="str">
        <f t="shared" si="21"/>
        <v>SIM</v>
      </c>
      <c r="CK362" s="200" t="str">
        <f t="shared" si="22"/>
        <v>SIM</v>
      </c>
      <c r="CL362" s="194">
        <f t="shared" si="23"/>
        <v>64.97972</v>
      </c>
      <c r="CM362" s="125">
        <f>Tabela1[[#This Row],[MCT KG]]</f>
        <v>80.599999999999994</v>
      </c>
      <c r="CN362" s="85">
        <f>Tabela1[[#This Row],[ESTATURA]]</f>
        <v>173</v>
      </c>
      <c r="CO362" s="85" t="str">
        <f>Tabela1[[#This Row],[vo2max estimado]]</f>
        <v>52,06</v>
      </c>
      <c r="CP362" s="85">
        <f>Tabela1[[#This Row],[Handgrip     Dominante]]</f>
        <v>60</v>
      </c>
      <c r="CQ362" s="85">
        <f>Tabela1[[#This Row],[Handgrip Contrário]]</f>
        <v>62</v>
      </c>
      <c r="CR362" s="281" t="str">
        <f>Tabela1[[#This Row],[% gordura]]</f>
        <v>19,38</v>
      </c>
    </row>
    <row r="363" spans="1:96" ht="15.75" customHeight="1">
      <c r="A363" s="279">
        <f>Tabela1[[#This Row],[Ano]]</f>
        <v>2023</v>
      </c>
      <c r="B363" s="181" t="str">
        <f>Tabela1[[#This Row],[Missão]]</f>
        <v>CIASC</v>
      </c>
      <c r="C363" s="181">
        <f>Tabela1[[#This Row],[Aluno]]</f>
        <v>3317</v>
      </c>
      <c r="D363" s="181">
        <f>Tabela1[[#This Row],[Idade]]</f>
        <v>34</v>
      </c>
      <c r="E363" s="182">
        <f>Tabela1[[#This Row],[Peso Kg]]</f>
        <v>79.7</v>
      </c>
      <c r="F363" s="191">
        <f>Tabela1[[#This Row],[Cor da pele]]</f>
        <v>2</v>
      </c>
      <c r="G363" s="192" t="str">
        <f>Tabela1[[#This Row],[ACTN3]]</f>
        <v>-</v>
      </c>
      <c r="H363" s="85" t="str">
        <f>Tabela1[[#This Row],[AGT]]</f>
        <v>-</v>
      </c>
      <c r="I363" s="85" t="str">
        <f>Tabela1[[#This Row],[ECA]]</f>
        <v>-</v>
      </c>
      <c r="J363" s="85" t="str">
        <f>Tabela1[[#This Row],[BDKRB2]]</f>
        <v>-</v>
      </c>
      <c r="K363" s="85" t="str">
        <f>Tabela1[[#This Row],[Score Força%]]</f>
        <v>-</v>
      </c>
      <c r="L363" s="193" t="str">
        <f>Tabela1[[#This Row],[Score Resistência %]]</f>
        <v>-</v>
      </c>
      <c r="M363" s="192">
        <f>Tabela1[[#This Row],[Pré CK (U/L)]]</f>
        <v>967</v>
      </c>
      <c r="N363" s="85">
        <f>Tabela1[[#This Row],[Pós CK (U/L)]]</f>
        <v>1876</v>
      </c>
      <c r="O363" s="85" t="str">
        <f>Tabela1[[#This Row],[Pré CK MB U/L]]</f>
        <v>-</v>
      </c>
      <c r="P363" s="85" t="str">
        <f>Tabela1[[#This Row],[Pós CK MB U/L]]</f>
        <v>-</v>
      </c>
      <c r="Q363" s="85">
        <f>Tabela1[[#This Row],[Pré Lactato (mmol/L)]]</f>
        <v>3.9</v>
      </c>
      <c r="R363" s="85">
        <f>Tabela1[[#This Row],[Pós Lactato (mmol/L)]]</f>
        <v>3.5</v>
      </c>
      <c r="S363" s="85">
        <f>Tabela1[[#This Row],[Pré LDH (U/L)]]</f>
        <v>253</v>
      </c>
      <c r="T363" s="85">
        <f>Tabela1[[#This Row],[Pós LDH (U/L)]]</f>
        <v>447</v>
      </c>
      <c r="U363" s="85">
        <f>Tabela1[[#This Row],[Pré AST (U/L)]]</f>
        <v>57</v>
      </c>
      <c r="V363" s="193">
        <f>Tabela1[[#This Row],[Pós AST (U/L)]]</f>
        <v>83</v>
      </c>
      <c r="W363" s="194">
        <f>Tabela1[[#This Row],[Pré Albumina (g/dL)]]</f>
        <v>4.9000000000000004</v>
      </c>
      <c r="X363" s="125">
        <f>Tabela1[[#This Row],[Pós Albumina (g/dL)]]</f>
        <v>4.7</v>
      </c>
      <c r="Y363" s="85">
        <f>Tabela1[[#This Row],[Pré TGP (g/dL)]]</f>
        <v>37</v>
      </c>
      <c r="Z363" s="85">
        <f>Tabela1[[#This Row],[Pós TGP (g/dL)]]</f>
        <v>68</v>
      </c>
      <c r="AA363" s="85">
        <f>Tabela1[[#This Row],[Pré GGT U/L]]</f>
        <v>23</v>
      </c>
      <c r="AB363" s="193">
        <f>Tabela1[[#This Row],[Pós GGT U/L]]</f>
        <v>22</v>
      </c>
      <c r="AC363" s="194">
        <f>Tabela1[[#This Row],[Pré Ac. Úrico (mg/dL)]]</f>
        <v>5.6</v>
      </c>
      <c r="AD363" s="125">
        <f>Tabela1[[#This Row],[Pós Ac. Úrico (mg/dL)2]]</f>
        <v>5.5</v>
      </c>
      <c r="AE36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142.47951508875624</v>
      </c>
      <c r="AF363" s="180" t="str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Dados Insuficientes</v>
      </c>
      <c r="AG363" s="85">
        <f>Tabela1[[#This Row],[Pré Ureia mg/dL]]</f>
        <v>34</v>
      </c>
      <c r="AH363" s="85">
        <f>Tabela1[[#This Row],[Pós Ureia mg/dL]]</f>
        <v>32</v>
      </c>
      <c r="AI363" s="125">
        <f>Tabela1[[#This Row],[Pré creatinina mg/dL]]</f>
        <v>0.5</v>
      </c>
      <c r="AJ363" s="125" t="str">
        <f>Tabela1[[#This Row],[Pós creatinina mg/dL]]</f>
        <v>-</v>
      </c>
      <c r="AK363" s="180" t="str">
        <f t="shared" si="20"/>
        <v>Dados Insuficientes</v>
      </c>
      <c r="AL363" s="125">
        <f>Tabela1[[#This Row],[Pré Fósforo mg/dL]]</f>
        <v>3.5</v>
      </c>
      <c r="AM363" s="125">
        <f>Tabela1[[#This Row],[Pós Fósforo mg/dL]]</f>
        <v>3.4</v>
      </c>
      <c r="AN363" s="125">
        <f>Tabela1[[#This Row],[Pré Proteína Total (g/dL)]]</f>
        <v>7.8</v>
      </c>
      <c r="AO363" s="125">
        <f>Tabela1[[#This Row],[Pós Proteína Total (g/dL)]]</f>
        <v>7</v>
      </c>
      <c r="AP363" s="85">
        <f>Tabela1[[#This Row],[Pré FE (ug/dL)]]</f>
        <v>46</v>
      </c>
      <c r="AQ363" s="193">
        <f>Tabela1[[#This Row],[Pós FE (ug/dL)]]</f>
        <v>25</v>
      </c>
      <c r="AR363" s="194">
        <f>Tabela1[[#This Row],[Pré calcio mg/dL]]</f>
        <v>8.9</v>
      </c>
      <c r="AS363" s="125">
        <f>Tabela1[[#This Row],[Pós calcio mg/dL]]</f>
        <v>8.8000000000000007</v>
      </c>
      <c r="AT363" s="125">
        <f>Tabela1[[#This Row],[Pré Potássio mmol/L]]</f>
        <v>5.2</v>
      </c>
      <c r="AU363" s="125">
        <f>Tabela1[[#This Row],[Pós Potássio mmol/L]]</f>
        <v>4.3</v>
      </c>
      <c r="AV363" s="85">
        <f>Tabela1[[#This Row],[Glicose pré]]</f>
        <v>99</v>
      </c>
      <c r="AW363" s="85">
        <f>Tabela1[[#This Row],[Glicose pós]]</f>
        <v>133</v>
      </c>
      <c r="AX363" s="85">
        <f>Tabela1[[#This Row],[Pré Sódio mmol/L]]</f>
        <v>138</v>
      </c>
      <c r="AY363" s="85">
        <f>Tabela1[[#This Row],[Pós Sódio mmol/L]]</f>
        <v>139</v>
      </c>
      <c r="AZ363" s="125">
        <f>Tabela1[[#This Row],[Pré Magnésio mg/dL]]</f>
        <v>1.9</v>
      </c>
      <c r="BA363" s="125">
        <f>Tabela1[[#This Row],[Pós Magnésio mg/dL]]</f>
        <v>2.1</v>
      </c>
      <c r="BB363" s="85">
        <f>Tabela1[[#This Row],[Pré Cloro mmol/L]]</f>
        <v>103</v>
      </c>
      <c r="BC363" s="85">
        <f>Tabela1[[#This Row],[Pós Cloro mmol/L]]</f>
        <v>106</v>
      </c>
      <c r="BD36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292.34366666666665</v>
      </c>
      <c r="BE36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294.36855555555553</v>
      </c>
      <c r="BF363" s="194">
        <f>Tabela1[[#This Row],[Pré RBC 10^6/mm³]]</f>
        <v>5.54</v>
      </c>
      <c r="BG363" s="125">
        <f>Tabela1[[#This Row],[Pós RBC 10^6/mm³]]</f>
        <v>4.62</v>
      </c>
      <c r="BH363" s="125">
        <f>Tabela1[[#This Row],[Pré HGB g/dL]]</f>
        <v>14.8</v>
      </c>
      <c r="BI363" s="125">
        <f>Tabela1[[#This Row],[Pós HGB g/dL]]</f>
        <v>12.4</v>
      </c>
      <c r="BJ363" s="125">
        <f>Tabela1[[#This Row],[Pré HCT %]]</f>
        <v>46.5</v>
      </c>
      <c r="BK363" s="125">
        <f>Tabela1[[#This Row],[Pós HCT %]]</f>
        <v>38.6</v>
      </c>
      <c r="BL363" s="125">
        <f>Tabela1[[#This Row],[Pré MCV fL]]</f>
        <v>83.9</v>
      </c>
      <c r="BM363" s="125">
        <f>Tabela1[[#This Row],[Pós MCV fL]]</f>
        <v>83.5</v>
      </c>
      <c r="BN363" s="125">
        <f>Tabela1[[#This Row],[Pré MCH pg]]</f>
        <v>26.7</v>
      </c>
      <c r="BO363" s="125">
        <f>Tabela1[[#This Row],[Pós MCH pg]]</f>
        <v>26.8</v>
      </c>
      <c r="BP363" s="125">
        <f>Tabela1[[#This Row],[Pré MCHC g/dL]]</f>
        <v>31.9</v>
      </c>
      <c r="BQ363" s="125">
        <f>Tabela1[[#This Row],[Pós MCHC g/dL]]</f>
        <v>32.1</v>
      </c>
      <c r="BR363" s="85">
        <f>Tabela1[[#This Row],[Pré PLT 10³/mm³]]</f>
        <v>348</v>
      </c>
      <c r="BS363" s="85">
        <f>Tabela1[[#This Row],[Pós PLT 10³/mm³]]</f>
        <v>418</v>
      </c>
      <c r="BT363" s="125">
        <f>Tabela1[[#This Row],[Pré RDW %]]</f>
        <v>12.5</v>
      </c>
      <c r="BU363" s="125">
        <f>Tabela1[[#This Row],[Pós RDW %]]</f>
        <v>13</v>
      </c>
      <c r="BV363" s="179" t="str">
        <f>Tabela1[[#This Row],[Pré RET %]]</f>
        <v>-</v>
      </c>
      <c r="BW363" s="196" t="str">
        <f>Tabela1[[#This Row],[Pós RET %]]</f>
        <v>-</v>
      </c>
      <c r="BX363" s="197">
        <f>Tabela1[[#This Row],[Pré WBC 10³/mm³]]</f>
        <v>7.31</v>
      </c>
      <c r="BY363" s="179">
        <f>Tabela1[[#This Row],[Pós WBC 10³/mm³]]</f>
        <v>12.44</v>
      </c>
      <c r="BZ363" s="125">
        <f>Tabela1[[#This Row],[Pré NEUT %]]</f>
        <v>40.700000000000003</v>
      </c>
      <c r="CA363" s="125">
        <f>Tabela1[[#This Row],[Pós NEUT %]]</f>
        <v>80</v>
      </c>
      <c r="CB363" s="125">
        <f>Tabela1[[#This Row],[Pré LINF %]]</f>
        <v>40.1</v>
      </c>
      <c r="CC363" s="125">
        <f>Tabela1[[#This Row],[Pós LINF %]]</f>
        <v>14</v>
      </c>
      <c r="CD363" s="125">
        <f>Tabela1[[#This Row],[Pré MONO %]]</f>
        <v>7.48</v>
      </c>
      <c r="CE363" s="125">
        <f>Tabela1[[#This Row],[Pós MONO %]]</f>
        <v>5.0999999999999996</v>
      </c>
      <c r="CF363" s="125">
        <f>Tabela1[[#This Row],[Pré EOS %]]</f>
        <v>10.4</v>
      </c>
      <c r="CG363" s="125">
        <f>Tabela1[[#This Row],[Pós EOS %]]</f>
        <v>0.9</v>
      </c>
      <c r="CH363" s="125">
        <f>Tabela1[[#This Row],[Pré BASO %]]</f>
        <v>1.28</v>
      </c>
      <c r="CI363" s="198">
        <f>Tabela1[[#This Row],[Pós BASO %]]</f>
        <v>0</v>
      </c>
      <c r="CJ363" s="199" t="str">
        <f t="shared" si="21"/>
        <v>Dados insuficientes</v>
      </c>
      <c r="CK363" s="200" t="str">
        <f t="shared" si="22"/>
        <v>SIM</v>
      </c>
      <c r="CL363" s="194">
        <f t="shared" si="23"/>
        <v>62.787399999999991</v>
      </c>
      <c r="CM363" s="125">
        <f>Tabela1[[#This Row],[MCT KG]]</f>
        <v>80.599999999999994</v>
      </c>
      <c r="CN363" s="85">
        <f>Tabela1[[#This Row],[ESTATURA]]</f>
        <v>179</v>
      </c>
      <c r="CO363" s="85" t="str">
        <f>Tabela1[[#This Row],[vo2max estimado]]</f>
        <v>52,38</v>
      </c>
      <c r="CP363" s="85">
        <f>Tabela1[[#This Row],[Handgrip     Dominante]]</f>
        <v>66</v>
      </c>
      <c r="CQ363" s="85">
        <f>Tabela1[[#This Row],[Handgrip Contrário]]</f>
        <v>60</v>
      </c>
      <c r="CR363" s="281" t="str">
        <f>Tabela1[[#This Row],[% gordura]]</f>
        <v>22,10</v>
      </c>
    </row>
    <row r="364" spans="1:96" ht="15.75" customHeight="1">
      <c r="A364" s="279">
        <f>Tabela1[[#This Row],[Ano]]</f>
        <v>2023</v>
      </c>
      <c r="B364" s="181" t="str">
        <f>Tabela1[[#This Row],[Missão]]</f>
        <v>CIASC</v>
      </c>
      <c r="C364" s="181">
        <f>Tabela1[[#This Row],[Aluno]]</f>
        <v>3328</v>
      </c>
      <c r="D364" s="181" t="str">
        <f>Tabela1[[#This Row],[Idade]]</f>
        <v>-</v>
      </c>
      <c r="E364" s="182">
        <f>Tabela1[[#This Row],[Peso Kg]]</f>
        <v>85.1</v>
      </c>
      <c r="F364" s="191" t="str">
        <f>Tabela1[[#This Row],[Cor da pele]]</f>
        <v>-</v>
      </c>
      <c r="G364" s="192" t="str">
        <f>Tabela1[[#This Row],[ACTN3]]</f>
        <v>-</v>
      </c>
      <c r="H364" s="85" t="str">
        <f>Tabela1[[#This Row],[AGT]]</f>
        <v>-</v>
      </c>
      <c r="I364" s="85" t="str">
        <f>Tabela1[[#This Row],[ECA]]</f>
        <v>-</v>
      </c>
      <c r="J364" s="85" t="str">
        <f>Tabela1[[#This Row],[BDKRB2]]</f>
        <v>-</v>
      </c>
      <c r="K364" s="85" t="str">
        <f>Tabela1[[#This Row],[Score Força%]]</f>
        <v>-</v>
      </c>
      <c r="L364" s="193" t="str">
        <f>Tabela1[[#This Row],[Score Resistência %]]</f>
        <v>-</v>
      </c>
      <c r="M364" s="192">
        <f>Tabela1[[#This Row],[Pré CK (U/L)]]</f>
        <v>170</v>
      </c>
      <c r="N364" s="85">
        <f>Tabela1[[#This Row],[Pós CK (U/L)]]</f>
        <v>1967</v>
      </c>
      <c r="O364" s="85" t="str">
        <f>Tabela1[[#This Row],[Pré CK MB U/L]]</f>
        <v>-</v>
      </c>
      <c r="P364" s="85" t="str">
        <f>Tabela1[[#This Row],[Pós CK MB U/L]]</f>
        <v>-</v>
      </c>
      <c r="Q364" s="85">
        <f>Tabela1[[#This Row],[Pré Lactato (mmol/L)]]</f>
        <v>2.8</v>
      </c>
      <c r="R364" s="85">
        <f>Tabela1[[#This Row],[Pós Lactato (mmol/L)]]</f>
        <v>2.5</v>
      </c>
      <c r="S364" s="85">
        <f>Tabela1[[#This Row],[Pré LDH (U/L)]]</f>
        <v>162</v>
      </c>
      <c r="T364" s="85">
        <f>Tabela1[[#This Row],[Pós LDH (U/L)]]</f>
        <v>363</v>
      </c>
      <c r="U364" s="85">
        <f>Tabela1[[#This Row],[Pré AST (U/L)]]</f>
        <v>31</v>
      </c>
      <c r="V364" s="193">
        <f>Tabela1[[#This Row],[Pós AST (U/L)]]</f>
        <v>102</v>
      </c>
      <c r="W364" s="194">
        <f>Tabela1[[#This Row],[Pré Albumina (g/dL)]]</f>
        <v>4.5</v>
      </c>
      <c r="X364" s="125">
        <f>Tabela1[[#This Row],[Pós Albumina (g/dL)]]</f>
        <v>4.9000000000000004</v>
      </c>
      <c r="Y364" s="85">
        <f>Tabela1[[#This Row],[Pré TGP (g/dL)]]</f>
        <v>19</v>
      </c>
      <c r="Z364" s="85">
        <f>Tabela1[[#This Row],[Pós TGP (g/dL)]]</f>
        <v>78</v>
      </c>
      <c r="AA364" s="85">
        <f>Tabela1[[#This Row],[Pré GGT U/L]]</f>
        <v>18</v>
      </c>
      <c r="AB364" s="193">
        <f>Tabela1[[#This Row],[Pós GGT U/L]]</f>
        <v>43</v>
      </c>
      <c r="AC364" s="194">
        <f>Tabela1[[#This Row],[Pré Ac. Úrico (mg/dL)]]</f>
        <v>5.8</v>
      </c>
      <c r="AD364" s="125">
        <f>Tabela1[[#This Row],[Pós Ac. Úrico (mg/dL)2]]</f>
        <v>5.8</v>
      </c>
      <c r="AE36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36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98.035666297733968</v>
      </c>
      <c r="AG364" s="85">
        <f>Tabela1[[#This Row],[Pré Ureia mg/dL]]</f>
        <v>36</v>
      </c>
      <c r="AH364" s="85">
        <f>Tabela1[[#This Row],[Pós Ureia mg/dL]]</f>
        <v>51</v>
      </c>
      <c r="AI364" s="125">
        <f>Tabela1[[#This Row],[Pré creatinina mg/dL]]</f>
        <v>0.7</v>
      </c>
      <c r="AJ364" s="125">
        <f>Tabela1[[#This Row],[Pós creatinina mg/dL]]</f>
        <v>1.06</v>
      </c>
      <c r="AK364" s="180">
        <f t="shared" si="20"/>
        <v>0.3600000000000001</v>
      </c>
      <c r="AL364" s="125">
        <f>Tabela1[[#This Row],[Pré Fósforo mg/dL]]</f>
        <v>4</v>
      </c>
      <c r="AM364" s="125">
        <f>Tabela1[[#This Row],[Pós Fósforo mg/dL]]</f>
        <v>3.9</v>
      </c>
      <c r="AN364" s="125">
        <f>Tabela1[[#This Row],[Pré Proteína Total (g/dL)]]</f>
        <v>7</v>
      </c>
      <c r="AO364" s="125">
        <f>Tabela1[[#This Row],[Pós Proteína Total (g/dL)]]</f>
        <v>7</v>
      </c>
      <c r="AP364" s="85">
        <f>Tabela1[[#This Row],[Pré FE (ug/dL)]]</f>
        <v>10</v>
      </c>
      <c r="AQ364" s="193">
        <f>Tabela1[[#This Row],[Pós FE (ug/dL)]]</f>
        <v>50</v>
      </c>
      <c r="AR364" s="194">
        <f>Tabela1[[#This Row],[Pré calcio mg/dL]]</f>
        <v>8.6</v>
      </c>
      <c r="AS364" s="125">
        <f>Tabela1[[#This Row],[Pós calcio mg/dL]]</f>
        <v>9.3000000000000007</v>
      </c>
      <c r="AT364" s="125">
        <f>Tabela1[[#This Row],[Pré Potássio mmol/L]]</f>
        <v>4.5999999999999996</v>
      </c>
      <c r="AU364" s="125">
        <f>Tabela1[[#This Row],[Pós Potássio mmol/L]]</f>
        <v>4.3</v>
      </c>
      <c r="AV364" s="85">
        <f>Tabela1[[#This Row],[Glicose pré]]</f>
        <v>101</v>
      </c>
      <c r="AW364" s="85">
        <f>Tabela1[[#This Row],[Glicose pós]]</f>
        <v>107</v>
      </c>
      <c r="AX364" s="85">
        <f>Tabela1[[#This Row],[Pré Sódio mmol/L]]</f>
        <v>134</v>
      </c>
      <c r="AY364" s="85">
        <f>Tabela1[[#This Row],[Pós Sódio mmol/L]]</f>
        <v>141</v>
      </c>
      <c r="AZ364" s="125">
        <f>Tabela1[[#This Row],[Pré Magnésio mg/dL]]</f>
        <v>1.9</v>
      </c>
      <c r="BA364" s="125">
        <f>Tabela1[[#This Row],[Pós Magnésio mg/dL]]</f>
        <v>2</v>
      </c>
      <c r="BB364" s="85">
        <f>Tabela1[[#This Row],[Pré Cloro mmol/L]]</f>
        <v>102</v>
      </c>
      <c r="BC364" s="85">
        <f>Tabela1[[#This Row],[Pós Cloro mmol/L]]</f>
        <v>108</v>
      </c>
      <c r="BD36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284.24877777777778</v>
      </c>
      <c r="BE36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299.59411111111115</v>
      </c>
      <c r="BF364" s="194">
        <f>Tabela1[[#This Row],[Pré RBC 10^6/mm³]]</f>
        <v>5.38</v>
      </c>
      <c r="BG364" s="125">
        <f>Tabela1[[#This Row],[Pós RBC 10^6/mm³]]</f>
        <v>4.8600000000000003</v>
      </c>
      <c r="BH364" s="125">
        <f>Tabela1[[#This Row],[Pré HGB g/dL]]</f>
        <v>14.2</v>
      </c>
      <c r="BI364" s="125">
        <f>Tabela1[[#This Row],[Pós HGB g/dL]]</f>
        <v>13.2</v>
      </c>
      <c r="BJ364" s="125">
        <f>Tabela1[[#This Row],[Pré HCT %]]</f>
        <v>45.1</v>
      </c>
      <c r="BK364" s="125">
        <f>Tabela1[[#This Row],[Pós HCT %]]</f>
        <v>40.799999999999997</v>
      </c>
      <c r="BL364" s="125">
        <f>Tabela1[[#This Row],[Pré MCV fL]]</f>
        <v>83.8</v>
      </c>
      <c r="BM364" s="125">
        <f>Tabela1[[#This Row],[Pós MCV fL]]</f>
        <v>83.9</v>
      </c>
      <c r="BN364" s="125">
        <f>Tabela1[[#This Row],[Pré MCH pg]]</f>
        <v>26.5</v>
      </c>
      <c r="BO364" s="125">
        <f>Tabela1[[#This Row],[Pós MCH pg]]</f>
        <v>27.3</v>
      </c>
      <c r="BP364" s="125">
        <f>Tabela1[[#This Row],[Pré MCHC g/dL]]</f>
        <v>31.6</v>
      </c>
      <c r="BQ364" s="125">
        <f>Tabela1[[#This Row],[Pós MCHC g/dL]]</f>
        <v>32.5</v>
      </c>
      <c r="BR364" s="85">
        <f>Tabela1[[#This Row],[Pré PLT 10³/mm³]]</f>
        <v>211</v>
      </c>
      <c r="BS364" s="85">
        <f>Tabela1[[#This Row],[Pós PLT 10³/mm³]]</f>
        <v>258</v>
      </c>
      <c r="BT364" s="125">
        <f>Tabela1[[#This Row],[Pré RDW %]]</f>
        <v>12.4</v>
      </c>
      <c r="BU364" s="125">
        <f>Tabela1[[#This Row],[Pós RDW %]]</f>
        <v>12.8</v>
      </c>
      <c r="BV364" s="179" t="str">
        <f>Tabela1[[#This Row],[Pré RET %]]</f>
        <v>-</v>
      </c>
      <c r="BW364" s="196" t="str">
        <f>Tabela1[[#This Row],[Pós RET %]]</f>
        <v>-</v>
      </c>
      <c r="BX364" s="197">
        <f>Tabela1[[#This Row],[Pré WBC 10³/mm³]]</f>
        <v>5.37</v>
      </c>
      <c r="BY364" s="179">
        <f>Tabela1[[#This Row],[Pós WBC 10³/mm³]]</f>
        <v>9.49</v>
      </c>
      <c r="BZ364" s="125">
        <f>Tabela1[[#This Row],[Pré NEUT %]]</f>
        <v>71.5</v>
      </c>
      <c r="CA364" s="125">
        <f>Tabela1[[#This Row],[Pós NEUT %]]</f>
        <v>79.900000000000006</v>
      </c>
      <c r="CB364" s="125">
        <f>Tabela1[[#This Row],[Pré LINF %]]</f>
        <v>17.100000000000001</v>
      </c>
      <c r="CC364" s="125">
        <f>Tabela1[[#This Row],[Pós LINF %]]</f>
        <v>13.9</v>
      </c>
      <c r="CD364" s="125">
        <f>Tabela1[[#This Row],[Pré MONO %]]</f>
        <v>6.44</v>
      </c>
      <c r="CE364" s="125">
        <f>Tabela1[[#This Row],[Pós MONO %]]</f>
        <v>5.6</v>
      </c>
      <c r="CF364" s="125">
        <f>Tabela1[[#This Row],[Pré EOS %]]</f>
        <v>4.04</v>
      </c>
      <c r="CG364" s="125">
        <f>Tabela1[[#This Row],[Pós EOS %]]</f>
        <v>0.5</v>
      </c>
      <c r="CH364" s="125">
        <f>Tabela1[[#This Row],[Pré BASO %]]</f>
        <v>0.97299999999999998</v>
      </c>
      <c r="CI364" s="198">
        <f>Tabela1[[#This Row],[Pós BASO %]]</f>
        <v>0.1</v>
      </c>
      <c r="CJ364" s="199" t="str">
        <f t="shared" si="21"/>
        <v>SIM</v>
      </c>
      <c r="CK364" s="200" t="str">
        <f t="shared" si="22"/>
        <v>SIM</v>
      </c>
      <c r="CL364" s="194" t="e">
        <f t="shared" si="23"/>
        <v>#VALUE!</v>
      </c>
      <c r="CM364" s="125" t="str">
        <f>Tabela1[[#This Row],[MCT KG]]</f>
        <v>-</v>
      </c>
      <c r="CN364" s="85" t="str">
        <f>Tabela1[[#This Row],[ESTATURA]]</f>
        <v>-</v>
      </c>
      <c r="CO364" s="85" t="str">
        <f>Tabela1[[#This Row],[vo2max estimado]]</f>
        <v>-</v>
      </c>
      <c r="CP364" s="85" t="str">
        <f>Tabela1[[#This Row],[Handgrip     Dominante]]</f>
        <v>-</v>
      </c>
      <c r="CQ364" s="85" t="str">
        <f>Tabela1[[#This Row],[Handgrip Contrário]]</f>
        <v>-</v>
      </c>
      <c r="CR364" s="281" t="str">
        <f>Tabela1[[#This Row],[% gordura]]</f>
        <v>-</v>
      </c>
    </row>
    <row r="365" spans="1:96" ht="15.75" customHeight="1">
      <c r="A365" s="279">
        <f>Tabela1[[#This Row],[Ano]]</f>
        <v>2023</v>
      </c>
      <c r="B365" s="181" t="str">
        <f>Tabela1[[#This Row],[Missão]]</f>
        <v>CIASC</v>
      </c>
      <c r="C365" s="181">
        <f>Tabela1[[#This Row],[Aluno]]</f>
        <v>3330</v>
      </c>
      <c r="D365" s="181">
        <f>Tabela1[[#This Row],[Idade]]</f>
        <v>28</v>
      </c>
      <c r="E365" s="182">
        <f>Tabela1[[#This Row],[Peso Kg]]</f>
        <v>74.5</v>
      </c>
      <c r="F365" s="191">
        <f>Tabela1[[#This Row],[Cor da pele]]</f>
        <v>1</v>
      </c>
      <c r="G365" s="192" t="str">
        <f>Tabela1[[#This Row],[ACTN3]]</f>
        <v>RX</v>
      </c>
      <c r="H365" s="85" t="str">
        <f>Tabela1[[#This Row],[AGT]]</f>
        <v>MM</v>
      </c>
      <c r="I365" s="85" t="str">
        <f>Tabela1[[#This Row],[ECA]]</f>
        <v>DD</v>
      </c>
      <c r="J365" s="85">
        <f>Tabela1[[#This Row],[BDKRB2]]</f>
        <v>0</v>
      </c>
      <c r="K365" s="85">
        <f>Tabela1[[#This Row],[Score Força%]]</f>
        <v>50</v>
      </c>
      <c r="L365" s="193">
        <f>Tabela1[[#This Row],[Score Resistência %]]</f>
        <v>50</v>
      </c>
      <c r="M365" s="192">
        <f>Tabela1[[#This Row],[Pré CK (U/L)]]</f>
        <v>645</v>
      </c>
      <c r="N365" s="85">
        <f>Tabela1[[#This Row],[Pós CK (U/L)]]</f>
        <v>5171</v>
      </c>
      <c r="O365" s="85" t="str">
        <f>Tabela1[[#This Row],[Pré CK MB U/L]]</f>
        <v>-</v>
      </c>
      <c r="P365" s="85" t="str">
        <f>Tabela1[[#This Row],[Pós CK MB U/L]]</f>
        <v>-</v>
      </c>
      <c r="Q365" s="85">
        <f>Tabela1[[#This Row],[Pré Lactato (mmol/L)]]</f>
        <v>3.3</v>
      </c>
      <c r="R365" s="85">
        <f>Tabela1[[#This Row],[Pós Lactato (mmol/L)]]</f>
        <v>3.3</v>
      </c>
      <c r="S365" s="85">
        <f>Tabela1[[#This Row],[Pré LDH (U/L)]]</f>
        <v>232</v>
      </c>
      <c r="T365" s="85">
        <f>Tabela1[[#This Row],[Pós LDH (U/L)]]</f>
        <v>573</v>
      </c>
      <c r="U365" s="85">
        <f>Tabela1[[#This Row],[Pré AST (U/L)]]</f>
        <v>45</v>
      </c>
      <c r="V365" s="193">
        <f>Tabela1[[#This Row],[Pós AST (U/L)]]</f>
        <v>182</v>
      </c>
      <c r="W365" s="194">
        <f>Tabela1[[#This Row],[Pré Albumina (g/dL)]]</f>
        <v>5.2</v>
      </c>
      <c r="X365" s="125">
        <f>Tabela1[[#This Row],[Pós Albumina (g/dL)]]</f>
        <v>4.9000000000000004</v>
      </c>
      <c r="Y365" s="85">
        <f>Tabela1[[#This Row],[Pré TGP (g/dL)]]</f>
        <v>30</v>
      </c>
      <c r="Z365" s="85">
        <f>Tabela1[[#This Row],[Pós TGP (g/dL)]]</f>
        <v>103</v>
      </c>
      <c r="AA365" s="85">
        <f>Tabela1[[#This Row],[Pré GGT U/L]]</f>
        <v>18</v>
      </c>
      <c r="AB365" s="193">
        <f>Tabela1[[#This Row],[Pós GGT U/L]]</f>
        <v>15</v>
      </c>
      <c r="AC365" s="194">
        <f>Tabela1[[#This Row],[Pré Ac. Úrico (mg/dL)]]</f>
        <v>5.7</v>
      </c>
      <c r="AD365" s="125">
        <f>Tabela1[[#This Row],[Pós Ac. Úrico (mg/dL)2]]</f>
        <v>4.9000000000000004</v>
      </c>
      <c r="AE36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6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126.0587127925829</v>
      </c>
      <c r="AG365" s="85">
        <f>Tabela1[[#This Row],[Pré Ureia mg/dL]]</f>
        <v>32</v>
      </c>
      <c r="AH365" s="85">
        <f>Tabela1[[#This Row],[Pós Ureia mg/dL]]</f>
        <v>33</v>
      </c>
      <c r="AI365" s="125">
        <f>Tabela1[[#This Row],[Pré creatinina mg/dL]]</f>
        <v>0.9</v>
      </c>
      <c r="AJ365" s="125">
        <f>Tabela1[[#This Row],[Pós creatinina mg/dL]]</f>
        <v>0.75</v>
      </c>
      <c r="AK365" s="180">
        <f t="shared" si="20"/>
        <v>0</v>
      </c>
      <c r="AL365" s="125">
        <f>Tabela1[[#This Row],[Pré Fósforo mg/dL]]</f>
        <v>3.9</v>
      </c>
      <c r="AM365" s="125">
        <f>Tabela1[[#This Row],[Pós Fósforo mg/dL]]</f>
        <v>4.0999999999999996</v>
      </c>
      <c r="AN365" s="125">
        <f>Tabela1[[#This Row],[Pré Proteína Total (g/dL)]]</f>
        <v>7.7</v>
      </c>
      <c r="AO365" s="125">
        <f>Tabela1[[#This Row],[Pós Proteína Total (g/dL)]]</f>
        <v>6.8</v>
      </c>
      <c r="AP365" s="85">
        <f>Tabela1[[#This Row],[Pré FE (ug/dL)]]</f>
        <v>10</v>
      </c>
      <c r="AQ365" s="193">
        <f>Tabela1[[#This Row],[Pós FE (ug/dL)]]</f>
        <v>48</v>
      </c>
      <c r="AR365" s="194">
        <f>Tabela1[[#This Row],[Pré calcio mg/dL]]</f>
        <v>9.1999999999999993</v>
      </c>
      <c r="AS365" s="125">
        <f>Tabela1[[#This Row],[Pós calcio mg/dL]]</f>
        <v>8.9</v>
      </c>
      <c r="AT365" s="125">
        <f>Tabela1[[#This Row],[Pré Potássio mmol/L]]</f>
        <v>4.5999999999999996</v>
      </c>
      <c r="AU365" s="125">
        <f>Tabela1[[#This Row],[Pós Potássio mmol/L]]</f>
        <v>4.0999999999999996</v>
      </c>
      <c r="AV365" s="85">
        <f>Tabela1[[#This Row],[Glicose pré]]</f>
        <v>90</v>
      </c>
      <c r="AW365" s="85">
        <f>Tabela1[[#This Row],[Glicose pós]]</f>
        <v>76</v>
      </c>
      <c r="AX365" s="85">
        <f>Tabela1[[#This Row],[Pré Sódio mmol/L]]</f>
        <v>137</v>
      </c>
      <c r="AY365" s="85">
        <f>Tabela1[[#This Row],[Pós Sódio mmol/L]]</f>
        <v>138</v>
      </c>
      <c r="AZ365" s="125">
        <f>Tabela1[[#This Row],[Pré Magnésio mg/dL]]</f>
        <v>2</v>
      </c>
      <c r="BA365" s="125">
        <f>Tabela1[[#This Row],[Pós Magnésio mg/dL]]</f>
        <v>2</v>
      </c>
      <c r="BB365" s="85">
        <f>Tabela1[[#This Row],[Pré Cloro mmol/L]]</f>
        <v>102</v>
      </c>
      <c r="BC365" s="85">
        <f>Tabela1[[#This Row],[Pós Cloro mmol/L]]</f>
        <v>99</v>
      </c>
      <c r="BD36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288.45933333333329</v>
      </c>
      <c r="BE36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288.66155555555554</v>
      </c>
      <c r="BF365" s="194">
        <f>Tabela1[[#This Row],[Pré RBC 10^6/mm³]]</f>
        <v>4.91</v>
      </c>
      <c r="BG365" s="125">
        <f>Tabela1[[#This Row],[Pós RBC 10^6/mm³]]</f>
        <v>4.6399999999999997</v>
      </c>
      <c r="BH365" s="125">
        <f>Tabela1[[#This Row],[Pré HGB g/dL]]</f>
        <v>14.3</v>
      </c>
      <c r="BI365" s="125">
        <f>Tabela1[[#This Row],[Pós HGB g/dL]]</f>
        <v>13.7</v>
      </c>
      <c r="BJ365" s="125">
        <f>Tabela1[[#This Row],[Pré HCT %]]</f>
        <v>44</v>
      </c>
      <c r="BK365" s="125">
        <f>Tabela1[[#This Row],[Pós HCT %]]</f>
        <v>42.3</v>
      </c>
      <c r="BL365" s="125">
        <f>Tabela1[[#This Row],[Pré MCV fL]]</f>
        <v>89.6</v>
      </c>
      <c r="BM365" s="125">
        <f>Tabela1[[#This Row],[Pós MCV fL]]</f>
        <v>91.1</v>
      </c>
      <c r="BN365" s="125">
        <f>Tabela1[[#This Row],[Pré MCH pg]]</f>
        <v>29.1</v>
      </c>
      <c r="BO365" s="125">
        <f>Tabela1[[#This Row],[Pós MCH pg]]</f>
        <v>29.6</v>
      </c>
      <c r="BP365" s="125">
        <f>Tabela1[[#This Row],[Pré MCHC g/dL]]</f>
        <v>32.5</v>
      </c>
      <c r="BQ365" s="125">
        <f>Tabela1[[#This Row],[Pós MCHC g/dL]]</f>
        <v>32.5</v>
      </c>
      <c r="BR365" s="85">
        <f>Tabela1[[#This Row],[Pré PLT 10³/mm³]]</f>
        <v>150</v>
      </c>
      <c r="BS365" s="85">
        <f>Tabela1[[#This Row],[Pós PLT 10³/mm³]]</f>
        <v>210</v>
      </c>
      <c r="BT365" s="125">
        <f>Tabela1[[#This Row],[Pré RDW %]]</f>
        <v>11.8</v>
      </c>
      <c r="BU365" s="125">
        <f>Tabela1[[#This Row],[Pós RDW %]]</f>
        <v>12.4</v>
      </c>
      <c r="BV365" s="179" t="str">
        <f>Tabela1[[#This Row],[Pré RET %]]</f>
        <v>-</v>
      </c>
      <c r="BW365" s="196" t="str">
        <f>Tabela1[[#This Row],[Pós RET %]]</f>
        <v>-</v>
      </c>
      <c r="BX365" s="197">
        <f>Tabela1[[#This Row],[Pré WBC 10³/mm³]]</f>
        <v>5.05</v>
      </c>
      <c r="BY365" s="179">
        <f>Tabela1[[#This Row],[Pós WBC 10³/mm³]]</f>
        <v>9.2100000000000009</v>
      </c>
      <c r="BZ365" s="125">
        <f>Tabela1[[#This Row],[Pré NEUT %]]</f>
        <v>68.099999999999994</v>
      </c>
      <c r="CA365" s="125">
        <f>Tabela1[[#This Row],[Pós NEUT %]]</f>
        <v>82.7</v>
      </c>
      <c r="CB365" s="125">
        <f>Tabela1[[#This Row],[Pré LINF %]]</f>
        <v>22.3</v>
      </c>
      <c r="CC365" s="125">
        <f>Tabela1[[#This Row],[Pós LINF %]]</f>
        <v>10.6</v>
      </c>
      <c r="CD365" s="125">
        <f>Tabela1[[#This Row],[Pré MONO %]]</f>
        <v>8.7799999999999994</v>
      </c>
      <c r="CE365" s="125">
        <f>Tabela1[[#This Row],[Pós MONO %]]</f>
        <v>6.2</v>
      </c>
      <c r="CF365" s="125">
        <f>Tabela1[[#This Row],[Pré EOS %]]</f>
        <v>0.26700000000000002</v>
      </c>
      <c r="CG365" s="125">
        <f>Tabela1[[#This Row],[Pós EOS %]]</f>
        <v>0.3</v>
      </c>
      <c r="CH365" s="125">
        <f>Tabela1[[#This Row],[Pré BASO %]]</f>
        <v>0.53300000000000003</v>
      </c>
      <c r="CI365" s="198">
        <f>Tabela1[[#This Row],[Pós BASO %]]</f>
        <v>0.2</v>
      </c>
      <c r="CJ365" s="199" t="str">
        <f t="shared" si="21"/>
        <v>NÃO</v>
      </c>
      <c r="CK365" s="200" t="str">
        <f t="shared" si="22"/>
        <v>SIM</v>
      </c>
      <c r="CL365" s="194">
        <f t="shared" si="23"/>
        <v>67.44474000000001</v>
      </c>
      <c r="CM365" s="125">
        <f>Tabela1[[#This Row],[MCT KG]]</f>
        <v>75.900000000000006</v>
      </c>
      <c r="CN365" s="85">
        <f>Tabela1[[#This Row],[ESTATURA]]</f>
        <v>182</v>
      </c>
      <c r="CO365" s="85" t="str">
        <f>Tabela1[[#This Row],[vo2max estimado]]</f>
        <v>53,11</v>
      </c>
      <c r="CP365" s="85">
        <f>Tabela1[[#This Row],[Handgrip     Dominante]]</f>
        <v>52</v>
      </c>
      <c r="CQ365" s="85">
        <f>Tabela1[[#This Row],[Handgrip Contrário]]</f>
        <v>42</v>
      </c>
      <c r="CR365" s="281" t="str">
        <f>Tabela1[[#This Row],[% gordura]]</f>
        <v>11,14</v>
      </c>
    </row>
    <row r="366" spans="1:96" ht="15.75" customHeight="1">
      <c r="A366" s="279">
        <f>Tabela1[[#This Row],[Ano]]</f>
        <v>2023</v>
      </c>
      <c r="B366" s="181" t="str">
        <f>Tabela1[[#This Row],[Missão]]</f>
        <v>CIASC</v>
      </c>
      <c r="C366" s="181">
        <f>Tabela1[[#This Row],[Aluno]]</f>
        <v>3331</v>
      </c>
      <c r="D366" s="181">
        <f>Tabela1[[#This Row],[Idade]]</f>
        <v>28</v>
      </c>
      <c r="E366" s="182">
        <f>Tabela1[[#This Row],[Peso Kg]]</f>
        <v>89.2</v>
      </c>
      <c r="F366" s="191">
        <f>Tabela1[[#This Row],[Cor da pele]]</f>
        <v>1</v>
      </c>
      <c r="G366" s="192" t="str">
        <f>Tabela1[[#This Row],[ACTN3]]</f>
        <v>RX</v>
      </c>
      <c r="H366" s="85" t="str">
        <f>Tabela1[[#This Row],[AGT]]</f>
        <v>MT</v>
      </c>
      <c r="I366" s="85" t="str">
        <f>Tabela1[[#This Row],[ECA]]</f>
        <v>DD</v>
      </c>
      <c r="J366" s="85" t="str">
        <f>Tabela1[[#This Row],[BDKRB2]]</f>
        <v xml:space="preserve"> +9,+9</v>
      </c>
      <c r="K366" s="85">
        <f>Tabela1[[#This Row],[Score Força%]]</f>
        <v>75</v>
      </c>
      <c r="L366" s="193">
        <f>Tabela1[[#This Row],[Score Resistência %]]</f>
        <v>25</v>
      </c>
      <c r="M366" s="192">
        <f>Tabela1[[#This Row],[Pré CK (U/L)]]</f>
        <v>156</v>
      </c>
      <c r="N366" s="85">
        <f>Tabela1[[#This Row],[Pós CK (U/L)]]</f>
        <v>804</v>
      </c>
      <c r="O366" s="85" t="str">
        <f>Tabela1[[#This Row],[Pré CK MB U/L]]</f>
        <v>-</v>
      </c>
      <c r="P366" s="85" t="str">
        <f>Tabela1[[#This Row],[Pós CK MB U/L]]</f>
        <v>-</v>
      </c>
      <c r="Q366" s="85">
        <f>Tabela1[[#This Row],[Pré Lactato (mmol/L)]]</f>
        <v>4.4000000000000004</v>
      </c>
      <c r="R366" s="85">
        <f>Tabela1[[#This Row],[Pós Lactato (mmol/L)]]</f>
        <v>3.1</v>
      </c>
      <c r="S366" s="85">
        <f>Tabela1[[#This Row],[Pré LDH (U/L)]]</f>
        <v>181</v>
      </c>
      <c r="T366" s="85">
        <f>Tabela1[[#This Row],[Pós LDH (U/L)]]</f>
        <v>300</v>
      </c>
      <c r="U366" s="85">
        <f>Tabela1[[#This Row],[Pré AST (U/L)]]</f>
        <v>28</v>
      </c>
      <c r="V366" s="193">
        <f>Tabela1[[#This Row],[Pós AST (U/L)]]</f>
        <v>58</v>
      </c>
      <c r="W366" s="194">
        <f>Tabela1[[#This Row],[Pré Albumina (g/dL)]]</f>
        <v>5.2</v>
      </c>
      <c r="X366" s="125">
        <f>Tabela1[[#This Row],[Pós Albumina (g/dL)]]</f>
        <v>4.7</v>
      </c>
      <c r="Y366" s="85">
        <f>Tabela1[[#This Row],[Pré TGP (g/dL)]]</f>
        <v>26</v>
      </c>
      <c r="Z366" s="85">
        <f>Tabela1[[#This Row],[Pós TGP (g/dL)]]</f>
        <v>54</v>
      </c>
      <c r="AA366" s="85">
        <f>Tabela1[[#This Row],[Pré GGT U/L]]</f>
        <v>16</v>
      </c>
      <c r="AB366" s="193">
        <f>Tabela1[[#This Row],[Pós GGT U/L]]</f>
        <v>15</v>
      </c>
      <c r="AC366" s="194">
        <f>Tabela1[[#This Row],[Pré Ac. Úrico (mg/dL)]]</f>
        <v>5.6</v>
      </c>
      <c r="AD366" s="125">
        <f>Tabela1[[#This Row],[Pós Ac. Úrico (mg/dL)2]]</f>
        <v>5.8</v>
      </c>
      <c r="AE36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36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88.902451064764506</v>
      </c>
      <c r="AG366" s="85">
        <f>Tabela1[[#This Row],[Pré Ureia mg/dL]]</f>
        <v>43</v>
      </c>
      <c r="AH366" s="85">
        <f>Tabela1[[#This Row],[Pós Ureia mg/dL]]</f>
        <v>42</v>
      </c>
      <c r="AI366" s="125">
        <f>Tabela1[[#This Row],[Pré creatinina mg/dL]]</f>
        <v>1</v>
      </c>
      <c r="AJ366" s="125">
        <f>Tabela1[[#This Row],[Pós creatinina mg/dL]]</f>
        <v>1.1499999999999999</v>
      </c>
      <c r="AK366" s="180">
        <f t="shared" si="20"/>
        <v>0.14999999999999991</v>
      </c>
      <c r="AL366" s="125">
        <f>Tabela1[[#This Row],[Pré Fósforo mg/dL]]</f>
        <v>3.9</v>
      </c>
      <c r="AM366" s="125">
        <f>Tabela1[[#This Row],[Pós Fósforo mg/dL]]</f>
        <v>4</v>
      </c>
      <c r="AN366" s="125">
        <f>Tabela1[[#This Row],[Pré Proteína Total (g/dL)]]</f>
        <v>7.6</v>
      </c>
      <c r="AO366" s="125">
        <f>Tabela1[[#This Row],[Pós Proteína Total (g/dL)]]</f>
        <v>7</v>
      </c>
      <c r="AP366" s="85">
        <f>Tabela1[[#This Row],[Pré FE (ug/dL)]]</f>
        <v>42</v>
      </c>
      <c r="AQ366" s="193">
        <f>Tabela1[[#This Row],[Pós FE (ug/dL)]]</f>
        <v>51</v>
      </c>
      <c r="AR366" s="194">
        <f>Tabela1[[#This Row],[Pré calcio mg/dL]]</f>
        <v>9.4</v>
      </c>
      <c r="AS366" s="125">
        <f>Tabela1[[#This Row],[Pós calcio mg/dL]]</f>
        <v>9.3000000000000007</v>
      </c>
      <c r="AT366" s="125">
        <f>Tabela1[[#This Row],[Pré Potássio mmol/L]]</f>
        <v>5</v>
      </c>
      <c r="AU366" s="125">
        <f>Tabela1[[#This Row],[Pós Potássio mmol/L]]</f>
        <v>3.9</v>
      </c>
      <c r="AV366" s="85">
        <f>Tabela1[[#This Row],[Glicose pré]]</f>
        <v>77</v>
      </c>
      <c r="AW366" s="85">
        <f>Tabela1[[#This Row],[Glicose pós]]</f>
        <v>98</v>
      </c>
      <c r="AX366" s="85">
        <f>Tabela1[[#This Row],[Pré Sódio mmol/L]]</f>
        <v>142</v>
      </c>
      <c r="AY366" s="85">
        <f>Tabela1[[#This Row],[Pós Sódio mmol/L]]</f>
        <v>138</v>
      </c>
      <c r="AZ366" s="125">
        <f>Tabela1[[#This Row],[Pré Magnésio mg/dL]]</f>
        <v>2</v>
      </c>
      <c r="BA366" s="125">
        <f>Tabela1[[#This Row],[Pós Magnésio mg/dL]]</f>
        <v>2.2000000000000002</v>
      </c>
      <c r="BB366" s="85">
        <f>Tabela1[[#This Row],[Pré Cloro mmol/L]]</f>
        <v>105</v>
      </c>
      <c r="BC366" s="85">
        <f>Tabela1[[#This Row],[Pós Cloro mmol/L]]</f>
        <v>101</v>
      </c>
      <c r="BD36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299.50611111111112</v>
      </c>
      <c r="BE36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291.19511111111115</v>
      </c>
      <c r="BF366" s="194">
        <f>Tabela1[[#This Row],[Pré RBC 10^6/mm³]]</f>
        <v>5.82</v>
      </c>
      <c r="BG366" s="125">
        <f>Tabela1[[#This Row],[Pós RBC 10^6/mm³]]</f>
        <v>5.14</v>
      </c>
      <c r="BH366" s="125">
        <f>Tabela1[[#This Row],[Pré HGB g/dL]]</f>
        <v>16.5</v>
      </c>
      <c r="BI366" s="125">
        <f>Tabela1[[#This Row],[Pós HGB g/dL]]</f>
        <v>14.7</v>
      </c>
      <c r="BJ366" s="125">
        <f>Tabela1[[#This Row],[Pré HCT %]]</f>
        <v>49.8</v>
      </c>
      <c r="BK366" s="125">
        <f>Tabela1[[#This Row],[Pós HCT %]]</f>
        <v>44.9</v>
      </c>
      <c r="BL366" s="125">
        <f>Tabela1[[#This Row],[Pré MCV fL]]</f>
        <v>85.6</v>
      </c>
      <c r="BM366" s="125">
        <f>Tabela1[[#This Row],[Pós MCV fL]]</f>
        <v>87.4</v>
      </c>
      <c r="BN366" s="125">
        <f>Tabela1[[#This Row],[Pré MCH pg]]</f>
        <v>28.4</v>
      </c>
      <c r="BO366" s="125">
        <f>Tabela1[[#This Row],[Pós MCH pg]]</f>
        <v>28.7</v>
      </c>
      <c r="BP366" s="125">
        <f>Tabela1[[#This Row],[Pré MCHC g/dL]]</f>
        <v>33.1</v>
      </c>
      <c r="BQ366" s="125">
        <f>Tabela1[[#This Row],[Pós MCHC g/dL]]</f>
        <v>32.799999999999997</v>
      </c>
      <c r="BR366" s="85">
        <f>Tabela1[[#This Row],[Pré PLT 10³/mm³]]</f>
        <v>250</v>
      </c>
      <c r="BS366" s="85">
        <f>Tabela1[[#This Row],[Pós PLT 10³/mm³]]</f>
        <v>368</v>
      </c>
      <c r="BT366" s="125">
        <f>Tabela1[[#This Row],[Pré RDW %]]</f>
        <v>12.2</v>
      </c>
      <c r="BU366" s="125">
        <f>Tabela1[[#This Row],[Pós RDW %]]</f>
        <v>13.1</v>
      </c>
      <c r="BV366" s="179" t="str">
        <f>Tabela1[[#This Row],[Pré RET %]]</f>
        <v>-</v>
      </c>
      <c r="BW366" s="196" t="str">
        <f>Tabela1[[#This Row],[Pós RET %]]</f>
        <v>-</v>
      </c>
      <c r="BX366" s="197">
        <f>Tabela1[[#This Row],[Pré WBC 10³/mm³]]</f>
        <v>8.23</v>
      </c>
      <c r="BY366" s="179">
        <f>Tabela1[[#This Row],[Pós WBC 10³/mm³]]</f>
        <v>16.18</v>
      </c>
      <c r="BZ366" s="125">
        <f>Tabela1[[#This Row],[Pré NEUT %]]</f>
        <v>79.099999999999994</v>
      </c>
      <c r="CA366" s="125">
        <f>Tabela1[[#This Row],[Pós NEUT %]]</f>
        <v>88.2</v>
      </c>
      <c r="CB366" s="125">
        <f>Tabela1[[#This Row],[Pré LINF %]]</f>
        <v>14</v>
      </c>
      <c r="CC366" s="125">
        <f>Tabela1[[#This Row],[Pós LINF %]]</f>
        <v>6.7</v>
      </c>
      <c r="CD366" s="125">
        <f>Tabela1[[#This Row],[Pré MONO %]]</f>
        <v>6.07</v>
      </c>
      <c r="CE366" s="125">
        <f>Tabela1[[#This Row],[Pós MONO %]]</f>
        <v>4.7</v>
      </c>
      <c r="CF366" s="125">
        <f>Tabela1[[#This Row],[Pré EOS %]]</f>
        <v>0.221</v>
      </c>
      <c r="CG366" s="125">
        <f>Tabela1[[#This Row],[Pós EOS %]]</f>
        <v>0.2</v>
      </c>
      <c r="CH366" s="125">
        <f>Tabela1[[#This Row],[Pré BASO %]]</f>
        <v>0.55200000000000005</v>
      </c>
      <c r="CI366" s="198">
        <f>Tabela1[[#This Row],[Pós BASO %]]</f>
        <v>0.2</v>
      </c>
      <c r="CJ366" s="199" t="str">
        <f t="shared" si="21"/>
        <v>NÃO</v>
      </c>
      <c r="CK366" s="200" t="str">
        <f t="shared" si="22"/>
        <v>NÃO</v>
      </c>
      <c r="CL366" s="194">
        <f t="shared" si="23"/>
        <v>74.301159999999996</v>
      </c>
      <c r="CM366" s="125">
        <f>Tabela1[[#This Row],[MCT KG]]</f>
        <v>91.1</v>
      </c>
      <c r="CN366" s="85">
        <f>Tabela1[[#This Row],[ESTATURA]]</f>
        <v>181.5</v>
      </c>
      <c r="CO366" s="85" t="str">
        <f>Tabela1[[#This Row],[vo2max estimado]]</f>
        <v>48,75</v>
      </c>
      <c r="CP366" s="85">
        <f>Tabela1[[#This Row],[Handgrip     Dominante]]</f>
        <v>70</v>
      </c>
      <c r="CQ366" s="85">
        <f>Tabela1[[#This Row],[Handgrip Contrário]]</f>
        <v>66</v>
      </c>
      <c r="CR366" s="281" t="str">
        <f>Tabela1[[#This Row],[% gordura]]</f>
        <v>18,44</v>
      </c>
    </row>
    <row r="367" spans="1:96" ht="15.75" customHeight="1">
      <c r="A367" s="279">
        <f>Tabela1[[#This Row],[Ano]]</f>
        <v>2023</v>
      </c>
      <c r="B367" s="181" t="str">
        <f>Tabela1[[#This Row],[Missão]]</f>
        <v>CIASC</v>
      </c>
      <c r="C367" s="181">
        <f>Tabela1[[#This Row],[Aluno]]</f>
        <v>3343</v>
      </c>
      <c r="D367" s="181">
        <f>Tabela1[[#This Row],[Idade]]</f>
        <v>27</v>
      </c>
      <c r="E367" s="182">
        <f>Tabela1[[#This Row],[Peso Kg]]</f>
        <v>75.900000000000006</v>
      </c>
      <c r="F367" s="191">
        <f>Tabela1[[#This Row],[Cor da pele]]</f>
        <v>2</v>
      </c>
      <c r="G367" s="192" t="str">
        <f>Tabela1[[#This Row],[ACTN3]]</f>
        <v>-</v>
      </c>
      <c r="H367" s="85" t="str">
        <f>Tabela1[[#This Row],[AGT]]</f>
        <v>-</v>
      </c>
      <c r="I367" s="85" t="str">
        <f>Tabela1[[#This Row],[ECA]]</f>
        <v>-</v>
      </c>
      <c r="J367" s="85" t="str">
        <f>Tabela1[[#This Row],[BDKRB2]]</f>
        <v>-</v>
      </c>
      <c r="K367" s="85" t="str">
        <f>Tabela1[[#This Row],[Score Força%]]</f>
        <v>-</v>
      </c>
      <c r="L367" s="193" t="str">
        <f>Tabela1[[#This Row],[Score Resistência %]]</f>
        <v>-</v>
      </c>
      <c r="M367" s="192">
        <f>Tabela1[[#This Row],[Pré CK (U/L)]]</f>
        <v>811</v>
      </c>
      <c r="N367" s="85">
        <f>Tabela1[[#This Row],[Pós CK (U/L)]]</f>
        <v>2806</v>
      </c>
      <c r="O367" s="85" t="str">
        <f>Tabela1[[#This Row],[Pré CK MB U/L]]</f>
        <v>-</v>
      </c>
      <c r="P367" s="85" t="str">
        <f>Tabela1[[#This Row],[Pós CK MB U/L]]</f>
        <v>-</v>
      </c>
      <c r="Q367" s="85">
        <f>Tabela1[[#This Row],[Pré Lactato (mmol/L)]]</f>
        <v>2.2999999999999998</v>
      </c>
      <c r="R367" s="85">
        <f>Tabela1[[#This Row],[Pós Lactato (mmol/L)]]</f>
        <v>3</v>
      </c>
      <c r="S367" s="85">
        <f>Tabela1[[#This Row],[Pré LDH (U/L)]]</f>
        <v>271</v>
      </c>
      <c r="T367" s="85">
        <f>Tabela1[[#This Row],[Pós LDH (U/L)]]</f>
        <v>505</v>
      </c>
      <c r="U367" s="85">
        <f>Tabela1[[#This Row],[Pré AST (U/L)]]</f>
        <v>60</v>
      </c>
      <c r="V367" s="193">
        <f>Tabela1[[#This Row],[Pós AST (U/L)]]</f>
        <v>126</v>
      </c>
      <c r="W367" s="194">
        <f>Tabela1[[#This Row],[Pré Albumina (g/dL)]]</f>
        <v>5.8</v>
      </c>
      <c r="X367" s="125">
        <f>Tabela1[[#This Row],[Pós Albumina (g/dL)]]</f>
        <v>4.4000000000000004</v>
      </c>
      <c r="Y367" s="85">
        <f>Tabela1[[#This Row],[Pré TGP (g/dL)]]</f>
        <v>41</v>
      </c>
      <c r="Z367" s="85">
        <f>Tabela1[[#This Row],[Pós TGP (g/dL)]]</f>
        <v>176</v>
      </c>
      <c r="AA367" s="85">
        <f>Tabela1[[#This Row],[Pré GGT U/L]]</f>
        <v>22</v>
      </c>
      <c r="AB367" s="193">
        <f>Tabela1[[#This Row],[Pós GGT U/L]]</f>
        <v>20</v>
      </c>
      <c r="AC367" s="194">
        <f>Tabela1[[#This Row],[Pré Ac. Úrico (mg/dL)]]</f>
        <v>5.9</v>
      </c>
      <c r="AD367" s="125">
        <f>Tabela1[[#This Row],[Pós Ac. Úrico (mg/dL)2]]</f>
        <v>5.6</v>
      </c>
      <c r="AE36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36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61.188747044502946</v>
      </c>
      <c r="AG367" s="85">
        <f>Tabela1[[#This Row],[Pré Ureia mg/dL]]</f>
        <v>44</v>
      </c>
      <c r="AH367" s="85">
        <f>Tabela1[[#This Row],[Pós Ureia mg/dL]]</f>
        <v>40</v>
      </c>
      <c r="AI367" s="125">
        <f>Tabela1[[#This Row],[Pré creatinina mg/dL]]</f>
        <v>0.7</v>
      </c>
      <c r="AJ367" s="125">
        <f>Tabela1[[#This Row],[Pós creatinina mg/dL]]</f>
        <v>1.57</v>
      </c>
      <c r="AK367" s="180">
        <f t="shared" si="20"/>
        <v>0.87000000000000011</v>
      </c>
      <c r="AL367" s="125">
        <f>Tabela1[[#This Row],[Pré Fósforo mg/dL]]</f>
        <v>5.2</v>
      </c>
      <c r="AM367" s="125">
        <f>Tabela1[[#This Row],[Pós Fósforo mg/dL]]</f>
        <v>4.8</v>
      </c>
      <c r="AN367" s="125">
        <f>Tabela1[[#This Row],[Pré Proteína Total (g/dL)]]</f>
        <v>9.6</v>
      </c>
      <c r="AO367" s="125">
        <f>Tabela1[[#This Row],[Pós Proteína Total (g/dL)]]</f>
        <v>6.5</v>
      </c>
      <c r="AP367" s="85">
        <f>Tabela1[[#This Row],[Pré FE (ug/dL)]]</f>
        <v>38</v>
      </c>
      <c r="AQ367" s="193">
        <f>Tabela1[[#This Row],[Pós FE (ug/dL)]]</f>
        <v>45</v>
      </c>
      <c r="AR367" s="194">
        <f>Tabela1[[#This Row],[Pré calcio mg/dL]]</f>
        <v>9.3000000000000007</v>
      </c>
      <c r="AS367" s="125">
        <f>Tabela1[[#This Row],[Pós calcio mg/dL]]</f>
        <v>8.6</v>
      </c>
      <c r="AT367" s="125">
        <f>Tabela1[[#This Row],[Pré Potássio mmol/L]]</f>
        <v>5</v>
      </c>
      <c r="AU367" s="125">
        <f>Tabela1[[#This Row],[Pós Potássio mmol/L]]</f>
        <v>4.2</v>
      </c>
      <c r="AV367" s="85">
        <f>Tabela1[[#This Row],[Glicose pré]]</f>
        <v>110</v>
      </c>
      <c r="AW367" s="85">
        <f>Tabela1[[#This Row],[Glicose pós]]</f>
        <v>109</v>
      </c>
      <c r="AX367" s="85">
        <f>Tabela1[[#This Row],[Pré Sódio mmol/L]]</f>
        <v>144</v>
      </c>
      <c r="AY367" s="85">
        <f>Tabela1[[#This Row],[Pós Sódio mmol/L]]</f>
        <v>137</v>
      </c>
      <c r="AZ367" s="125">
        <f>Tabela1[[#This Row],[Pré Magnésio mg/dL]]</f>
        <v>2.2000000000000002</v>
      </c>
      <c r="BA367" s="125">
        <f>Tabela1[[#This Row],[Pós Magnésio mg/dL]]</f>
        <v>2.2999999999999998</v>
      </c>
      <c r="BB367" s="85">
        <f>Tabela1[[#This Row],[Pré Cloro mmol/L]]</f>
        <v>106</v>
      </c>
      <c r="BC367" s="85">
        <f>Tabela1[[#This Row],[Pós Cloro mmol/L]]</f>
        <v>101</v>
      </c>
      <c r="BD36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305.50111111111107</v>
      </c>
      <c r="BE36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290.26255555555559</v>
      </c>
      <c r="BF367" s="194">
        <f>Tabela1[[#This Row],[Pré RBC 10^6/mm³]]</f>
        <v>5.39</v>
      </c>
      <c r="BG367" s="125">
        <f>Tabela1[[#This Row],[Pós RBC 10^6/mm³]]</f>
        <v>4.8099999999999996</v>
      </c>
      <c r="BH367" s="125">
        <f>Tabela1[[#This Row],[Pré HGB g/dL]]</f>
        <v>14.2</v>
      </c>
      <c r="BI367" s="125">
        <f>Tabela1[[#This Row],[Pós HGB g/dL]]</f>
        <v>12.9</v>
      </c>
      <c r="BJ367" s="125">
        <f>Tabela1[[#This Row],[Pré HCT %]]</f>
        <v>45.3</v>
      </c>
      <c r="BK367" s="125">
        <f>Tabela1[[#This Row],[Pós HCT %]]</f>
        <v>40.799999999999997</v>
      </c>
      <c r="BL367" s="125">
        <f>Tabela1[[#This Row],[Pré MCV fL]]</f>
        <v>84</v>
      </c>
      <c r="BM367" s="125">
        <f>Tabela1[[#This Row],[Pós MCV fL]]</f>
        <v>84.9</v>
      </c>
      <c r="BN367" s="125">
        <f>Tabela1[[#This Row],[Pré MCH pg]]</f>
        <v>26.4</v>
      </c>
      <c r="BO367" s="125">
        <f>Tabela1[[#This Row],[Pós MCH pg]]</f>
        <v>26.7</v>
      </c>
      <c r="BP367" s="125">
        <f>Tabela1[[#This Row],[Pré MCHC g/dL]]</f>
        <v>31.4</v>
      </c>
      <c r="BQ367" s="125">
        <f>Tabela1[[#This Row],[Pós MCHC g/dL]]</f>
        <v>31.5</v>
      </c>
      <c r="BR367" s="85">
        <f>Tabela1[[#This Row],[Pré PLT 10³/mm³]]</f>
        <v>223</v>
      </c>
      <c r="BS367" s="85">
        <f>Tabela1[[#This Row],[Pós PLT 10³/mm³]]</f>
        <v>318</v>
      </c>
      <c r="BT367" s="125">
        <f>Tabela1[[#This Row],[Pré RDW %]]</f>
        <v>12</v>
      </c>
      <c r="BU367" s="125">
        <f>Tabela1[[#This Row],[Pós RDW %]]</f>
        <v>12.3</v>
      </c>
      <c r="BV367" s="179" t="str">
        <f>Tabela1[[#This Row],[Pré RET %]]</f>
        <v>-</v>
      </c>
      <c r="BW367" s="196" t="str">
        <f>Tabela1[[#This Row],[Pós RET %]]</f>
        <v>-</v>
      </c>
      <c r="BX367" s="197">
        <f>Tabela1[[#This Row],[Pré WBC 10³/mm³]]</f>
        <v>7.87</v>
      </c>
      <c r="BY367" s="179">
        <f>Tabela1[[#This Row],[Pós WBC 10³/mm³]]</f>
        <v>12.41</v>
      </c>
      <c r="BZ367" s="125">
        <f>Tabela1[[#This Row],[Pré NEUT %]]</f>
        <v>73.599999999999994</v>
      </c>
      <c r="CA367" s="125">
        <f>Tabela1[[#This Row],[Pós NEUT %]]</f>
        <v>81.400000000000006</v>
      </c>
      <c r="CB367" s="125">
        <f>Tabela1[[#This Row],[Pré LINF %]]</f>
        <v>19.100000000000001</v>
      </c>
      <c r="CC367" s="125">
        <f>Tabela1[[#This Row],[Pós LINF %]]</f>
        <v>12.2</v>
      </c>
      <c r="CD367" s="125">
        <f>Tabela1[[#This Row],[Pré MONO %]]</f>
        <v>6.32</v>
      </c>
      <c r="CE367" s="125">
        <f>Tabela1[[#This Row],[Pós MONO %]]</f>
        <v>5.9</v>
      </c>
      <c r="CF367" s="125">
        <f>Tabela1[[#This Row],[Pré EOS %]]</f>
        <v>0.42099999999999999</v>
      </c>
      <c r="CG367" s="125">
        <f>Tabela1[[#This Row],[Pós EOS %]]</f>
        <v>0.4</v>
      </c>
      <c r="CH367" s="125">
        <f>Tabela1[[#This Row],[Pré BASO %]]</f>
        <v>0.55200000000000005</v>
      </c>
      <c r="CI367" s="198">
        <f>Tabela1[[#This Row],[Pós BASO %]]</f>
        <v>0.1</v>
      </c>
      <c r="CJ367" s="199" t="str">
        <f t="shared" si="21"/>
        <v>SIM</v>
      </c>
      <c r="CK367" s="200" t="str">
        <f t="shared" si="22"/>
        <v>SIM</v>
      </c>
      <c r="CL367" s="194">
        <f t="shared" si="23"/>
        <v>65.795109999999994</v>
      </c>
      <c r="CM367" s="125">
        <f>Tabela1[[#This Row],[MCT KG]]</f>
        <v>75.099999999999994</v>
      </c>
      <c r="CN367" s="85">
        <f>Tabela1[[#This Row],[ESTATURA]]</f>
        <v>170</v>
      </c>
      <c r="CO367" s="85" t="str">
        <f>Tabela1[[#This Row],[vo2max estimado]]</f>
        <v>-</v>
      </c>
      <c r="CP367" s="85">
        <f>Tabela1[[#This Row],[Handgrip     Dominante]]</f>
        <v>48</v>
      </c>
      <c r="CQ367" s="85">
        <f>Tabela1[[#This Row],[Handgrip Contrário]]</f>
        <v>60</v>
      </c>
      <c r="CR367" s="281" t="str">
        <f>Tabela1[[#This Row],[% gordura]]</f>
        <v>12,39</v>
      </c>
    </row>
    <row r="368" spans="1:96" ht="15.75" customHeight="1">
      <c r="A368" s="279">
        <f>Tabela1[[#This Row],[Ano]]</f>
        <v>2023</v>
      </c>
      <c r="B368" s="181" t="str">
        <f>Tabela1[[#This Row],[Missão]]</f>
        <v>CIASC</v>
      </c>
      <c r="C368" s="181">
        <f>Tabela1[[#This Row],[Aluno]]</f>
        <v>3347</v>
      </c>
      <c r="D368" s="181">
        <f>Tabela1[[#This Row],[Idade]]</f>
        <v>28</v>
      </c>
      <c r="E368" s="182">
        <f>Tabela1[[#This Row],[Peso Kg]]</f>
        <v>82.5</v>
      </c>
      <c r="F368" s="191">
        <f>Tabela1[[#This Row],[Cor da pele]]</f>
        <v>2</v>
      </c>
      <c r="G368" s="192" t="str">
        <f>Tabela1[[#This Row],[ACTN3]]</f>
        <v>RR</v>
      </c>
      <c r="H368" s="85" t="str">
        <f>Tabela1[[#This Row],[AGT]]</f>
        <v>TT</v>
      </c>
      <c r="I368" s="85" t="str">
        <f>Tabela1[[#This Row],[ECA]]</f>
        <v>ID</v>
      </c>
      <c r="J368" s="85">
        <f>Tabela1[[#This Row],[BDKRB2]]</f>
        <v>0</v>
      </c>
      <c r="K368" s="85">
        <f>Tabela1[[#This Row],[Score Força%]]</f>
        <v>75</v>
      </c>
      <c r="L368" s="193">
        <f>Tabela1[[#This Row],[Score Resistência %]]</f>
        <v>25</v>
      </c>
      <c r="M368" s="192">
        <f>Tabela1[[#This Row],[Pré CK (U/L)]]</f>
        <v>665</v>
      </c>
      <c r="N368" s="85">
        <f>Tabela1[[#This Row],[Pós CK (U/L)]]</f>
        <v>5503</v>
      </c>
      <c r="O368" s="85" t="str">
        <f>Tabela1[[#This Row],[Pré CK MB U/L]]</f>
        <v>-</v>
      </c>
      <c r="P368" s="85" t="str">
        <f>Tabela1[[#This Row],[Pós CK MB U/L]]</f>
        <v>-</v>
      </c>
      <c r="Q368" s="85">
        <f>Tabela1[[#This Row],[Pré Lactato (mmol/L)]]</f>
        <v>3.1</v>
      </c>
      <c r="R368" s="85">
        <f>Tabela1[[#This Row],[Pós Lactato (mmol/L)]]</f>
        <v>2.7</v>
      </c>
      <c r="S368" s="85">
        <f>Tabela1[[#This Row],[Pré LDH (U/L)]]</f>
        <v>194</v>
      </c>
      <c r="T368" s="85">
        <f>Tabela1[[#This Row],[Pós LDH (U/L)]]</f>
        <v>651</v>
      </c>
      <c r="U368" s="85">
        <f>Tabela1[[#This Row],[Pré AST (U/L)]]</f>
        <v>39</v>
      </c>
      <c r="V368" s="193">
        <f>Tabela1[[#This Row],[Pós AST (U/L)]]</f>
        <v>208</v>
      </c>
      <c r="W368" s="194">
        <f>Tabela1[[#This Row],[Pré Albumina (g/dL)]]</f>
        <v>3.9</v>
      </c>
      <c r="X368" s="125">
        <f>Tabela1[[#This Row],[Pós Albumina (g/dL)]]</f>
        <v>4.5999999999999996</v>
      </c>
      <c r="Y368" s="85">
        <f>Tabela1[[#This Row],[Pré TGP (g/dL)]]</f>
        <v>28</v>
      </c>
      <c r="Z368" s="85">
        <f>Tabela1[[#This Row],[Pós TGP (g/dL)]]</f>
        <v>110</v>
      </c>
      <c r="AA368" s="85">
        <f>Tabela1[[#This Row],[Pré GGT U/L]]</f>
        <v>20</v>
      </c>
      <c r="AB368" s="193">
        <f>Tabela1[[#This Row],[Pós GGT U/L]]</f>
        <v>21</v>
      </c>
      <c r="AC368" s="194">
        <f>Tabela1[[#This Row],[Pré Ac. Úrico (mg/dL)]]</f>
        <v>4.5</v>
      </c>
      <c r="AD368" s="125">
        <f>Tabela1[[#This Row],[Pós Ac. Úrico (mg/dL)2]]</f>
        <v>4.9000000000000004</v>
      </c>
      <c r="AE36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6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127.09189811991408</v>
      </c>
      <c r="AG368" s="85">
        <f>Tabela1[[#This Row],[Pré Ureia mg/dL]]</f>
        <v>37</v>
      </c>
      <c r="AH368" s="85">
        <f>Tabela1[[#This Row],[Pós Ureia mg/dL]]</f>
        <v>47</v>
      </c>
      <c r="AI368" s="125">
        <f>Tabela1[[#This Row],[Pré creatinina mg/dL]]</f>
        <v>0.8</v>
      </c>
      <c r="AJ368" s="125">
        <f>Tabela1[[#This Row],[Pós creatinina mg/dL]]</f>
        <v>0.73</v>
      </c>
      <c r="AK368" s="180">
        <f t="shared" si="20"/>
        <v>0</v>
      </c>
      <c r="AL368" s="125">
        <f>Tabela1[[#This Row],[Pré Fósforo mg/dL]]</f>
        <v>3.5</v>
      </c>
      <c r="AM368" s="125">
        <f>Tabela1[[#This Row],[Pós Fósforo mg/dL]]</f>
        <v>4.0999999999999996</v>
      </c>
      <c r="AN368" s="125">
        <f>Tabela1[[#This Row],[Pré Proteína Total (g/dL)]]</f>
        <v>6.6</v>
      </c>
      <c r="AO368" s="125">
        <f>Tabela1[[#This Row],[Pós Proteína Total (g/dL)]]</f>
        <v>6.9</v>
      </c>
      <c r="AP368" s="85">
        <f>Tabela1[[#This Row],[Pré FE (ug/dL)]]</f>
        <v>34</v>
      </c>
      <c r="AQ368" s="193">
        <f>Tabela1[[#This Row],[Pós FE (ug/dL)]]</f>
        <v>10</v>
      </c>
      <c r="AR368" s="194">
        <f>Tabela1[[#This Row],[Pré calcio mg/dL]]</f>
        <v>7.2</v>
      </c>
      <c r="AS368" s="125">
        <f>Tabela1[[#This Row],[Pós calcio mg/dL]]</f>
        <v>8.8000000000000007</v>
      </c>
      <c r="AT368" s="125">
        <f>Tabela1[[#This Row],[Pré Potássio mmol/L]]</f>
        <v>4.5</v>
      </c>
      <c r="AU368" s="125">
        <f>Tabela1[[#This Row],[Pós Potássio mmol/L]]</f>
        <v>4.4000000000000004</v>
      </c>
      <c r="AV368" s="85">
        <f>Tabela1[[#This Row],[Glicose pré]]</f>
        <v>90</v>
      </c>
      <c r="AW368" s="85">
        <f>Tabela1[[#This Row],[Glicose pós]]</f>
        <v>117</v>
      </c>
      <c r="AX368" s="85">
        <f>Tabela1[[#This Row],[Pré Sódio mmol/L]]</f>
        <v>132</v>
      </c>
      <c r="AY368" s="85">
        <f>Tabela1[[#This Row],[Pós Sódio mmol/L]]</f>
        <v>136</v>
      </c>
      <c r="AZ368" s="125">
        <f>Tabela1[[#This Row],[Pré Magnésio mg/dL]]</f>
        <v>1.8</v>
      </c>
      <c r="BA368" s="125">
        <f>Tabela1[[#This Row],[Pós Magnésio mg/dL]]</f>
        <v>2.1</v>
      </c>
      <c r="BB368" s="85">
        <f>Tabela1[[#This Row],[Pré Cloro mmol/L]]</f>
        <v>101</v>
      </c>
      <c r="BC368" s="85">
        <f>Tabela1[[#This Row],[Pós Cloro mmol/L]]</f>
        <v>101</v>
      </c>
      <c r="BD36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279.80666666666667</v>
      </c>
      <c r="BE36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290.45233333333334</v>
      </c>
      <c r="BF368" s="194">
        <f>Tabela1[[#This Row],[Pré RBC 10^6/mm³]]</f>
        <v>5.22</v>
      </c>
      <c r="BG368" s="125">
        <f>Tabela1[[#This Row],[Pós RBC 10^6/mm³]]</f>
        <v>4.58</v>
      </c>
      <c r="BH368" s="125">
        <f>Tabela1[[#This Row],[Pré HGB g/dL]]</f>
        <v>14.7</v>
      </c>
      <c r="BI368" s="125">
        <f>Tabela1[[#This Row],[Pós HGB g/dL]]</f>
        <v>13.3</v>
      </c>
      <c r="BJ368" s="125">
        <f>Tabela1[[#This Row],[Pré HCT %]]</f>
        <v>45.9</v>
      </c>
      <c r="BK368" s="125">
        <f>Tabela1[[#This Row],[Pós HCT %]]</f>
        <v>40.5</v>
      </c>
      <c r="BL368" s="125">
        <f>Tabela1[[#This Row],[Pré MCV fL]]</f>
        <v>87.8</v>
      </c>
      <c r="BM368" s="125">
        <f>Tabela1[[#This Row],[Pós MCV fL]]</f>
        <v>88.5</v>
      </c>
      <c r="BN368" s="125">
        <f>Tabela1[[#This Row],[Pré MCH pg]]</f>
        <v>28.1</v>
      </c>
      <c r="BO368" s="125">
        <f>Tabela1[[#This Row],[Pós MCH pg]]</f>
        <v>29</v>
      </c>
      <c r="BP368" s="125">
        <f>Tabela1[[#This Row],[Pré MCHC g/dL]]</f>
        <v>32</v>
      </c>
      <c r="BQ368" s="125">
        <f>Tabela1[[#This Row],[Pós MCHC g/dL]]</f>
        <v>32.700000000000003</v>
      </c>
      <c r="BR368" s="85">
        <f>Tabela1[[#This Row],[Pré PLT 10³/mm³]]</f>
        <v>267</v>
      </c>
      <c r="BS368" s="85">
        <f>Tabela1[[#This Row],[Pós PLT 10³/mm³]]</f>
        <v>286</v>
      </c>
      <c r="BT368" s="125">
        <f>Tabela1[[#This Row],[Pré RDW %]]</f>
        <v>12.2</v>
      </c>
      <c r="BU368" s="125">
        <f>Tabela1[[#This Row],[Pós RDW %]]</f>
        <v>12.9</v>
      </c>
      <c r="BV368" s="179" t="str">
        <f>Tabela1[[#This Row],[Pré RET %]]</f>
        <v>-</v>
      </c>
      <c r="BW368" s="196" t="str">
        <f>Tabela1[[#This Row],[Pós RET %]]</f>
        <v>-</v>
      </c>
      <c r="BX368" s="197">
        <f>Tabela1[[#This Row],[Pré WBC 10³/mm³]]</f>
        <v>5.0199999999999996</v>
      </c>
      <c r="BY368" s="179">
        <f>Tabela1[[#This Row],[Pós WBC 10³/mm³]]</f>
        <v>8.18</v>
      </c>
      <c r="BZ368" s="125">
        <f>Tabela1[[#This Row],[Pré NEUT %]]</f>
        <v>59.2</v>
      </c>
      <c r="CA368" s="125">
        <f>Tabela1[[#This Row],[Pós NEUT %]]</f>
        <v>84.1</v>
      </c>
      <c r="CB368" s="125">
        <f>Tabela1[[#This Row],[Pré LINF %]]</f>
        <v>29.2</v>
      </c>
      <c r="CC368" s="125">
        <f>Tabela1[[#This Row],[Pós LINF %]]</f>
        <v>9.6</v>
      </c>
      <c r="CD368" s="125">
        <f>Tabela1[[#This Row],[Pré MONO %]]</f>
        <v>7.36</v>
      </c>
      <c r="CE368" s="125">
        <f>Tabela1[[#This Row],[Pós MONO %]]</f>
        <v>5.5</v>
      </c>
      <c r="CF368" s="125">
        <f>Tabela1[[#This Row],[Pré EOS %]]</f>
        <v>3.47</v>
      </c>
      <c r="CG368" s="125">
        <f>Tabela1[[#This Row],[Pós EOS %]]</f>
        <v>0.5</v>
      </c>
      <c r="CH368" s="125">
        <f>Tabela1[[#This Row],[Pré BASO %]]</f>
        <v>0.88400000000000001</v>
      </c>
      <c r="CI368" s="198">
        <f>Tabela1[[#This Row],[Pós BASO %]]</f>
        <v>0.3</v>
      </c>
      <c r="CJ368" s="199" t="str">
        <f t="shared" si="21"/>
        <v>NÃO</v>
      </c>
      <c r="CK368" s="200" t="str">
        <f t="shared" si="22"/>
        <v>SIM</v>
      </c>
      <c r="CL368" s="194">
        <f t="shared" si="23"/>
        <v>74.264600000000002</v>
      </c>
      <c r="CM368" s="125">
        <f>Tabela1[[#This Row],[MCT KG]]</f>
        <v>82.7</v>
      </c>
      <c r="CN368" s="85">
        <f>Tabela1[[#This Row],[ESTATURA]]</f>
        <v>179.5</v>
      </c>
      <c r="CO368" s="85" t="str">
        <f>Tabela1[[#This Row],[vo2max estimado]]</f>
        <v>50,56</v>
      </c>
      <c r="CP368" s="85">
        <f>Tabela1[[#This Row],[Handgrip     Dominante]]</f>
        <v>58</v>
      </c>
      <c r="CQ368" s="85">
        <f>Tabela1[[#This Row],[Handgrip Contrário]]</f>
        <v>52</v>
      </c>
      <c r="CR368" s="281" t="str">
        <f>Tabela1[[#This Row],[% gordura]]</f>
        <v>10,20</v>
      </c>
    </row>
    <row r="369" spans="1:96" ht="15.75" customHeight="1">
      <c r="A369" s="279">
        <f>Tabela1[[#This Row],[Ano]]</f>
        <v>2023</v>
      </c>
      <c r="B369" s="181" t="str">
        <f>Tabela1[[#This Row],[Missão]]</f>
        <v>CIASC</v>
      </c>
      <c r="C369" s="181">
        <f>Tabela1[[#This Row],[Aluno]]</f>
        <v>3348</v>
      </c>
      <c r="D369" s="181">
        <f>Tabela1[[#This Row],[Idade]]</f>
        <v>29</v>
      </c>
      <c r="E369" s="182">
        <f>Tabela1[[#This Row],[Peso Kg]]</f>
        <v>81.900000000000006</v>
      </c>
      <c r="F369" s="191">
        <f>Tabela1[[#This Row],[Cor da pele]]</f>
        <v>2</v>
      </c>
      <c r="G369" s="192" t="str">
        <f>Tabela1[[#This Row],[ACTN3]]</f>
        <v>RR</v>
      </c>
      <c r="H369" s="85" t="str">
        <f>Tabela1[[#This Row],[AGT]]</f>
        <v>MM</v>
      </c>
      <c r="I369" s="85" t="str">
        <f>Tabela1[[#This Row],[ECA]]</f>
        <v>ID</v>
      </c>
      <c r="J369" s="85" t="str">
        <f>Tabela1[[#This Row],[BDKRB2]]</f>
        <v xml:space="preserve"> +9,+9</v>
      </c>
      <c r="K369" s="85">
        <f>Tabela1[[#This Row],[Score Força%]]</f>
        <v>62.5</v>
      </c>
      <c r="L369" s="193">
        <f>Tabela1[[#This Row],[Score Resistência %]]</f>
        <v>37.5</v>
      </c>
      <c r="M369" s="192">
        <f>Tabela1[[#This Row],[Pré CK (U/L)]]</f>
        <v>140</v>
      </c>
      <c r="N369" s="85">
        <f>Tabela1[[#This Row],[Pós CK (U/L)]]</f>
        <v>1528</v>
      </c>
      <c r="O369" s="85" t="str">
        <f>Tabela1[[#This Row],[Pré CK MB U/L]]</f>
        <v>-</v>
      </c>
      <c r="P369" s="85" t="str">
        <f>Tabela1[[#This Row],[Pós CK MB U/L]]</f>
        <v>-</v>
      </c>
      <c r="Q369" s="85">
        <f>Tabela1[[#This Row],[Pré Lactato (mmol/L)]]</f>
        <v>3.3</v>
      </c>
      <c r="R369" s="85" t="str">
        <f>Tabela1[[#This Row],[Pós Lactato (mmol/L)]]</f>
        <v>-</v>
      </c>
      <c r="S369" s="85">
        <f>Tabela1[[#This Row],[Pré LDH (U/L)]]</f>
        <v>180</v>
      </c>
      <c r="T369" s="85">
        <f>Tabela1[[#This Row],[Pós LDH (U/L)]]</f>
        <v>391</v>
      </c>
      <c r="U369" s="85">
        <f>Tabela1[[#This Row],[Pré AST (U/L)]]</f>
        <v>22</v>
      </c>
      <c r="V369" s="193">
        <f>Tabela1[[#This Row],[Pós AST (U/L)]]</f>
        <v>83</v>
      </c>
      <c r="W369" s="194">
        <f>Tabela1[[#This Row],[Pré Albumina (g/dL)]]</f>
        <v>3.6</v>
      </c>
      <c r="X369" s="125">
        <f>Tabela1[[#This Row],[Pós Albumina (g/dL)]]</f>
        <v>4.5</v>
      </c>
      <c r="Y369" s="85">
        <f>Tabela1[[#This Row],[Pré TGP (g/dL)]]</f>
        <v>19</v>
      </c>
      <c r="Z369" s="85">
        <f>Tabela1[[#This Row],[Pós TGP (g/dL)]]</f>
        <v>73</v>
      </c>
      <c r="AA369" s="85">
        <f>Tabela1[[#This Row],[Pré GGT U/L]]</f>
        <v>12</v>
      </c>
      <c r="AB369" s="193">
        <f>Tabela1[[#This Row],[Pós GGT U/L]]</f>
        <v>15</v>
      </c>
      <c r="AC369" s="194">
        <f>Tabela1[[#This Row],[Pré Ac. Úrico (mg/dL)]]</f>
        <v>3.5</v>
      </c>
      <c r="AD369" s="125">
        <f>Tabela1[[#This Row],[Pós Ac. Úrico (mg/dL)2]]</f>
        <v>4.8</v>
      </c>
      <c r="AE36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36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114.70216226319162</v>
      </c>
      <c r="AG369" s="85">
        <f>Tabela1[[#This Row],[Pré Ureia mg/dL]]</f>
        <v>30</v>
      </c>
      <c r="AH369" s="85">
        <f>Tabela1[[#This Row],[Pós Ureia mg/dL]]</f>
        <v>42</v>
      </c>
      <c r="AI369" s="125">
        <f>Tabela1[[#This Row],[Pré creatinina mg/dL]]</f>
        <v>0.7</v>
      </c>
      <c r="AJ369" s="125">
        <f>Tabela1[[#This Row],[Pós creatinina mg/dL]]</f>
        <v>0.93</v>
      </c>
      <c r="AK369" s="180">
        <f t="shared" si="20"/>
        <v>0.23000000000000009</v>
      </c>
      <c r="AL369" s="125">
        <f>Tabela1[[#This Row],[Pré Fósforo mg/dL]]</f>
        <v>4.0999999999999996</v>
      </c>
      <c r="AM369" s="125">
        <f>Tabela1[[#This Row],[Pós Fósforo mg/dL]]</f>
        <v>4.2</v>
      </c>
      <c r="AN369" s="125">
        <f>Tabela1[[#This Row],[Pré Proteína Total (g/dL)]]</f>
        <v>6.3</v>
      </c>
      <c r="AO369" s="125">
        <f>Tabela1[[#This Row],[Pós Proteína Total (g/dL)]]</f>
        <v>7</v>
      </c>
      <c r="AP369" s="85">
        <f>Tabela1[[#This Row],[Pré FE (ug/dL)]]</f>
        <v>40</v>
      </c>
      <c r="AQ369" s="193">
        <f>Tabela1[[#This Row],[Pós FE (ug/dL)]]</f>
        <v>10</v>
      </c>
      <c r="AR369" s="194">
        <f>Tabela1[[#This Row],[Pré calcio mg/dL]]</f>
        <v>7</v>
      </c>
      <c r="AS369" s="125">
        <f>Tabela1[[#This Row],[Pós calcio mg/dL]]</f>
        <v>8.8000000000000007</v>
      </c>
      <c r="AT369" s="125">
        <f>Tabela1[[#This Row],[Pré Potássio mmol/L]]</f>
        <v>4.5</v>
      </c>
      <c r="AU369" s="125">
        <f>Tabela1[[#This Row],[Pós Potássio mmol/L]]</f>
        <v>4.2</v>
      </c>
      <c r="AV369" s="85">
        <f>Tabela1[[#This Row],[Glicose pré]]</f>
        <v>82</v>
      </c>
      <c r="AW369" s="85">
        <f>Tabela1[[#This Row],[Glicose pós]]</f>
        <v>71</v>
      </c>
      <c r="AX369" s="85">
        <f>Tabela1[[#This Row],[Pré Sódio mmol/L]]</f>
        <v>132</v>
      </c>
      <c r="AY369" s="85">
        <f>Tabela1[[#This Row],[Pós Sódio mmol/L]]</f>
        <v>140</v>
      </c>
      <c r="AZ369" s="125">
        <f>Tabela1[[#This Row],[Pré Magnésio mg/dL]]</f>
        <v>1.7</v>
      </c>
      <c r="BA369" s="125">
        <f>Tabela1[[#This Row],[Pós Magnésio mg/dL]]</f>
        <v>2.2999999999999998</v>
      </c>
      <c r="BB369" s="85">
        <f>Tabela1[[#This Row],[Pré Cloro mmol/L]]</f>
        <v>101</v>
      </c>
      <c r="BC369" s="85">
        <f>Tabela1[[#This Row],[Pós Cloro mmol/L]]</f>
        <v>103</v>
      </c>
      <c r="BD36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278.12888888888892</v>
      </c>
      <c r="BE36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293.74811111111109</v>
      </c>
      <c r="BF369" s="194">
        <f>Tabela1[[#This Row],[Pré RBC 10^6/mm³]]</f>
        <v>5.59</v>
      </c>
      <c r="BG369" s="125">
        <f>Tabela1[[#This Row],[Pós RBC 10^6/mm³]]</f>
        <v>4.8499999999999996</v>
      </c>
      <c r="BH369" s="125">
        <f>Tabela1[[#This Row],[Pré HGB g/dL]]</f>
        <v>15.9</v>
      </c>
      <c r="BI369" s="125">
        <f>Tabela1[[#This Row],[Pós HGB g/dL]]</f>
        <v>14.3</v>
      </c>
      <c r="BJ369" s="125">
        <f>Tabela1[[#This Row],[Pré HCT %]]</f>
        <v>47.8</v>
      </c>
      <c r="BK369" s="125">
        <f>Tabela1[[#This Row],[Pós HCT %]]</f>
        <v>42.7</v>
      </c>
      <c r="BL369" s="125">
        <f>Tabela1[[#This Row],[Pré MCV fL]]</f>
        <v>85.4</v>
      </c>
      <c r="BM369" s="125">
        <f>Tabela1[[#This Row],[Pós MCV fL]]</f>
        <v>88.1</v>
      </c>
      <c r="BN369" s="125">
        <f>Tabela1[[#This Row],[Pré MCH pg]]</f>
        <v>28.4</v>
      </c>
      <c r="BO369" s="125">
        <f>Tabela1[[#This Row],[Pós MCH pg]]</f>
        <v>29.5</v>
      </c>
      <c r="BP369" s="125">
        <f>Tabela1[[#This Row],[Pré MCHC g/dL]]</f>
        <v>33.200000000000003</v>
      </c>
      <c r="BQ369" s="125">
        <f>Tabela1[[#This Row],[Pós MCHC g/dL]]</f>
        <v>33.5</v>
      </c>
      <c r="BR369" s="85">
        <f>Tabela1[[#This Row],[Pré PLT 10³/mm³]]</f>
        <v>212</v>
      </c>
      <c r="BS369" s="85">
        <f>Tabela1[[#This Row],[Pós PLT 10³/mm³]]</f>
        <v>249</v>
      </c>
      <c r="BT369" s="125">
        <f>Tabela1[[#This Row],[Pré RDW %]]</f>
        <v>10.8</v>
      </c>
      <c r="BU369" s="125">
        <f>Tabela1[[#This Row],[Pós RDW %]]</f>
        <v>12.2</v>
      </c>
      <c r="BV369" s="179" t="str">
        <f>Tabela1[[#This Row],[Pré RET %]]</f>
        <v>-</v>
      </c>
      <c r="BW369" s="196" t="str">
        <f>Tabela1[[#This Row],[Pós RET %]]</f>
        <v>-</v>
      </c>
      <c r="BX369" s="197">
        <f>Tabela1[[#This Row],[Pré WBC 10³/mm³]]</f>
        <v>7.01</v>
      </c>
      <c r="BY369" s="179">
        <f>Tabela1[[#This Row],[Pós WBC 10³/mm³]]</f>
        <v>10.24</v>
      </c>
      <c r="BZ369" s="125">
        <f>Tabela1[[#This Row],[Pré NEUT %]]</f>
        <v>63.8</v>
      </c>
      <c r="CA369" s="125">
        <f>Tabela1[[#This Row],[Pós NEUT %]]</f>
        <v>71.2</v>
      </c>
      <c r="CB369" s="125">
        <f>Tabela1[[#This Row],[Pré LINF %]]</f>
        <v>25.3</v>
      </c>
      <c r="CC369" s="125">
        <f>Tabela1[[#This Row],[Pós LINF %]]</f>
        <v>21.1</v>
      </c>
      <c r="CD369" s="125">
        <f>Tabela1[[#This Row],[Pré MONO %]]</f>
        <v>8.56</v>
      </c>
      <c r="CE369" s="125">
        <f>Tabela1[[#This Row],[Pós MONO %]]</f>
        <v>6</v>
      </c>
      <c r="CF369" s="125">
        <f>Tabela1[[#This Row],[Pré EOS %]]</f>
        <v>1.38</v>
      </c>
      <c r="CG369" s="125">
        <f>Tabela1[[#This Row],[Pós EOS %]]</f>
        <v>1.7</v>
      </c>
      <c r="CH369" s="125">
        <f>Tabela1[[#This Row],[Pré BASO %]]</f>
        <v>0.90200000000000002</v>
      </c>
      <c r="CI369" s="198">
        <f>Tabela1[[#This Row],[Pós BASO %]]</f>
        <v>0</v>
      </c>
      <c r="CJ369" s="199" t="str">
        <f t="shared" si="21"/>
        <v>NÃO</v>
      </c>
      <c r="CK369" s="200" t="str">
        <f t="shared" si="22"/>
        <v>SIM</v>
      </c>
      <c r="CL369" s="194">
        <f t="shared" si="23"/>
        <v>70.179900000000004</v>
      </c>
      <c r="CM369" s="125">
        <f>Tabela1[[#This Row],[MCT KG]]</f>
        <v>80.5</v>
      </c>
      <c r="CN369" s="85">
        <f>Tabela1[[#This Row],[ESTATURA]]</f>
        <v>181</v>
      </c>
      <c r="CO369" s="85" t="str">
        <f>Tabela1[[#This Row],[vo2max estimado]]</f>
        <v>51,80</v>
      </c>
      <c r="CP369" s="85">
        <f>Tabela1[[#This Row],[Handgrip     Dominante]]</f>
        <v>60</v>
      </c>
      <c r="CQ369" s="85">
        <f>Tabela1[[#This Row],[Handgrip Contrário]]</f>
        <v>50</v>
      </c>
      <c r="CR369" s="281" t="str">
        <f>Tabela1[[#This Row],[% gordura]]</f>
        <v>12,82</v>
      </c>
    </row>
    <row r="370" spans="1:96" ht="15.75" customHeight="1">
      <c r="A370" s="279">
        <f>Tabela1[[#This Row],[Ano]]</f>
        <v>2023</v>
      </c>
      <c r="B370" s="181" t="str">
        <f>Tabela1[[#This Row],[Missão]]</f>
        <v>CIASC</v>
      </c>
      <c r="C370" s="181">
        <f>Tabela1[[#This Row],[Aluno]]</f>
        <v>3350</v>
      </c>
      <c r="D370" s="181">
        <f>Tabela1[[#This Row],[Idade]]</f>
        <v>29</v>
      </c>
      <c r="E370" s="182">
        <f>Tabela1[[#This Row],[Peso Kg]]</f>
        <v>83.1</v>
      </c>
      <c r="F370" s="191">
        <f>Tabela1[[#This Row],[Cor da pele]]</f>
        <v>2</v>
      </c>
      <c r="G370" s="192" t="str">
        <f>Tabela1[[#This Row],[ACTN3]]</f>
        <v>RR</v>
      </c>
      <c r="H370" s="85" t="str">
        <f>Tabela1[[#This Row],[AGT]]</f>
        <v>TT</v>
      </c>
      <c r="I370" s="85" t="str">
        <f>Tabela1[[#This Row],[ECA]]</f>
        <v>II</v>
      </c>
      <c r="J370" s="85">
        <f>Tabela1[[#This Row],[BDKRB2]]</f>
        <v>0</v>
      </c>
      <c r="K370" s="85">
        <f>Tabela1[[#This Row],[Score Força%]]</f>
        <v>62.5</v>
      </c>
      <c r="L370" s="193">
        <f>Tabela1[[#This Row],[Score Resistência %]]</f>
        <v>37.5</v>
      </c>
      <c r="M370" s="192">
        <f>Tabela1[[#This Row],[Pré CK (U/L)]]</f>
        <v>588</v>
      </c>
      <c r="N370" s="85">
        <f>Tabela1[[#This Row],[Pós CK (U/L)]]</f>
        <v>3543</v>
      </c>
      <c r="O370" s="85" t="str">
        <f>Tabela1[[#This Row],[Pré CK MB U/L]]</f>
        <v>-</v>
      </c>
      <c r="P370" s="85" t="str">
        <f>Tabela1[[#This Row],[Pós CK MB U/L]]</f>
        <v>-</v>
      </c>
      <c r="Q370" s="85">
        <f>Tabela1[[#This Row],[Pré Lactato (mmol/L)]]</f>
        <v>2.8</v>
      </c>
      <c r="R370" s="85">
        <f>Tabela1[[#This Row],[Pós Lactato (mmol/L)]]</f>
        <v>3.4</v>
      </c>
      <c r="S370" s="85">
        <f>Tabela1[[#This Row],[Pré LDH (U/L)]]</f>
        <v>269</v>
      </c>
      <c r="T370" s="85">
        <f>Tabela1[[#This Row],[Pós LDH (U/L)]]</f>
        <v>590</v>
      </c>
      <c r="U370" s="85">
        <f>Tabela1[[#This Row],[Pré AST (U/L)]]</f>
        <v>54</v>
      </c>
      <c r="V370" s="193">
        <f>Tabela1[[#This Row],[Pós AST (U/L)]]</f>
        <v>184</v>
      </c>
      <c r="W370" s="194">
        <f>Tabela1[[#This Row],[Pré Albumina (g/dL)]]</f>
        <v>5.3</v>
      </c>
      <c r="X370" s="125">
        <f>Tabela1[[#This Row],[Pós Albumina (g/dL)]]</f>
        <v>4.4000000000000004</v>
      </c>
      <c r="Y370" s="85">
        <f>Tabela1[[#This Row],[Pré TGP (g/dL)]]</f>
        <v>48</v>
      </c>
      <c r="Z370" s="85">
        <f>Tabela1[[#This Row],[Pós TGP (g/dL)]]</f>
        <v>98</v>
      </c>
      <c r="AA370" s="85">
        <f>Tabela1[[#This Row],[Pré GGT U/L]]</f>
        <v>18</v>
      </c>
      <c r="AB370" s="193">
        <f>Tabela1[[#This Row],[Pós GGT U/L]]</f>
        <v>13</v>
      </c>
      <c r="AC370" s="194">
        <f>Tabela1[[#This Row],[Pré Ac. Úrico (mg/dL)]]</f>
        <v>4.2</v>
      </c>
      <c r="AD370" s="125">
        <f>Tabela1[[#This Row],[Pós Ac. Úrico (mg/dL)2]]</f>
        <v>3.9</v>
      </c>
      <c r="AE37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134.84650417699166</v>
      </c>
      <c r="AF37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131.6259552440923</v>
      </c>
      <c r="AG370" s="85">
        <f>Tabela1[[#This Row],[Pré Ureia mg/dL]]</f>
        <v>43</v>
      </c>
      <c r="AH370" s="85">
        <f>Tabela1[[#This Row],[Pós Ureia mg/dL]]</f>
        <v>40</v>
      </c>
      <c r="AI370" s="125">
        <f>Tabela1[[#This Row],[Pré creatinina mg/dL]]</f>
        <v>0.6</v>
      </c>
      <c r="AJ370" s="125">
        <f>Tabela1[[#This Row],[Pós creatinina mg/dL]]</f>
        <v>0.65</v>
      </c>
      <c r="AK370" s="180">
        <f t="shared" si="20"/>
        <v>5.0000000000000044E-2</v>
      </c>
      <c r="AL370" s="125">
        <f>Tabela1[[#This Row],[Pré Fósforo mg/dL]]</f>
        <v>4.4000000000000004</v>
      </c>
      <c r="AM370" s="125">
        <f>Tabela1[[#This Row],[Pós Fósforo mg/dL]]</f>
        <v>3.3</v>
      </c>
      <c r="AN370" s="125">
        <f>Tabela1[[#This Row],[Pré Proteína Total (g/dL)]]</f>
        <v>8.8000000000000007</v>
      </c>
      <c r="AO370" s="125">
        <f>Tabela1[[#This Row],[Pós Proteína Total (g/dL)]]</f>
        <v>6.8</v>
      </c>
      <c r="AP370" s="85">
        <f>Tabela1[[#This Row],[Pré FE (ug/dL)]]</f>
        <v>26</v>
      </c>
      <c r="AQ370" s="193">
        <f>Tabela1[[#This Row],[Pós FE (ug/dL)]]</f>
        <v>10</v>
      </c>
      <c r="AR370" s="194">
        <f>Tabela1[[#This Row],[Pré calcio mg/dL]]</f>
        <v>8.9</v>
      </c>
      <c r="AS370" s="125">
        <f>Tabela1[[#This Row],[Pós calcio mg/dL]]</f>
        <v>8.6999999999999993</v>
      </c>
      <c r="AT370" s="125">
        <f>Tabela1[[#This Row],[Pré Potássio mmol/L]]</f>
        <v>4.7</v>
      </c>
      <c r="AU370" s="125">
        <f>Tabela1[[#This Row],[Pós Potássio mmol/L]]</f>
        <v>4.0999999999999996</v>
      </c>
      <c r="AV370" s="85">
        <f>Tabela1[[#This Row],[Glicose pré]]</f>
        <v>106</v>
      </c>
      <c r="AW370" s="85">
        <f>Tabela1[[#This Row],[Glicose pós]]</f>
        <v>82</v>
      </c>
      <c r="AX370" s="85">
        <f>Tabela1[[#This Row],[Pré Sódio mmol/L]]</f>
        <v>144</v>
      </c>
      <c r="AY370" s="85">
        <f>Tabela1[[#This Row],[Pós Sódio mmol/L]]</f>
        <v>135</v>
      </c>
      <c r="AZ370" s="125">
        <f>Tabela1[[#This Row],[Pré Magnésio mg/dL]]</f>
        <v>2</v>
      </c>
      <c r="BA370" s="125">
        <f>Tabela1[[#This Row],[Pós Magnésio mg/dL]]</f>
        <v>2.1</v>
      </c>
      <c r="BB370" s="85">
        <f>Tabela1[[#This Row],[Pré Cloro mmol/L]]</f>
        <v>106</v>
      </c>
      <c r="BC370" s="85">
        <f>Tabela1[[#This Row],[Pós Cloro mmol/L]]</f>
        <v>101</v>
      </c>
      <c r="BD37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304.52088888888892</v>
      </c>
      <c r="BE37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284.63155555555556</v>
      </c>
      <c r="BF370" s="194">
        <f>Tabela1[[#This Row],[Pré RBC 10^6/mm³]]</f>
        <v>4.95</v>
      </c>
      <c r="BG370" s="125">
        <f>Tabela1[[#This Row],[Pós RBC 10^6/mm³]]</f>
        <v>4.12</v>
      </c>
      <c r="BH370" s="125">
        <f>Tabela1[[#This Row],[Pré HGB g/dL]]</f>
        <v>14.2</v>
      </c>
      <c r="BI370" s="125">
        <f>Tabela1[[#This Row],[Pós HGB g/dL]]</f>
        <v>11.9</v>
      </c>
      <c r="BJ370" s="125">
        <f>Tabela1[[#This Row],[Pré HCT %]]</f>
        <v>42.9</v>
      </c>
      <c r="BK370" s="125">
        <f>Tabela1[[#This Row],[Pós HCT %]]</f>
        <v>35.9</v>
      </c>
      <c r="BL370" s="125">
        <f>Tabela1[[#This Row],[Pré MCV fL]]</f>
        <v>86.6</v>
      </c>
      <c r="BM370" s="125">
        <f>Tabela1[[#This Row],[Pós MCV fL]]</f>
        <v>87</v>
      </c>
      <c r="BN370" s="125">
        <f>Tabela1[[#This Row],[Pré MCH pg]]</f>
        <v>28.7</v>
      </c>
      <c r="BO370" s="125">
        <f>Tabela1[[#This Row],[Pós MCH pg]]</f>
        <v>29</v>
      </c>
      <c r="BP370" s="125">
        <f>Tabela1[[#This Row],[Pré MCHC g/dL]]</f>
        <v>33.1</v>
      </c>
      <c r="BQ370" s="125">
        <f>Tabela1[[#This Row],[Pós MCHC g/dL]]</f>
        <v>33.299999999999997</v>
      </c>
      <c r="BR370" s="85">
        <f>Tabela1[[#This Row],[Pré PLT 10³/mm³]]</f>
        <v>212</v>
      </c>
      <c r="BS370" s="85">
        <f>Tabela1[[#This Row],[Pós PLT 10³/mm³]]</f>
        <v>343</v>
      </c>
      <c r="BT370" s="125">
        <f>Tabela1[[#This Row],[Pré RDW %]]</f>
        <v>11.6</v>
      </c>
      <c r="BU370" s="125">
        <f>Tabela1[[#This Row],[Pós RDW %]]</f>
        <v>12.7</v>
      </c>
      <c r="BV370" s="179" t="str">
        <f>Tabela1[[#This Row],[Pré RET %]]</f>
        <v>-</v>
      </c>
      <c r="BW370" s="196" t="str">
        <f>Tabela1[[#This Row],[Pós RET %]]</f>
        <v>-</v>
      </c>
      <c r="BX370" s="197">
        <f>Tabela1[[#This Row],[Pré WBC 10³/mm³]]</f>
        <v>6.35</v>
      </c>
      <c r="BY370" s="179">
        <f>Tabela1[[#This Row],[Pós WBC 10³/mm³]]</f>
        <v>11.38</v>
      </c>
      <c r="BZ370" s="125">
        <f>Tabela1[[#This Row],[Pré NEUT %]]</f>
        <v>66.2</v>
      </c>
      <c r="CA370" s="125">
        <f>Tabela1[[#This Row],[Pós NEUT %]]</f>
        <v>72.099999999999994</v>
      </c>
      <c r="CB370" s="125">
        <f>Tabela1[[#This Row],[Pré LINF %]]</f>
        <v>26.1</v>
      </c>
      <c r="CC370" s="125">
        <f>Tabela1[[#This Row],[Pós LINF %]]</f>
        <v>20</v>
      </c>
      <c r="CD370" s="125">
        <f>Tabela1[[#This Row],[Pré MONO %]]</f>
        <v>5.42</v>
      </c>
      <c r="CE370" s="125">
        <f>Tabela1[[#This Row],[Pós MONO %]]</f>
        <v>7</v>
      </c>
      <c r="CF370" s="125">
        <f>Tabela1[[#This Row],[Pré EOS %]]</f>
        <v>1.5</v>
      </c>
      <c r="CG370" s="125">
        <f>Tabela1[[#This Row],[Pós EOS %]]</f>
        <v>0.8</v>
      </c>
      <c r="CH370" s="125">
        <f>Tabela1[[#This Row],[Pré BASO %]]</f>
        <v>0.79400000000000004</v>
      </c>
      <c r="CI370" s="198">
        <f>Tabela1[[#This Row],[Pós BASO %]]</f>
        <v>0</v>
      </c>
      <c r="CJ370" s="199" t="str">
        <f t="shared" si="21"/>
        <v>NÃO</v>
      </c>
      <c r="CK370" s="200" t="str">
        <f t="shared" si="22"/>
        <v>SIM</v>
      </c>
      <c r="CL370" s="194">
        <f t="shared" si="23"/>
        <v>75.160799999999995</v>
      </c>
      <c r="CM370" s="125">
        <f>Tabela1[[#This Row],[MCT KG]]</f>
        <v>85.8</v>
      </c>
      <c r="CN370" s="85">
        <f>Tabela1[[#This Row],[ESTATURA]]</f>
        <v>178</v>
      </c>
      <c r="CO370" s="85" t="str">
        <f>Tabela1[[#This Row],[vo2max estimado]]</f>
        <v>53,41</v>
      </c>
      <c r="CP370" s="85">
        <f>Tabela1[[#This Row],[Handgrip     Dominante]]</f>
        <v>55</v>
      </c>
      <c r="CQ370" s="85">
        <f>Tabela1[[#This Row],[Handgrip Contrário]]</f>
        <v>56</v>
      </c>
      <c r="CR370" s="281" t="str">
        <f>Tabela1[[#This Row],[% gordura]]</f>
        <v>12,40</v>
      </c>
    </row>
    <row r="371" spans="1:96" ht="15.75" customHeight="1">
      <c r="A371" s="279">
        <f>Tabela1[[#This Row],[Ano]]</f>
        <v>2023</v>
      </c>
      <c r="B371" s="181" t="str">
        <f>Tabela1[[#This Row],[Missão]]</f>
        <v>Marambaia</v>
      </c>
      <c r="C371" s="181">
        <f>Tabela1[[#This Row],[Aluno]]</f>
        <v>3261</v>
      </c>
      <c r="D371" s="181" t="str">
        <f>Tabela1[[#This Row],[Idade]]</f>
        <v>-</v>
      </c>
      <c r="E371" s="182">
        <f>Tabela1[[#This Row],[Peso Kg]]</f>
        <v>79.400000000000006</v>
      </c>
      <c r="F371" s="191" t="str">
        <f>Tabela1[[#This Row],[Cor da pele]]</f>
        <v>-</v>
      </c>
      <c r="G371" s="192" t="str">
        <f>Tabela1[[#This Row],[ACTN3]]</f>
        <v>-</v>
      </c>
      <c r="H371" s="85" t="str">
        <f>Tabela1[[#This Row],[AGT]]</f>
        <v>-</v>
      </c>
      <c r="I371" s="85" t="str">
        <f>Tabela1[[#This Row],[ECA]]</f>
        <v>-</v>
      </c>
      <c r="J371" s="85" t="str">
        <f>Tabela1[[#This Row],[BDKRB2]]</f>
        <v>-</v>
      </c>
      <c r="K371" s="85" t="str">
        <f>Tabela1[[#This Row],[Score Força%]]</f>
        <v>-</v>
      </c>
      <c r="L371" s="193" t="str">
        <f>Tabela1[[#This Row],[Score Resistência %]]</f>
        <v>-</v>
      </c>
      <c r="M371" s="192">
        <f>Tabela1[[#This Row],[Pré CK (U/L)]]</f>
        <v>126</v>
      </c>
      <c r="N371" s="85">
        <f>Tabela1[[#This Row],[Pós CK (U/L)]]</f>
        <v>2881</v>
      </c>
      <c r="O371" s="85" t="str">
        <f>Tabela1[[#This Row],[Pré CK MB U/L]]</f>
        <v>-</v>
      </c>
      <c r="P371" s="85" t="str">
        <f>Tabela1[[#This Row],[Pós CK MB U/L]]</f>
        <v>-</v>
      </c>
      <c r="Q371" s="85">
        <f>Tabela1[[#This Row],[Pré Lactato (mmol/L)]]</f>
        <v>45047</v>
      </c>
      <c r="R371" s="85">
        <f>Tabela1[[#This Row],[Pós Lactato (mmol/L)]]</f>
        <v>2.9</v>
      </c>
      <c r="S371" s="85">
        <f>Tabela1[[#This Row],[Pré LDH (U/L)]]</f>
        <v>178</v>
      </c>
      <c r="T371" s="85">
        <f>Tabela1[[#This Row],[Pós LDH (U/L)]]</f>
        <v>277</v>
      </c>
      <c r="U371" s="85">
        <f>Tabela1[[#This Row],[Pré AST (U/L)]]</f>
        <v>41</v>
      </c>
      <c r="V371" s="193">
        <f>Tabela1[[#This Row],[Pós AST (U/L)]]</f>
        <v>142</v>
      </c>
      <c r="W371" s="194">
        <f>Tabela1[[#This Row],[Pré Albumina (g/dL)]]</f>
        <v>4.0999999999999996</v>
      </c>
      <c r="X371" s="125">
        <f>Tabela1[[#This Row],[Pós Albumina (g/dL)]]</f>
        <v>4.4000000000000004</v>
      </c>
      <c r="Y371" s="85">
        <f>Tabela1[[#This Row],[Pré TGP (g/dL)]]</f>
        <v>36</v>
      </c>
      <c r="Z371" s="85">
        <f>Tabela1[[#This Row],[Pós TGP (g/dL)]]</f>
        <v>46</v>
      </c>
      <c r="AA371" s="85">
        <f>Tabela1[[#This Row],[Pré GGT U/L]]</f>
        <v>29</v>
      </c>
      <c r="AB371" s="193">
        <f>Tabela1[[#This Row],[Pós GGT U/L]]</f>
        <v>35</v>
      </c>
      <c r="AC371" s="194">
        <f>Tabela1[[#This Row],[Pré Ac. Úrico (mg/dL)]]</f>
        <v>3.6</v>
      </c>
      <c r="AD371" s="125">
        <f>Tabela1[[#This Row],[Pós Ac. Úrico (mg/dL)2]]</f>
        <v>6.9</v>
      </c>
      <c r="AE37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140.80184963357286</v>
      </c>
      <c r="AF37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110.41438645511042</v>
      </c>
      <c r="AG371" s="85">
        <f>Tabela1[[#This Row],[Pré Ureia mg/dL]]</f>
        <v>35</v>
      </c>
      <c r="AH371" s="85">
        <f>Tabela1[[#This Row],[Pós Ureia mg/dL]]</f>
        <v>75</v>
      </c>
      <c r="AI371" s="125">
        <f>Tabela1[[#This Row],[Pré creatinina mg/dL]]</f>
        <v>0.52</v>
      </c>
      <c r="AJ371" s="125">
        <f>Tabela1[[#This Row],[Pós creatinina mg/dL]]</f>
        <v>0.96</v>
      </c>
      <c r="AK371" s="180">
        <f t="shared" si="20"/>
        <v>0.43999999999999995</v>
      </c>
      <c r="AL371" s="125">
        <f>Tabela1[[#This Row],[Pré Fósforo mg/dL]]</f>
        <v>3.9</v>
      </c>
      <c r="AM371" s="125">
        <f>Tabela1[[#This Row],[Pós Fósforo mg/dL]]</f>
        <v>6.5</v>
      </c>
      <c r="AN371" s="125">
        <f>Tabela1[[#This Row],[Pré Proteína Total (g/dL)]]</f>
        <v>7.5</v>
      </c>
      <c r="AO371" s="125">
        <f>Tabela1[[#This Row],[Pós Proteína Total (g/dL)]]</f>
        <v>7.8</v>
      </c>
      <c r="AP371" s="85">
        <f>Tabela1[[#This Row],[Pré FE (ug/dL)]]</f>
        <v>10</v>
      </c>
      <c r="AQ371" s="193">
        <f>Tabela1[[#This Row],[Pós FE (ug/dL)]]</f>
        <v>10</v>
      </c>
      <c r="AR371" s="194">
        <f>Tabela1[[#This Row],[Pré calcio mg/dL]]</f>
        <v>9.3000000000000007</v>
      </c>
      <c r="AS371" s="125">
        <f>Tabela1[[#This Row],[Pós calcio mg/dL]]</f>
        <v>9.1999999999999993</v>
      </c>
      <c r="AT371" s="125">
        <f>Tabela1[[#This Row],[Pré Potássio mmol/L]]</f>
        <v>4.7</v>
      </c>
      <c r="AU371" s="125">
        <f>Tabela1[[#This Row],[Pós Potássio mmol/L]]</f>
        <v>4.5999999999999996</v>
      </c>
      <c r="AV371" s="85">
        <f>Tabela1[[#This Row],[Glicose pré]]</f>
        <v>105</v>
      </c>
      <c r="AW371" s="85">
        <f>Tabela1[[#This Row],[Glicose pós]]</f>
        <v>88</v>
      </c>
      <c r="AX371" s="85">
        <f>Tabela1[[#This Row],[Pré Sódio mmol/L]]</f>
        <v>139</v>
      </c>
      <c r="AY371" s="85">
        <f>Tabela1[[#This Row],[Pós Sódio mmol/L]]</f>
        <v>137</v>
      </c>
      <c r="AZ371" s="125">
        <f>Tabela1[[#This Row],[Pré Magnésio mg/dL]]</f>
        <v>2.2999999999999998</v>
      </c>
      <c r="BA371" s="125">
        <f>Tabela1[[#This Row],[Pós Magnésio mg/dL]]</f>
        <v>2.2999999999999998</v>
      </c>
      <c r="BB371" s="85">
        <f>Tabela1[[#This Row],[Pré Cloro mmol/L]]</f>
        <v>106</v>
      </c>
      <c r="BC371" s="85">
        <f>Tabela1[[#This Row],[Pós Cloro mmol/L]]</f>
        <v>99</v>
      </c>
      <c r="BD37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293.82366666666661</v>
      </c>
      <c r="BE37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295.49822222222218</v>
      </c>
      <c r="BF371" s="194">
        <f>Tabela1[[#This Row],[Pré RBC 10^6/mm³]]</f>
        <v>4.5199999999999996</v>
      </c>
      <c r="BG371" s="125">
        <f>Tabela1[[#This Row],[Pós RBC 10^6/mm³]]</f>
        <v>4.34</v>
      </c>
      <c r="BH371" s="125">
        <f>Tabela1[[#This Row],[Pré HGB g/dL]]</f>
        <v>13.5</v>
      </c>
      <c r="BI371" s="125">
        <f>Tabela1[[#This Row],[Pós HGB g/dL]]</f>
        <v>12.9</v>
      </c>
      <c r="BJ371" s="125">
        <f>Tabela1[[#This Row],[Pré HCT %]]</f>
        <v>41.7</v>
      </c>
      <c r="BK371" s="125">
        <f>Tabela1[[#This Row],[Pós HCT %]]</f>
        <v>40.4</v>
      </c>
      <c r="BL371" s="125">
        <f>Tabela1[[#This Row],[Pré MCV fL]]</f>
        <v>92.3</v>
      </c>
      <c r="BM371" s="125">
        <f>Tabela1[[#This Row],[Pós MCV fL]]</f>
        <v>93</v>
      </c>
      <c r="BN371" s="125">
        <f>Tabela1[[#This Row],[Pré MCH pg]]</f>
        <v>29.8</v>
      </c>
      <c r="BO371" s="125">
        <f>Tabela1[[#This Row],[Pós MCH pg]]</f>
        <v>29.7</v>
      </c>
      <c r="BP371" s="125">
        <f>Tabela1[[#This Row],[Pré MCHC g/dL]]</f>
        <v>32.299999999999997</v>
      </c>
      <c r="BQ371" s="125">
        <f>Tabela1[[#This Row],[Pós MCHC g/dL]]</f>
        <v>31.9</v>
      </c>
      <c r="BR371" s="85">
        <f>Tabela1[[#This Row],[Pré PLT 10³/mm³]]</f>
        <v>353</v>
      </c>
      <c r="BS371" s="85">
        <f>Tabela1[[#This Row],[Pós PLT 10³/mm³]]</f>
        <v>471</v>
      </c>
      <c r="BT371" s="125">
        <f>Tabela1[[#This Row],[Pré RDW %]]</f>
        <v>12.7</v>
      </c>
      <c r="BU371" s="125">
        <f>Tabela1[[#This Row],[Pós RDW %]]</f>
        <v>13</v>
      </c>
      <c r="BV371" s="179" t="str">
        <f>Tabela1[[#This Row],[Pré RET %]]</f>
        <v>-</v>
      </c>
      <c r="BW371" s="196" t="str">
        <f>Tabela1[[#This Row],[Pós RET %]]</f>
        <v>-</v>
      </c>
      <c r="BX371" s="197">
        <f>Tabela1[[#This Row],[Pré WBC 10³/mm³]]</f>
        <v>8.0500000000000007</v>
      </c>
      <c r="BY371" s="179">
        <f>Tabela1[[#This Row],[Pós WBC 10³/mm³]]</f>
        <v>12.82</v>
      </c>
      <c r="BZ371" s="125">
        <f>Tabela1[[#This Row],[Pré NEUT %]]</f>
        <v>71.400000000000006</v>
      </c>
      <c r="CA371" s="125">
        <f>Tabela1[[#This Row],[Pós NEUT %]]</f>
        <v>74.900000000000006</v>
      </c>
      <c r="CB371" s="125">
        <f>Tabela1[[#This Row],[Pré LINF %]]</f>
        <v>19.7</v>
      </c>
      <c r="CC371" s="125">
        <f>Tabela1[[#This Row],[Pós LINF %]]</f>
        <v>17.5</v>
      </c>
      <c r="CD371" s="125">
        <f>Tabela1[[#This Row],[Pré MONO %]]</f>
        <v>7.2</v>
      </c>
      <c r="CE371" s="125">
        <f>Tabela1[[#This Row],[Pós MONO %]]</f>
        <v>7.3</v>
      </c>
      <c r="CF371" s="125">
        <f>Tabela1[[#This Row],[Pré EOS %]]</f>
        <v>1.3</v>
      </c>
      <c r="CG371" s="125">
        <f>Tabela1[[#This Row],[Pós EOS %]]</f>
        <v>0.1</v>
      </c>
      <c r="CH371" s="125">
        <f>Tabela1[[#This Row],[Pré BASO %]]</f>
        <v>0.4</v>
      </c>
      <c r="CI371" s="198">
        <f>Tabela1[[#This Row],[Pós BASO %]]</f>
        <v>0.2</v>
      </c>
      <c r="CJ371" s="199" t="str">
        <f t="shared" si="21"/>
        <v>SIM</v>
      </c>
      <c r="CK371" s="200" t="str">
        <f t="shared" si="22"/>
        <v>SIM</v>
      </c>
      <c r="CL371" s="194">
        <f t="shared" si="23"/>
        <v>73.156725000000009</v>
      </c>
      <c r="CM371" s="125">
        <f>Tabela1[[#This Row],[MCT KG]]</f>
        <v>81.150000000000006</v>
      </c>
      <c r="CN371" s="85">
        <f>Tabela1[[#This Row],[ESTATURA]]</f>
        <v>178.5</v>
      </c>
      <c r="CO371" s="85" t="str">
        <f>Tabela1[[#This Row],[vo2max estimado]]</f>
        <v>51,41</v>
      </c>
      <c r="CP371" s="85">
        <f>Tabela1[[#This Row],[Handgrip     Dominante]]</f>
        <v>56</v>
      </c>
      <c r="CQ371" s="85">
        <f>Tabela1[[#This Row],[Handgrip Contrário]]</f>
        <v>50</v>
      </c>
      <c r="CR371" s="281" t="str">
        <f>Tabela1[[#This Row],[% gordura]]</f>
        <v>9,85</v>
      </c>
    </row>
    <row r="372" spans="1:96" ht="15.75" customHeight="1">
      <c r="A372" s="279">
        <f>Tabela1[[#This Row],[Ano]]</f>
        <v>2023</v>
      </c>
      <c r="B372" s="181" t="str">
        <f>Tabela1[[#This Row],[Missão]]</f>
        <v>Marambaia</v>
      </c>
      <c r="C372" s="181">
        <f>Tabela1[[#This Row],[Aluno]]</f>
        <v>3262</v>
      </c>
      <c r="D372" s="181">
        <f>Tabela1[[#This Row],[Idade]]</f>
        <v>25</v>
      </c>
      <c r="E372" s="182">
        <f>Tabela1[[#This Row],[Peso Kg]]</f>
        <v>69.8</v>
      </c>
      <c r="F372" s="191">
        <f>Tabela1[[#This Row],[Cor da pele]]</f>
        <v>1</v>
      </c>
      <c r="G372" s="192" t="str">
        <f>Tabela1[[#This Row],[ACTN3]]</f>
        <v>XX</v>
      </c>
      <c r="H372" s="85" t="str">
        <f>Tabela1[[#This Row],[AGT]]</f>
        <v>MM</v>
      </c>
      <c r="I372" s="85" t="str">
        <f>Tabela1[[#This Row],[ECA]]</f>
        <v>ID</v>
      </c>
      <c r="J372" s="85" t="str">
        <f>Tabela1[[#This Row],[BDKRB2]]</f>
        <v xml:space="preserve"> +9,+9</v>
      </c>
      <c r="K372" s="85">
        <f>Tabela1[[#This Row],[Score Força%]]</f>
        <v>37.5</v>
      </c>
      <c r="L372" s="193">
        <f>Tabela1[[#This Row],[Score Resistência %]]</f>
        <v>62.5</v>
      </c>
      <c r="M372" s="192">
        <f>Tabela1[[#This Row],[Pré CK (U/L)]]</f>
        <v>190</v>
      </c>
      <c r="N372" s="85">
        <f>Tabela1[[#This Row],[Pós CK (U/L)]]</f>
        <v>3132</v>
      </c>
      <c r="O372" s="85" t="str">
        <f>Tabela1[[#This Row],[Pré CK MB U/L]]</f>
        <v>-</v>
      </c>
      <c r="P372" s="85" t="str">
        <f>Tabela1[[#This Row],[Pós CK MB U/L]]</f>
        <v>-</v>
      </c>
      <c r="Q372" s="85">
        <f>Tabela1[[#This Row],[Pré Lactato (mmol/L)]]</f>
        <v>1.8</v>
      </c>
      <c r="R372" s="85">
        <f>Tabela1[[#This Row],[Pós Lactato (mmol/L)]]</f>
        <v>3.5</v>
      </c>
      <c r="S372" s="85">
        <f>Tabela1[[#This Row],[Pré LDH (U/L)]]</f>
        <v>259</v>
      </c>
      <c r="T372" s="85">
        <f>Tabela1[[#This Row],[Pós LDH (U/L)]]</f>
        <v>419</v>
      </c>
      <c r="U372" s="85">
        <f>Tabela1[[#This Row],[Pré AST (U/L)]]</f>
        <v>49</v>
      </c>
      <c r="V372" s="193">
        <f>Tabela1[[#This Row],[Pós AST (U/L)]]</f>
        <v>153</v>
      </c>
      <c r="W372" s="194">
        <f>Tabela1[[#This Row],[Pré Albumina (g/dL)]]</f>
        <v>4.4000000000000004</v>
      </c>
      <c r="X372" s="125">
        <f>Tabela1[[#This Row],[Pós Albumina (g/dL)]]</f>
        <v>4.5999999999999996</v>
      </c>
      <c r="Y372" s="85">
        <f>Tabela1[[#This Row],[Pré TGP (g/dL)]]</f>
        <v>41</v>
      </c>
      <c r="Z372" s="85">
        <f>Tabela1[[#This Row],[Pós TGP (g/dL)]]</f>
        <v>59</v>
      </c>
      <c r="AA372" s="85">
        <f>Tabela1[[#This Row],[Pré GGT U/L]]</f>
        <v>25</v>
      </c>
      <c r="AB372" s="193">
        <f>Tabela1[[#This Row],[Pós GGT U/L]]</f>
        <v>27</v>
      </c>
      <c r="AC372" s="194">
        <f>Tabela1[[#This Row],[Pré Ac. Úrico (mg/dL)]]</f>
        <v>3.1</v>
      </c>
      <c r="AD372" s="125">
        <f>Tabela1[[#This Row],[Pós Ac. Úrico (mg/dL)2]]</f>
        <v>5.6</v>
      </c>
      <c r="AE37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135.53269126814061</v>
      </c>
      <c r="AF37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123.16261292672075</v>
      </c>
      <c r="AG372" s="85">
        <f>Tabela1[[#This Row],[Pré Ureia mg/dL]]</f>
        <v>52</v>
      </c>
      <c r="AH372" s="85">
        <f>Tabela1[[#This Row],[Pós Ureia mg/dL]]</f>
        <v>80</v>
      </c>
      <c r="AI372" s="125">
        <f>Tabela1[[#This Row],[Pré creatinina mg/dL]]</f>
        <v>0.59</v>
      </c>
      <c r="AJ372" s="125">
        <f>Tabela1[[#This Row],[Pós creatinina mg/dL]]</f>
        <v>0.81</v>
      </c>
      <c r="AK372" s="180">
        <f t="shared" si="20"/>
        <v>0.22000000000000008</v>
      </c>
      <c r="AL372" s="125">
        <f>Tabela1[[#This Row],[Pré Fósforo mg/dL]]</f>
        <v>4.8</v>
      </c>
      <c r="AM372" s="125">
        <f>Tabela1[[#This Row],[Pós Fósforo mg/dL]]</f>
        <v>5.4</v>
      </c>
      <c r="AN372" s="125">
        <f>Tabela1[[#This Row],[Pré Proteína Total (g/dL)]]</f>
        <v>8.1</v>
      </c>
      <c r="AO372" s="125">
        <f>Tabela1[[#This Row],[Pós Proteína Total (g/dL)]]</f>
        <v>8.3000000000000007</v>
      </c>
      <c r="AP372" s="85">
        <f>Tabela1[[#This Row],[Pré FE (ug/dL)]]</f>
        <v>39</v>
      </c>
      <c r="AQ372" s="193">
        <f>Tabela1[[#This Row],[Pós FE (ug/dL)]]</f>
        <v>10</v>
      </c>
      <c r="AR372" s="194">
        <f>Tabela1[[#This Row],[Pré calcio mg/dL]]</f>
        <v>10</v>
      </c>
      <c r="AS372" s="125">
        <f>Tabela1[[#This Row],[Pós calcio mg/dL]]</f>
        <v>9.9</v>
      </c>
      <c r="AT372" s="125">
        <f>Tabela1[[#This Row],[Pré Potássio mmol/L]]</f>
        <v>5.5</v>
      </c>
      <c r="AU372" s="125">
        <f>Tabela1[[#This Row],[Pós Potássio mmol/L]]</f>
        <v>4.5999999999999996</v>
      </c>
      <c r="AV372" s="85">
        <f>Tabela1[[#This Row],[Glicose pré]]</f>
        <v>101</v>
      </c>
      <c r="AW372" s="85">
        <f>Tabela1[[#This Row],[Glicose pós]]</f>
        <v>111</v>
      </c>
      <c r="AX372" s="85">
        <f>Tabela1[[#This Row],[Pré Sódio mmol/L]]</f>
        <v>138</v>
      </c>
      <c r="AY372" s="85">
        <f>Tabela1[[#This Row],[Pós Sódio mmol/L]]</f>
        <v>140</v>
      </c>
      <c r="AZ372" s="125">
        <f>Tabela1[[#This Row],[Pré Magnésio mg/dL]]</f>
        <v>2</v>
      </c>
      <c r="BA372" s="125">
        <f>Tabela1[[#This Row],[Pós Magnésio mg/dL]]</f>
        <v>2.2000000000000002</v>
      </c>
      <c r="BB372" s="85">
        <f>Tabela1[[#This Row],[Pré Cloro mmol/L]]</f>
        <v>103</v>
      </c>
      <c r="BC372" s="85">
        <f>Tabela1[[#This Row],[Pós Cloro mmol/L]]</f>
        <v>102</v>
      </c>
      <c r="BD37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296.02944444444449</v>
      </c>
      <c r="BE37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303.38099999999997</v>
      </c>
      <c r="BF372" s="194">
        <f>Tabela1[[#This Row],[Pré RBC 10^6/mm³]]</f>
        <v>5.07</v>
      </c>
      <c r="BG372" s="125">
        <f>Tabela1[[#This Row],[Pós RBC 10^6/mm³]]</f>
        <v>4.7</v>
      </c>
      <c r="BH372" s="125">
        <f>Tabela1[[#This Row],[Pré HGB g/dL]]</f>
        <v>15</v>
      </c>
      <c r="BI372" s="125">
        <f>Tabela1[[#This Row],[Pós HGB g/dL]]</f>
        <v>13.9</v>
      </c>
      <c r="BJ372" s="125">
        <f>Tabela1[[#This Row],[Pré HCT %]]</f>
        <v>46.8</v>
      </c>
      <c r="BK372" s="125">
        <f>Tabela1[[#This Row],[Pós HCT %]]</f>
        <v>43.5</v>
      </c>
      <c r="BL372" s="125">
        <f>Tabela1[[#This Row],[Pré MCV fL]]</f>
        <v>92.4</v>
      </c>
      <c r="BM372" s="125">
        <f>Tabela1[[#This Row],[Pós MCV fL]]</f>
        <v>92.5</v>
      </c>
      <c r="BN372" s="125">
        <f>Tabela1[[#This Row],[Pré MCH pg]]</f>
        <v>29.5</v>
      </c>
      <c r="BO372" s="125">
        <f>Tabela1[[#This Row],[Pós MCH pg]]</f>
        <v>29.6</v>
      </c>
      <c r="BP372" s="125">
        <f>Tabela1[[#This Row],[Pré MCHC g/dL]]</f>
        <v>31.9</v>
      </c>
      <c r="BQ372" s="125">
        <f>Tabela1[[#This Row],[Pós MCHC g/dL]]</f>
        <v>32</v>
      </c>
      <c r="BR372" s="85">
        <f>Tabela1[[#This Row],[Pré PLT 10³/mm³]]</f>
        <v>301</v>
      </c>
      <c r="BS372" s="85">
        <f>Tabela1[[#This Row],[Pós PLT 10³/mm³]]</f>
        <v>335</v>
      </c>
      <c r="BT372" s="125">
        <f>Tabela1[[#This Row],[Pré RDW %]]</f>
        <v>12.5</v>
      </c>
      <c r="BU372" s="125">
        <f>Tabela1[[#This Row],[Pós RDW %]]</f>
        <v>12.9</v>
      </c>
      <c r="BV372" s="179" t="str">
        <f>Tabela1[[#This Row],[Pré RET %]]</f>
        <v>-</v>
      </c>
      <c r="BW372" s="196" t="str">
        <f>Tabela1[[#This Row],[Pós RET %]]</f>
        <v>-</v>
      </c>
      <c r="BX372" s="197">
        <f>Tabela1[[#This Row],[Pré WBC 10³/mm³]]</f>
        <v>12.68</v>
      </c>
      <c r="BY372" s="179">
        <f>Tabela1[[#This Row],[Pós WBC 10³/mm³]]</f>
        <v>19.68</v>
      </c>
      <c r="BZ372" s="125">
        <f>Tabela1[[#This Row],[Pré NEUT %]]</f>
        <v>74.7</v>
      </c>
      <c r="CA372" s="125">
        <f>Tabela1[[#This Row],[Pós NEUT %]]</f>
        <v>79.2</v>
      </c>
      <c r="CB372" s="125">
        <f>Tabela1[[#This Row],[Pré LINF %]]</f>
        <v>15.7</v>
      </c>
      <c r="CC372" s="125">
        <f>Tabela1[[#This Row],[Pós LINF %]]</f>
        <v>12</v>
      </c>
      <c r="CD372" s="125">
        <f>Tabela1[[#This Row],[Pré MONO %]]</f>
        <v>8.6</v>
      </c>
      <c r="CE372" s="125">
        <f>Tabela1[[#This Row],[Pós MONO %]]</f>
        <v>8.6999999999999993</v>
      </c>
      <c r="CF372" s="125">
        <f>Tabela1[[#This Row],[Pré EOS %]]</f>
        <v>0.6</v>
      </c>
      <c r="CG372" s="125">
        <f>Tabela1[[#This Row],[Pós EOS %]]</f>
        <v>0</v>
      </c>
      <c r="CH372" s="125">
        <f>Tabela1[[#This Row],[Pré BASO %]]</f>
        <v>0.4</v>
      </c>
      <c r="CI372" s="198">
        <f>Tabela1[[#This Row],[Pós BASO %]]</f>
        <v>0.1</v>
      </c>
      <c r="CJ372" s="199" t="str">
        <f t="shared" si="21"/>
        <v>NÃO</v>
      </c>
      <c r="CK372" s="200" t="str">
        <f t="shared" si="22"/>
        <v>SIM</v>
      </c>
      <c r="CL372" s="194">
        <f t="shared" si="23"/>
        <v>63.201930000000004</v>
      </c>
      <c r="CM372" s="125">
        <f>Tabela1[[#This Row],[MCT KG]]</f>
        <v>75.900000000000006</v>
      </c>
      <c r="CN372" s="85">
        <f>Tabela1[[#This Row],[ESTATURA]]</f>
        <v>179</v>
      </c>
      <c r="CO372" s="85" t="str">
        <f>Tabela1[[#This Row],[vo2max estimado]]</f>
        <v>51,73</v>
      </c>
      <c r="CP372" s="85">
        <f>Tabela1[[#This Row],[Handgrip     Dominante]]</f>
        <v>52</v>
      </c>
      <c r="CQ372" s="85">
        <f>Tabela1[[#This Row],[Handgrip Contrário]]</f>
        <v>58</v>
      </c>
      <c r="CR372" s="281" t="str">
        <f>Tabela1[[#This Row],[% gordura]]</f>
        <v>16,73</v>
      </c>
    </row>
    <row r="373" spans="1:96" ht="15.75" customHeight="1">
      <c r="A373" s="279">
        <f>Tabela1[[#This Row],[Ano]]</f>
        <v>2023</v>
      </c>
      <c r="B373" s="181" t="str">
        <f>Tabela1[[#This Row],[Missão]]</f>
        <v>Marambaia</v>
      </c>
      <c r="C373" s="181">
        <f>Tabela1[[#This Row],[Aluno]]</f>
        <v>3364</v>
      </c>
      <c r="D373" s="181">
        <f>Tabela1[[#This Row],[Idade]]</f>
        <v>27</v>
      </c>
      <c r="E373" s="182">
        <f>Tabela1[[#This Row],[Peso Kg]]</f>
        <v>84.4</v>
      </c>
      <c r="F373" s="191">
        <f>Tabela1[[#This Row],[Cor da pele]]</f>
        <v>2</v>
      </c>
      <c r="G373" s="192" t="str">
        <f>Tabela1[[#This Row],[ACTN3]]</f>
        <v>-</v>
      </c>
      <c r="H373" s="85" t="str">
        <f>Tabela1[[#This Row],[AGT]]</f>
        <v>-</v>
      </c>
      <c r="I373" s="85" t="str">
        <f>Tabela1[[#This Row],[ECA]]</f>
        <v>-</v>
      </c>
      <c r="J373" s="85" t="str">
        <f>Tabela1[[#This Row],[BDKRB2]]</f>
        <v>-</v>
      </c>
      <c r="K373" s="85" t="str">
        <f>Tabela1[[#This Row],[Score Força%]]</f>
        <v>-</v>
      </c>
      <c r="L373" s="193" t="str">
        <f>Tabela1[[#This Row],[Score Resistência %]]</f>
        <v>-</v>
      </c>
      <c r="M373" s="192">
        <f>Tabela1[[#This Row],[Pré CK (U/L)]]</f>
        <v>313</v>
      </c>
      <c r="N373" s="85">
        <f>Tabela1[[#This Row],[Pós CK (U/L)]]</f>
        <v>6717</v>
      </c>
      <c r="O373" s="85" t="str">
        <f>Tabela1[[#This Row],[Pré CK MB U/L]]</f>
        <v>-</v>
      </c>
      <c r="P373" s="85" t="str">
        <f>Tabela1[[#This Row],[Pós CK MB U/L]]</f>
        <v>-</v>
      </c>
      <c r="Q373" s="85">
        <f>Tabela1[[#This Row],[Pré Lactato (mmol/L)]]</f>
        <v>1.8</v>
      </c>
      <c r="R373" s="85">
        <f>Tabela1[[#This Row],[Pós Lactato (mmol/L)]]</f>
        <v>2.8</v>
      </c>
      <c r="S373" s="85">
        <f>Tabela1[[#This Row],[Pré LDH (U/L)]]</f>
        <v>288</v>
      </c>
      <c r="T373" s="85">
        <f>Tabela1[[#This Row],[Pós LDH (U/L)]]</f>
        <v>388</v>
      </c>
      <c r="U373" s="85">
        <f>Tabela1[[#This Row],[Pré AST (U/L)]]</f>
        <v>36</v>
      </c>
      <c r="V373" s="193">
        <f>Tabela1[[#This Row],[Pós AST (U/L)]]</f>
        <v>168</v>
      </c>
      <c r="W373" s="194">
        <f>Tabela1[[#This Row],[Pré Albumina (g/dL)]]</f>
        <v>4.4000000000000004</v>
      </c>
      <c r="X373" s="125">
        <f>Tabela1[[#This Row],[Pós Albumina (g/dL)]]</f>
        <v>4.3</v>
      </c>
      <c r="Y373" s="85">
        <f>Tabela1[[#This Row],[Pré TGP (g/dL)]]</f>
        <v>55</v>
      </c>
      <c r="Z373" s="85">
        <f>Tabela1[[#This Row],[Pós TGP (g/dL)]]</f>
        <v>69</v>
      </c>
      <c r="AA373" s="85">
        <f>Tabela1[[#This Row],[Pré GGT U/L]]</f>
        <v>33</v>
      </c>
      <c r="AB373" s="193">
        <f>Tabela1[[#This Row],[Pós GGT U/L]]</f>
        <v>35</v>
      </c>
      <c r="AC373" s="194">
        <f>Tabela1[[#This Row],[Pré Ac. Úrico (mg/dL)]]</f>
        <v>3.8</v>
      </c>
      <c r="AD373" s="125">
        <f>Tabela1[[#This Row],[Pós Ac. Úrico (mg/dL)2]]</f>
        <v>5.7</v>
      </c>
      <c r="AE37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133.51777285345369</v>
      </c>
      <c r="AF37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121.81731567621033</v>
      </c>
      <c r="AG373" s="85">
        <f>Tabela1[[#This Row],[Pré Ureia mg/dL]]</f>
        <v>61</v>
      </c>
      <c r="AH373" s="85">
        <f>Tabela1[[#This Row],[Pós Ureia mg/dL]]</f>
        <v>67</v>
      </c>
      <c r="AI373" s="125">
        <f>Tabela1[[#This Row],[Pré creatinina mg/dL]]</f>
        <v>0.62</v>
      </c>
      <c r="AJ373" s="125">
        <f>Tabela1[[#This Row],[Pós creatinina mg/dL]]</f>
        <v>0.84</v>
      </c>
      <c r="AK373" s="180">
        <f t="shared" si="20"/>
        <v>0.21999999999999997</v>
      </c>
      <c r="AL373" s="125">
        <f>Tabela1[[#This Row],[Pré Fósforo mg/dL]]</f>
        <v>4</v>
      </c>
      <c r="AM373" s="125">
        <f>Tabela1[[#This Row],[Pós Fósforo mg/dL]]</f>
        <v>4.5999999999999996</v>
      </c>
      <c r="AN373" s="125">
        <f>Tabela1[[#This Row],[Pré Proteína Total (g/dL)]]</f>
        <v>7.1</v>
      </c>
      <c r="AO373" s="125">
        <f>Tabela1[[#This Row],[Pós Proteína Total (g/dL)]]</f>
        <v>7</v>
      </c>
      <c r="AP373" s="85">
        <f>Tabela1[[#This Row],[Pré FE (ug/dL)]]</f>
        <v>44</v>
      </c>
      <c r="AQ373" s="193">
        <f>Tabela1[[#This Row],[Pós FE (ug/dL)]]</f>
        <v>10</v>
      </c>
      <c r="AR373" s="194">
        <f>Tabela1[[#This Row],[Pré calcio mg/dL]]</f>
        <v>9.6999999999999993</v>
      </c>
      <c r="AS373" s="125">
        <f>Tabela1[[#This Row],[Pós calcio mg/dL]]</f>
        <v>9.1</v>
      </c>
      <c r="AT373" s="125">
        <f>Tabela1[[#This Row],[Pré Potássio mmol/L]]</f>
        <v>4.5</v>
      </c>
      <c r="AU373" s="125">
        <f>Tabela1[[#This Row],[Pós Potássio mmol/L]]</f>
        <v>4</v>
      </c>
      <c r="AV373" s="85">
        <f>Tabela1[[#This Row],[Glicose pré]]</f>
        <v>103</v>
      </c>
      <c r="AW373" s="85">
        <f>Tabela1[[#This Row],[Glicose pós]]</f>
        <v>134</v>
      </c>
      <c r="AX373" s="85">
        <f>Tabela1[[#This Row],[Pré Sódio mmol/L]]</f>
        <v>139</v>
      </c>
      <c r="AY373" s="85">
        <f>Tabela1[[#This Row],[Pós Sódio mmol/L]]</f>
        <v>137</v>
      </c>
      <c r="AZ373" s="125">
        <f>Tabela1[[#This Row],[Pré Magnésio mg/dL]]</f>
        <v>2</v>
      </c>
      <c r="BA373" s="125">
        <f>Tabela1[[#This Row],[Pós Magnésio mg/dL]]</f>
        <v>2.2000000000000002</v>
      </c>
      <c r="BB373" s="85">
        <f>Tabela1[[#This Row],[Pré Cloro mmol/L]]</f>
        <v>103</v>
      </c>
      <c r="BC373" s="85">
        <f>Tabela1[[#This Row],[Pós Cloro mmol/L]]</f>
        <v>100</v>
      </c>
      <c r="BD37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297.65722222222229</v>
      </c>
      <c r="BE37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295.98777777777781</v>
      </c>
      <c r="BF373" s="194">
        <f>Tabela1[[#This Row],[Pré RBC 10^6/mm³]]</f>
        <v>4.9800000000000004</v>
      </c>
      <c r="BG373" s="125">
        <f>Tabela1[[#This Row],[Pós RBC 10^6/mm³]]</f>
        <v>4.82</v>
      </c>
      <c r="BH373" s="125">
        <f>Tabela1[[#This Row],[Pré HGB g/dL]]</f>
        <v>15</v>
      </c>
      <c r="BI373" s="125">
        <f>Tabela1[[#This Row],[Pós HGB g/dL]]</f>
        <v>14.4</v>
      </c>
      <c r="BJ373" s="125">
        <f>Tabela1[[#This Row],[Pré HCT %]]</f>
        <v>45.1</v>
      </c>
      <c r="BK373" s="125">
        <f>Tabela1[[#This Row],[Pós HCT %]]</f>
        <v>43.6</v>
      </c>
      <c r="BL373" s="125">
        <f>Tabela1[[#This Row],[Pré MCV fL]]</f>
        <v>90.6</v>
      </c>
      <c r="BM373" s="125">
        <f>Tabela1[[#This Row],[Pós MCV fL]]</f>
        <v>90.6</v>
      </c>
      <c r="BN373" s="125">
        <f>Tabela1[[#This Row],[Pré MCH pg]]</f>
        <v>30.2</v>
      </c>
      <c r="BO373" s="125">
        <f>Tabela1[[#This Row],[Pós MCH pg]]</f>
        <v>29.9</v>
      </c>
      <c r="BP373" s="125">
        <f>Tabela1[[#This Row],[Pré MCHC g/dL]]</f>
        <v>33.299999999999997</v>
      </c>
      <c r="BQ373" s="125">
        <f>Tabela1[[#This Row],[Pós MCHC g/dL]]</f>
        <v>33</v>
      </c>
      <c r="BR373" s="85">
        <f>Tabela1[[#This Row],[Pré PLT 10³/mm³]]</f>
        <v>313</v>
      </c>
      <c r="BS373" s="85">
        <f>Tabela1[[#This Row],[Pós PLT 10³/mm³]]</f>
        <v>346</v>
      </c>
      <c r="BT373" s="125">
        <f>Tabela1[[#This Row],[Pré RDW %]]</f>
        <v>12.8</v>
      </c>
      <c r="BU373" s="125">
        <f>Tabela1[[#This Row],[Pós RDW %]]</f>
        <v>12.8</v>
      </c>
      <c r="BV373" s="179" t="str">
        <f>Tabela1[[#This Row],[Pré RET %]]</f>
        <v>-</v>
      </c>
      <c r="BW373" s="196" t="str">
        <f>Tabela1[[#This Row],[Pós RET %]]</f>
        <v>-</v>
      </c>
      <c r="BX373" s="197">
        <f>Tabela1[[#This Row],[Pré WBC 10³/mm³]]</f>
        <v>8.11</v>
      </c>
      <c r="BY373" s="179">
        <f>Tabela1[[#This Row],[Pós WBC 10³/mm³]]</f>
        <v>13.71</v>
      </c>
      <c r="BZ373" s="125">
        <f>Tabela1[[#This Row],[Pré NEUT %]]</f>
        <v>66.400000000000006</v>
      </c>
      <c r="CA373" s="125">
        <f>Tabela1[[#This Row],[Pós NEUT %]]</f>
        <v>73.7</v>
      </c>
      <c r="CB373" s="125">
        <f>Tabela1[[#This Row],[Pré LINF %]]</f>
        <v>24.3</v>
      </c>
      <c r="CC373" s="125">
        <f>Tabela1[[#This Row],[Pós LINF %]]</f>
        <v>17.5</v>
      </c>
      <c r="CD373" s="125">
        <f>Tabela1[[#This Row],[Pré MONO %]]</f>
        <v>7.7</v>
      </c>
      <c r="CE373" s="125">
        <f>Tabela1[[#This Row],[Pós MONO %]]</f>
        <v>8</v>
      </c>
      <c r="CF373" s="125">
        <f>Tabela1[[#This Row],[Pré EOS %]]</f>
        <v>1.5</v>
      </c>
      <c r="CG373" s="125">
        <f>Tabela1[[#This Row],[Pós EOS %]]</f>
        <v>0.4</v>
      </c>
      <c r="CH373" s="125">
        <f>Tabela1[[#This Row],[Pré BASO %]]</f>
        <v>0.1</v>
      </c>
      <c r="CI373" s="198">
        <f>Tabela1[[#This Row],[Pós BASO %]]</f>
        <v>0.4</v>
      </c>
      <c r="CJ373" s="199" t="str">
        <f t="shared" si="21"/>
        <v>NÃO</v>
      </c>
      <c r="CK373" s="200" t="str">
        <f t="shared" si="22"/>
        <v>SIM</v>
      </c>
      <c r="CL373" s="194">
        <f t="shared" si="23"/>
        <v>76.304699999999997</v>
      </c>
      <c r="CM373" s="125">
        <f>Tabela1[[#This Row],[MCT KG]]</f>
        <v>88.5</v>
      </c>
      <c r="CN373" s="85">
        <f>Tabela1[[#This Row],[ESTATURA]]</f>
        <v>176</v>
      </c>
      <c r="CO373" s="85" t="str">
        <f>Tabela1[[#This Row],[vo2max estimado]]</f>
        <v>51,21</v>
      </c>
      <c r="CP373" s="85">
        <f>Tabela1[[#This Row],[Handgrip     Dominante]]</f>
        <v>80</v>
      </c>
      <c r="CQ373" s="85">
        <f>Tabela1[[#This Row],[Handgrip Contrário]]</f>
        <v>88</v>
      </c>
      <c r="CR373" s="281" t="str">
        <f>Tabela1[[#This Row],[% gordura]]</f>
        <v>13,78</v>
      </c>
    </row>
    <row r="374" spans="1:96" ht="15.75" customHeight="1">
      <c r="A374" s="279">
        <f>Tabela1[[#This Row],[Ano]]</f>
        <v>2023</v>
      </c>
      <c r="B374" s="181" t="str">
        <f>Tabela1[[#This Row],[Missão]]</f>
        <v>Marambaia</v>
      </c>
      <c r="C374" s="181">
        <f>Tabela1[[#This Row],[Aluno]]</f>
        <v>3268</v>
      </c>
      <c r="D374" s="181">
        <f>Tabela1[[#This Row],[Idade]]</f>
        <v>24</v>
      </c>
      <c r="E374" s="182">
        <f>Tabela1[[#This Row],[Peso Kg]]</f>
        <v>74.099999999999994</v>
      </c>
      <c r="F374" s="191">
        <f>Tabela1[[#This Row],[Cor da pele]]</f>
        <v>2</v>
      </c>
      <c r="G374" s="192" t="str">
        <f>Tabela1[[#This Row],[ACTN3]]</f>
        <v>RR</v>
      </c>
      <c r="H374" s="85" t="str">
        <f>Tabela1[[#This Row],[AGT]]</f>
        <v>MT</v>
      </c>
      <c r="I374" s="85" t="str">
        <f>Tabela1[[#This Row],[ECA]]</f>
        <v>ID</v>
      </c>
      <c r="J374" s="85" t="str">
        <f>Tabela1[[#This Row],[BDKRB2]]</f>
        <v>-9,-9</v>
      </c>
      <c r="K374" s="85">
        <f>Tabela1[[#This Row],[Score Força%]]</f>
        <v>50</v>
      </c>
      <c r="L374" s="193">
        <f>Tabela1[[#This Row],[Score Resistência %]]</f>
        <v>50</v>
      </c>
      <c r="M374" s="192">
        <f>Tabela1[[#This Row],[Pré CK (U/L)]]</f>
        <v>405</v>
      </c>
      <c r="N374" s="85">
        <f>Tabela1[[#This Row],[Pós CK (U/L)]]</f>
        <v>38374</v>
      </c>
      <c r="O374" s="85" t="str">
        <f>Tabela1[[#This Row],[Pré CK MB U/L]]</f>
        <v>-</v>
      </c>
      <c r="P374" s="85" t="str">
        <f>Tabela1[[#This Row],[Pós CK MB U/L]]</f>
        <v>-</v>
      </c>
      <c r="Q374" s="85">
        <f>Tabela1[[#This Row],[Pré Lactato (mmol/L)]]</f>
        <v>1.4</v>
      </c>
      <c r="R374" s="85">
        <f>Tabela1[[#This Row],[Pós Lactato (mmol/L)]]</f>
        <v>3.2</v>
      </c>
      <c r="S374" s="85">
        <f>Tabela1[[#This Row],[Pré LDH (U/L)]]</f>
        <v>287</v>
      </c>
      <c r="T374" s="85">
        <f>Tabela1[[#This Row],[Pós LDH (U/L)]]</f>
        <v>971</v>
      </c>
      <c r="U374" s="85">
        <f>Tabela1[[#This Row],[Pré AST (U/L)]]</f>
        <v>60</v>
      </c>
      <c r="V374" s="193">
        <f>Tabela1[[#This Row],[Pós AST (U/L)]]</f>
        <v>657</v>
      </c>
      <c r="W374" s="194">
        <f>Tabela1[[#This Row],[Pré Albumina (g/dL)]]</f>
        <v>4.7</v>
      </c>
      <c r="X374" s="125">
        <f>Tabela1[[#This Row],[Pós Albumina (g/dL)]]</f>
        <v>5.2</v>
      </c>
      <c r="Y374" s="85">
        <f>Tabela1[[#This Row],[Pré TGP (g/dL)]]</f>
        <v>76</v>
      </c>
      <c r="Z374" s="85">
        <f>Tabela1[[#This Row],[Pós TGP (g/dL)]]</f>
        <v>131</v>
      </c>
      <c r="AA374" s="85">
        <f>Tabela1[[#This Row],[Pré GGT U/L]]</f>
        <v>34</v>
      </c>
      <c r="AB374" s="193">
        <f>Tabela1[[#This Row],[Pós GGT U/L]]</f>
        <v>40</v>
      </c>
      <c r="AC374" s="194">
        <f>Tabela1[[#This Row],[Pré Ac. Úrico (mg/dL)]]</f>
        <v>3.7</v>
      </c>
      <c r="AD374" s="125">
        <f>Tabela1[[#This Row],[Pós Ac. Úrico (mg/dL)2]]</f>
        <v>10.5</v>
      </c>
      <c r="AE37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103.88802610002078</v>
      </c>
      <c r="AF37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73.998920648507308</v>
      </c>
      <c r="AG374" s="85">
        <f>Tabela1[[#This Row],[Pré Ureia mg/dL]]</f>
        <v>35</v>
      </c>
      <c r="AH374" s="85">
        <f>Tabela1[[#This Row],[Pós Ureia mg/dL]]</f>
        <v>94</v>
      </c>
      <c r="AI374" s="125">
        <f>Tabela1[[#This Row],[Pré creatinina mg/dL]]</f>
        <v>1.01</v>
      </c>
      <c r="AJ374" s="125">
        <f>Tabela1[[#This Row],[Pós creatinina mg/dL]]</f>
        <v>1.34</v>
      </c>
      <c r="AK374" s="180">
        <f t="shared" si="20"/>
        <v>0.33000000000000007</v>
      </c>
      <c r="AL374" s="125">
        <f>Tabela1[[#This Row],[Pré Fósforo mg/dL]]</f>
        <v>4.5</v>
      </c>
      <c r="AM374" s="125">
        <f>Tabela1[[#This Row],[Pós Fósforo mg/dL]]</f>
        <v>7.3</v>
      </c>
      <c r="AN374" s="125">
        <f>Tabela1[[#This Row],[Pré Proteína Total (g/dL)]]</f>
        <v>7.9</v>
      </c>
      <c r="AO374" s="125">
        <f>Tabela1[[#This Row],[Pós Proteína Total (g/dL)]]</f>
        <v>8.9</v>
      </c>
      <c r="AP374" s="85">
        <f>Tabela1[[#This Row],[Pré FE (ug/dL)]]</f>
        <v>10</v>
      </c>
      <c r="AQ374" s="193">
        <f>Tabela1[[#This Row],[Pós FE (ug/dL)]]</f>
        <v>10</v>
      </c>
      <c r="AR374" s="194">
        <f>Tabela1[[#This Row],[Pré calcio mg/dL]]</f>
        <v>9.8000000000000007</v>
      </c>
      <c r="AS374" s="125">
        <f>Tabela1[[#This Row],[Pós calcio mg/dL]]</f>
        <v>9.4</v>
      </c>
      <c r="AT374" s="125">
        <f>Tabela1[[#This Row],[Pré Potássio mmol/L]]</f>
        <v>4.8</v>
      </c>
      <c r="AU374" s="125">
        <f>Tabela1[[#This Row],[Pós Potássio mmol/L]]</f>
        <v>4.9000000000000004</v>
      </c>
      <c r="AV374" s="85">
        <f>Tabela1[[#This Row],[Glicose pré]]</f>
        <v>102</v>
      </c>
      <c r="AW374" s="85">
        <f>Tabela1[[#This Row],[Glicose pós]]</f>
        <v>92</v>
      </c>
      <c r="AX374" s="85">
        <f>Tabela1[[#This Row],[Pré Sódio mmol/L]]</f>
        <v>137</v>
      </c>
      <c r="AY374" s="85">
        <f>Tabela1[[#This Row],[Pós Sódio mmol/L]]</f>
        <v>137</v>
      </c>
      <c r="AZ374" s="125">
        <f>Tabela1[[#This Row],[Pré Magnésio mg/dL]]</f>
        <v>2.2000000000000002</v>
      </c>
      <c r="BA374" s="125">
        <f>Tabela1[[#This Row],[Pós Magnésio mg/dL]]</f>
        <v>2.4</v>
      </c>
      <c r="BB374" s="85">
        <f>Tabela1[[#This Row],[Pré Cloro mmol/L]]</f>
        <v>103</v>
      </c>
      <c r="BC374" s="85">
        <f>Tabela1[[#This Row],[Pós Cloro mmol/L]]</f>
        <v>100</v>
      </c>
      <c r="BD37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290.09800000000001</v>
      </c>
      <c r="BE37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299.47844444444451</v>
      </c>
      <c r="BF374" s="194">
        <f>Tabela1[[#This Row],[Pré RBC 10^6/mm³]]</f>
        <v>4.55</v>
      </c>
      <c r="BG374" s="125">
        <f>Tabela1[[#This Row],[Pós RBC 10^6/mm³]]</f>
        <v>4.74</v>
      </c>
      <c r="BH374" s="125">
        <f>Tabela1[[#This Row],[Pré HGB g/dL]]</f>
        <v>13.9</v>
      </c>
      <c r="BI374" s="125">
        <f>Tabela1[[#This Row],[Pós HGB g/dL]]</f>
        <v>14.5</v>
      </c>
      <c r="BJ374" s="125">
        <f>Tabela1[[#This Row],[Pré HCT %]]</f>
        <v>42.6</v>
      </c>
      <c r="BK374" s="125">
        <f>Tabela1[[#This Row],[Pós HCT %]]</f>
        <v>44.6</v>
      </c>
      <c r="BL374" s="125">
        <f>Tabela1[[#This Row],[Pré MCV fL]]</f>
        <v>93.6</v>
      </c>
      <c r="BM374" s="125">
        <f>Tabela1[[#This Row],[Pós MCV fL]]</f>
        <v>93.9</v>
      </c>
      <c r="BN374" s="125">
        <f>Tabela1[[#This Row],[Pré MCH pg]]</f>
        <v>30.5</v>
      </c>
      <c r="BO374" s="125">
        <f>Tabela1[[#This Row],[Pós MCH pg]]</f>
        <v>30.5</v>
      </c>
      <c r="BP374" s="125">
        <f>Tabela1[[#This Row],[Pré MCHC g/dL]]</f>
        <v>32.5</v>
      </c>
      <c r="BQ374" s="125">
        <f>Tabela1[[#This Row],[Pós MCHC g/dL]]</f>
        <v>32.4</v>
      </c>
      <c r="BR374" s="85">
        <f>Tabela1[[#This Row],[Pré PLT 10³/mm³]]</f>
        <v>280</v>
      </c>
      <c r="BS374" s="85">
        <f>Tabela1[[#This Row],[Pós PLT 10³/mm³]]</f>
        <v>332</v>
      </c>
      <c r="BT374" s="125">
        <f>Tabela1[[#This Row],[Pré RDW %]]</f>
        <v>12.9</v>
      </c>
      <c r="BU374" s="125">
        <f>Tabela1[[#This Row],[Pós RDW %]]</f>
        <v>13.3</v>
      </c>
      <c r="BV374" s="179" t="str">
        <f>Tabela1[[#This Row],[Pré RET %]]</f>
        <v>-</v>
      </c>
      <c r="BW374" s="196" t="str">
        <f>Tabela1[[#This Row],[Pós RET %]]</f>
        <v>-</v>
      </c>
      <c r="BX374" s="197">
        <f>Tabela1[[#This Row],[Pré WBC 10³/mm³]]</f>
        <v>7.11</v>
      </c>
      <c r="BY374" s="179">
        <f>Tabela1[[#This Row],[Pós WBC 10³/mm³]]</f>
        <v>14.98</v>
      </c>
      <c r="BZ374" s="125">
        <f>Tabela1[[#This Row],[Pré NEUT %]]</f>
        <v>58.1</v>
      </c>
      <c r="CA374" s="125">
        <f>Tabela1[[#This Row],[Pós NEUT %]]</f>
        <v>81.7</v>
      </c>
      <c r="CB374" s="125">
        <f>Tabela1[[#This Row],[Pré LINF %]]</f>
        <v>29.4</v>
      </c>
      <c r="CC374" s="125">
        <f>Tabela1[[#This Row],[Pós LINF %]]</f>
        <v>10</v>
      </c>
      <c r="CD374" s="125">
        <f>Tabela1[[#This Row],[Pré MONO %]]</f>
        <v>8.4</v>
      </c>
      <c r="CE374" s="125">
        <f>Tabela1[[#This Row],[Pós MONO %]]</f>
        <v>8</v>
      </c>
      <c r="CF374" s="125">
        <f>Tabela1[[#This Row],[Pré EOS %]]</f>
        <v>3.4</v>
      </c>
      <c r="CG374" s="125">
        <f>Tabela1[[#This Row],[Pós EOS %]]</f>
        <v>0</v>
      </c>
      <c r="CH374" s="125">
        <f>Tabela1[[#This Row],[Pré BASO %]]</f>
        <v>0.7</v>
      </c>
      <c r="CI374" s="198">
        <f>Tabela1[[#This Row],[Pós BASO %]]</f>
        <v>0.3</v>
      </c>
      <c r="CJ374" s="199" t="str">
        <f t="shared" si="21"/>
        <v>SIM</v>
      </c>
      <c r="CK374" s="200" t="str">
        <f t="shared" si="22"/>
        <v>SIM</v>
      </c>
      <c r="CL374" s="194">
        <f t="shared" si="23"/>
        <v>69.677400000000006</v>
      </c>
      <c r="CM374" s="125">
        <f>Tabela1[[#This Row],[MCT KG]]</f>
        <v>78</v>
      </c>
      <c r="CN374" s="85">
        <f>Tabela1[[#This Row],[ESTATURA]]</f>
        <v>178</v>
      </c>
      <c r="CO374" s="85" t="str">
        <f>Tabela1[[#This Row],[vo2max estimado]]</f>
        <v>52,07</v>
      </c>
      <c r="CP374" s="85">
        <f>Tabela1[[#This Row],[Handgrip     Dominante]]</f>
        <v>56</v>
      </c>
      <c r="CQ374" s="85">
        <f>Tabela1[[#This Row],[Handgrip Contrário]]</f>
        <v>56</v>
      </c>
      <c r="CR374" s="281" t="str">
        <f>Tabela1[[#This Row],[% gordura]]</f>
        <v>10,67</v>
      </c>
    </row>
    <row r="375" spans="1:96" ht="15.75" customHeight="1">
      <c r="A375" s="279">
        <f>Tabela1[[#This Row],[Ano]]</f>
        <v>2023</v>
      </c>
      <c r="B375" s="181" t="str">
        <f>Tabela1[[#This Row],[Missão]]</f>
        <v>Marambaia</v>
      </c>
      <c r="C375" s="181">
        <f>Tabela1[[#This Row],[Aluno]]</f>
        <v>3374</v>
      </c>
      <c r="D375" s="181">
        <f>Tabela1[[#This Row],[Idade]]</f>
        <v>34</v>
      </c>
      <c r="E375" s="182">
        <f>Tabela1[[#This Row],[Peso Kg]]</f>
        <v>77.2</v>
      </c>
      <c r="F375" s="191">
        <f>Tabela1[[#This Row],[Cor da pele]]</f>
        <v>1</v>
      </c>
      <c r="G375" s="192" t="str">
        <f>Tabela1[[#This Row],[ACTN3]]</f>
        <v>-</v>
      </c>
      <c r="H375" s="85" t="str">
        <f>Tabela1[[#This Row],[AGT]]</f>
        <v>-</v>
      </c>
      <c r="I375" s="85" t="str">
        <f>Tabela1[[#This Row],[ECA]]</f>
        <v>-</v>
      </c>
      <c r="J375" s="85" t="str">
        <f>Tabela1[[#This Row],[BDKRB2]]</f>
        <v>-</v>
      </c>
      <c r="K375" s="85" t="str">
        <f>Tabela1[[#This Row],[Score Força%]]</f>
        <v>-</v>
      </c>
      <c r="L375" s="193" t="str">
        <f>Tabela1[[#This Row],[Score Resistência %]]</f>
        <v>-</v>
      </c>
      <c r="M375" s="192">
        <f>Tabela1[[#This Row],[Pré CK (U/L)]]</f>
        <v>223</v>
      </c>
      <c r="N375" s="85">
        <f>Tabela1[[#This Row],[Pós CK (U/L)]]</f>
        <v>2770</v>
      </c>
      <c r="O375" s="85" t="str">
        <f>Tabela1[[#This Row],[Pré CK MB U/L]]</f>
        <v>-</v>
      </c>
      <c r="P375" s="85" t="str">
        <f>Tabela1[[#This Row],[Pós CK MB U/L]]</f>
        <v>-</v>
      </c>
      <c r="Q375" s="85">
        <f>Tabela1[[#This Row],[Pré Lactato (mmol/L)]]</f>
        <v>1.6</v>
      </c>
      <c r="R375" s="85">
        <f>Tabela1[[#This Row],[Pós Lactato (mmol/L)]]</f>
        <v>2.9</v>
      </c>
      <c r="S375" s="85">
        <f>Tabela1[[#This Row],[Pré LDH (U/L)]]</f>
        <v>202</v>
      </c>
      <c r="T375" s="85">
        <f>Tabela1[[#This Row],[Pós LDH (U/L)]]</f>
        <v>306</v>
      </c>
      <c r="U375" s="85">
        <f>Tabela1[[#This Row],[Pré AST (U/L)]]</f>
        <v>58</v>
      </c>
      <c r="V375" s="193">
        <f>Tabela1[[#This Row],[Pós AST (U/L)]]</f>
        <v>186</v>
      </c>
      <c r="W375" s="194">
        <f>Tabela1[[#This Row],[Pré Albumina (g/dL)]]</f>
        <v>3.8</v>
      </c>
      <c r="X375" s="125">
        <f>Tabela1[[#This Row],[Pós Albumina (g/dL)]]</f>
        <v>4.2</v>
      </c>
      <c r="Y375" s="85">
        <f>Tabela1[[#This Row],[Pré TGP (g/dL)]]</f>
        <v>56</v>
      </c>
      <c r="Z375" s="85">
        <f>Tabela1[[#This Row],[Pós TGP (g/dL)]]</f>
        <v>92</v>
      </c>
      <c r="AA375" s="85">
        <f>Tabela1[[#This Row],[Pré GGT U/L]]</f>
        <v>22</v>
      </c>
      <c r="AB375" s="193">
        <f>Tabela1[[#This Row],[Pós GGT U/L]]</f>
        <v>26</v>
      </c>
      <c r="AC375" s="194">
        <f>Tabela1[[#This Row],[Pré Ac. Úrico (mg/dL)]]</f>
        <v>3.9</v>
      </c>
      <c r="AD375" s="125">
        <f>Tabela1[[#This Row],[Pós Ac. Úrico (mg/dL)2]]</f>
        <v>5.4</v>
      </c>
      <c r="AE37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136.23419053853141</v>
      </c>
      <c r="AF37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127.62241419356421</v>
      </c>
      <c r="AG375" s="85">
        <f>Tabela1[[#This Row],[Pré Ureia mg/dL]]</f>
        <v>56</v>
      </c>
      <c r="AH375" s="85">
        <f>Tabela1[[#This Row],[Pós Ureia mg/dL]]</f>
        <v>68</v>
      </c>
      <c r="AI375" s="125">
        <f>Tabela1[[#This Row],[Pré creatinina mg/dL]]</f>
        <v>0.57999999999999996</v>
      </c>
      <c r="AJ375" s="125">
        <f>Tabela1[[#This Row],[Pós creatinina mg/dL]]</f>
        <v>0.72</v>
      </c>
      <c r="AK375" s="180">
        <f t="shared" si="20"/>
        <v>0.14000000000000001</v>
      </c>
      <c r="AL375" s="125">
        <f>Tabela1[[#This Row],[Pré Fósforo mg/dL]]</f>
        <v>3.7</v>
      </c>
      <c r="AM375" s="125">
        <f>Tabela1[[#This Row],[Pós Fósforo mg/dL]]</f>
        <v>4.5999999999999996</v>
      </c>
      <c r="AN375" s="125">
        <f>Tabela1[[#This Row],[Pré Proteína Total (g/dL)]]</f>
        <v>6.6</v>
      </c>
      <c r="AO375" s="125">
        <f>Tabela1[[#This Row],[Pós Proteína Total (g/dL)]]</f>
        <v>7.1</v>
      </c>
      <c r="AP375" s="85">
        <f>Tabela1[[#This Row],[Pré FE (ug/dL)]]</f>
        <v>10</v>
      </c>
      <c r="AQ375" s="193">
        <f>Tabela1[[#This Row],[Pós FE (ug/dL)]]</f>
        <v>10</v>
      </c>
      <c r="AR375" s="194">
        <f>Tabela1[[#This Row],[Pré calcio mg/dL]]</f>
        <v>9</v>
      </c>
      <c r="AS375" s="125">
        <f>Tabela1[[#This Row],[Pós calcio mg/dL]]</f>
        <v>8.9</v>
      </c>
      <c r="AT375" s="125">
        <f>Tabela1[[#This Row],[Pré Potássio mmol/L]]</f>
        <v>4.7</v>
      </c>
      <c r="AU375" s="125">
        <f>Tabela1[[#This Row],[Pós Potássio mmol/L]]</f>
        <v>4.0999999999999996</v>
      </c>
      <c r="AV375" s="85">
        <f>Tabela1[[#This Row],[Glicose pré]]</f>
        <v>93</v>
      </c>
      <c r="AW375" s="85">
        <f>Tabela1[[#This Row],[Glicose pós]]</f>
        <v>109</v>
      </c>
      <c r="AX375" s="85">
        <f>Tabela1[[#This Row],[Pré Sódio mmol/L]]</f>
        <v>139</v>
      </c>
      <c r="AY375" s="85">
        <f>Tabela1[[#This Row],[Pós Sódio mmol/L]]</f>
        <v>138</v>
      </c>
      <c r="AZ375" s="125">
        <f>Tabela1[[#This Row],[Pré Magnésio mg/dL]]</f>
        <v>2</v>
      </c>
      <c r="BA375" s="125">
        <f>Tabela1[[#This Row],[Pós Magnésio mg/dL]]</f>
        <v>2.2999999999999998</v>
      </c>
      <c r="BB375" s="85">
        <f>Tabela1[[#This Row],[Pré Cloro mmol/L]]</f>
        <v>108</v>
      </c>
      <c r="BC375" s="85">
        <f>Tabela1[[#This Row],[Pós Cloro mmol/L]]</f>
        <v>103</v>
      </c>
      <c r="BD37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296.55699999999996</v>
      </c>
      <c r="BE37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296.6032222222222</v>
      </c>
      <c r="BF375" s="194">
        <f>Tabela1[[#This Row],[Pré RBC 10^6/mm³]]</f>
        <v>4.82</v>
      </c>
      <c r="BG375" s="125">
        <f>Tabela1[[#This Row],[Pós RBC 10^6/mm³]]</f>
        <v>5.17</v>
      </c>
      <c r="BH375" s="125">
        <f>Tabela1[[#This Row],[Pré HGB g/dL]]</f>
        <v>11</v>
      </c>
      <c r="BI375" s="125">
        <f>Tabela1[[#This Row],[Pós HGB g/dL]]</f>
        <v>12</v>
      </c>
      <c r="BJ375" s="125">
        <f>Tabela1[[#This Row],[Pré HCT %]]</f>
        <v>35.799999999999997</v>
      </c>
      <c r="BK375" s="125">
        <f>Tabela1[[#This Row],[Pós HCT %]]</f>
        <v>38.6</v>
      </c>
      <c r="BL375" s="125">
        <f>Tabela1[[#This Row],[Pré MCV fL]]</f>
        <v>74.3</v>
      </c>
      <c r="BM375" s="125">
        <f>Tabela1[[#This Row],[Pós MCV fL]]</f>
        <v>74.8</v>
      </c>
      <c r="BN375" s="125">
        <f>Tabela1[[#This Row],[Pré MCH pg]]</f>
        <v>22.8</v>
      </c>
      <c r="BO375" s="125">
        <f>Tabela1[[#This Row],[Pós MCH pg]]</f>
        <v>23.1</v>
      </c>
      <c r="BP375" s="125">
        <f>Tabela1[[#This Row],[Pré MCHC g/dL]]</f>
        <v>30.7</v>
      </c>
      <c r="BQ375" s="125">
        <f>Tabela1[[#This Row],[Pós MCHC g/dL]]</f>
        <v>30.9</v>
      </c>
      <c r="BR375" s="85">
        <f>Tabela1[[#This Row],[Pré PLT 10³/mm³]]</f>
        <v>312</v>
      </c>
      <c r="BS375" s="85">
        <f>Tabela1[[#This Row],[Pós PLT 10³/mm³]]</f>
        <v>330</v>
      </c>
      <c r="BT375" s="125">
        <f>Tabela1[[#This Row],[Pré RDW %]]</f>
        <v>12.6</v>
      </c>
      <c r="BU375" s="125">
        <f>Tabela1[[#This Row],[Pós RDW %]]</f>
        <v>13.1</v>
      </c>
      <c r="BV375" s="179" t="str">
        <f>Tabela1[[#This Row],[Pré RET %]]</f>
        <v>-</v>
      </c>
      <c r="BW375" s="196" t="str">
        <f>Tabela1[[#This Row],[Pós RET %]]</f>
        <v>-</v>
      </c>
      <c r="BX375" s="197">
        <f>Tabela1[[#This Row],[Pré WBC 10³/mm³]]</f>
        <v>10.16</v>
      </c>
      <c r="BY375" s="179">
        <f>Tabela1[[#This Row],[Pós WBC 10³/mm³]]</f>
        <v>15.42</v>
      </c>
      <c r="BZ375" s="125">
        <f>Tabela1[[#This Row],[Pré NEUT %]]</f>
        <v>67.099999999999994</v>
      </c>
      <c r="CA375" s="125">
        <f>Tabela1[[#This Row],[Pós NEUT %]]</f>
        <v>75.3</v>
      </c>
      <c r="CB375" s="125">
        <f>Tabela1[[#This Row],[Pré LINF %]]</f>
        <v>20.100000000000001</v>
      </c>
      <c r="CC375" s="125">
        <f>Tabela1[[#This Row],[Pós LINF %]]</f>
        <v>14.7</v>
      </c>
      <c r="CD375" s="125">
        <f>Tabela1[[#This Row],[Pré MONO %]]</f>
        <v>8</v>
      </c>
      <c r="CE375" s="125">
        <f>Tabela1[[#This Row],[Pós MONO %]]</f>
        <v>7.4</v>
      </c>
      <c r="CF375" s="125">
        <f>Tabela1[[#This Row],[Pré EOS %]]</f>
        <v>4.5</v>
      </c>
      <c r="CG375" s="125">
        <f>Tabela1[[#This Row],[Pós EOS %]]</f>
        <v>2.4</v>
      </c>
      <c r="CH375" s="125">
        <f>Tabela1[[#This Row],[Pré BASO %]]</f>
        <v>0.3</v>
      </c>
      <c r="CI375" s="198">
        <f>Tabela1[[#This Row],[Pós BASO %]]</f>
        <v>0.2</v>
      </c>
      <c r="CJ375" s="199" t="str">
        <f t="shared" si="21"/>
        <v>NÃO</v>
      </c>
      <c r="CK375" s="200" t="str">
        <f t="shared" si="22"/>
        <v>SIM</v>
      </c>
      <c r="CL375" s="194">
        <f t="shared" si="23"/>
        <v>65.063019999999995</v>
      </c>
      <c r="CM375" s="125">
        <f>Tabela1[[#This Row],[MCT KG]]</f>
        <v>81.400000000000006</v>
      </c>
      <c r="CN375" s="85">
        <f>Tabela1[[#This Row],[ESTATURA]]</f>
        <v>178.5</v>
      </c>
      <c r="CO375" s="85" t="str">
        <f>Tabela1[[#This Row],[vo2max estimado]]</f>
        <v>47,31</v>
      </c>
      <c r="CP375" s="85">
        <f>Tabela1[[#This Row],[Handgrip     Dominante]]</f>
        <v>52</v>
      </c>
      <c r="CQ375" s="85">
        <f>Tabela1[[#This Row],[Handgrip Contrário]]</f>
        <v>52</v>
      </c>
      <c r="CR375" s="281" t="str">
        <f>Tabela1[[#This Row],[% gordura]]</f>
        <v>20,07</v>
      </c>
    </row>
    <row r="376" spans="1:96" ht="15.75" customHeight="1">
      <c r="A376" s="279">
        <f>Tabela1[[#This Row],[Ano]]</f>
        <v>2023</v>
      </c>
      <c r="B376" s="181" t="str">
        <f>Tabela1[[#This Row],[Missão]]</f>
        <v>Marambaia</v>
      </c>
      <c r="C376" s="181">
        <f>Tabela1[[#This Row],[Aluno]]</f>
        <v>3277</v>
      </c>
      <c r="D376" s="181">
        <f>Tabela1[[#This Row],[Idade]]</f>
        <v>32</v>
      </c>
      <c r="E376" s="182">
        <f>Tabela1[[#This Row],[Peso Kg]]</f>
        <v>73.400000000000006</v>
      </c>
      <c r="F376" s="191">
        <f>Tabela1[[#This Row],[Cor da pele]]</f>
        <v>2</v>
      </c>
      <c r="G376" s="192" t="str">
        <f>Tabela1[[#This Row],[ACTN3]]</f>
        <v>RR</v>
      </c>
      <c r="H376" s="85" t="str">
        <f>Tabela1[[#This Row],[AGT]]</f>
        <v>MT</v>
      </c>
      <c r="I376" s="85" t="str">
        <f>Tabela1[[#This Row],[ECA]]</f>
        <v>II</v>
      </c>
      <c r="J376" s="85" t="str">
        <f>Tabela1[[#This Row],[BDKRB2]]</f>
        <v xml:space="preserve"> +9,+9</v>
      </c>
      <c r="K376" s="85">
        <f>Tabela1[[#This Row],[Score Força%]]</f>
        <v>62.5</v>
      </c>
      <c r="L376" s="193">
        <f>Tabela1[[#This Row],[Score Resistência %]]</f>
        <v>37.5</v>
      </c>
      <c r="M376" s="192">
        <f>Tabela1[[#This Row],[Pré CK (U/L)]]</f>
        <v>294</v>
      </c>
      <c r="N376" s="85">
        <f>Tabela1[[#This Row],[Pós CK (U/L)]]</f>
        <v>1480</v>
      </c>
      <c r="O376" s="85" t="str">
        <f>Tabela1[[#This Row],[Pré CK MB U/L]]</f>
        <v>-</v>
      </c>
      <c r="P376" s="85" t="str">
        <f>Tabela1[[#This Row],[Pós CK MB U/L]]</f>
        <v>-</v>
      </c>
      <c r="Q376" s="85">
        <f>Tabela1[[#This Row],[Pré Lactato (mmol/L)]]</f>
        <v>2.1</v>
      </c>
      <c r="R376" s="85">
        <f>Tabela1[[#This Row],[Pós Lactato (mmol/L)]]</f>
        <v>2.1</v>
      </c>
      <c r="S376" s="85">
        <f>Tabela1[[#This Row],[Pré LDH (U/L)]]</f>
        <v>210</v>
      </c>
      <c r="T376" s="85">
        <f>Tabela1[[#This Row],[Pós LDH (U/L)]]</f>
        <v>307</v>
      </c>
      <c r="U376" s="85">
        <f>Tabela1[[#This Row],[Pré AST (U/L)]]</f>
        <v>48</v>
      </c>
      <c r="V376" s="193">
        <f>Tabela1[[#This Row],[Pós AST (U/L)]]</f>
        <v>98</v>
      </c>
      <c r="W376" s="194">
        <f>Tabela1[[#This Row],[Pré Albumina (g/dL)]]</f>
        <v>4.0999999999999996</v>
      </c>
      <c r="X376" s="125">
        <f>Tabela1[[#This Row],[Pós Albumina (g/dL)]]</f>
        <v>4.0999999999999996</v>
      </c>
      <c r="Y376" s="85">
        <f>Tabela1[[#This Row],[Pré TGP (g/dL)]]</f>
        <v>36</v>
      </c>
      <c r="Z376" s="85">
        <f>Tabela1[[#This Row],[Pós TGP (g/dL)]]</f>
        <v>42</v>
      </c>
      <c r="AA376" s="85">
        <f>Tabela1[[#This Row],[Pré GGT U/L]]</f>
        <v>19</v>
      </c>
      <c r="AB376" s="193">
        <f>Tabela1[[#This Row],[Pós GGT U/L]]</f>
        <v>19</v>
      </c>
      <c r="AC376" s="194">
        <f>Tabela1[[#This Row],[Pré Ac. Úrico (mg/dL)]]</f>
        <v>3.7</v>
      </c>
      <c r="AD376" s="125">
        <f>Tabela1[[#This Row],[Pós Ac. Úrico (mg/dL)2]]</f>
        <v>5</v>
      </c>
      <c r="AE37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133.51777285345369</v>
      </c>
      <c r="AF37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126.0587127925829</v>
      </c>
      <c r="AG376" s="85">
        <f>Tabela1[[#This Row],[Pré Ureia mg/dL]]</f>
        <v>38</v>
      </c>
      <c r="AH376" s="85">
        <f>Tabela1[[#This Row],[Pós Ureia mg/dL]]</f>
        <v>66</v>
      </c>
      <c r="AI376" s="125">
        <f>Tabela1[[#This Row],[Pré creatinina mg/dL]]</f>
        <v>0.62</v>
      </c>
      <c r="AJ376" s="125">
        <f>Tabela1[[#This Row],[Pós creatinina mg/dL]]</f>
        <v>0.75</v>
      </c>
      <c r="AK376" s="180">
        <f t="shared" si="20"/>
        <v>0.13</v>
      </c>
      <c r="AL376" s="125">
        <f>Tabela1[[#This Row],[Pré Fósforo mg/dL]]</f>
        <v>3.6</v>
      </c>
      <c r="AM376" s="125">
        <f>Tabela1[[#This Row],[Pós Fósforo mg/dL]]</f>
        <v>4</v>
      </c>
      <c r="AN376" s="125">
        <f>Tabela1[[#This Row],[Pré Proteína Total (g/dL)]]</f>
        <v>7.3</v>
      </c>
      <c r="AO376" s="125">
        <f>Tabela1[[#This Row],[Pós Proteína Total (g/dL)]]</f>
        <v>7.3</v>
      </c>
      <c r="AP376" s="85">
        <f>Tabela1[[#This Row],[Pré FE (ug/dL)]]</f>
        <v>10</v>
      </c>
      <c r="AQ376" s="193">
        <f>Tabela1[[#This Row],[Pós FE (ug/dL)]]</f>
        <v>10</v>
      </c>
      <c r="AR376" s="194">
        <f>Tabela1[[#This Row],[Pré calcio mg/dL]]</f>
        <v>9.6</v>
      </c>
      <c r="AS376" s="125">
        <f>Tabela1[[#This Row],[Pós calcio mg/dL]]</f>
        <v>9.3000000000000007</v>
      </c>
      <c r="AT376" s="125">
        <f>Tabela1[[#This Row],[Pré Potássio mmol/L]]</f>
        <v>4.9000000000000004</v>
      </c>
      <c r="AU376" s="125">
        <f>Tabela1[[#This Row],[Pós Potássio mmol/L]]</f>
        <v>4.3</v>
      </c>
      <c r="AV376" s="85">
        <f>Tabela1[[#This Row],[Glicose pré]]</f>
        <v>83</v>
      </c>
      <c r="AW376" s="85">
        <f>Tabela1[[#This Row],[Glicose pós]]</f>
        <v>81</v>
      </c>
      <c r="AX376" s="85">
        <f>Tabela1[[#This Row],[Pré Sódio mmol/L]]</f>
        <v>140</v>
      </c>
      <c r="AY376" s="85">
        <f>Tabela1[[#This Row],[Pós Sódio mmol/L]]</f>
        <v>139</v>
      </c>
      <c r="AZ376" s="125">
        <f>Tabela1[[#This Row],[Pré Magnésio mg/dL]]</f>
        <v>2.2999999999999998</v>
      </c>
      <c r="BA376" s="125">
        <f>Tabela1[[#This Row],[Pós Magnésio mg/dL]]</f>
        <v>2.4</v>
      </c>
      <c r="BB376" s="85">
        <f>Tabela1[[#This Row],[Pré Cloro mmol/L]]</f>
        <v>105</v>
      </c>
      <c r="BC376" s="85">
        <f>Tabela1[[#This Row],[Pós Cloro mmol/L]]</f>
        <v>102</v>
      </c>
      <c r="BD37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295.15011111111113</v>
      </c>
      <c r="BE37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296.71300000000002</v>
      </c>
      <c r="BF376" s="194">
        <f>Tabela1[[#This Row],[Pré RBC 10^6/mm³]]</f>
        <v>4.67</v>
      </c>
      <c r="BG376" s="125">
        <f>Tabela1[[#This Row],[Pós RBC 10^6/mm³]]</f>
        <v>4.5</v>
      </c>
      <c r="BH376" s="125">
        <f>Tabela1[[#This Row],[Pré HGB g/dL]]</f>
        <v>13.1</v>
      </c>
      <c r="BI376" s="125">
        <f>Tabela1[[#This Row],[Pós HGB g/dL]]</f>
        <v>12.5</v>
      </c>
      <c r="BJ376" s="125">
        <f>Tabela1[[#This Row],[Pré HCT %]]</f>
        <v>39.9</v>
      </c>
      <c r="BK376" s="125">
        <f>Tabela1[[#This Row],[Pós HCT %]]</f>
        <v>39.299999999999997</v>
      </c>
      <c r="BL376" s="125">
        <f>Tabela1[[#This Row],[Pré MCV fL]]</f>
        <v>85.3</v>
      </c>
      <c r="BM376" s="125">
        <f>Tabela1[[#This Row],[Pós MCV fL]]</f>
        <v>87.2</v>
      </c>
      <c r="BN376" s="125">
        <f>Tabela1[[#This Row],[Pré MCH pg]]</f>
        <v>28</v>
      </c>
      <c r="BO376" s="125">
        <f>Tabela1[[#This Row],[Pós MCH pg]]</f>
        <v>27.7</v>
      </c>
      <c r="BP376" s="125">
        <f>Tabela1[[#This Row],[Pré MCHC g/dL]]</f>
        <v>32.799999999999997</v>
      </c>
      <c r="BQ376" s="125">
        <f>Tabela1[[#This Row],[Pós MCHC g/dL]]</f>
        <v>31.8</v>
      </c>
      <c r="BR376" s="85">
        <f>Tabela1[[#This Row],[Pré PLT 10³/mm³]]</f>
        <v>320</v>
      </c>
      <c r="BS376" s="85">
        <f>Tabela1[[#This Row],[Pós PLT 10³/mm³]]</f>
        <v>330</v>
      </c>
      <c r="BT376" s="125">
        <f>Tabela1[[#This Row],[Pré RDW %]]</f>
        <v>14.2</v>
      </c>
      <c r="BU376" s="125">
        <f>Tabela1[[#This Row],[Pós RDW %]]</f>
        <v>14.6</v>
      </c>
      <c r="BV376" s="179" t="str">
        <f>Tabela1[[#This Row],[Pré RET %]]</f>
        <v>-</v>
      </c>
      <c r="BW376" s="196" t="str">
        <f>Tabela1[[#This Row],[Pós RET %]]</f>
        <v>-</v>
      </c>
      <c r="BX376" s="197">
        <f>Tabela1[[#This Row],[Pré WBC 10³/mm³]]</f>
        <v>7.61</v>
      </c>
      <c r="BY376" s="179">
        <f>Tabela1[[#This Row],[Pós WBC 10³/mm³]]</f>
        <v>11.67</v>
      </c>
      <c r="BZ376" s="125">
        <f>Tabela1[[#This Row],[Pré NEUT %]]</f>
        <v>76</v>
      </c>
      <c r="CA376" s="125">
        <f>Tabela1[[#This Row],[Pós NEUT %]]</f>
        <v>72.7</v>
      </c>
      <c r="CB376" s="125">
        <f>Tabela1[[#This Row],[Pré LINF %]]</f>
        <v>16.399999999999999</v>
      </c>
      <c r="CC376" s="125">
        <f>Tabela1[[#This Row],[Pós LINF %]]</f>
        <v>17.899999999999999</v>
      </c>
      <c r="CD376" s="125">
        <f>Tabela1[[#This Row],[Pré MONO %]]</f>
        <v>6.7</v>
      </c>
      <c r="CE376" s="125">
        <f>Tabela1[[#This Row],[Pós MONO %]]</f>
        <v>9</v>
      </c>
      <c r="CF376" s="125">
        <f>Tabela1[[#This Row],[Pré EOS %]]</f>
        <v>0.6</v>
      </c>
      <c r="CG376" s="125">
        <f>Tabela1[[#This Row],[Pós EOS %]]</f>
        <v>0.2</v>
      </c>
      <c r="CH376" s="125">
        <f>Tabela1[[#This Row],[Pré BASO %]]</f>
        <v>0.3</v>
      </c>
      <c r="CI376" s="198">
        <f>Tabela1[[#This Row],[Pós BASO %]]</f>
        <v>0.2</v>
      </c>
      <c r="CJ376" s="199" t="str">
        <f t="shared" si="21"/>
        <v>NÃO</v>
      </c>
      <c r="CK376" s="200" t="str">
        <f t="shared" si="22"/>
        <v>SIM</v>
      </c>
      <c r="CL376" s="194">
        <f t="shared" si="23"/>
        <v>67.988160000000008</v>
      </c>
      <c r="CM376" s="125">
        <f>Tabela1[[#This Row],[MCT KG]]</f>
        <v>77.400000000000006</v>
      </c>
      <c r="CN376" s="85">
        <f>Tabela1[[#This Row],[ESTATURA]]</f>
        <v>172</v>
      </c>
      <c r="CO376" s="85" t="str">
        <f>Tabela1[[#This Row],[vo2max estimado]]</f>
        <v>50,97</v>
      </c>
      <c r="CP376" s="85">
        <f>Tabela1[[#This Row],[Handgrip     Dominante]]</f>
        <v>52</v>
      </c>
      <c r="CQ376" s="85">
        <f>Tabela1[[#This Row],[Handgrip Contrário]]</f>
        <v>56</v>
      </c>
      <c r="CR376" s="281" t="str">
        <f>Tabela1[[#This Row],[% gordura]]</f>
        <v>12,16</v>
      </c>
    </row>
    <row r="377" spans="1:96" ht="15.75" customHeight="1">
      <c r="A377" s="279">
        <f>Tabela1[[#This Row],[Ano]]</f>
        <v>2023</v>
      </c>
      <c r="B377" s="181" t="str">
        <f>Tabela1[[#This Row],[Missão]]</f>
        <v>Marambaia</v>
      </c>
      <c r="C377" s="181">
        <f>Tabela1[[#This Row],[Aluno]]</f>
        <v>3282</v>
      </c>
      <c r="D377" s="181">
        <f>Tabela1[[#This Row],[Idade]]</f>
        <v>34</v>
      </c>
      <c r="E377" s="182">
        <f>Tabela1[[#This Row],[Peso Kg]]</f>
        <v>74.3</v>
      </c>
      <c r="F377" s="191">
        <f>Tabela1[[#This Row],[Cor da pele]]</f>
        <v>2</v>
      </c>
      <c r="G377" s="192" t="str">
        <f>Tabela1[[#This Row],[ACTN3]]</f>
        <v>RX</v>
      </c>
      <c r="H377" s="85" t="str">
        <f>Tabela1[[#This Row],[AGT]]</f>
        <v>TT</v>
      </c>
      <c r="I377" s="85" t="str">
        <f>Tabela1[[#This Row],[ECA]]</f>
        <v>ID</v>
      </c>
      <c r="J377" s="85" t="str">
        <f>Tabela1[[#This Row],[BDKRB2]]</f>
        <v xml:space="preserve"> +9,+9</v>
      </c>
      <c r="K377" s="85">
        <f>Tabela1[[#This Row],[Score Força%]]</f>
        <v>75</v>
      </c>
      <c r="L377" s="193">
        <f>Tabela1[[#This Row],[Score Resistência %]]</f>
        <v>25</v>
      </c>
      <c r="M377" s="192">
        <f>Tabela1[[#This Row],[Pré CK (U/L)]]</f>
        <v>288</v>
      </c>
      <c r="N377" s="85">
        <f>Tabela1[[#This Row],[Pós CK (U/L)]]</f>
        <v>45036</v>
      </c>
      <c r="O377" s="85" t="str">
        <f>Tabela1[[#This Row],[Pré CK MB U/L]]</f>
        <v>-</v>
      </c>
      <c r="P377" s="85" t="str">
        <f>Tabela1[[#This Row],[Pós CK MB U/L]]</f>
        <v>-</v>
      </c>
      <c r="Q377" s="85">
        <f>Tabela1[[#This Row],[Pré Lactato (mmol/L)]]</f>
        <v>2.4</v>
      </c>
      <c r="R377" s="85">
        <f>Tabela1[[#This Row],[Pós Lactato (mmol/L)]]</f>
        <v>2</v>
      </c>
      <c r="S377" s="85">
        <f>Tabela1[[#This Row],[Pré LDH (U/L)]]</f>
        <v>339</v>
      </c>
      <c r="T377" s="85">
        <f>Tabela1[[#This Row],[Pós LDH (U/L)]]</f>
        <v>1183</v>
      </c>
      <c r="U377" s="85">
        <f>Tabela1[[#This Row],[Pré AST (U/L)]]</f>
        <v>55</v>
      </c>
      <c r="V377" s="193">
        <f>Tabela1[[#This Row],[Pós AST (U/L)]]</f>
        <v>1736</v>
      </c>
      <c r="W377" s="194">
        <f>Tabela1[[#This Row],[Pré Albumina (g/dL)]]</f>
        <v>4.3</v>
      </c>
      <c r="X377" s="125">
        <f>Tabela1[[#This Row],[Pós Albumina (g/dL)]]</f>
        <v>4.4000000000000004</v>
      </c>
      <c r="Y377" s="85">
        <f>Tabela1[[#This Row],[Pré TGP (g/dL)]]</f>
        <v>67</v>
      </c>
      <c r="Z377" s="85">
        <f>Tabela1[[#This Row],[Pós TGP (g/dL)]]</f>
        <v>215</v>
      </c>
      <c r="AA377" s="85">
        <f>Tabela1[[#This Row],[Pré GGT U/L]]</f>
        <v>90</v>
      </c>
      <c r="AB377" s="193">
        <f>Tabela1[[#This Row],[Pós GGT U/L]]</f>
        <v>80</v>
      </c>
      <c r="AC377" s="194">
        <f>Tabela1[[#This Row],[Pré Ac. Úrico (mg/dL)]]</f>
        <v>4.0999999999999996</v>
      </c>
      <c r="AD377" s="125">
        <f>Tabela1[[#This Row],[Pós Ac. Úrico (mg/dL)2]]</f>
        <v>7</v>
      </c>
      <c r="AE37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138.43689102469844</v>
      </c>
      <c r="AF37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85.328633273985091</v>
      </c>
      <c r="AG377" s="85">
        <f>Tabela1[[#This Row],[Pré Ureia mg/dL]]</f>
        <v>28</v>
      </c>
      <c r="AH377" s="85">
        <f>Tabela1[[#This Row],[Pós Ureia mg/dL]]</f>
        <v>46</v>
      </c>
      <c r="AI377" s="125">
        <f>Tabela1[[#This Row],[Pré creatinina mg/dL]]</f>
        <v>0.55000000000000004</v>
      </c>
      <c r="AJ377" s="125">
        <f>Tabela1[[#This Row],[Pós creatinina mg/dL]]</f>
        <v>1.19</v>
      </c>
      <c r="AK377" s="180">
        <f t="shared" si="20"/>
        <v>0.6399999999999999</v>
      </c>
      <c r="AL377" s="125">
        <f>Tabela1[[#This Row],[Pré Fósforo mg/dL]]</f>
        <v>3.6</v>
      </c>
      <c r="AM377" s="125">
        <f>Tabela1[[#This Row],[Pós Fósforo mg/dL]]</f>
        <v>4.8</v>
      </c>
      <c r="AN377" s="125">
        <f>Tabela1[[#This Row],[Pré Proteína Total (g/dL)]]</f>
        <v>7.3</v>
      </c>
      <c r="AO377" s="125">
        <f>Tabela1[[#This Row],[Pós Proteína Total (g/dL)]]</f>
        <v>7.2</v>
      </c>
      <c r="AP377" s="85">
        <f>Tabela1[[#This Row],[Pré FE (ug/dL)]]</f>
        <v>10</v>
      </c>
      <c r="AQ377" s="193">
        <f>Tabela1[[#This Row],[Pós FE (ug/dL)]]</f>
        <v>10</v>
      </c>
      <c r="AR377" s="194">
        <f>Tabela1[[#This Row],[Pré calcio mg/dL]]</f>
        <v>9.6</v>
      </c>
      <c r="AS377" s="125">
        <f>Tabela1[[#This Row],[Pós calcio mg/dL]]</f>
        <v>9.3000000000000007</v>
      </c>
      <c r="AT377" s="125">
        <f>Tabela1[[#This Row],[Pré Potássio mmol/L]]</f>
        <v>4.4000000000000004</v>
      </c>
      <c r="AU377" s="125">
        <f>Tabela1[[#This Row],[Pós Potássio mmol/L]]</f>
        <v>4</v>
      </c>
      <c r="AV377" s="85">
        <f>Tabela1[[#This Row],[Glicose pré]]</f>
        <v>98</v>
      </c>
      <c r="AW377" s="85">
        <f>Tabela1[[#This Row],[Glicose pós]]</f>
        <v>98</v>
      </c>
      <c r="AX377" s="85">
        <f>Tabela1[[#This Row],[Pré Sódio mmol/L]]</f>
        <v>139</v>
      </c>
      <c r="AY377" s="85">
        <f>Tabela1[[#This Row],[Pós Sódio mmol/L]]</f>
        <v>136</v>
      </c>
      <c r="AZ377" s="125">
        <f>Tabela1[[#This Row],[Pré Magnésio mg/dL]]</f>
        <v>2</v>
      </c>
      <c r="BA377" s="125">
        <f>Tabela1[[#This Row],[Pós Magnésio mg/dL]]</f>
        <v>1.9</v>
      </c>
      <c r="BB377" s="85">
        <f>Tabela1[[#This Row],[Pré Cloro mmol/L]]</f>
        <v>104</v>
      </c>
      <c r="BC377" s="85">
        <f>Tabela1[[#This Row],[Pós Cloro mmol/L]]</f>
        <v>100</v>
      </c>
      <c r="BD37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291.65177777777785</v>
      </c>
      <c r="BE37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288.32777777777784</v>
      </c>
      <c r="BF377" s="194">
        <f>Tabela1[[#This Row],[Pré RBC 10^6/mm³]]</f>
        <v>5.18</v>
      </c>
      <c r="BG377" s="125">
        <f>Tabela1[[#This Row],[Pós RBC 10^6/mm³]]</f>
        <v>5.03</v>
      </c>
      <c r="BH377" s="125">
        <f>Tabela1[[#This Row],[Pré HGB g/dL]]</f>
        <v>14.2</v>
      </c>
      <c r="BI377" s="125">
        <f>Tabela1[[#This Row],[Pós HGB g/dL]]</f>
        <v>13.7</v>
      </c>
      <c r="BJ377" s="125">
        <f>Tabela1[[#This Row],[Pré HCT %]]</f>
        <v>44.2</v>
      </c>
      <c r="BK377" s="125">
        <f>Tabela1[[#This Row],[Pós HCT %]]</f>
        <v>43.1</v>
      </c>
      <c r="BL377" s="125">
        <f>Tabela1[[#This Row],[Pré MCV fL]]</f>
        <v>85.3</v>
      </c>
      <c r="BM377" s="125">
        <f>Tabela1[[#This Row],[Pós MCV fL]]</f>
        <v>85.6</v>
      </c>
      <c r="BN377" s="125">
        <f>Tabela1[[#This Row],[Pré MCH pg]]</f>
        <v>27.4</v>
      </c>
      <c r="BO377" s="125">
        <f>Tabela1[[#This Row],[Pós MCH pg]]</f>
        <v>27.2</v>
      </c>
      <c r="BP377" s="125">
        <f>Tabela1[[#This Row],[Pré MCHC g/dL]]</f>
        <v>32.1</v>
      </c>
      <c r="BQ377" s="125">
        <f>Tabela1[[#This Row],[Pós MCHC g/dL]]</f>
        <v>31.8</v>
      </c>
      <c r="BR377" s="85">
        <f>Tabela1[[#This Row],[Pré PLT 10³/mm³]]</f>
        <v>251</v>
      </c>
      <c r="BS377" s="85">
        <f>Tabela1[[#This Row],[Pós PLT 10³/mm³]]</f>
        <v>267</v>
      </c>
      <c r="BT377" s="125">
        <f>Tabela1[[#This Row],[Pré RDW %]]</f>
        <v>14.2</v>
      </c>
      <c r="BU377" s="125">
        <f>Tabela1[[#This Row],[Pós RDW %]]</f>
        <v>14.8</v>
      </c>
      <c r="BV377" s="179" t="str">
        <f>Tabela1[[#This Row],[Pré RET %]]</f>
        <v>-</v>
      </c>
      <c r="BW377" s="196" t="str">
        <f>Tabela1[[#This Row],[Pós RET %]]</f>
        <v>-</v>
      </c>
      <c r="BX377" s="197">
        <f>Tabela1[[#This Row],[Pré WBC 10³/mm³]]</f>
        <v>10.53</v>
      </c>
      <c r="BY377" s="179">
        <f>Tabela1[[#This Row],[Pós WBC 10³/mm³]]</f>
        <v>11.51</v>
      </c>
      <c r="BZ377" s="125">
        <f>Tabela1[[#This Row],[Pré NEUT %]]</f>
        <v>70.400000000000006</v>
      </c>
      <c r="CA377" s="125">
        <f>Tabela1[[#This Row],[Pós NEUT %]]</f>
        <v>79.2</v>
      </c>
      <c r="CB377" s="125">
        <f>Tabela1[[#This Row],[Pré LINF %]]</f>
        <v>17.3</v>
      </c>
      <c r="CC377" s="125">
        <f>Tabela1[[#This Row],[Pós LINF %]]</f>
        <v>12.9</v>
      </c>
      <c r="CD377" s="125">
        <f>Tabela1[[#This Row],[Pré MONO %]]</f>
        <v>11.3</v>
      </c>
      <c r="CE377" s="125">
        <f>Tabela1[[#This Row],[Pós MONO %]]</f>
        <v>7.4</v>
      </c>
      <c r="CF377" s="125">
        <f>Tabela1[[#This Row],[Pré EOS %]]</f>
        <v>0.9</v>
      </c>
      <c r="CG377" s="125">
        <f>Tabela1[[#This Row],[Pós EOS %]]</f>
        <v>0.4</v>
      </c>
      <c r="CH377" s="125">
        <f>Tabela1[[#This Row],[Pré BASO %]]</f>
        <v>0.1</v>
      </c>
      <c r="CI377" s="198">
        <f>Tabela1[[#This Row],[Pós BASO %]]</f>
        <v>0.4</v>
      </c>
      <c r="CJ377" s="199" t="str">
        <f t="shared" si="21"/>
        <v>SIM</v>
      </c>
      <c r="CK377" s="200" t="str">
        <f t="shared" si="22"/>
        <v>SIM</v>
      </c>
      <c r="CL377" s="194">
        <f t="shared" si="23"/>
        <v>64.173225000000002</v>
      </c>
      <c r="CM377" s="125">
        <f>Tabela1[[#This Row],[MCT KG]]</f>
        <v>84.25</v>
      </c>
      <c r="CN377" s="85">
        <f>Tabela1[[#This Row],[ESTATURA]]</f>
        <v>177</v>
      </c>
      <c r="CO377" s="85" t="str">
        <f>Tabela1[[#This Row],[vo2max estimado]]</f>
        <v>48,78</v>
      </c>
      <c r="CP377" s="85" t="str">
        <f>Tabela1[[#This Row],[Handgrip     Dominante]]</f>
        <v>-</v>
      </c>
      <c r="CQ377" s="85" t="str">
        <f>Tabela1[[#This Row],[Handgrip Contrário]]</f>
        <v>-</v>
      </c>
      <c r="CR377" s="281" t="str">
        <f>Tabela1[[#This Row],[% gordura]]</f>
        <v>23,83</v>
      </c>
    </row>
    <row r="378" spans="1:96" ht="15.75" customHeight="1">
      <c r="A378" s="279">
        <f>Tabela1[[#This Row],[Ano]]</f>
        <v>2023</v>
      </c>
      <c r="B378" s="181" t="str">
        <f>Tabela1[[#This Row],[Missão]]</f>
        <v>Marambaia</v>
      </c>
      <c r="C378" s="181">
        <f>Tabela1[[#This Row],[Aluno]]</f>
        <v>3283</v>
      </c>
      <c r="D378" s="181">
        <f>Tabela1[[#This Row],[Idade]]</f>
        <v>33</v>
      </c>
      <c r="E378" s="182">
        <f>Tabela1[[#This Row],[Peso Kg]]</f>
        <v>66.2</v>
      </c>
      <c r="F378" s="191">
        <f>Tabela1[[#This Row],[Cor da pele]]</f>
        <v>2</v>
      </c>
      <c r="G378" s="192" t="str">
        <f>Tabela1[[#This Row],[ACTN3]]</f>
        <v>RR</v>
      </c>
      <c r="H378" s="85" t="str">
        <f>Tabela1[[#This Row],[AGT]]</f>
        <v>TT</v>
      </c>
      <c r="I378" s="85" t="str">
        <f>Tabela1[[#This Row],[ECA]]</f>
        <v>ID</v>
      </c>
      <c r="J378" s="85">
        <f>Tabela1[[#This Row],[BDKRB2]]</f>
        <v>0</v>
      </c>
      <c r="K378" s="85">
        <f>Tabela1[[#This Row],[Score Força%]]</f>
        <v>75</v>
      </c>
      <c r="L378" s="193">
        <f>Tabela1[[#This Row],[Score Resistência %]]</f>
        <v>25</v>
      </c>
      <c r="M378" s="192">
        <f>Tabela1[[#This Row],[Pré CK (U/L)]]</f>
        <v>366</v>
      </c>
      <c r="N378" s="85">
        <f>Tabela1[[#This Row],[Pós CK (U/L)]]</f>
        <v>17059</v>
      </c>
      <c r="O378" s="85" t="str">
        <f>Tabela1[[#This Row],[Pré CK MB U/L]]</f>
        <v>-</v>
      </c>
      <c r="P378" s="85" t="str">
        <f>Tabela1[[#This Row],[Pós CK MB U/L]]</f>
        <v>-</v>
      </c>
      <c r="Q378" s="85">
        <f>Tabela1[[#This Row],[Pré Lactato (mmol/L)]]</f>
        <v>2.4</v>
      </c>
      <c r="R378" s="85">
        <f>Tabela1[[#This Row],[Pós Lactato (mmol/L)]]</f>
        <v>3.9</v>
      </c>
      <c r="S378" s="85">
        <f>Tabela1[[#This Row],[Pré LDH (U/L)]]</f>
        <v>234</v>
      </c>
      <c r="T378" s="85">
        <f>Tabela1[[#This Row],[Pós LDH (U/L)]]</f>
        <v>525</v>
      </c>
      <c r="U378" s="85">
        <f>Tabela1[[#This Row],[Pré AST (U/L)]]</f>
        <v>65</v>
      </c>
      <c r="V378" s="193">
        <f>Tabela1[[#This Row],[Pós AST (U/L)]]</f>
        <v>523</v>
      </c>
      <c r="W378" s="194">
        <f>Tabela1[[#This Row],[Pré Albumina (g/dL)]]</f>
        <v>4</v>
      </c>
      <c r="X378" s="125">
        <f>Tabela1[[#This Row],[Pós Albumina (g/dL)]]</f>
        <v>4.8</v>
      </c>
      <c r="Y378" s="85">
        <f>Tabela1[[#This Row],[Pré TGP (g/dL)]]</f>
        <v>68</v>
      </c>
      <c r="Z378" s="85">
        <f>Tabela1[[#This Row],[Pós TGP (g/dL)]]</f>
        <v>106</v>
      </c>
      <c r="AA378" s="85">
        <f>Tabela1[[#This Row],[Pré GGT U/L]]</f>
        <v>37</v>
      </c>
      <c r="AB378" s="193">
        <f>Tabela1[[#This Row],[Pós GGT U/L]]</f>
        <v>43</v>
      </c>
      <c r="AC378" s="194">
        <f>Tabela1[[#This Row],[Pré Ac. Úrico (mg/dL)]]</f>
        <v>4.5999999999999996</v>
      </c>
      <c r="AD378" s="125">
        <f>Tabela1[[#This Row],[Pós Ac. Úrico (mg/dL)2]]</f>
        <v>8.5</v>
      </c>
      <c r="AE37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127.62241419356421</v>
      </c>
      <c r="AF37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116.19989894453489</v>
      </c>
      <c r="AG378" s="85">
        <f>Tabela1[[#This Row],[Pré Ureia mg/dL]]</f>
        <v>44</v>
      </c>
      <c r="AH378" s="85">
        <f>Tabela1[[#This Row],[Pós Ureia mg/dL]]</f>
        <v>96</v>
      </c>
      <c r="AI378" s="125">
        <f>Tabela1[[#This Row],[Pré creatinina mg/dL]]</f>
        <v>0.72</v>
      </c>
      <c r="AJ378" s="125">
        <f>Tabela1[[#This Row],[Pós creatinina mg/dL]]</f>
        <v>0.92</v>
      </c>
      <c r="AK378" s="180">
        <f t="shared" si="20"/>
        <v>0.20000000000000007</v>
      </c>
      <c r="AL378" s="125">
        <f>Tabela1[[#This Row],[Pré Fósforo mg/dL]]</f>
        <v>3.4</v>
      </c>
      <c r="AM378" s="125">
        <f>Tabela1[[#This Row],[Pós Fósforo mg/dL]]</f>
        <v>7.2</v>
      </c>
      <c r="AN378" s="125">
        <f>Tabela1[[#This Row],[Pré Proteína Total (g/dL)]]</f>
        <v>7.5</v>
      </c>
      <c r="AO378" s="125">
        <f>Tabela1[[#This Row],[Pós Proteína Total (g/dL)]]</f>
        <v>8.6999999999999993</v>
      </c>
      <c r="AP378" s="85">
        <f>Tabela1[[#This Row],[Pré FE (ug/dL)]]</f>
        <v>10</v>
      </c>
      <c r="AQ378" s="193">
        <f>Tabela1[[#This Row],[Pós FE (ug/dL)]]</f>
        <v>10</v>
      </c>
      <c r="AR378" s="194">
        <f>Tabela1[[#This Row],[Pré calcio mg/dL]]</f>
        <v>9</v>
      </c>
      <c r="AS378" s="125">
        <f>Tabela1[[#This Row],[Pós calcio mg/dL]]</f>
        <v>9.5</v>
      </c>
      <c r="AT378" s="125">
        <f>Tabela1[[#This Row],[Pré Potássio mmol/L]]</f>
        <v>4.7</v>
      </c>
      <c r="AU378" s="125">
        <f>Tabela1[[#This Row],[Pós Potássio mmol/L]]</f>
        <v>4.8</v>
      </c>
      <c r="AV378" s="85">
        <f>Tabela1[[#This Row],[Glicose pré]]</f>
        <v>106</v>
      </c>
      <c r="AW378" s="85">
        <f>Tabela1[[#This Row],[Glicose pós]]</f>
        <v>90</v>
      </c>
      <c r="AX378" s="85">
        <f>Tabela1[[#This Row],[Pré Sódio mmol/L]]</f>
        <v>139</v>
      </c>
      <c r="AY378" s="85">
        <f>Tabela1[[#This Row],[Pós Sódio mmol/L]]</f>
        <v>134</v>
      </c>
      <c r="AZ378" s="125">
        <f>Tabela1[[#This Row],[Pré Magnésio mg/dL]]</f>
        <v>2.1</v>
      </c>
      <c r="BA378" s="125">
        <f>Tabela1[[#This Row],[Pós Magnésio mg/dL]]</f>
        <v>2.5</v>
      </c>
      <c r="BB378" s="85">
        <f>Tabela1[[#This Row],[Pré Cloro mmol/L]]</f>
        <v>105</v>
      </c>
      <c r="BC378" s="85">
        <f>Tabela1[[#This Row],[Pós Cloro mmol/L]]</f>
        <v>95</v>
      </c>
      <c r="BD37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295.38755555555554</v>
      </c>
      <c r="BE37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293.91800000000001</v>
      </c>
      <c r="BF378" s="194">
        <f>Tabela1[[#This Row],[Pré RBC 10^6/mm³]]</f>
        <v>4.0199999999999996</v>
      </c>
      <c r="BG378" s="125">
        <f>Tabela1[[#This Row],[Pós RBC 10^6/mm³]]</f>
        <v>4.09</v>
      </c>
      <c r="BH378" s="125">
        <f>Tabela1[[#This Row],[Pré HGB g/dL]]</f>
        <v>12.5</v>
      </c>
      <c r="BI378" s="125">
        <f>Tabela1[[#This Row],[Pós HGB g/dL]]</f>
        <v>12.8</v>
      </c>
      <c r="BJ378" s="125">
        <f>Tabela1[[#This Row],[Pré HCT %]]</f>
        <v>39.1</v>
      </c>
      <c r="BK378" s="125">
        <f>Tabela1[[#This Row],[Pós HCT %]]</f>
        <v>40</v>
      </c>
      <c r="BL378" s="125">
        <f>Tabela1[[#This Row],[Pré MCV fL]]</f>
        <v>97.1</v>
      </c>
      <c r="BM378" s="125">
        <f>Tabela1[[#This Row],[Pós MCV fL]]</f>
        <v>97.6</v>
      </c>
      <c r="BN378" s="125">
        <f>Tabela1[[#This Row],[Pré MCH pg]]</f>
        <v>31.1</v>
      </c>
      <c r="BO378" s="125">
        <f>Tabela1[[#This Row],[Pós MCH pg]]</f>
        <v>31.3</v>
      </c>
      <c r="BP378" s="125">
        <f>Tabela1[[#This Row],[Pré MCHC g/dL]]</f>
        <v>32</v>
      </c>
      <c r="BQ378" s="125">
        <f>Tabela1[[#This Row],[Pós MCHC g/dL]]</f>
        <v>32</v>
      </c>
      <c r="BR378" s="85">
        <f>Tabela1[[#This Row],[Pré PLT 10³/mm³]]</f>
        <v>438</v>
      </c>
      <c r="BS378" s="85">
        <f>Tabela1[[#This Row],[Pós PLT 10³/mm³]]</f>
        <v>500</v>
      </c>
      <c r="BT378" s="125">
        <f>Tabela1[[#This Row],[Pré RDW %]]</f>
        <v>11.7</v>
      </c>
      <c r="BU378" s="125">
        <f>Tabela1[[#This Row],[Pós RDW %]]</f>
        <v>12.5</v>
      </c>
      <c r="BV378" s="179" t="str">
        <f>Tabela1[[#This Row],[Pré RET %]]</f>
        <v>-</v>
      </c>
      <c r="BW378" s="196" t="str">
        <f>Tabela1[[#This Row],[Pós RET %]]</f>
        <v>-</v>
      </c>
      <c r="BX378" s="197">
        <f>Tabela1[[#This Row],[Pré WBC 10³/mm³]]</f>
        <v>5.19</v>
      </c>
      <c r="BY378" s="179">
        <f>Tabela1[[#This Row],[Pós WBC 10³/mm³]]</f>
        <v>15.64</v>
      </c>
      <c r="BZ378" s="125">
        <f>Tabela1[[#This Row],[Pré NEUT %]]</f>
        <v>70.599999999999994</v>
      </c>
      <c r="CA378" s="125">
        <f>Tabela1[[#This Row],[Pós NEUT %]]</f>
        <v>87.2</v>
      </c>
      <c r="CB378" s="125">
        <f>Tabela1[[#This Row],[Pré LINF %]]</f>
        <v>20.9</v>
      </c>
      <c r="CC378" s="125">
        <f>Tabela1[[#This Row],[Pós LINF %]]</f>
        <v>7.6</v>
      </c>
      <c r="CD378" s="125">
        <f>Tabela1[[#This Row],[Pré MONO %]]</f>
        <v>6.8</v>
      </c>
      <c r="CE378" s="125">
        <f>Tabela1[[#This Row],[Pós MONO %]]</f>
        <v>5.0999999999999996</v>
      </c>
      <c r="CF378" s="125">
        <f>Tabela1[[#This Row],[Pré EOS %]]</f>
        <v>1.5</v>
      </c>
      <c r="CG378" s="125">
        <f>Tabela1[[#This Row],[Pós EOS %]]</f>
        <v>0</v>
      </c>
      <c r="CH378" s="125">
        <f>Tabela1[[#This Row],[Pré BASO %]]</f>
        <v>0.2</v>
      </c>
      <c r="CI378" s="198">
        <f>Tabela1[[#This Row],[Pós BASO %]]</f>
        <v>0.1</v>
      </c>
      <c r="CJ378" s="199" t="str">
        <f t="shared" si="21"/>
        <v>NÃO</v>
      </c>
      <c r="CK378" s="200" t="str">
        <f t="shared" si="22"/>
        <v>SIM</v>
      </c>
      <c r="CL378" s="194">
        <f t="shared" si="23"/>
        <v>62.813019999999995</v>
      </c>
      <c r="CM378" s="125">
        <f>Tabela1[[#This Row],[MCT KG]]</f>
        <v>69.8</v>
      </c>
      <c r="CN378" s="85">
        <f>Tabela1[[#This Row],[ESTATURA]]</f>
        <v>175</v>
      </c>
      <c r="CO378" s="85" t="str">
        <f>Tabela1[[#This Row],[vo2max estimado]]</f>
        <v>49,28</v>
      </c>
      <c r="CP378" s="85">
        <f>Tabela1[[#This Row],[Handgrip     Dominante]]</f>
        <v>70</v>
      </c>
      <c r="CQ378" s="85">
        <f>Tabela1[[#This Row],[Handgrip Contrário]]</f>
        <v>61</v>
      </c>
      <c r="CR378" s="281" t="str">
        <f>Tabela1[[#This Row],[% gordura]]</f>
        <v>10,01</v>
      </c>
    </row>
    <row r="379" spans="1:96" ht="15.75" customHeight="1">
      <c r="A379" s="279">
        <f>Tabela1[[#This Row],[Ano]]</f>
        <v>2023</v>
      </c>
      <c r="B379" s="181" t="str">
        <f>Tabela1[[#This Row],[Missão]]</f>
        <v>Marambaia</v>
      </c>
      <c r="C379" s="181">
        <f>Tabela1[[#This Row],[Aluno]]</f>
        <v>3289</v>
      </c>
      <c r="D379" s="181">
        <f>Tabela1[[#This Row],[Idade]]</f>
        <v>34</v>
      </c>
      <c r="E379" s="182">
        <f>Tabela1[[#This Row],[Peso Kg]]</f>
        <v>77.2</v>
      </c>
      <c r="F379" s="191">
        <f>Tabela1[[#This Row],[Cor da pele]]</f>
        <v>2</v>
      </c>
      <c r="G379" s="192" t="str">
        <f>Tabela1[[#This Row],[ACTN3]]</f>
        <v>RR</v>
      </c>
      <c r="H379" s="85" t="str">
        <f>Tabela1[[#This Row],[AGT]]</f>
        <v>TT</v>
      </c>
      <c r="I379" s="85" t="str">
        <f>Tabela1[[#This Row],[ECA]]</f>
        <v>DD</v>
      </c>
      <c r="J379" s="85" t="str">
        <f>Tabela1[[#This Row],[BDKRB2]]</f>
        <v>-9,-9</v>
      </c>
      <c r="K379" s="85">
        <f>Tabela1[[#This Row],[Score Força%]]</f>
        <v>75</v>
      </c>
      <c r="L379" s="193">
        <f>Tabela1[[#This Row],[Score Resistência %]]</f>
        <v>25</v>
      </c>
      <c r="M379" s="192">
        <f>Tabela1[[#This Row],[Pré CK (U/L)]]</f>
        <v>338</v>
      </c>
      <c r="N379" s="85">
        <f>Tabela1[[#This Row],[Pós CK (U/L)]]</f>
        <v>5716</v>
      </c>
      <c r="O379" s="85" t="str">
        <f>Tabela1[[#This Row],[Pré CK MB U/L]]</f>
        <v>-</v>
      </c>
      <c r="P379" s="85" t="str">
        <f>Tabela1[[#This Row],[Pós CK MB U/L]]</f>
        <v>-</v>
      </c>
      <c r="Q379" s="85">
        <f>Tabela1[[#This Row],[Pré Lactato (mmol/L)]]</f>
        <v>1.7</v>
      </c>
      <c r="R379" s="85">
        <f>Tabela1[[#This Row],[Pós Lactato (mmol/L)]]</f>
        <v>2.8</v>
      </c>
      <c r="S379" s="85">
        <f>Tabela1[[#This Row],[Pré LDH (U/L)]]</f>
        <v>257</v>
      </c>
      <c r="T379" s="85">
        <f>Tabela1[[#This Row],[Pós LDH (U/L)]]</f>
        <v>398</v>
      </c>
      <c r="U379" s="85">
        <f>Tabela1[[#This Row],[Pré AST (U/L)]]</f>
        <v>54</v>
      </c>
      <c r="V379" s="193">
        <f>Tabela1[[#This Row],[Pós AST (U/L)]]</f>
        <v>157</v>
      </c>
      <c r="W379" s="194">
        <f>Tabela1[[#This Row],[Pré Albumina (g/dL)]]</f>
        <v>4.2</v>
      </c>
      <c r="X379" s="125">
        <f>Tabela1[[#This Row],[Pós Albumina (g/dL)]]</f>
        <v>4.4000000000000004</v>
      </c>
      <c r="Y379" s="85">
        <f>Tabela1[[#This Row],[Pré TGP (g/dL)]]</f>
        <v>61</v>
      </c>
      <c r="Z379" s="85">
        <f>Tabela1[[#This Row],[Pós TGP (g/dL)]]</f>
        <v>70</v>
      </c>
      <c r="AA379" s="85">
        <f>Tabela1[[#This Row],[Pré GGT U/L]]</f>
        <v>28</v>
      </c>
      <c r="AB379" s="193">
        <f>Tabela1[[#This Row],[Pós GGT U/L]]</f>
        <v>31</v>
      </c>
      <c r="AC379" s="194">
        <f>Tabela1[[#This Row],[Pré Ac. Úrico (mg/dL)]]</f>
        <v>4.3</v>
      </c>
      <c r="AD379" s="125">
        <f>Tabela1[[#This Row],[Pós Ac. Úrico (mg/dL)2]]</f>
        <v>6.5</v>
      </c>
      <c r="AE37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131.6259552440923</v>
      </c>
      <c r="AF37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379" s="85">
        <f>Tabela1[[#This Row],[Pré Ureia mg/dL]]</f>
        <v>39</v>
      </c>
      <c r="AH379" s="85">
        <f>Tabela1[[#This Row],[Pós Ureia mg/dL]]</f>
        <v>58</v>
      </c>
      <c r="AI379" s="125">
        <f>Tabela1[[#This Row],[Pré creatinina mg/dL]]</f>
        <v>0.65</v>
      </c>
      <c r="AJ379" s="125">
        <f>Tabela1[[#This Row],[Pós creatinina mg/dL]]</f>
        <v>0.9</v>
      </c>
      <c r="AK379" s="180">
        <f t="shared" si="20"/>
        <v>0.25</v>
      </c>
      <c r="AL379" s="125">
        <f>Tabela1[[#This Row],[Pré Fósforo mg/dL]]</f>
        <v>4</v>
      </c>
      <c r="AM379" s="125">
        <f>Tabela1[[#This Row],[Pós Fósforo mg/dL]]</f>
        <v>5</v>
      </c>
      <c r="AN379" s="125">
        <f>Tabela1[[#This Row],[Pré Proteína Total (g/dL)]]</f>
        <v>7.2</v>
      </c>
      <c r="AO379" s="125">
        <f>Tabela1[[#This Row],[Pós Proteína Total (g/dL)]]</f>
        <v>7.4</v>
      </c>
      <c r="AP379" s="85">
        <f>Tabela1[[#This Row],[Pré FE (ug/dL)]]</f>
        <v>10</v>
      </c>
      <c r="AQ379" s="193">
        <f>Tabela1[[#This Row],[Pós FE (ug/dL)]]</f>
        <v>14</v>
      </c>
      <c r="AR379" s="194">
        <f>Tabela1[[#This Row],[Pré calcio mg/dL]]</f>
        <v>9.6999999999999993</v>
      </c>
      <c r="AS379" s="125">
        <f>Tabela1[[#This Row],[Pós calcio mg/dL]]</f>
        <v>8.9</v>
      </c>
      <c r="AT379" s="125">
        <f>Tabela1[[#This Row],[Pré Potássio mmol/L]]</f>
        <v>4.9000000000000004</v>
      </c>
      <c r="AU379" s="125">
        <f>Tabela1[[#This Row],[Pós Potássio mmol/L]]</f>
        <v>4.5</v>
      </c>
      <c r="AV379" s="85">
        <f>Tabela1[[#This Row],[Glicose pré]]</f>
        <v>101</v>
      </c>
      <c r="AW379" s="85">
        <f>Tabela1[[#This Row],[Glicose pós]]</f>
        <v>91</v>
      </c>
      <c r="AX379" s="85">
        <f>Tabela1[[#This Row],[Pré Sódio mmol/L]]</f>
        <v>140</v>
      </c>
      <c r="AY379" s="85">
        <f>Tabela1[[#This Row],[Pós Sódio mmol/L]]</f>
        <v>138</v>
      </c>
      <c r="AZ379" s="125">
        <f>Tabela1[[#This Row],[Pré Magnésio mg/dL]]</f>
        <v>2.1</v>
      </c>
      <c r="BA379" s="125">
        <f>Tabela1[[#This Row],[Pós Magnésio mg/dL]]</f>
        <v>2.5</v>
      </c>
      <c r="BB379" s="85">
        <f>Tabela1[[#This Row],[Pré Cloro mmol/L]]</f>
        <v>104</v>
      </c>
      <c r="BC379" s="85">
        <f>Tabela1[[#This Row],[Pós Cloro mmol/L]]</f>
        <v>104</v>
      </c>
      <c r="BD37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296.46677777777779</v>
      </c>
      <c r="BE37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294.53055555555557</v>
      </c>
      <c r="BF379" s="194">
        <f>Tabela1[[#This Row],[Pré RBC 10^6/mm³]]</f>
        <v>4.6900000000000004</v>
      </c>
      <c r="BG379" s="125">
        <f>Tabela1[[#This Row],[Pós RBC 10^6/mm³]]</f>
        <v>4.5</v>
      </c>
      <c r="BH379" s="125">
        <f>Tabela1[[#This Row],[Pré HGB g/dL]]</f>
        <v>15</v>
      </c>
      <c r="BI379" s="125">
        <f>Tabela1[[#This Row],[Pós HGB g/dL]]</f>
        <v>14.5</v>
      </c>
      <c r="BJ379" s="125">
        <f>Tabela1[[#This Row],[Pré HCT %]]</f>
        <v>45.8</v>
      </c>
      <c r="BK379" s="125">
        <f>Tabela1[[#This Row],[Pós HCT %]]</f>
        <v>43.8</v>
      </c>
      <c r="BL379" s="125">
        <f>Tabela1[[#This Row],[Pré MCV fL]]</f>
        <v>97.7</v>
      </c>
      <c r="BM379" s="125">
        <f>Tabela1[[#This Row],[Pós MCV fL]]</f>
        <v>97.2</v>
      </c>
      <c r="BN379" s="125">
        <f>Tabela1[[#This Row],[Pré MCH pg]]</f>
        <v>32</v>
      </c>
      <c r="BO379" s="125">
        <f>Tabela1[[#This Row],[Pós MCH pg]]</f>
        <v>32.700000000000003</v>
      </c>
      <c r="BP379" s="125">
        <f>Tabela1[[#This Row],[Pré MCHC g/dL]]</f>
        <v>32.700000000000003</v>
      </c>
      <c r="BQ379" s="125">
        <f>Tabela1[[#This Row],[Pós MCHC g/dL]]</f>
        <v>33.200000000000003</v>
      </c>
      <c r="BR379" s="85">
        <f>Tabela1[[#This Row],[Pré PLT 10³/mm³]]</f>
        <v>299</v>
      </c>
      <c r="BS379" s="85">
        <f>Tabela1[[#This Row],[Pós PLT 10³/mm³]]</f>
        <v>335</v>
      </c>
      <c r="BT379" s="125">
        <f>Tabela1[[#This Row],[Pré RDW %]]</f>
        <v>12.9</v>
      </c>
      <c r="BU379" s="125">
        <f>Tabela1[[#This Row],[Pós RDW %]]</f>
        <v>13.2</v>
      </c>
      <c r="BV379" s="179" t="str">
        <f>Tabela1[[#This Row],[Pré RET %]]</f>
        <v>-</v>
      </c>
      <c r="BW379" s="196" t="str">
        <f>Tabela1[[#This Row],[Pós RET %]]</f>
        <v>-</v>
      </c>
      <c r="BX379" s="197">
        <f>Tabela1[[#This Row],[Pré WBC 10³/mm³]]</f>
        <v>4.82</v>
      </c>
      <c r="BY379" s="179">
        <f>Tabela1[[#This Row],[Pós WBC 10³/mm³]]</f>
        <v>10.34</v>
      </c>
      <c r="BZ379" s="125">
        <f>Tabela1[[#This Row],[Pré NEUT %]]</f>
        <v>52.8</v>
      </c>
      <c r="CA379" s="125">
        <f>Tabela1[[#This Row],[Pós NEUT %]]</f>
        <v>73.3</v>
      </c>
      <c r="CB379" s="125">
        <f>Tabela1[[#This Row],[Pré LINF %]]</f>
        <v>38.1</v>
      </c>
      <c r="CC379" s="125">
        <f>Tabela1[[#This Row],[Pós LINF %]]</f>
        <v>20.100000000000001</v>
      </c>
      <c r="CD379" s="125">
        <f>Tabela1[[#This Row],[Pré MONO %]]</f>
        <v>8.1</v>
      </c>
      <c r="CE379" s="125">
        <f>Tabela1[[#This Row],[Pós MONO %]]</f>
        <v>5.9</v>
      </c>
      <c r="CF379" s="125">
        <f>Tabela1[[#This Row],[Pré EOS %]]</f>
        <v>0.3</v>
      </c>
      <c r="CG379" s="125">
        <f>Tabela1[[#This Row],[Pós EOS %]]</f>
        <v>0.3</v>
      </c>
      <c r="CH379" s="125">
        <f>Tabela1[[#This Row],[Pré BASO %]]</f>
        <v>0.7</v>
      </c>
      <c r="CI379" s="198">
        <f>Tabela1[[#This Row],[Pós BASO %]]</f>
        <v>0.4</v>
      </c>
      <c r="CJ379" s="199" t="str">
        <f t="shared" si="21"/>
        <v>NÃO</v>
      </c>
      <c r="CK379" s="200" t="str">
        <f t="shared" si="22"/>
        <v>SIM</v>
      </c>
      <c r="CL379" s="194">
        <f t="shared" si="23"/>
        <v>67.389839999999992</v>
      </c>
      <c r="CM379" s="125">
        <f>Tabela1[[#This Row],[MCT KG]]</f>
        <v>75.599999999999994</v>
      </c>
      <c r="CN379" s="85">
        <f>Tabela1[[#This Row],[ESTATURA]]</f>
        <v>177</v>
      </c>
      <c r="CO379" s="85" t="str">
        <f>Tabela1[[#This Row],[vo2max estimado]]</f>
        <v>53,53</v>
      </c>
      <c r="CP379" s="85">
        <f>Tabela1[[#This Row],[Handgrip     Dominante]]</f>
        <v>60</v>
      </c>
      <c r="CQ379" s="85">
        <f>Tabela1[[#This Row],[Handgrip Contrário]]</f>
        <v>59</v>
      </c>
      <c r="CR379" s="281" t="str">
        <f>Tabela1[[#This Row],[% gordura]]</f>
        <v>10,86</v>
      </c>
    </row>
    <row r="380" spans="1:96" ht="15.75" customHeight="1">
      <c r="A380" s="279">
        <f>Tabela1[[#This Row],[Ano]]</f>
        <v>2023</v>
      </c>
      <c r="B380" s="181" t="str">
        <f>Tabela1[[#This Row],[Missão]]</f>
        <v>Marambaia</v>
      </c>
      <c r="C380" s="181">
        <f>Tabela1[[#This Row],[Aluno]]</f>
        <v>3291</v>
      </c>
      <c r="D380" s="181">
        <f>Tabela1[[#This Row],[Idade]]</f>
        <v>32</v>
      </c>
      <c r="E380" s="182">
        <f>Tabela1[[#This Row],[Peso Kg]]</f>
        <v>77.400000000000006</v>
      </c>
      <c r="F380" s="191">
        <f>Tabela1[[#This Row],[Cor da pele]]</f>
        <v>2</v>
      </c>
      <c r="G380" s="192" t="str">
        <f>Tabela1[[#This Row],[ACTN3]]</f>
        <v>XX</v>
      </c>
      <c r="H380" s="85" t="str">
        <f>Tabela1[[#This Row],[AGT]]</f>
        <v>MT</v>
      </c>
      <c r="I380" s="85" t="str">
        <f>Tabela1[[#This Row],[ECA]]</f>
        <v>ID</v>
      </c>
      <c r="J380" s="85">
        <f>Tabela1[[#This Row],[BDKRB2]]</f>
        <v>0</v>
      </c>
      <c r="K380" s="85">
        <f>Tabela1[[#This Row],[Score Força%]]</f>
        <v>37.5</v>
      </c>
      <c r="L380" s="193">
        <f>Tabela1[[#This Row],[Score Resistência %]]</f>
        <v>62.5</v>
      </c>
      <c r="M380" s="192">
        <f>Tabela1[[#This Row],[Pré CK (U/L)]]</f>
        <v>349</v>
      </c>
      <c r="N380" s="85">
        <f>Tabela1[[#This Row],[Pós CK (U/L)]]</f>
        <v>12365</v>
      </c>
      <c r="O380" s="85" t="str">
        <f>Tabela1[[#This Row],[Pré CK MB U/L]]</f>
        <v>-</v>
      </c>
      <c r="P380" s="85" t="str">
        <f>Tabela1[[#This Row],[Pós CK MB U/L]]</f>
        <v>-</v>
      </c>
      <c r="Q380" s="85">
        <f>Tabela1[[#This Row],[Pré Lactato (mmol/L)]]</f>
        <v>2.2000000000000002</v>
      </c>
      <c r="R380" s="85">
        <f>Tabela1[[#This Row],[Pós Lactato (mmol/L)]]</f>
        <v>1.7</v>
      </c>
      <c r="S380" s="85">
        <f>Tabela1[[#This Row],[Pré LDH (U/L)]]</f>
        <v>287</v>
      </c>
      <c r="T380" s="85">
        <f>Tabela1[[#This Row],[Pós LDH (U/L)]]</f>
        <v>566</v>
      </c>
      <c r="U380" s="85">
        <f>Tabela1[[#This Row],[Pré AST (U/L)]]</f>
        <v>65</v>
      </c>
      <c r="V380" s="193">
        <f>Tabela1[[#This Row],[Pós AST (U/L)]]</f>
        <v>609</v>
      </c>
      <c r="W380" s="194">
        <f>Tabela1[[#This Row],[Pré Albumina (g/dL)]]</f>
        <v>4.0999999999999996</v>
      </c>
      <c r="X380" s="125">
        <f>Tabela1[[#This Row],[Pós Albumina (g/dL)]]</f>
        <v>4</v>
      </c>
      <c r="Y380" s="85">
        <f>Tabela1[[#This Row],[Pré TGP (g/dL)]]</f>
        <v>73</v>
      </c>
      <c r="Z380" s="85">
        <f>Tabela1[[#This Row],[Pós TGP (g/dL)]]</f>
        <v>155</v>
      </c>
      <c r="AA380" s="85">
        <f>Tabela1[[#This Row],[Pré GGT U/L]]</f>
        <v>29</v>
      </c>
      <c r="AB380" s="193">
        <f>Tabela1[[#This Row],[Pós GGT U/L]]</f>
        <v>30</v>
      </c>
      <c r="AC380" s="194">
        <f>Tabela1[[#This Row],[Pré Ac. Úrico (mg/dL)]]</f>
        <v>3.5</v>
      </c>
      <c r="AD380" s="125">
        <f>Tabela1[[#This Row],[Pós Ac. Úrico (mg/dL)2]]</f>
        <v>4.3</v>
      </c>
      <c r="AE38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130.42678204635521</v>
      </c>
      <c r="AF38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106.41158441336107</v>
      </c>
      <c r="AG380" s="85">
        <f>Tabela1[[#This Row],[Pré Ureia mg/dL]]</f>
        <v>53</v>
      </c>
      <c r="AH380" s="85">
        <f>Tabela1[[#This Row],[Pós Ureia mg/dL]]</f>
        <v>53</v>
      </c>
      <c r="AI380" s="125">
        <f>Tabela1[[#This Row],[Pré creatinina mg/dL]]</f>
        <v>0.67</v>
      </c>
      <c r="AJ380" s="125">
        <f>Tabela1[[#This Row],[Pós creatinina mg/dL]]</f>
        <v>0.99</v>
      </c>
      <c r="AK380" s="180">
        <f t="shared" si="20"/>
        <v>0.31999999999999995</v>
      </c>
      <c r="AL380" s="125">
        <f>Tabela1[[#This Row],[Pré Fósforo mg/dL]]</f>
        <v>4</v>
      </c>
      <c r="AM380" s="125">
        <f>Tabela1[[#This Row],[Pós Fósforo mg/dL]]</f>
        <v>4.2</v>
      </c>
      <c r="AN380" s="125">
        <f>Tabela1[[#This Row],[Pré Proteína Total (g/dL)]]</f>
        <v>7.1</v>
      </c>
      <c r="AO380" s="125">
        <f>Tabela1[[#This Row],[Pós Proteína Total (g/dL)]]</f>
        <v>6.8</v>
      </c>
      <c r="AP380" s="85">
        <f>Tabela1[[#This Row],[Pré FE (ug/dL)]]</f>
        <v>26</v>
      </c>
      <c r="AQ380" s="193">
        <f>Tabela1[[#This Row],[Pós FE (ug/dL)]]</f>
        <v>10</v>
      </c>
      <c r="AR380" s="194">
        <f>Tabela1[[#This Row],[Pré calcio mg/dL]]</f>
        <v>9.6</v>
      </c>
      <c r="AS380" s="125">
        <f>Tabela1[[#This Row],[Pós calcio mg/dL]]</f>
        <v>9</v>
      </c>
      <c r="AT380" s="125">
        <f>Tabela1[[#This Row],[Pré Potássio mmol/L]]</f>
        <v>5.3</v>
      </c>
      <c r="AU380" s="125">
        <f>Tabela1[[#This Row],[Pós Potássio mmol/L]]</f>
        <v>4.8</v>
      </c>
      <c r="AV380" s="85">
        <f>Tabela1[[#This Row],[Glicose pré]]</f>
        <v>99</v>
      </c>
      <c r="AW380" s="85">
        <f>Tabela1[[#This Row],[Glicose pós]]</f>
        <v>84</v>
      </c>
      <c r="AX380" s="85">
        <f>Tabela1[[#This Row],[Pré Sódio mmol/L]]</f>
        <v>139</v>
      </c>
      <c r="AY380" s="85">
        <f>Tabela1[[#This Row],[Pós Sódio mmol/L]]</f>
        <v>135</v>
      </c>
      <c r="AZ380" s="125">
        <f>Tabela1[[#This Row],[Pré Magnésio mg/dL]]</f>
        <v>2</v>
      </c>
      <c r="BA380" s="125">
        <f>Tabela1[[#This Row],[Pós Magnésio mg/dL]]</f>
        <v>2.2000000000000002</v>
      </c>
      <c r="BB380" s="85">
        <f>Tabela1[[#This Row],[Pré Cloro mmol/L]]</f>
        <v>107</v>
      </c>
      <c r="BC380" s="85">
        <f>Tabela1[[#This Row],[Pós Cloro mmol/L]]</f>
        <v>101</v>
      </c>
      <c r="BD38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297.55633333333333</v>
      </c>
      <c r="BE38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288.22800000000001</v>
      </c>
      <c r="BF380" s="194">
        <f>Tabela1[[#This Row],[Pré RBC 10^6/mm³]]</f>
        <v>5.95</v>
      </c>
      <c r="BG380" s="125">
        <f>Tabela1[[#This Row],[Pós RBC 10^6/mm³]]</f>
        <v>5.84</v>
      </c>
      <c r="BH380" s="125">
        <f>Tabela1[[#This Row],[Pré HGB g/dL]]</f>
        <v>13.5</v>
      </c>
      <c r="BI380" s="125">
        <f>Tabela1[[#This Row],[Pós HGB g/dL]]</f>
        <v>13.3</v>
      </c>
      <c r="BJ380" s="125">
        <f>Tabela1[[#This Row],[Pré HCT %]]</f>
        <v>43.3</v>
      </c>
      <c r="BK380" s="125">
        <f>Tabela1[[#This Row],[Pós HCT %]]</f>
        <v>43</v>
      </c>
      <c r="BL380" s="125">
        <f>Tabela1[[#This Row],[Pré MCV fL]]</f>
        <v>72.8</v>
      </c>
      <c r="BM380" s="125">
        <f>Tabela1[[#This Row],[Pós MCV fL]]</f>
        <v>73.7</v>
      </c>
      <c r="BN380" s="125">
        <f>Tabela1[[#This Row],[Pré MCH pg]]</f>
        <v>22.7</v>
      </c>
      <c r="BO380" s="125">
        <f>Tabela1[[#This Row],[Pós MCH pg]]</f>
        <v>22.7</v>
      </c>
      <c r="BP380" s="125">
        <f>Tabela1[[#This Row],[Pré MCHC g/dL]]</f>
        <v>31.1</v>
      </c>
      <c r="BQ380" s="125">
        <f>Tabela1[[#This Row],[Pós MCHC g/dL]]</f>
        <v>30.8</v>
      </c>
      <c r="BR380" s="85">
        <f>Tabela1[[#This Row],[Pré PLT 10³/mm³]]</f>
        <v>351</v>
      </c>
      <c r="BS380" s="85">
        <f>Tabela1[[#This Row],[Pós PLT 10³/mm³]]</f>
        <v>331</v>
      </c>
      <c r="BT380" s="125">
        <f>Tabela1[[#This Row],[Pré RDW %]]</f>
        <v>14.8</v>
      </c>
      <c r="BU380" s="125">
        <f>Tabela1[[#This Row],[Pós RDW %]]</f>
        <v>15</v>
      </c>
      <c r="BV380" s="179" t="str">
        <f>Tabela1[[#This Row],[Pré RET %]]</f>
        <v>-</v>
      </c>
      <c r="BW380" s="196" t="str">
        <f>Tabela1[[#This Row],[Pós RET %]]</f>
        <v>-</v>
      </c>
      <c r="BX380" s="197">
        <f>Tabela1[[#This Row],[Pré WBC 10³/mm³]]</f>
        <v>11.66</v>
      </c>
      <c r="BY380" s="179">
        <f>Tabela1[[#This Row],[Pós WBC 10³/mm³]]</f>
        <v>21.23</v>
      </c>
      <c r="BZ380" s="125">
        <f>Tabela1[[#This Row],[Pré NEUT %]]</f>
        <v>69.099999999999994</v>
      </c>
      <c r="CA380" s="125">
        <f>Tabela1[[#This Row],[Pós NEUT %]]</f>
        <v>82.6</v>
      </c>
      <c r="CB380" s="125">
        <f>Tabela1[[#This Row],[Pré LINF %]]</f>
        <v>19.3</v>
      </c>
      <c r="CC380" s="125">
        <f>Tabela1[[#This Row],[Pós LINF %]]</f>
        <v>10.4</v>
      </c>
      <c r="CD380" s="125">
        <f>Tabela1[[#This Row],[Pré MONO %]]</f>
        <v>10.8</v>
      </c>
      <c r="CE380" s="125">
        <f>Tabela1[[#This Row],[Pós MONO %]]</f>
        <v>6.4</v>
      </c>
      <c r="CF380" s="125">
        <f>Tabela1[[#This Row],[Pré EOS %]]</f>
        <v>0.3</v>
      </c>
      <c r="CG380" s="125">
        <f>Tabela1[[#This Row],[Pós EOS %]]</f>
        <v>0.4</v>
      </c>
      <c r="CH380" s="125">
        <f>Tabela1[[#This Row],[Pré BASO %]]</f>
        <v>0.5</v>
      </c>
      <c r="CI380" s="198">
        <f>Tabela1[[#This Row],[Pós BASO %]]</f>
        <v>0.2</v>
      </c>
      <c r="CJ380" s="199" t="str">
        <f t="shared" si="21"/>
        <v>SIM</v>
      </c>
      <c r="CK380" s="200" t="str">
        <f t="shared" si="22"/>
        <v>SIM</v>
      </c>
      <c r="CL380" s="194">
        <f t="shared" si="23"/>
        <v>63.856044999999995</v>
      </c>
      <c r="CM380" s="125">
        <f>Tabela1[[#This Row],[MCT KG]]</f>
        <v>79.849999999999994</v>
      </c>
      <c r="CN380" s="85">
        <f>Tabela1[[#This Row],[ESTATURA]]</f>
        <v>178.5</v>
      </c>
      <c r="CO380" s="85" t="str">
        <f>Tabela1[[#This Row],[vo2max estimado]]</f>
        <v>47,85</v>
      </c>
      <c r="CP380" s="85">
        <f>Tabela1[[#This Row],[Handgrip     Dominante]]</f>
        <v>50</v>
      </c>
      <c r="CQ380" s="85">
        <f>Tabela1[[#This Row],[Handgrip Contrário]]</f>
        <v>56</v>
      </c>
      <c r="CR380" s="281" t="str">
        <f>Tabela1[[#This Row],[% gordura]]</f>
        <v>20,03</v>
      </c>
    </row>
    <row r="381" spans="1:96" ht="15.75" customHeight="1">
      <c r="A381" s="279">
        <f>Tabela1[[#This Row],[Ano]]</f>
        <v>2023</v>
      </c>
      <c r="B381" s="181" t="str">
        <f>Tabela1[[#This Row],[Missão]]</f>
        <v>Marambaia</v>
      </c>
      <c r="C381" s="181">
        <f>Tabela1[[#This Row],[Aluno]]</f>
        <v>3295</v>
      </c>
      <c r="D381" s="181">
        <f>Tabela1[[#This Row],[Idade]]</f>
        <v>34</v>
      </c>
      <c r="E381" s="182">
        <f>Tabela1[[#This Row],[Peso Kg]]</f>
        <v>62.9</v>
      </c>
      <c r="F381" s="191">
        <f>Tabela1[[#This Row],[Cor da pele]]</f>
        <v>2</v>
      </c>
      <c r="G381" s="192" t="str">
        <f>Tabela1[[#This Row],[ACTN3]]</f>
        <v>-</v>
      </c>
      <c r="H381" s="85" t="str">
        <f>Tabela1[[#This Row],[AGT]]</f>
        <v>-</v>
      </c>
      <c r="I381" s="85" t="str">
        <f>Tabela1[[#This Row],[ECA]]</f>
        <v>-</v>
      </c>
      <c r="J381" s="85" t="str">
        <f>Tabela1[[#This Row],[BDKRB2]]</f>
        <v>-</v>
      </c>
      <c r="K381" s="85" t="str">
        <f>Tabela1[[#This Row],[Score Força%]]</f>
        <v>-</v>
      </c>
      <c r="L381" s="193" t="str">
        <f>Tabela1[[#This Row],[Score Resistência %]]</f>
        <v>-</v>
      </c>
      <c r="M381" s="192">
        <f>Tabela1[[#This Row],[Pré CK (U/L)]]</f>
        <v>297</v>
      </c>
      <c r="N381" s="85">
        <f>Tabela1[[#This Row],[Pós CK (U/L)]]</f>
        <v>12386</v>
      </c>
      <c r="O381" s="85" t="str">
        <f>Tabela1[[#This Row],[Pré CK MB U/L]]</f>
        <v>-</v>
      </c>
      <c r="P381" s="85" t="str">
        <f>Tabela1[[#This Row],[Pós CK MB U/L]]</f>
        <v>-</v>
      </c>
      <c r="Q381" s="85" t="str">
        <f>Tabela1[[#This Row],[Pré Lactato (mmol/L)]]</f>
        <v>-</v>
      </c>
      <c r="R381" s="85">
        <f>Tabela1[[#This Row],[Pós Lactato (mmol/L)]]</f>
        <v>3.2</v>
      </c>
      <c r="S381" s="85">
        <f>Tabela1[[#This Row],[Pré LDH (U/L)]]</f>
        <v>470</v>
      </c>
      <c r="T381" s="85">
        <f>Tabela1[[#This Row],[Pós LDH (U/L)]]</f>
        <v>739</v>
      </c>
      <c r="U381" s="85">
        <f>Tabela1[[#This Row],[Pré AST (U/L)]]</f>
        <v>431</v>
      </c>
      <c r="V381" s="193">
        <f>Tabela1[[#This Row],[Pós AST (U/L)]]</f>
        <v>545</v>
      </c>
      <c r="W381" s="194">
        <f>Tabela1[[#This Row],[Pré Albumina (g/dL)]]</f>
        <v>4.4000000000000004</v>
      </c>
      <c r="X381" s="125">
        <f>Tabela1[[#This Row],[Pós Albumina (g/dL)]]</f>
        <v>4.3</v>
      </c>
      <c r="Y381" s="85">
        <f>Tabela1[[#This Row],[Pré TGP (g/dL)]]</f>
        <v>486</v>
      </c>
      <c r="Z381" s="85">
        <f>Tabela1[[#This Row],[Pós TGP (g/dL)]]</f>
        <v>364</v>
      </c>
      <c r="AA381" s="85">
        <f>Tabela1[[#This Row],[Pré GGT U/L]]</f>
        <v>132</v>
      </c>
      <c r="AB381" s="193">
        <f>Tabela1[[#This Row],[Pós GGT U/L]]</f>
        <v>136</v>
      </c>
      <c r="AC381" s="194">
        <f>Tabela1[[#This Row],[Pré Ac. Úrico (mg/dL)]]</f>
        <v>4.3</v>
      </c>
      <c r="AD381" s="125">
        <f>Tabela1[[#This Row],[Pós Ac. Úrico (mg/dL)2]]</f>
        <v>6.6</v>
      </c>
      <c r="AE38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8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381" s="85">
        <f>Tabela1[[#This Row],[Pré Ureia mg/dL]]</f>
        <v>33</v>
      </c>
      <c r="AH381" s="85">
        <f>Tabela1[[#This Row],[Pós Ureia mg/dL]]</f>
        <v>62</v>
      </c>
      <c r="AI381" s="125">
        <f>Tabela1[[#This Row],[Pré creatinina mg/dL]]</f>
        <v>0.8</v>
      </c>
      <c r="AJ381" s="125">
        <f>Tabela1[[#This Row],[Pós creatinina mg/dL]]</f>
        <v>1.2</v>
      </c>
      <c r="AK381" s="180">
        <f t="shared" si="20"/>
        <v>0.39999999999999991</v>
      </c>
      <c r="AL381" s="125">
        <f>Tabela1[[#This Row],[Pré Fósforo mg/dL]]</f>
        <v>3.9</v>
      </c>
      <c r="AM381" s="125">
        <f>Tabela1[[#This Row],[Pós Fósforo mg/dL]]</f>
        <v>5.0999999999999996</v>
      </c>
      <c r="AN381" s="125">
        <f>Tabela1[[#This Row],[Pré Proteína Total (g/dL)]]</f>
        <v>8.1</v>
      </c>
      <c r="AO381" s="125">
        <f>Tabela1[[#This Row],[Pós Proteína Total (g/dL)]]</f>
        <v>8.1999999999999993</v>
      </c>
      <c r="AP381" s="85">
        <f>Tabela1[[#This Row],[Pré FE (ug/dL)]]</f>
        <v>10</v>
      </c>
      <c r="AQ381" s="193">
        <f>Tabela1[[#This Row],[Pós FE (ug/dL)]]</f>
        <v>10</v>
      </c>
      <c r="AR381" s="194">
        <f>Tabela1[[#This Row],[Pré calcio mg/dL]]</f>
        <v>10.1</v>
      </c>
      <c r="AS381" s="125">
        <f>Tabela1[[#This Row],[Pós calcio mg/dL]]</f>
        <v>9.5</v>
      </c>
      <c r="AT381" s="125">
        <f>Tabela1[[#This Row],[Pré Potássio mmol/L]]</f>
        <v>4</v>
      </c>
      <c r="AU381" s="125">
        <f>Tabela1[[#This Row],[Pós Potássio mmol/L]]</f>
        <v>4.3</v>
      </c>
      <c r="AV381" s="85">
        <f>Tabela1[[#This Row],[Glicose pré]]</f>
        <v>120</v>
      </c>
      <c r="AW381" s="85">
        <f>Tabela1[[#This Row],[Glicose pós]]</f>
        <v>85</v>
      </c>
      <c r="AX381" s="85">
        <f>Tabela1[[#This Row],[Pré Sódio mmol/L]]</f>
        <v>143</v>
      </c>
      <c r="AY381" s="85">
        <f>Tabela1[[#This Row],[Pós Sódio mmol/L]]</f>
        <v>142</v>
      </c>
      <c r="AZ381" s="125">
        <f>Tabela1[[#This Row],[Pré Magnésio mg/dL]]</f>
        <v>2.4</v>
      </c>
      <c r="BA381" s="125">
        <f>Tabela1[[#This Row],[Pós Magnésio mg/dL]]</f>
        <v>2.4</v>
      </c>
      <c r="BB381" s="85">
        <f>Tabela1[[#This Row],[Pré Cloro mmol/L]]</f>
        <v>107</v>
      </c>
      <c r="BC381" s="85">
        <f>Tabela1[[#This Row],[Pós Cloro mmol/L]]</f>
        <v>103</v>
      </c>
      <c r="BD38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300.5866666666667</v>
      </c>
      <c r="BE38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301.88188888888891</v>
      </c>
      <c r="BF381" s="194">
        <f>Tabela1[[#This Row],[Pré RBC 10^6/mm³]]</f>
        <v>4.1100000000000003</v>
      </c>
      <c r="BG381" s="125">
        <f>Tabela1[[#This Row],[Pós RBC 10^6/mm³]]</f>
        <v>4.2300000000000004</v>
      </c>
      <c r="BH381" s="125">
        <f>Tabela1[[#This Row],[Pré HGB g/dL]]</f>
        <v>12.7</v>
      </c>
      <c r="BI381" s="125">
        <f>Tabela1[[#This Row],[Pós HGB g/dL]]</f>
        <v>12.9</v>
      </c>
      <c r="BJ381" s="125">
        <f>Tabela1[[#This Row],[Pré HCT %]]</f>
        <v>39.200000000000003</v>
      </c>
      <c r="BK381" s="125">
        <f>Tabela1[[#This Row],[Pós HCT %]]</f>
        <v>40.9</v>
      </c>
      <c r="BL381" s="125">
        <f>Tabela1[[#This Row],[Pré MCV fL]]</f>
        <v>95.3</v>
      </c>
      <c r="BM381" s="125">
        <f>Tabela1[[#This Row],[Pós MCV fL]]</f>
        <v>96.5</v>
      </c>
      <c r="BN381" s="125">
        <f>Tabela1[[#This Row],[Pré MCH pg]]</f>
        <v>30.8</v>
      </c>
      <c r="BO381" s="125">
        <f>Tabela1[[#This Row],[Pós MCH pg]]</f>
        <v>30.4</v>
      </c>
      <c r="BP381" s="125">
        <f>Tabela1[[#This Row],[Pré MCHC g/dL]]</f>
        <v>32.299999999999997</v>
      </c>
      <c r="BQ381" s="125">
        <f>Tabela1[[#This Row],[Pós MCHC g/dL]]</f>
        <v>31.5</v>
      </c>
      <c r="BR381" s="85">
        <f>Tabela1[[#This Row],[Pré PLT 10³/mm³]]</f>
        <v>324</v>
      </c>
      <c r="BS381" s="85">
        <f>Tabela1[[#This Row],[Pós PLT 10³/mm³]]</f>
        <v>390</v>
      </c>
      <c r="BT381" s="125">
        <f>Tabela1[[#This Row],[Pré RDW %]]</f>
        <v>12.2</v>
      </c>
      <c r="BU381" s="125">
        <f>Tabela1[[#This Row],[Pós RDW %]]</f>
        <v>12.8</v>
      </c>
      <c r="BV381" s="179" t="str">
        <f>Tabela1[[#This Row],[Pré RET %]]</f>
        <v>-</v>
      </c>
      <c r="BW381" s="196" t="str">
        <f>Tabela1[[#This Row],[Pós RET %]]</f>
        <v>-</v>
      </c>
      <c r="BX381" s="197">
        <f>Tabela1[[#This Row],[Pré WBC 10³/mm³]]</f>
        <v>12.16</v>
      </c>
      <c r="BY381" s="179">
        <f>Tabela1[[#This Row],[Pós WBC 10³/mm³]]</f>
        <v>23.64</v>
      </c>
      <c r="BZ381" s="125">
        <f>Tabela1[[#This Row],[Pré NEUT %]]</f>
        <v>87.5</v>
      </c>
      <c r="CA381" s="125">
        <f>Tabela1[[#This Row],[Pós NEUT %]]</f>
        <v>88.6</v>
      </c>
      <c r="CB381" s="125">
        <f>Tabela1[[#This Row],[Pré LINF %]]</f>
        <v>7.2</v>
      </c>
      <c r="CC381" s="125">
        <f>Tabela1[[#This Row],[Pós LINF %]]</f>
        <v>4.2</v>
      </c>
      <c r="CD381" s="125">
        <f>Tabela1[[#This Row],[Pré MONO %]]</f>
        <v>5.2</v>
      </c>
      <c r="CE381" s="125">
        <f>Tabela1[[#This Row],[Pós MONO %]]</f>
        <v>7.1</v>
      </c>
      <c r="CF381" s="125">
        <f>Tabela1[[#This Row],[Pré EOS %]]</f>
        <v>0</v>
      </c>
      <c r="CG381" s="125">
        <f>Tabela1[[#This Row],[Pós EOS %]]</f>
        <v>0</v>
      </c>
      <c r="CH381" s="125">
        <f>Tabela1[[#This Row],[Pré BASO %]]</f>
        <v>0.1</v>
      </c>
      <c r="CI381" s="198">
        <f>Tabela1[[#This Row],[Pós BASO %]]</f>
        <v>0.1</v>
      </c>
      <c r="CJ381" s="199" t="str">
        <f t="shared" si="21"/>
        <v>SIM</v>
      </c>
      <c r="CK381" s="200" t="str">
        <f t="shared" si="22"/>
        <v>SIM</v>
      </c>
      <c r="CL381" s="194">
        <f t="shared" si="23"/>
        <v>53.227999999999994</v>
      </c>
      <c r="CM381" s="125">
        <f>Tabela1[[#This Row],[MCT KG]]</f>
        <v>70</v>
      </c>
      <c r="CN381" s="85">
        <f>Tabela1[[#This Row],[ESTATURA]]</f>
        <v>167</v>
      </c>
      <c r="CO381" s="85" t="str">
        <f>Tabela1[[#This Row],[vo2max estimado]]</f>
        <v>50,91</v>
      </c>
      <c r="CP381" s="85">
        <f>Tabela1[[#This Row],[Handgrip     Dominante]]</f>
        <v>48</v>
      </c>
      <c r="CQ381" s="85">
        <f>Tabela1[[#This Row],[Handgrip Contrário]]</f>
        <v>42</v>
      </c>
      <c r="CR381" s="281" t="str">
        <f>Tabela1[[#This Row],[% gordura]]</f>
        <v>23,96</v>
      </c>
    </row>
    <row r="382" spans="1:96" ht="15.75" customHeight="1">
      <c r="A382" s="279">
        <f>Tabela1[[#This Row],[Ano]]</f>
        <v>2023</v>
      </c>
      <c r="B382" s="181" t="str">
        <f>Tabela1[[#This Row],[Missão]]</f>
        <v>Marambaia</v>
      </c>
      <c r="C382" s="181">
        <f>Tabela1[[#This Row],[Aluno]]</f>
        <v>3305</v>
      </c>
      <c r="D382" s="181">
        <f>Tabela1[[#This Row],[Idade]]</f>
        <v>33</v>
      </c>
      <c r="E382" s="182">
        <f>Tabela1[[#This Row],[Peso Kg]]</f>
        <v>85</v>
      </c>
      <c r="F382" s="191">
        <f>Tabela1[[#This Row],[Cor da pele]]</f>
        <v>2</v>
      </c>
      <c r="G382" s="192" t="str">
        <f>Tabela1[[#This Row],[ACTN3]]</f>
        <v>-</v>
      </c>
      <c r="H382" s="85" t="str">
        <f>Tabela1[[#This Row],[AGT]]</f>
        <v>-</v>
      </c>
      <c r="I382" s="85" t="str">
        <f>Tabela1[[#This Row],[ECA]]</f>
        <v>-</v>
      </c>
      <c r="J382" s="85" t="str">
        <f>Tabela1[[#This Row],[BDKRB2]]</f>
        <v>-</v>
      </c>
      <c r="K382" s="85" t="str">
        <f>Tabela1[[#This Row],[Score Força%]]</f>
        <v>-</v>
      </c>
      <c r="L382" s="193" t="str">
        <f>Tabela1[[#This Row],[Score Resistência %]]</f>
        <v>-</v>
      </c>
      <c r="M382" s="192">
        <f>Tabela1[[#This Row],[Pré CK (U/L)]]</f>
        <v>186</v>
      </c>
      <c r="N382" s="85">
        <f>Tabela1[[#This Row],[Pós CK (U/L)]]</f>
        <v>3272</v>
      </c>
      <c r="O382" s="85" t="str">
        <f>Tabela1[[#This Row],[Pré CK MB U/L]]</f>
        <v>-</v>
      </c>
      <c r="P382" s="85" t="str">
        <f>Tabela1[[#This Row],[Pós CK MB U/L]]</f>
        <v>-</v>
      </c>
      <c r="Q382" s="85">
        <f>Tabela1[[#This Row],[Pré Lactato (mmol/L)]]</f>
        <v>2.5</v>
      </c>
      <c r="R382" s="85">
        <f>Tabela1[[#This Row],[Pós Lactato (mmol/L)]]</f>
        <v>1.3</v>
      </c>
      <c r="S382" s="85">
        <f>Tabela1[[#This Row],[Pré LDH (U/L)]]</f>
        <v>197</v>
      </c>
      <c r="T382" s="85">
        <f>Tabela1[[#This Row],[Pós LDH (U/L)]]</f>
        <v>240</v>
      </c>
      <c r="U382" s="85">
        <f>Tabela1[[#This Row],[Pré AST (U/L)]]</f>
        <v>34</v>
      </c>
      <c r="V382" s="193">
        <f>Tabela1[[#This Row],[Pós AST (U/L)]]</f>
        <v>103</v>
      </c>
      <c r="W382" s="194">
        <f>Tabela1[[#This Row],[Pré Albumina (g/dL)]]</f>
        <v>4.3</v>
      </c>
      <c r="X382" s="125">
        <f>Tabela1[[#This Row],[Pós Albumina (g/dL)]]</f>
        <v>4.4000000000000004</v>
      </c>
      <c r="Y382" s="85">
        <f>Tabela1[[#This Row],[Pré TGP (g/dL)]]</f>
        <v>35</v>
      </c>
      <c r="Z382" s="85">
        <f>Tabela1[[#This Row],[Pós TGP (g/dL)]]</f>
        <v>37</v>
      </c>
      <c r="AA382" s="85">
        <f>Tabela1[[#This Row],[Pré GGT U/L]]</f>
        <v>32</v>
      </c>
      <c r="AB382" s="193">
        <f>Tabela1[[#This Row],[Pós GGT U/L]]</f>
        <v>34</v>
      </c>
      <c r="AC382" s="194">
        <f>Tabela1[[#This Row],[Pré Ac. Úrico (mg/dL)]]</f>
        <v>3.5</v>
      </c>
      <c r="AD382" s="125">
        <f>Tabela1[[#This Row],[Pós Ac. Úrico (mg/dL)2]]</f>
        <v>6.4</v>
      </c>
      <c r="AE38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140.80184963357286</v>
      </c>
      <c r="AF38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131.6259552440923</v>
      </c>
      <c r="AG382" s="85">
        <f>Tabela1[[#This Row],[Pré Ureia mg/dL]]</f>
        <v>54</v>
      </c>
      <c r="AH382" s="85">
        <f>Tabela1[[#This Row],[Pós Ureia mg/dL]]</f>
        <v>98</v>
      </c>
      <c r="AI382" s="125">
        <f>Tabela1[[#This Row],[Pré creatinina mg/dL]]</f>
        <v>0.52</v>
      </c>
      <c r="AJ382" s="125">
        <f>Tabela1[[#This Row],[Pós creatinina mg/dL]]</f>
        <v>0.65</v>
      </c>
      <c r="AK382" s="180">
        <f t="shared" si="20"/>
        <v>0.13</v>
      </c>
      <c r="AL382" s="125">
        <f>Tabela1[[#This Row],[Pré Fósforo mg/dL]]</f>
        <v>3.3</v>
      </c>
      <c r="AM382" s="125">
        <f>Tabela1[[#This Row],[Pós Fósforo mg/dL]]</f>
        <v>5.0999999999999996</v>
      </c>
      <c r="AN382" s="125">
        <f>Tabela1[[#This Row],[Pré Proteína Total (g/dL)]]</f>
        <v>7.9</v>
      </c>
      <c r="AO382" s="125">
        <f>Tabela1[[#This Row],[Pós Proteína Total (g/dL)]]</f>
        <v>8.1999999999999993</v>
      </c>
      <c r="AP382" s="85">
        <f>Tabela1[[#This Row],[Pré FE (ug/dL)]]</f>
        <v>10</v>
      </c>
      <c r="AQ382" s="193">
        <f>Tabela1[[#This Row],[Pós FE (ug/dL)]]</f>
        <v>10</v>
      </c>
      <c r="AR382" s="194">
        <f>Tabela1[[#This Row],[Pré calcio mg/dL]]</f>
        <v>9.8000000000000007</v>
      </c>
      <c r="AS382" s="125">
        <f>Tabela1[[#This Row],[Pós calcio mg/dL]]</f>
        <v>9.5</v>
      </c>
      <c r="AT382" s="125">
        <f>Tabela1[[#This Row],[Pré Potássio mmol/L]]</f>
        <v>4.5</v>
      </c>
      <c r="AU382" s="125">
        <f>Tabela1[[#This Row],[Pós Potássio mmol/L]]</f>
        <v>4.7</v>
      </c>
      <c r="AV382" s="85">
        <f>Tabela1[[#This Row],[Glicose pré]]</f>
        <v>99</v>
      </c>
      <c r="AW382" s="85">
        <f>Tabela1[[#This Row],[Glicose pós]]</f>
        <v>96</v>
      </c>
      <c r="AX382" s="85">
        <f>Tabela1[[#This Row],[Pré Sódio mmol/L]]</f>
        <v>142</v>
      </c>
      <c r="AY382" s="85">
        <f>Tabela1[[#This Row],[Pós Sódio mmol/L]]</f>
        <v>139</v>
      </c>
      <c r="AZ382" s="125">
        <f>Tabela1[[#This Row],[Pré Magnésio mg/dL]]</f>
        <v>2.2000000000000002</v>
      </c>
      <c r="BA382" s="125">
        <f>Tabela1[[#This Row],[Pós Magnésio mg/dL]]</f>
        <v>2.7</v>
      </c>
      <c r="BB382" s="85">
        <f>Tabela1[[#This Row],[Pré Cloro mmol/L]]</f>
        <v>109</v>
      </c>
      <c r="BC382" s="85">
        <f>Tabela1[[#This Row],[Pós Cloro mmol/L]]</f>
        <v>101</v>
      </c>
      <c r="BD38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301.815</v>
      </c>
      <c r="BE38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303.74866666666662</v>
      </c>
      <c r="BF382" s="194">
        <f>Tabela1[[#This Row],[Pré RBC 10^6/mm³]]</f>
        <v>4.28</v>
      </c>
      <c r="BG382" s="125">
        <f>Tabela1[[#This Row],[Pós RBC 10^6/mm³]]</f>
        <v>4.37</v>
      </c>
      <c r="BH382" s="125">
        <f>Tabela1[[#This Row],[Pré HGB g/dL]]</f>
        <v>13</v>
      </c>
      <c r="BI382" s="125">
        <f>Tabela1[[#This Row],[Pós HGB g/dL]]</f>
        <v>13.2</v>
      </c>
      <c r="BJ382" s="125">
        <f>Tabela1[[#This Row],[Pré HCT %]]</f>
        <v>40.200000000000003</v>
      </c>
      <c r="BK382" s="125">
        <f>Tabela1[[#This Row],[Pós HCT %]]</f>
        <v>41.7</v>
      </c>
      <c r="BL382" s="125">
        <f>Tabela1[[#This Row],[Pré MCV fL]]</f>
        <v>94.1</v>
      </c>
      <c r="BM382" s="125">
        <f>Tabela1[[#This Row],[Pós MCV fL]]</f>
        <v>95.4</v>
      </c>
      <c r="BN382" s="125">
        <f>Tabela1[[#This Row],[Pré MCH pg]]</f>
        <v>30.3</v>
      </c>
      <c r="BO382" s="125">
        <f>Tabela1[[#This Row],[Pós MCH pg]]</f>
        <v>30.2</v>
      </c>
      <c r="BP382" s="125">
        <f>Tabela1[[#This Row],[Pré MCHC g/dL]]</f>
        <v>32.200000000000003</v>
      </c>
      <c r="BQ382" s="125">
        <f>Tabela1[[#This Row],[Pós MCHC g/dL]]</f>
        <v>31.6</v>
      </c>
      <c r="BR382" s="85">
        <f>Tabela1[[#This Row],[Pré PLT 10³/mm³]]</f>
        <v>338</v>
      </c>
      <c r="BS382" s="85">
        <f>Tabela1[[#This Row],[Pós PLT 10³/mm³]]</f>
        <v>393</v>
      </c>
      <c r="BT382" s="125">
        <f>Tabela1[[#This Row],[Pré RDW %]]</f>
        <v>12.3</v>
      </c>
      <c r="BU382" s="125">
        <f>Tabela1[[#This Row],[Pós RDW %]]</f>
        <v>12.4</v>
      </c>
      <c r="BV382" s="179" t="str">
        <f>Tabela1[[#This Row],[Pré RET %]]</f>
        <v>-</v>
      </c>
      <c r="BW382" s="196" t="str">
        <f>Tabela1[[#This Row],[Pós RET %]]</f>
        <v>-</v>
      </c>
      <c r="BX382" s="197">
        <f>Tabela1[[#This Row],[Pré WBC 10³/mm³]]</f>
        <v>9.3800000000000008</v>
      </c>
      <c r="BY382" s="179">
        <f>Tabela1[[#This Row],[Pós WBC 10³/mm³]]</f>
        <v>11.74</v>
      </c>
      <c r="BZ382" s="125">
        <f>Tabela1[[#This Row],[Pré NEUT %]]</f>
        <v>74.099999999999994</v>
      </c>
      <c r="CA382" s="125">
        <f>Tabela1[[#This Row],[Pós NEUT %]]</f>
        <v>71.2</v>
      </c>
      <c r="CB382" s="125">
        <f>Tabela1[[#This Row],[Pré LINF %]]</f>
        <v>16.3</v>
      </c>
      <c r="CC382" s="125">
        <f>Tabela1[[#This Row],[Pós LINF %]]</f>
        <v>18.100000000000001</v>
      </c>
      <c r="CD382" s="125">
        <f>Tabela1[[#This Row],[Pré MONO %]]</f>
        <v>8.3000000000000007</v>
      </c>
      <c r="CE382" s="125">
        <f>Tabela1[[#This Row],[Pós MONO %]]</f>
        <v>9.9</v>
      </c>
      <c r="CF382" s="125">
        <f>Tabela1[[#This Row],[Pré EOS %]]</f>
        <v>0.8</v>
      </c>
      <c r="CG382" s="125">
        <f>Tabela1[[#This Row],[Pós EOS %]]</f>
        <v>0.5</v>
      </c>
      <c r="CH382" s="125">
        <f>Tabela1[[#This Row],[Pré BASO %]]</f>
        <v>0.5</v>
      </c>
      <c r="CI382" s="198">
        <f>Tabela1[[#This Row],[Pós BASO %]]</f>
        <v>0.3</v>
      </c>
      <c r="CJ382" s="199" t="str">
        <f t="shared" si="21"/>
        <v>NÃO</v>
      </c>
      <c r="CK382" s="200" t="str">
        <f t="shared" si="22"/>
        <v>SIM</v>
      </c>
      <c r="CL382" s="194">
        <f t="shared" si="23"/>
        <v>79.646280000000004</v>
      </c>
      <c r="CM382" s="125">
        <f>Tabela1[[#This Row],[MCT KG]]</f>
        <v>89.45</v>
      </c>
      <c r="CN382" s="85">
        <f>Tabela1[[#This Row],[ESTATURA]]</f>
        <v>179</v>
      </c>
      <c r="CO382" s="85" t="str">
        <f>Tabela1[[#This Row],[vo2max estimado]]</f>
        <v>49,25</v>
      </c>
      <c r="CP382" s="85">
        <f>Tabela1[[#This Row],[Handgrip     Dominante]]</f>
        <v>56</v>
      </c>
      <c r="CQ382" s="85">
        <f>Tabela1[[#This Row],[Handgrip Contrário]]</f>
        <v>54</v>
      </c>
      <c r="CR382" s="281" t="str">
        <f>Tabela1[[#This Row],[% gordura]]</f>
        <v>10,96</v>
      </c>
    </row>
    <row r="383" spans="1:96" ht="15.75" customHeight="1">
      <c r="A383" s="279">
        <f>Tabela1[[#This Row],[Ano]]</f>
        <v>2023</v>
      </c>
      <c r="B383" s="181" t="str">
        <f>Tabela1[[#This Row],[Missão]]</f>
        <v>Marambaia</v>
      </c>
      <c r="C383" s="181">
        <f>Tabela1[[#This Row],[Aluno]]</f>
        <v>3306</v>
      </c>
      <c r="D383" s="181">
        <f>Tabela1[[#This Row],[Idade]]</f>
        <v>33</v>
      </c>
      <c r="E383" s="182">
        <f>Tabela1[[#This Row],[Peso Kg]]</f>
        <v>70.900000000000006</v>
      </c>
      <c r="F383" s="191">
        <f>Tabela1[[#This Row],[Cor da pele]]</f>
        <v>1</v>
      </c>
      <c r="G383" s="192" t="str">
        <f>Tabela1[[#This Row],[ACTN3]]</f>
        <v>RR</v>
      </c>
      <c r="H383" s="85" t="str">
        <f>Tabela1[[#This Row],[AGT]]</f>
        <v>MT</v>
      </c>
      <c r="I383" s="85" t="str">
        <f>Tabela1[[#This Row],[ECA]]</f>
        <v>ID</v>
      </c>
      <c r="J383" s="85">
        <f>Tabela1[[#This Row],[BDKRB2]]</f>
        <v>0</v>
      </c>
      <c r="K383" s="85">
        <f>Tabela1[[#This Row],[Score Força%]]</f>
        <v>62.5</v>
      </c>
      <c r="L383" s="193">
        <f>Tabela1[[#This Row],[Score Resistência %]]</f>
        <v>37.5</v>
      </c>
      <c r="M383" s="192">
        <f>Tabela1[[#This Row],[Pré CK (U/L)]]</f>
        <v>325</v>
      </c>
      <c r="N383" s="85" t="str">
        <f>Tabela1[[#This Row],[Pós CK (U/L)]]</f>
        <v>-</v>
      </c>
      <c r="O383" s="85" t="str">
        <f>Tabela1[[#This Row],[Pré CK MB U/L]]</f>
        <v>-</v>
      </c>
      <c r="P383" s="85" t="str">
        <f>Tabela1[[#This Row],[Pós CK MB U/L]]</f>
        <v>-</v>
      </c>
      <c r="Q383" s="85">
        <f>Tabela1[[#This Row],[Pré Lactato (mmol/L)]]</f>
        <v>1.6</v>
      </c>
      <c r="R383" s="85" t="str">
        <f>Tabela1[[#This Row],[Pós Lactato (mmol/L)]]</f>
        <v>-</v>
      </c>
      <c r="S383" s="85">
        <f>Tabela1[[#This Row],[Pré LDH (U/L)]]</f>
        <v>153</v>
      </c>
      <c r="T383" s="85" t="str">
        <f>Tabela1[[#This Row],[Pós LDH (U/L)]]</f>
        <v>-</v>
      </c>
      <c r="U383" s="85">
        <f>Tabela1[[#This Row],[Pré AST (U/L)]]</f>
        <v>45</v>
      </c>
      <c r="V383" s="193" t="str">
        <f>Tabela1[[#This Row],[Pós AST (U/L)]]</f>
        <v>-</v>
      </c>
      <c r="W383" s="194">
        <f>Tabela1[[#This Row],[Pré Albumina (g/dL)]]</f>
        <v>4.7</v>
      </c>
      <c r="X383" s="125" t="str">
        <f>Tabela1[[#This Row],[Pós Albumina (g/dL)]]</f>
        <v>-</v>
      </c>
      <c r="Y383" s="85">
        <f>Tabela1[[#This Row],[Pré TGP (g/dL)]]</f>
        <v>24</v>
      </c>
      <c r="Z383" s="85" t="str">
        <f>Tabela1[[#This Row],[Pós TGP (g/dL)]]</f>
        <v>-</v>
      </c>
      <c r="AA383" s="85">
        <f>Tabela1[[#This Row],[Pré GGT U/L]]</f>
        <v>16</v>
      </c>
      <c r="AB383" s="193" t="str">
        <f>Tabela1[[#This Row],[Pós GGT U/L]]</f>
        <v>-</v>
      </c>
      <c r="AC383" s="194">
        <f>Tabela1[[#This Row],[Pré Ac. Úrico (mg/dL)]]</f>
        <v>5.3</v>
      </c>
      <c r="AD383" s="125" t="str">
        <f>Tabela1[[#This Row],[Pós Ac. Úrico (mg/dL)2]]</f>
        <v>-</v>
      </c>
      <c r="AE38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126.0587127925829</v>
      </c>
      <c r="AF383" s="180" t="str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Dados Insuficientes</v>
      </c>
      <c r="AG383" s="85">
        <f>Tabela1[[#This Row],[Pré Ureia mg/dL]]</f>
        <v>35</v>
      </c>
      <c r="AH383" s="85" t="str">
        <f>Tabela1[[#This Row],[Pós Ureia mg/dL]]</f>
        <v>-</v>
      </c>
      <c r="AI383" s="125">
        <f>Tabela1[[#This Row],[Pré creatinina mg/dL]]</f>
        <v>0.75</v>
      </c>
      <c r="AJ383" s="125" t="str">
        <f>Tabela1[[#This Row],[Pós creatinina mg/dL]]</f>
        <v>-</v>
      </c>
      <c r="AK383" s="180" t="str">
        <f t="shared" si="20"/>
        <v>Dados Insuficientes</v>
      </c>
      <c r="AL383" s="125">
        <f>Tabela1[[#This Row],[Pré Fósforo mg/dL]]</f>
        <v>5</v>
      </c>
      <c r="AM383" s="125" t="str">
        <f>Tabela1[[#This Row],[Pós Fósforo mg/dL]]</f>
        <v>-</v>
      </c>
      <c r="AN383" s="125">
        <f>Tabela1[[#This Row],[Pré Proteína Total (g/dL)]]</f>
        <v>8.5</v>
      </c>
      <c r="AO383" s="125" t="str">
        <f>Tabela1[[#This Row],[Pós Proteína Total (g/dL)]]</f>
        <v>-</v>
      </c>
      <c r="AP383" s="85">
        <f>Tabela1[[#This Row],[Pré FE (ug/dL)]]</f>
        <v>24</v>
      </c>
      <c r="AQ383" s="193" t="str">
        <f>Tabela1[[#This Row],[Pós FE (ug/dL)]]</f>
        <v>-</v>
      </c>
      <c r="AR383" s="194">
        <f>Tabela1[[#This Row],[Pré calcio mg/dL]]</f>
        <v>9.8000000000000007</v>
      </c>
      <c r="AS383" s="125" t="str">
        <f>Tabela1[[#This Row],[Pós calcio mg/dL]]</f>
        <v>-</v>
      </c>
      <c r="AT383" s="125">
        <f>Tabela1[[#This Row],[Pré Potássio mmol/L]]</f>
        <v>5</v>
      </c>
      <c r="AU383" s="125" t="str">
        <f>Tabela1[[#This Row],[Pós Potássio mmol/L]]</f>
        <v>-</v>
      </c>
      <c r="AV383" s="85">
        <f>Tabela1[[#This Row],[Glicose pré]]</f>
        <v>93</v>
      </c>
      <c r="AW383" s="85" t="str">
        <f>Tabela1[[#This Row],[Glicose pós]]</f>
        <v>-</v>
      </c>
      <c r="AX383" s="85">
        <f>Tabela1[[#This Row],[Pré Sódio mmol/L]]</f>
        <v>141</v>
      </c>
      <c r="AY383" s="85" t="str">
        <f>Tabela1[[#This Row],[Pós Sódio mmol/L]]</f>
        <v>-</v>
      </c>
      <c r="AZ383" s="125">
        <f>Tabela1[[#This Row],[Pré Magnésio mg/dL]]</f>
        <v>2</v>
      </c>
      <c r="BA383" s="125" t="str">
        <f>Tabela1[[#This Row],[Pós Magnésio mg/dL]]</f>
        <v>-</v>
      </c>
      <c r="BB383" s="85">
        <f>Tabela1[[#This Row],[Pré Cloro mmol/L]]</f>
        <v>105</v>
      </c>
      <c r="BC383" s="85" t="str">
        <f>Tabela1[[#This Row],[Pós Cloro mmol/L]]</f>
        <v>-</v>
      </c>
      <c r="BD38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297.33499999999998</v>
      </c>
      <c r="BE383" s="195" t="str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Dados Insuficientes</v>
      </c>
      <c r="BF383" s="194">
        <f>Tabela1[[#This Row],[Pré RBC 10^6/mm³]]</f>
        <v>5.01</v>
      </c>
      <c r="BG383" s="125" t="str">
        <f>Tabela1[[#This Row],[Pós RBC 10^6/mm³]]</f>
        <v>-</v>
      </c>
      <c r="BH383" s="125">
        <f>Tabela1[[#This Row],[Pré HGB g/dL]]</f>
        <v>14.4</v>
      </c>
      <c r="BI383" s="125" t="str">
        <f>Tabela1[[#This Row],[Pós HGB g/dL]]</f>
        <v>-</v>
      </c>
      <c r="BJ383" s="125">
        <f>Tabela1[[#This Row],[Pré HCT %]]</f>
        <v>44.7</v>
      </c>
      <c r="BK383" s="125" t="str">
        <f>Tabela1[[#This Row],[Pós HCT %]]</f>
        <v>-</v>
      </c>
      <c r="BL383" s="125">
        <f>Tabela1[[#This Row],[Pré MCV fL]]</f>
        <v>89.1</v>
      </c>
      <c r="BM383" s="125" t="str">
        <f>Tabela1[[#This Row],[Pós MCV fL]]</f>
        <v>-</v>
      </c>
      <c r="BN383" s="125">
        <f>Tabela1[[#This Row],[Pré MCH pg]]</f>
        <v>28.7</v>
      </c>
      <c r="BO383" s="125" t="str">
        <f>Tabela1[[#This Row],[Pós MCH pg]]</f>
        <v>-</v>
      </c>
      <c r="BP383" s="125">
        <f>Tabela1[[#This Row],[Pré MCHC g/dL]]</f>
        <v>32.200000000000003</v>
      </c>
      <c r="BQ383" s="125" t="str">
        <f>Tabela1[[#This Row],[Pós MCHC g/dL]]</f>
        <v>-</v>
      </c>
      <c r="BR383" s="85">
        <f>Tabela1[[#This Row],[Pré PLT 10³/mm³]]</f>
        <v>250</v>
      </c>
      <c r="BS383" s="85" t="str">
        <f>Tabela1[[#This Row],[Pós PLT 10³/mm³]]</f>
        <v>-</v>
      </c>
      <c r="BT383" s="125">
        <f>Tabela1[[#This Row],[Pré RDW %]]</f>
        <v>12.5</v>
      </c>
      <c r="BU383" s="125" t="str">
        <f>Tabela1[[#This Row],[Pós RDW %]]</f>
        <v>-</v>
      </c>
      <c r="BV383" s="179" t="str">
        <f>Tabela1[[#This Row],[Pré RET %]]</f>
        <v>-</v>
      </c>
      <c r="BW383" s="196" t="str">
        <f>Tabela1[[#This Row],[Pós RET %]]</f>
        <v>-</v>
      </c>
      <c r="BX383" s="197">
        <f>Tabela1[[#This Row],[Pré WBC 10³/mm³]]</f>
        <v>8.49</v>
      </c>
      <c r="BY383" s="179" t="str">
        <f>Tabela1[[#This Row],[Pós WBC 10³/mm³]]</f>
        <v>-</v>
      </c>
      <c r="BZ383" s="125">
        <f>Tabela1[[#This Row],[Pré NEUT %]]</f>
        <v>64.3</v>
      </c>
      <c r="CA383" s="125" t="str">
        <f>Tabela1[[#This Row],[Pós NEUT %]]</f>
        <v>-</v>
      </c>
      <c r="CB383" s="125">
        <f>Tabela1[[#This Row],[Pré LINF %]]</f>
        <v>27.8</v>
      </c>
      <c r="CC383" s="125" t="str">
        <f>Tabela1[[#This Row],[Pós LINF %]]</f>
        <v>-</v>
      </c>
      <c r="CD383" s="125">
        <f>Tabela1[[#This Row],[Pré MONO %]]</f>
        <v>6.8</v>
      </c>
      <c r="CE383" s="125" t="str">
        <f>Tabela1[[#This Row],[Pós MONO %]]</f>
        <v>-</v>
      </c>
      <c r="CF383" s="125">
        <f>Tabela1[[#This Row],[Pré EOS %]]</f>
        <v>0.8</v>
      </c>
      <c r="CG383" s="125" t="str">
        <f>Tabela1[[#This Row],[Pós EOS %]]</f>
        <v>-</v>
      </c>
      <c r="CH383" s="125">
        <f>Tabela1[[#This Row],[Pré BASO %]]</f>
        <v>0.3</v>
      </c>
      <c r="CI383" s="198" t="str">
        <f>Tabela1[[#This Row],[Pós BASO %]]</f>
        <v>-</v>
      </c>
      <c r="CJ383" s="199" t="str">
        <f t="shared" si="21"/>
        <v>Dados insuficientes</v>
      </c>
      <c r="CK383" s="200" t="str">
        <f t="shared" si="22"/>
        <v>SIM</v>
      </c>
      <c r="CL383" s="194">
        <f t="shared" si="23"/>
        <v>63.732880000000009</v>
      </c>
      <c r="CM383" s="125">
        <f>Tabela1[[#This Row],[MCT KG]]</f>
        <v>76.400000000000006</v>
      </c>
      <c r="CN383" s="85">
        <f>Tabela1[[#This Row],[ESTATURA]]</f>
        <v>175.5</v>
      </c>
      <c r="CO383" s="85" t="str">
        <f>Tabela1[[#This Row],[vo2max estimado]]</f>
        <v>50,68</v>
      </c>
      <c r="CP383" s="85">
        <f>Tabela1[[#This Row],[Handgrip     Dominante]]</f>
        <v>53</v>
      </c>
      <c r="CQ383" s="85">
        <f>Tabela1[[#This Row],[Handgrip Contrário]]</f>
        <v>50</v>
      </c>
      <c r="CR383" s="281" t="str">
        <f>Tabela1[[#This Row],[% gordura]]</f>
        <v>16,58</v>
      </c>
    </row>
    <row r="384" spans="1:96" ht="15.75" customHeight="1">
      <c r="A384" s="279">
        <f>Tabela1[[#This Row],[Ano]]</f>
        <v>2023</v>
      </c>
      <c r="B384" s="181" t="str">
        <f>Tabela1[[#This Row],[Missão]]</f>
        <v>Marambaia</v>
      </c>
      <c r="C384" s="181">
        <f>Tabela1[[#This Row],[Aluno]]</f>
        <v>3311</v>
      </c>
      <c r="D384" s="181">
        <f>Tabela1[[#This Row],[Idade]]</f>
        <v>35</v>
      </c>
      <c r="E384" s="182">
        <f>Tabela1[[#This Row],[Peso Kg]]</f>
        <v>75.2</v>
      </c>
      <c r="F384" s="191">
        <f>Tabela1[[#This Row],[Cor da pele]]</f>
        <v>2</v>
      </c>
      <c r="G384" s="192" t="str">
        <f>Tabela1[[#This Row],[ACTN3]]</f>
        <v>-</v>
      </c>
      <c r="H384" s="85" t="str">
        <f>Tabela1[[#This Row],[AGT]]</f>
        <v>-</v>
      </c>
      <c r="I384" s="85" t="str">
        <f>Tabela1[[#This Row],[ECA]]</f>
        <v>-</v>
      </c>
      <c r="J384" s="85" t="str">
        <f>Tabela1[[#This Row],[BDKRB2]]</f>
        <v>-</v>
      </c>
      <c r="K384" s="85" t="str">
        <f>Tabela1[[#This Row],[Score Força%]]</f>
        <v>-</v>
      </c>
      <c r="L384" s="193" t="str">
        <f>Tabela1[[#This Row],[Score Resistência %]]</f>
        <v>-</v>
      </c>
      <c r="M384" s="192">
        <f>Tabela1[[#This Row],[Pré CK (U/L)]]</f>
        <v>606</v>
      </c>
      <c r="N384" s="85">
        <f>Tabela1[[#This Row],[Pós CK (U/L)]]</f>
        <v>16935</v>
      </c>
      <c r="O384" s="85" t="str">
        <f>Tabela1[[#This Row],[Pré CK MB U/L]]</f>
        <v>-</v>
      </c>
      <c r="P384" s="85" t="str">
        <f>Tabela1[[#This Row],[Pós CK MB U/L]]</f>
        <v>-</v>
      </c>
      <c r="Q384" s="85">
        <f>Tabela1[[#This Row],[Pré Lactato (mmol/L)]]</f>
        <v>2.4</v>
      </c>
      <c r="R384" s="85">
        <f>Tabela1[[#This Row],[Pós Lactato (mmol/L)]]</f>
        <v>2.1</v>
      </c>
      <c r="S384" s="85">
        <f>Tabela1[[#This Row],[Pré LDH (U/L)]]</f>
        <v>345</v>
      </c>
      <c r="T384" s="85">
        <f>Tabela1[[#This Row],[Pós LDH (U/L)]]</f>
        <v>728</v>
      </c>
      <c r="U384" s="85">
        <f>Tabela1[[#This Row],[Pré AST (U/L)]]</f>
        <v>61</v>
      </c>
      <c r="V384" s="193">
        <f>Tabela1[[#This Row],[Pós AST (U/L)]]</f>
        <v>513</v>
      </c>
      <c r="W384" s="194">
        <f>Tabela1[[#This Row],[Pré Albumina (g/dL)]]</f>
        <v>4.3</v>
      </c>
      <c r="X384" s="125">
        <f>Tabela1[[#This Row],[Pós Albumina (g/dL)]]</f>
        <v>4.4000000000000004</v>
      </c>
      <c r="Y384" s="85">
        <f>Tabela1[[#This Row],[Pré TGP (g/dL)]]</f>
        <v>81</v>
      </c>
      <c r="Z384" s="85">
        <f>Tabela1[[#This Row],[Pós TGP (g/dL)]]</f>
        <v>141</v>
      </c>
      <c r="AA384" s="85">
        <f>Tabela1[[#This Row],[Pré GGT U/L]]</f>
        <v>41</v>
      </c>
      <c r="AB384" s="193">
        <f>Tabela1[[#This Row],[Pós GGT U/L]]</f>
        <v>41</v>
      </c>
      <c r="AC384" s="194">
        <f>Tabela1[[#This Row],[Pré Ac. Úrico (mg/dL)]]</f>
        <v>4.0999999999999996</v>
      </c>
      <c r="AD384" s="125">
        <f>Tabela1[[#This Row],[Pós Ac. Úrico (mg/dL)2]]</f>
        <v>6.4</v>
      </c>
      <c r="AE38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132.24370787167678</v>
      </c>
      <c r="AF38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53.350186480682147</v>
      </c>
      <c r="AG384" s="85">
        <f>Tabela1[[#This Row],[Pré Ureia mg/dL]]</f>
        <v>44</v>
      </c>
      <c r="AH384" s="85">
        <f>Tabela1[[#This Row],[Pós Ureia mg/dL]]</f>
        <v>67</v>
      </c>
      <c r="AI384" s="125">
        <f>Tabela1[[#This Row],[Pré creatinina mg/dL]]</f>
        <v>0.64</v>
      </c>
      <c r="AJ384" s="125">
        <f>Tabela1[[#This Row],[Pós creatinina mg/dL]]</f>
        <v>1.76</v>
      </c>
      <c r="AK384" s="180">
        <f t="shared" si="20"/>
        <v>1.1200000000000001</v>
      </c>
      <c r="AL384" s="125">
        <f>Tabela1[[#This Row],[Pré Fósforo mg/dL]]</f>
        <v>3.7</v>
      </c>
      <c r="AM384" s="125">
        <f>Tabela1[[#This Row],[Pós Fósforo mg/dL]]</f>
        <v>5.2</v>
      </c>
      <c r="AN384" s="125">
        <f>Tabela1[[#This Row],[Pré Proteína Total (g/dL)]]</f>
        <v>7.5</v>
      </c>
      <c r="AO384" s="125">
        <f>Tabela1[[#This Row],[Pós Proteína Total (g/dL)]]</f>
        <v>7.7</v>
      </c>
      <c r="AP384" s="85">
        <f>Tabela1[[#This Row],[Pré FE (ug/dL)]]</f>
        <v>18</v>
      </c>
      <c r="AQ384" s="193">
        <f>Tabela1[[#This Row],[Pós FE (ug/dL)]]</f>
        <v>10</v>
      </c>
      <c r="AR384" s="194">
        <f>Tabela1[[#This Row],[Pré calcio mg/dL]]</f>
        <v>9.6</v>
      </c>
      <c r="AS384" s="125">
        <f>Tabela1[[#This Row],[Pós calcio mg/dL]]</f>
        <v>9.6</v>
      </c>
      <c r="AT384" s="125">
        <f>Tabela1[[#This Row],[Pré Potássio mmol/L]]</f>
        <v>5</v>
      </c>
      <c r="AU384" s="125">
        <f>Tabela1[[#This Row],[Pós Potássio mmol/L]]</f>
        <v>4.4000000000000004</v>
      </c>
      <c r="AV384" s="85">
        <f>Tabela1[[#This Row],[Glicose pré]]</f>
        <v>102</v>
      </c>
      <c r="AW384" s="85">
        <f>Tabela1[[#This Row],[Glicose pós]]</f>
        <v>104</v>
      </c>
      <c r="AX384" s="85">
        <f>Tabela1[[#This Row],[Pré Sódio mmol/L]]</f>
        <v>140</v>
      </c>
      <c r="AY384" s="85">
        <f>Tabela1[[#This Row],[Pós Sódio mmol/L]]</f>
        <v>139</v>
      </c>
      <c r="AZ384" s="125">
        <f>Tabela1[[#This Row],[Pré Magnésio mg/dL]]</f>
        <v>2.5</v>
      </c>
      <c r="BA384" s="125">
        <f>Tabela1[[#This Row],[Pós Magnésio mg/dL]]</f>
        <v>2.6</v>
      </c>
      <c r="BB384" s="85">
        <f>Tabela1[[#This Row],[Pré Cloro mmol/L]]</f>
        <v>104</v>
      </c>
      <c r="BC384" s="85">
        <f>Tabela1[[#This Row],[Pós Cloro mmol/L]]</f>
        <v>99</v>
      </c>
      <c r="BD38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297.54999999999995</v>
      </c>
      <c r="BE38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298.53511111111118</v>
      </c>
      <c r="BF384" s="194">
        <f>Tabela1[[#This Row],[Pré RBC 10^6/mm³]]</f>
        <v>4.91</v>
      </c>
      <c r="BG384" s="125">
        <f>Tabela1[[#This Row],[Pós RBC 10^6/mm³]]</f>
        <v>4.74</v>
      </c>
      <c r="BH384" s="125">
        <f>Tabela1[[#This Row],[Pré HGB g/dL]]</f>
        <v>14.9</v>
      </c>
      <c r="BI384" s="125">
        <f>Tabela1[[#This Row],[Pós HGB g/dL]]</f>
        <v>14.4</v>
      </c>
      <c r="BJ384" s="125">
        <f>Tabela1[[#This Row],[Pré HCT %]]</f>
        <v>46.6</v>
      </c>
      <c r="BK384" s="125">
        <f>Tabela1[[#This Row],[Pós HCT %]]</f>
        <v>45.1</v>
      </c>
      <c r="BL384" s="125">
        <f>Tabela1[[#This Row],[Pré MCV fL]]</f>
        <v>94.8</v>
      </c>
      <c r="BM384" s="125">
        <f>Tabela1[[#This Row],[Pós MCV fL]]</f>
        <v>95.1</v>
      </c>
      <c r="BN384" s="125">
        <f>Tabela1[[#This Row],[Pré MCH pg]]</f>
        <v>30.4</v>
      </c>
      <c r="BO384" s="125">
        <f>Tabela1[[#This Row],[Pós MCH pg]]</f>
        <v>30.4</v>
      </c>
      <c r="BP384" s="125">
        <f>Tabela1[[#This Row],[Pré MCHC g/dL]]</f>
        <v>32</v>
      </c>
      <c r="BQ384" s="125">
        <f>Tabela1[[#This Row],[Pós MCHC g/dL]]</f>
        <v>32</v>
      </c>
      <c r="BR384" s="85">
        <f>Tabela1[[#This Row],[Pré PLT 10³/mm³]]</f>
        <v>220</v>
      </c>
      <c r="BS384" s="85">
        <f>Tabela1[[#This Row],[Pós PLT 10³/mm³]]</f>
        <v>239</v>
      </c>
      <c r="BT384" s="125">
        <f>Tabela1[[#This Row],[Pré RDW %]]</f>
        <v>13.3</v>
      </c>
      <c r="BU384" s="125">
        <f>Tabela1[[#This Row],[Pós RDW %]]</f>
        <v>13.9</v>
      </c>
      <c r="BV384" s="179" t="str">
        <f>Tabela1[[#This Row],[Pré RET %]]</f>
        <v>-</v>
      </c>
      <c r="BW384" s="196" t="str">
        <f>Tabela1[[#This Row],[Pós RET %]]</f>
        <v>-</v>
      </c>
      <c r="BX384" s="197">
        <f>Tabela1[[#This Row],[Pré WBC 10³/mm³]]</f>
        <v>6.33</v>
      </c>
      <c r="BY384" s="179">
        <f>Tabela1[[#This Row],[Pós WBC 10³/mm³]]</f>
        <v>15.1</v>
      </c>
      <c r="BZ384" s="125">
        <f>Tabela1[[#This Row],[Pré NEUT %]]</f>
        <v>64.7</v>
      </c>
      <c r="CA384" s="125">
        <f>Tabela1[[#This Row],[Pós NEUT %]]</f>
        <v>76</v>
      </c>
      <c r="CB384" s="125">
        <f>Tabela1[[#This Row],[Pré LINF %]]</f>
        <v>24.8</v>
      </c>
      <c r="CC384" s="125">
        <f>Tabela1[[#This Row],[Pós LINF %]]</f>
        <v>13.7</v>
      </c>
      <c r="CD384" s="125">
        <f>Tabela1[[#This Row],[Pré MONO %]]</f>
        <v>8.4</v>
      </c>
      <c r="CE384" s="125">
        <f>Tabela1[[#This Row],[Pós MONO %]]</f>
        <v>10</v>
      </c>
      <c r="CF384" s="125">
        <f>Tabela1[[#This Row],[Pré EOS %]]</f>
        <v>1.2</v>
      </c>
      <c r="CG384" s="125">
        <f>Tabela1[[#This Row],[Pós EOS %]]</f>
        <v>0.1</v>
      </c>
      <c r="CH384" s="125">
        <f>Tabela1[[#This Row],[Pré BASO %]]</f>
        <v>0.9</v>
      </c>
      <c r="CI384" s="198">
        <f>Tabela1[[#This Row],[Pós BASO %]]</f>
        <v>0.2</v>
      </c>
      <c r="CJ384" s="199" t="str">
        <f t="shared" si="21"/>
        <v>SIM</v>
      </c>
      <c r="CK384" s="200" t="str">
        <f t="shared" si="22"/>
        <v>SIM</v>
      </c>
      <c r="CL384" s="194">
        <f t="shared" si="23"/>
        <v>64.97972</v>
      </c>
      <c r="CM384" s="125">
        <f>Tabela1[[#This Row],[MCT KG]]</f>
        <v>80.599999999999994</v>
      </c>
      <c r="CN384" s="85">
        <f>Tabela1[[#This Row],[ESTATURA]]</f>
        <v>173</v>
      </c>
      <c r="CO384" s="85" t="str">
        <f>Tabela1[[#This Row],[vo2max estimado]]</f>
        <v>52,06</v>
      </c>
      <c r="CP384" s="85">
        <f>Tabela1[[#This Row],[Handgrip     Dominante]]</f>
        <v>60</v>
      </c>
      <c r="CQ384" s="85">
        <f>Tabela1[[#This Row],[Handgrip Contrário]]</f>
        <v>62</v>
      </c>
      <c r="CR384" s="281" t="str">
        <f>Tabela1[[#This Row],[% gordura]]</f>
        <v>19,38</v>
      </c>
    </row>
    <row r="385" spans="1:96" ht="15.75" customHeight="1">
      <c r="A385" s="279">
        <f>Tabela1[[#This Row],[Ano]]</f>
        <v>2023</v>
      </c>
      <c r="B385" s="181" t="str">
        <f>Tabela1[[#This Row],[Missão]]</f>
        <v>Marambaia</v>
      </c>
      <c r="C385" s="181">
        <f>Tabela1[[#This Row],[Aluno]]</f>
        <v>3328</v>
      </c>
      <c r="D385" s="181" t="str">
        <f>Tabela1[[#This Row],[Idade]]</f>
        <v>-</v>
      </c>
      <c r="E385" s="182">
        <f>Tabela1[[#This Row],[Peso Kg]]</f>
        <v>87.2</v>
      </c>
      <c r="F385" s="191" t="str">
        <f>Tabela1[[#This Row],[Cor da pele]]</f>
        <v>-</v>
      </c>
      <c r="G385" s="192" t="str">
        <f>Tabela1[[#This Row],[ACTN3]]</f>
        <v>-</v>
      </c>
      <c r="H385" s="85" t="str">
        <f>Tabela1[[#This Row],[AGT]]</f>
        <v>-</v>
      </c>
      <c r="I385" s="85" t="str">
        <f>Tabela1[[#This Row],[ECA]]</f>
        <v>-</v>
      </c>
      <c r="J385" s="85" t="str">
        <f>Tabela1[[#This Row],[BDKRB2]]</f>
        <v>-</v>
      </c>
      <c r="K385" s="85" t="str">
        <f>Tabela1[[#This Row],[Score Força%]]</f>
        <v>-</v>
      </c>
      <c r="L385" s="193" t="str">
        <f>Tabela1[[#This Row],[Score Resistência %]]</f>
        <v>-</v>
      </c>
      <c r="M385" s="192">
        <f>Tabela1[[#This Row],[Pré CK (U/L)]]</f>
        <v>170</v>
      </c>
      <c r="N385" s="85">
        <f>Tabela1[[#This Row],[Pós CK (U/L)]]</f>
        <v>1199</v>
      </c>
      <c r="O385" s="85" t="str">
        <f>Tabela1[[#This Row],[Pré CK MB U/L]]</f>
        <v>-</v>
      </c>
      <c r="P385" s="85" t="str">
        <f>Tabela1[[#This Row],[Pós CK MB U/L]]</f>
        <v>-</v>
      </c>
      <c r="Q385" s="85">
        <f>Tabela1[[#This Row],[Pré Lactato (mmol/L)]]</f>
        <v>1.9</v>
      </c>
      <c r="R385" s="85">
        <f>Tabela1[[#This Row],[Pós Lactato (mmol/L)]]</f>
        <v>2.2999999999999998</v>
      </c>
      <c r="S385" s="85">
        <f>Tabela1[[#This Row],[Pré LDH (U/L)]]</f>
        <v>208</v>
      </c>
      <c r="T385" s="85">
        <f>Tabela1[[#This Row],[Pós LDH (U/L)]]</f>
        <v>280</v>
      </c>
      <c r="U385" s="85">
        <f>Tabela1[[#This Row],[Pré AST (U/L)]]</f>
        <v>40</v>
      </c>
      <c r="V385" s="193">
        <f>Tabela1[[#This Row],[Pós AST (U/L)]]</f>
        <v>107</v>
      </c>
      <c r="W385" s="194">
        <f>Tabela1[[#This Row],[Pré Albumina (g/dL)]]</f>
        <v>4.3</v>
      </c>
      <c r="X385" s="125">
        <f>Tabela1[[#This Row],[Pós Albumina (g/dL)]]</f>
        <v>4.0999999999999996</v>
      </c>
      <c r="Y385" s="85">
        <f>Tabela1[[#This Row],[Pré TGP (g/dL)]]</f>
        <v>36</v>
      </c>
      <c r="Z385" s="85">
        <f>Tabela1[[#This Row],[Pós TGP (g/dL)]]</f>
        <v>55</v>
      </c>
      <c r="AA385" s="85">
        <f>Tabela1[[#This Row],[Pré GGT U/L]]</f>
        <v>34</v>
      </c>
      <c r="AB385" s="193">
        <f>Tabela1[[#This Row],[Pós GGT U/L]]</f>
        <v>33</v>
      </c>
      <c r="AC385" s="194">
        <f>Tabela1[[#This Row],[Pré Ac. Úrico (mg/dL)]]</f>
        <v>4.3</v>
      </c>
      <c r="AD385" s="125">
        <f>Tabela1[[#This Row],[Pós Ac. Úrico (mg/dL)2]]</f>
        <v>5.6</v>
      </c>
      <c r="AE38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125.06079084596884</v>
      </c>
      <c r="AF38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98.035666297733968</v>
      </c>
      <c r="AG385" s="85">
        <f>Tabela1[[#This Row],[Pré Ureia mg/dL]]</f>
        <v>40</v>
      </c>
      <c r="AH385" s="85">
        <f>Tabela1[[#This Row],[Pós Ureia mg/dL]]</f>
        <v>61</v>
      </c>
      <c r="AI385" s="125">
        <f>Tabela1[[#This Row],[Pré creatinina mg/dL]]</f>
        <v>0.77</v>
      </c>
      <c r="AJ385" s="125">
        <f>Tabela1[[#This Row],[Pós creatinina mg/dL]]</f>
        <v>1.06</v>
      </c>
      <c r="AK385" s="180">
        <f t="shared" si="20"/>
        <v>0.29000000000000004</v>
      </c>
      <c r="AL385" s="125">
        <f>Tabela1[[#This Row],[Pré Fósforo mg/dL]]</f>
        <v>3.5</v>
      </c>
      <c r="AM385" s="125">
        <f>Tabela1[[#This Row],[Pós Fósforo mg/dL]]</f>
        <v>4.3</v>
      </c>
      <c r="AN385" s="125">
        <f>Tabela1[[#This Row],[Pré Proteína Total (g/dL)]]</f>
        <v>7.1</v>
      </c>
      <c r="AO385" s="125">
        <f>Tabela1[[#This Row],[Pós Proteína Total (g/dL)]]</f>
        <v>7</v>
      </c>
      <c r="AP385" s="85">
        <f>Tabela1[[#This Row],[Pré FE (ug/dL)]]</f>
        <v>10</v>
      </c>
      <c r="AQ385" s="193">
        <f>Tabela1[[#This Row],[Pós FE (ug/dL)]]</f>
        <v>10</v>
      </c>
      <c r="AR385" s="194">
        <f>Tabela1[[#This Row],[Pré calcio mg/dL]]</f>
        <v>9.1999999999999993</v>
      </c>
      <c r="AS385" s="125">
        <f>Tabela1[[#This Row],[Pós calcio mg/dL]]</f>
        <v>9</v>
      </c>
      <c r="AT385" s="125">
        <f>Tabela1[[#This Row],[Pré Potássio mmol/L]]</f>
        <v>4.5</v>
      </c>
      <c r="AU385" s="125">
        <f>Tabela1[[#This Row],[Pós Potássio mmol/L]]</f>
        <v>4.5</v>
      </c>
      <c r="AV385" s="85">
        <f>Tabela1[[#This Row],[Glicose pré]]</f>
        <v>109</v>
      </c>
      <c r="AW385" s="85">
        <f>Tabela1[[#This Row],[Glicose pós]]</f>
        <v>87</v>
      </c>
      <c r="AX385" s="85">
        <f>Tabela1[[#This Row],[Pré Sódio mmol/L]]</f>
        <v>140</v>
      </c>
      <c r="AY385" s="85">
        <f>Tabela1[[#This Row],[Pós Sódio mmol/L]]</f>
        <v>139</v>
      </c>
      <c r="AZ385" s="125">
        <f>Tabela1[[#This Row],[Pré Magnésio mg/dL]]</f>
        <v>2.1</v>
      </c>
      <c r="BA385" s="125">
        <f>Tabela1[[#This Row],[Pós Magnésio mg/dL]]</f>
        <v>2.2999999999999998</v>
      </c>
      <c r="BB385" s="85">
        <f>Tabela1[[#This Row],[Pré Cloro mmol/L]]</f>
        <v>108</v>
      </c>
      <c r="BC385" s="85">
        <f>Tabela1[[#This Row],[Pós Cloro mmol/L]]</f>
        <v>103</v>
      </c>
      <c r="BD38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296.40055555555563</v>
      </c>
      <c r="BE38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296.63500000000005</v>
      </c>
      <c r="BF385" s="194">
        <f>Tabela1[[#This Row],[Pré RBC 10^6/mm³]]</f>
        <v>5.17</v>
      </c>
      <c r="BG385" s="125">
        <f>Tabela1[[#This Row],[Pós RBC 10^6/mm³]]</f>
        <v>4.8899999999999997</v>
      </c>
      <c r="BH385" s="125">
        <f>Tabela1[[#This Row],[Pré HGB g/dL]]</f>
        <v>13.9</v>
      </c>
      <c r="BI385" s="125">
        <f>Tabela1[[#This Row],[Pós HGB g/dL]]</f>
        <v>13.2</v>
      </c>
      <c r="BJ385" s="125">
        <f>Tabela1[[#This Row],[Pré HCT %]]</f>
        <v>44.2</v>
      </c>
      <c r="BK385" s="125">
        <f>Tabela1[[#This Row],[Pós HCT %]]</f>
        <v>41.9</v>
      </c>
      <c r="BL385" s="125">
        <f>Tabela1[[#This Row],[Pré MCV fL]]</f>
        <v>85.6</v>
      </c>
      <c r="BM385" s="125">
        <f>Tabela1[[#This Row],[Pós MCV fL]]</f>
        <v>85.7</v>
      </c>
      <c r="BN385" s="125">
        <f>Tabela1[[#This Row],[Pré MCH pg]]</f>
        <v>26.9</v>
      </c>
      <c r="BO385" s="125">
        <f>Tabela1[[#This Row],[Pós MCH pg]]</f>
        <v>26.9</v>
      </c>
      <c r="BP385" s="125">
        <f>Tabela1[[#This Row],[Pré MCHC g/dL]]</f>
        <v>31.4</v>
      </c>
      <c r="BQ385" s="125">
        <f>Tabela1[[#This Row],[Pós MCHC g/dL]]</f>
        <v>31.4</v>
      </c>
      <c r="BR385" s="85">
        <f>Tabela1[[#This Row],[Pré PLT 10³/mm³]]</f>
        <v>294</v>
      </c>
      <c r="BS385" s="85">
        <f>Tabela1[[#This Row],[Pós PLT 10³/mm³]]</f>
        <v>313</v>
      </c>
      <c r="BT385" s="125">
        <f>Tabela1[[#This Row],[Pré RDW %]]</f>
        <v>12.9</v>
      </c>
      <c r="BU385" s="125">
        <f>Tabela1[[#This Row],[Pós RDW %]]</f>
        <v>13</v>
      </c>
      <c r="BV385" s="179" t="str">
        <f>Tabela1[[#This Row],[Pré RET %]]</f>
        <v>-</v>
      </c>
      <c r="BW385" s="196" t="str">
        <f>Tabela1[[#This Row],[Pós RET %]]</f>
        <v>-</v>
      </c>
      <c r="BX385" s="197">
        <f>Tabela1[[#This Row],[Pré WBC 10³/mm³]]</f>
        <v>5.04</v>
      </c>
      <c r="BY385" s="179">
        <f>Tabela1[[#This Row],[Pós WBC 10³/mm³]]</f>
        <v>11.28</v>
      </c>
      <c r="BZ385" s="125">
        <f>Tabela1[[#This Row],[Pré NEUT %]]</f>
        <v>64.900000000000006</v>
      </c>
      <c r="CA385" s="125">
        <f>Tabela1[[#This Row],[Pós NEUT %]]</f>
        <v>75</v>
      </c>
      <c r="CB385" s="125">
        <f>Tabela1[[#This Row],[Pré LINF %]]</f>
        <v>26.2</v>
      </c>
      <c r="CC385" s="125">
        <f>Tabela1[[#This Row],[Pós LINF %]]</f>
        <v>16.3</v>
      </c>
      <c r="CD385" s="125">
        <f>Tabela1[[#This Row],[Pré MONO %]]</f>
        <v>6.6</v>
      </c>
      <c r="CE385" s="125">
        <f>Tabela1[[#This Row],[Pós MONO %]]</f>
        <v>7.4</v>
      </c>
      <c r="CF385" s="125">
        <f>Tabela1[[#This Row],[Pré EOS %]]</f>
        <v>1.9</v>
      </c>
      <c r="CG385" s="125">
        <f>Tabela1[[#This Row],[Pós EOS %]]</f>
        <v>1.2</v>
      </c>
      <c r="CH385" s="125">
        <f>Tabela1[[#This Row],[Pré BASO %]]</f>
        <v>0.4</v>
      </c>
      <c r="CI385" s="198">
        <f>Tabela1[[#This Row],[Pós BASO %]]</f>
        <v>0.1</v>
      </c>
      <c r="CJ385" s="199" t="str">
        <f t="shared" si="21"/>
        <v>NÃO</v>
      </c>
      <c r="CK385" s="200" t="str">
        <f t="shared" si="22"/>
        <v>SIM</v>
      </c>
      <c r="CL385" s="194" t="e">
        <f t="shared" si="23"/>
        <v>#VALUE!</v>
      </c>
      <c r="CM385" s="125" t="str">
        <f>Tabela1[[#This Row],[MCT KG]]</f>
        <v>-</v>
      </c>
      <c r="CN385" s="85" t="str">
        <f>Tabela1[[#This Row],[ESTATURA]]</f>
        <v>-</v>
      </c>
      <c r="CO385" s="85" t="str">
        <f>Tabela1[[#This Row],[vo2max estimado]]</f>
        <v>-</v>
      </c>
      <c r="CP385" s="85" t="str">
        <f>Tabela1[[#This Row],[Handgrip     Dominante]]</f>
        <v>-</v>
      </c>
      <c r="CQ385" s="85" t="str">
        <f>Tabela1[[#This Row],[Handgrip Contrário]]</f>
        <v>-</v>
      </c>
      <c r="CR385" s="281" t="str">
        <f>Tabela1[[#This Row],[% gordura]]</f>
        <v>-</v>
      </c>
    </row>
    <row r="386" spans="1:96" ht="15.75" customHeight="1">
      <c r="A386" s="279">
        <f>Tabela1[[#This Row],[Ano]]</f>
        <v>2023</v>
      </c>
      <c r="B386" s="181" t="str">
        <f>Tabela1[[#This Row],[Missão]]</f>
        <v>Marambaia</v>
      </c>
      <c r="C386" s="181">
        <f>Tabela1[[#This Row],[Aluno]]</f>
        <v>3330</v>
      </c>
      <c r="D386" s="181">
        <f>Tabela1[[#This Row],[Idade]]</f>
        <v>28</v>
      </c>
      <c r="E386" s="182">
        <f>Tabela1[[#This Row],[Peso Kg]]</f>
        <v>78.5</v>
      </c>
      <c r="F386" s="191">
        <f>Tabela1[[#This Row],[Cor da pele]]</f>
        <v>1</v>
      </c>
      <c r="G386" s="192" t="str">
        <f>Tabela1[[#This Row],[ACTN3]]</f>
        <v>RX</v>
      </c>
      <c r="H386" s="85" t="str">
        <f>Tabela1[[#This Row],[AGT]]</f>
        <v>MM</v>
      </c>
      <c r="I386" s="85" t="str">
        <f>Tabela1[[#This Row],[ECA]]</f>
        <v>DD</v>
      </c>
      <c r="J386" s="85">
        <f>Tabela1[[#This Row],[BDKRB2]]</f>
        <v>0</v>
      </c>
      <c r="K386" s="85">
        <f>Tabela1[[#This Row],[Score Força%]]</f>
        <v>50</v>
      </c>
      <c r="L386" s="193">
        <f>Tabela1[[#This Row],[Score Resistência %]]</f>
        <v>50</v>
      </c>
      <c r="M386" s="192">
        <f>Tabela1[[#This Row],[Pré CK (U/L)]]</f>
        <v>1350</v>
      </c>
      <c r="N386" s="85">
        <f>Tabela1[[#This Row],[Pós CK (U/L)]]</f>
        <v>26814</v>
      </c>
      <c r="O386" s="85" t="str">
        <f>Tabela1[[#This Row],[Pré CK MB U/L]]</f>
        <v>-</v>
      </c>
      <c r="P386" s="85" t="str">
        <f>Tabela1[[#This Row],[Pós CK MB U/L]]</f>
        <v>-</v>
      </c>
      <c r="Q386" s="85">
        <f>Tabela1[[#This Row],[Pré Lactato (mmol/L)]]</f>
        <v>1.4</v>
      </c>
      <c r="R386" s="85">
        <f>Tabela1[[#This Row],[Pós Lactato (mmol/L)]]</f>
        <v>2.1</v>
      </c>
      <c r="S386" s="85">
        <f>Tabela1[[#This Row],[Pré LDH (U/L)]]</f>
        <v>359</v>
      </c>
      <c r="T386" s="85">
        <f>Tabela1[[#This Row],[Pós LDH (U/L)]]</f>
        <v>896</v>
      </c>
      <c r="U386" s="85">
        <f>Tabela1[[#This Row],[Pré AST (U/L)]]</f>
        <v>161</v>
      </c>
      <c r="V386" s="193">
        <f>Tabela1[[#This Row],[Pós AST (U/L)]]</f>
        <v>723</v>
      </c>
      <c r="W386" s="194">
        <f>Tabela1[[#This Row],[Pré Albumina (g/dL)]]</f>
        <v>4.3</v>
      </c>
      <c r="X386" s="125">
        <f>Tabela1[[#This Row],[Pós Albumina (g/dL)]]</f>
        <v>4.5</v>
      </c>
      <c r="Y386" s="85">
        <f>Tabela1[[#This Row],[Pré TGP (g/dL)]]</f>
        <v>149</v>
      </c>
      <c r="Z386" s="85">
        <f>Tabela1[[#This Row],[Pós TGP (g/dL)]]</f>
        <v>187</v>
      </c>
      <c r="AA386" s="85">
        <f>Tabela1[[#This Row],[Pré GGT U/L]]</f>
        <v>31</v>
      </c>
      <c r="AB386" s="193">
        <f>Tabela1[[#This Row],[Pós GGT U/L]]</f>
        <v>29</v>
      </c>
      <c r="AC386" s="194">
        <f>Tabela1[[#This Row],[Pré Ac. Úrico (mg/dL)]]</f>
        <v>3.7</v>
      </c>
      <c r="AD386" s="125">
        <f>Tabela1[[#This Row],[Pós Ac. Úrico (mg/dL)2]]</f>
        <v>4.5999999999999996</v>
      </c>
      <c r="AE38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131.6259552440923</v>
      </c>
      <c r="AF38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126.0587127925829</v>
      </c>
      <c r="AG386" s="85">
        <f>Tabela1[[#This Row],[Pré Ureia mg/dL]]</f>
        <v>45</v>
      </c>
      <c r="AH386" s="85">
        <f>Tabela1[[#This Row],[Pós Ureia mg/dL]]</f>
        <v>55</v>
      </c>
      <c r="AI386" s="125">
        <f>Tabela1[[#This Row],[Pré creatinina mg/dL]]</f>
        <v>0.65</v>
      </c>
      <c r="AJ386" s="125">
        <f>Tabela1[[#This Row],[Pós creatinina mg/dL]]</f>
        <v>0.75</v>
      </c>
      <c r="AK386" s="180">
        <f t="shared" ref="AK386:AK449" si="24">IFERROR(IF((AJ386-AI386)&lt;0,0,(AJ386-AI386)),"Dados Insuficientes")</f>
        <v>9.9999999999999978E-2</v>
      </c>
      <c r="AL386" s="125">
        <f>Tabela1[[#This Row],[Pré Fósforo mg/dL]]</f>
        <v>3.8</v>
      </c>
      <c r="AM386" s="125">
        <f>Tabela1[[#This Row],[Pós Fósforo mg/dL]]</f>
        <v>5</v>
      </c>
      <c r="AN386" s="125">
        <f>Tabela1[[#This Row],[Pré Proteína Total (g/dL)]]</f>
        <v>7.1</v>
      </c>
      <c r="AO386" s="125">
        <f>Tabela1[[#This Row],[Pós Proteína Total (g/dL)]]</f>
        <v>7.3</v>
      </c>
      <c r="AP386" s="85">
        <f>Tabela1[[#This Row],[Pré FE (ug/dL)]]</f>
        <v>10</v>
      </c>
      <c r="AQ386" s="193">
        <f>Tabela1[[#This Row],[Pós FE (ug/dL)]]</f>
        <v>10</v>
      </c>
      <c r="AR386" s="194">
        <f>Tabela1[[#This Row],[Pré calcio mg/dL]]</f>
        <v>9</v>
      </c>
      <c r="AS386" s="125">
        <f>Tabela1[[#This Row],[Pós calcio mg/dL]]</f>
        <v>9.3000000000000007</v>
      </c>
      <c r="AT386" s="125">
        <f>Tabela1[[#This Row],[Pré Potássio mmol/L]]</f>
        <v>4.5999999999999996</v>
      </c>
      <c r="AU386" s="125">
        <f>Tabela1[[#This Row],[Pós Potássio mmol/L]]</f>
        <v>4.2</v>
      </c>
      <c r="AV386" s="85">
        <f>Tabela1[[#This Row],[Glicose pré]]</f>
        <v>100</v>
      </c>
      <c r="AW386" s="85">
        <f>Tabela1[[#This Row],[Glicose pós]]</f>
        <v>102</v>
      </c>
      <c r="AX386" s="85">
        <f>Tabela1[[#This Row],[Pré Sódio mmol/L]]</f>
        <v>138</v>
      </c>
      <c r="AY386" s="85">
        <f>Tabela1[[#This Row],[Pós Sódio mmol/L]]</f>
        <v>143</v>
      </c>
      <c r="AZ386" s="125">
        <f>Tabela1[[#This Row],[Pré Magnésio mg/dL]]</f>
        <v>44928</v>
      </c>
      <c r="BA386" s="125">
        <f>Tabela1[[#This Row],[Pós Magnésio mg/dL]]</f>
        <v>2.4</v>
      </c>
      <c r="BB386" s="85">
        <f>Tabela1[[#This Row],[Pré Cloro mmol/L]]</f>
        <v>104</v>
      </c>
      <c r="BC386" s="85">
        <f>Tabela1[[#This Row],[Pós Cloro mmol/L]]</f>
        <v>106</v>
      </c>
      <c r="BD38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293.1248888888889</v>
      </c>
      <c r="BE38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303.47533333333331</v>
      </c>
      <c r="BF386" s="194">
        <f>Tabela1[[#This Row],[Pré RBC 10^6/mm³]]</f>
        <v>4.3600000000000003</v>
      </c>
      <c r="BG386" s="125">
        <f>Tabela1[[#This Row],[Pós RBC 10^6/mm³]]</f>
        <v>4.21</v>
      </c>
      <c r="BH386" s="125">
        <f>Tabela1[[#This Row],[Pré HGB g/dL]]</f>
        <v>12.9</v>
      </c>
      <c r="BI386" s="125">
        <f>Tabela1[[#This Row],[Pós HGB g/dL]]</f>
        <v>12.3</v>
      </c>
      <c r="BJ386" s="125">
        <f>Tabela1[[#This Row],[Pré HCT %]]</f>
        <v>40.1</v>
      </c>
      <c r="BK386" s="125">
        <f>Tabela1[[#This Row],[Pós HCT %]]</f>
        <v>39</v>
      </c>
      <c r="BL386" s="125">
        <f>Tabela1[[#This Row],[Pré MCV fL]]</f>
        <v>92.1</v>
      </c>
      <c r="BM386" s="125">
        <f>Tabela1[[#This Row],[Pós MCV fL]]</f>
        <v>92.5</v>
      </c>
      <c r="BN386" s="125">
        <f>Tabela1[[#This Row],[Pré MCH pg]]</f>
        <v>29.5</v>
      </c>
      <c r="BO386" s="125">
        <f>Tabela1[[#This Row],[Pós MCH pg]]</f>
        <v>29.3</v>
      </c>
      <c r="BP386" s="125">
        <f>Tabela1[[#This Row],[Pré MCHC g/dL]]</f>
        <v>32.1</v>
      </c>
      <c r="BQ386" s="125">
        <f>Tabela1[[#This Row],[Pós MCHC g/dL]]</f>
        <v>31.6</v>
      </c>
      <c r="BR386" s="85">
        <f>Tabela1[[#This Row],[Pré PLT 10³/mm³]]</f>
        <v>228</v>
      </c>
      <c r="BS386" s="85">
        <f>Tabela1[[#This Row],[Pós PLT 10³/mm³]]</f>
        <v>234</v>
      </c>
      <c r="BT386" s="125">
        <f>Tabela1[[#This Row],[Pré RDW %]]</f>
        <v>13.6</v>
      </c>
      <c r="BU386" s="125">
        <f>Tabela1[[#This Row],[Pós RDW %]]</f>
        <v>13.7</v>
      </c>
      <c r="BV386" s="179" t="str">
        <f>Tabela1[[#This Row],[Pré RET %]]</f>
        <v>-</v>
      </c>
      <c r="BW386" s="196" t="str">
        <f>Tabela1[[#This Row],[Pós RET %]]</f>
        <v>-</v>
      </c>
      <c r="BX386" s="197">
        <f>Tabela1[[#This Row],[Pré WBC 10³/mm³]]</f>
        <v>7.35</v>
      </c>
      <c r="BY386" s="179">
        <f>Tabela1[[#This Row],[Pós WBC 10³/mm³]]</f>
        <v>11.18</v>
      </c>
      <c r="BZ386" s="125">
        <f>Tabela1[[#This Row],[Pré NEUT %]]</f>
        <v>77.8</v>
      </c>
      <c r="CA386" s="125">
        <f>Tabela1[[#This Row],[Pós NEUT %]]</f>
        <v>79.400000000000006</v>
      </c>
      <c r="CB386" s="125">
        <f>Tabela1[[#This Row],[Pré LINF %]]</f>
        <v>14.7</v>
      </c>
      <c r="CC386" s="125">
        <f>Tabela1[[#This Row],[Pós LINF %]]</f>
        <v>13.5</v>
      </c>
      <c r="CD386" s="125">
        <f>Tabela1[[#This Row],[Pré MONO %]]</f>
        <v>6.5</v>
      </c>
      <c r="CE386" s="125">
        <f>Tabela1[[#This Row],[Pós MONO %]]</f>
        <v>6.8</v>
      </c>
      <c r="CF386" s="125">
        <f>Tabela1[[#This Row],[Pré EOS %]]</f>
        <v>0.7</v>
      </c>
      <c r="CG386" s="125">
        <f>Tabela1[[#This Row],[Pós EOS %]]</f>
        <v>0.2</v>
      </c>
      <c r="CH386" s="125">
        <f>Tabela1[[#This Row],[Pré BASO %]]</f>
        <v>0.3</v>
      </c>
      <c r="CI386" s="198">
        <f>Tabela1[[#This Row],[Pós BASO %]]</f>
        <v>0.1</v>
      </c>
      <c r="CJ386" s="199" t="str">
        <f t="shared" ref="CJ386:CJ411" si="25">IFERROR(IF((AJ386-AI386)&gt;=0.3,"SIM","NÃO"),"Dados insuficientes")</f>
        <v>NÃO</v>
      </c>
      <c r="CK386" s="200" t="str">
        <f t="shared" ref="CK386:CK411" si="26">IFERROR(IF(OR(N386&gt;=1000,M386&gt;=1000),"SIM","NÃO"),"Dados Insuficientes")</f>
        <v>SIM</v>
      </c>
      <c r="CL386" s="194">
        <f t="shared" ref="CL386:CL411" si="27">$CM386-($CM386*(0.01*$CR386))</f>
        <v>67.44474000000001</v>
      </c>
      <c r="CM386" s="125">
        <f>Tabela1[[#This Row],[MCT KG]]</f>
        <v>75.900000000000006</v>
      </c>
      <c r="CN386" s="85">
        <f>Tabela1[[#This Row],[ESTATURA]]</f>
        <v>182</v>
      </c>
      <c r="CO386" s="85" t="str">
        <f>Tabela1[[#This Row],[vo2max estimado]]</f>
        <v>53,11</v>
      </c>
      <c r="CP386" s="85">
        <f>Tabela1[[#This Row],[Handgrip     Dominante]]</f>
        <v>52</v>
      </c>
      <c r="CQ386" s="85">
        <f>Tabela1[[#This Row],[Handgrip Contrário]]</f>
        <v>42</v>
      </c>
      <c r="CR386" s="281" t="str">
        <f>Tabela1[[#This Row],[% gordura]]</f>
        <v>11,14</v>
      </c>
    </row>
    <row r="387" spans="1:96" ht="15.75" customHeight="1">
      <c r="A387" s="279">
        <f>Tabela1[[#This Row],[Ano]]</f>
        <v>2023</v>
      </c>
      <c r="B387" s="181" t="str">
        <f>Tabela1[[#This Row],[Missão]]</f>
        <v>Marambaia</v>
      </c>
      <c r="C387" s="181">
        <f>Tabela1[[#This Row],[Aluno]]</f>
        <v>3331</v>
      </c>
      <c r="D387" s="181">
        <f>Tabela1[[#This Row],[Idade]]</f>
        <v>28</v>
      </c>
      <c r="E387" s="182">
        <f>Tabela1[[#This Row],[Peso Kg]]</f>
        <v>81.099999999999994</v>
      </c>
      <c r="F387" s="191">
        <f>Tabela1[[#This Row],[Cor da pele]]</f>
        <v>1</v>
      </c>
      <c r="G387" s="192" t="str">
        <f>Tabela1[[#This Row],[ACTN3]]</f>
        <v>RX</v>
      </c>
      <c r="H387" s="85" t="str">
        <f>Tabela1[[#This Row],[AGT]]</f>
        <v>MT</v>
      </c>
      <c r="I387" s="85" t="str">
        <f>Tabela1[[#This Row],[ECA]]</f>
        <v>DD</v>
      </c>
      <c r="J387" s="85" t="str">
        <f>Tabela1[[#This Row],[BDKRB2]]</f>
        <v xml:space="preserve"> +9,+9</v>
      </c>
      <c r="K387" s="85">
        <f>Tabela1[[#This Row],[Score Força%]]</f>
        <v>75</v>
      </c>
      <c r="L387" s="193">
        <f>Tabela1[[#This Row],[Score Resistência %]]</f>
        <v>25</v>
      </c>
      <c r="M387" s="192">
        <f>Tabela1[[#This Row],[Pré CK (U/L)]]</f>
        <v>205</v>
      </c>
      <c r="N387" s="85">
        <f>Tabela1[[#This Row],[Pós CK (U/L)]]</f>
        <v>3982</v>
      </c>
      <c r="O387" s="85" t="str">
        <f>Tabela1[[#This Row],[Pré CK MB U/L]]</f>
        <v>-</v>
      </c>
      <c r="P387" s="85" t="str">
        <f>Tabela1[[#This Row],[Pós CK MB U/L]]</f>
        <v>-</v>
      </c>
      <c r="Q387" s="85">
        <f>Tabela1[[#This Row],[Pré Lactato (mmol/L)]]</f>
        <v>2.7</v>
      </c>
      <c r="R387" s="85">
        <f>Tabela1[[#This Row],[Pós Lactato (mmol/L)]]</f>
        <v>2.1</v>
      </c>
      <c r="S387" s="85">
        <f>Tabela1[[#This Row],[Pré LDH (U/L)]]</f>
        <v>223</v>
      </c>
      <c r="T387" s="85">
        <f>Tabela1[[#This Row],[Pós LDH (U/L)]]</f>
        <v>323</v>
      </c>
      <c r="U387" s="85">
        <f>Tabela1[[#This Row],[Pré AST (U/L)]]</f>
        <v>35</v>
      </c>
      <c r="V387" s="193">
        <f>Tabela1[[#This Row],[Pós AST (U/L)]]</f>
        <v>121</v>
      </c>
      <c r="W387" s="194">
        <f>Tabela1[[#This Row],[Pré Albumina (g/dL)]]</f>
        <v>4.5999999999999996</v>
      </c>
      <c r="X387" s="125">
        <f>Tabela1[[#This Row],[Pós Albumina (g/dL)]]</f>
        <v>4.9000000000000004</v>
      </c>
      <c r="Y387" s="85">
        <f>Tabela1[[#This Row],[Pré TGP (g/dL)]]</f>
        <v>35</v>
      </c>
      <c r="Z387" s="85">
        <f>Tabela1[[#This Row],[Pós TGP (g/dL)]]</f>
        <v>58</v>
      </c>
      <c r="AA387" s="85">
        <f>Tabela1[[#This Row],[Pré GGT U/L]]</f>
        <v>17</v>
      </c>
      <c r="AB387" s="193">
        <f>Tabela1[[#This Row],[Pós GGT U/L]]</f>
        <v>19</v>
      </c>
      <c r="AC387" s="194">
        <f>Tabela1[[#This Row],[Pré Ac. Úrico (mg/dL)]]</f>
        <v>4.4000000000000004</v>
      </c>
      <c r="AD387" s="125">
        <f>Tabela1[[#This Row],[Pós Ac. Úrico (mg/dL)2]]</f>
        <v>6.7</v>
      </c>
      <c r="AE38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120.1178645452953</v>
      </c>
      <c r="AF38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88.902451064764506</v>
      </c>
      <c r="AG387" s="85">
        <f>Tabela1[[#This Row],[Pré Ureia mg/dL]]</f>
        <v>34</v>
      </c>
      <c r="AH387" s="85">
        <f>Tabela1[[#This Row],[Pós Ureia mg/dL]]</f>
        <v>57</v>
      </c>
      <c r="AI387" s="125">
        <f>Tabela1[[#This Row],[Pré creatinina mg/dL]]</f>
        <v>0.88</v>
      </c>
      <c r="AJ387" s="125">
        <f>Tabela1[[#This Row],[Pós creatinina mg/dL]]</f>
        <v>1.1499999999999999</v>
      </c>
      <c r="AK387" s="180">
        <f t="shared" si="24"/>
        <v>0.26999999999999991</v>
      </c>
      <c r="AL387" s="125">
        <f>Tabela1[[#This Row],[Pré Fósforo mg/dL]]</f>
        <v>4.0999999999999996</v>
      </c>
      <c r="AM387" s="125">
        <f>Tabela1[[#This Row],[Pós Fósforo mg/dL]]</f>
        <v>4.7</v>
      </c>
      <c r="AN387" s="125">
        <f>Tabela1[[#This Row],[Pré Proteína Total (g/dL)]]</f>
        <v>7.4</v>
      </c>
      <c r="AO387" s="125">
        <f>Tabela1[[#This Row],[Pós Proteína Total (g/dL)]]</f>
        <v>7.9</v>
      </c>
      <c r="AP387" s="85">
        <f>Tabela1[[#This Row],[Pré FE (ug/dL)]]</f>
        <v>10</v>
      </c>
      <c r="AQ387" s="193">
        <f>Tabela1[[#This Row],[Pós FE (ug/dL)]]</f>
        <v>10</v>
      </c>
      <c r="AR387" s="194">
        <f>Tabela1[[#This Row],[Pré calcio mg/dL]]</f>
        <v>9.5</v>
      </c>
      <c r="AS387" s="125">
        <f>Tabela1[[#This Row],[Pós calcio mg/dL]]</f>
        <v>10</v>
      </c>
      <c r="AT387" s="125">
        <f>Tabela1[[#This Row],[Pré Potássio mmol/L]]</f>
        <v>5</v>
      </c>
      <c r="AU387" s="125">
        <f>Tabela1[[#This Row],[Pós Potássio mmol/L]]</f>
        <v>4.4000000000000004</v>
      </c>
      <c r="AV387" s="85">
        <f>Tabela1[[#This Row],[Glicose pré]]</f>
        <v>101</v>
      </c>
      <c r="AW387" s="85">
        <f>Tabela1[[#This Row],[Glicose pós]]</f>
        <v>91</v>
      </c>
      <c r="AX387" s="85">
        <f>Tabela1[[#This Row],[Pré Sódio mmol/L]]</f>
        <v>141</v>
      </c>
      <c r="AY387" s="85">
        <f>Tabela1[[#This Row],[Pós Sódio mmol/L]]</f>
        <v>144</v>
      </c>
      <c r="AZ387" s="125">
        <f>Tabela1[[#This Row],[Pré Magnésio mg/dL]]</f>
        <v>2.4</v>
      </c>
      <c r="BA387" s="125">
        <f>Tabela1[[#This Row],[Pós Magnésio mg/dL]]</f>
        <v>2.6</v>
      </c>
      <c r="BB387" s="85">
        <f>Tabela1[[#This Row],[Pré Cloro mmol/L]]</f>
        <v>103</v>
      </c>
      <c r="BC387" s="85">
        <f>Tabela1[[#This Row],[Pós Cloro mmol/L]]</f>
        <v>108</v>
      </c>
      <c r="BD38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297.67944444444447</v>
      </c>
      <c r="BE38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305.33788888888887</v>
      </c>
      <c r="BF387" s="194">
        <f>Tabela1[[#This Row],[Pré RBC 10^6/mm³]]</f>
        <v>4.93</v>
      </c>
      <c r="BG387" s="125">
        <f>Tabela1[[#This Row],[Pós RBC 10^6/mm³]]</f>
        <v>5.04</v>
      </c>
      <c r="BH387" s="125">
        <f>Tabela1[[#This Row],[Pré HGB g/dL]]</f>
        <v>14.3</v>
      </c>
      <c r="BI387" s="125">
        <f>Tabela1[[#This Row],[Pós HGB g/dL]]</f>
        <v>14.4</v>
      </c>
      <c r="BJ387" s="125">
        <f>Tabela1[[#This Row],[Pré HCT %]]</f>
        <v>44.2</v>
      </c>
      <c r="BK387" s="125">
        <f>Tabela1[[#This Row],[Pós HCT %]]</f>
        <v>45.1</v>
      </c>
      <c r="BL387" s="125">
        <f>Tabela1[[#This Row],[Pré MCV fL]]</f>
        <v>89.7</v>
      </c>
      <c r="BM387" s="125">
        <f>Tabela1[[#This Row],[Pós MCV fL]]</f>
        <v>89.4</v>
      </c>
      <c r="BN387" s="125">
        <f>Tabela1[[#This Row],[Pré MCH pg]]</f>
        <v>29.1</v>
      </c>
      <c r="BO387" s="125">
        <f>Tabela1[[#This Row],[Pós MCH pg]]</f>
        <v>28.6</v>
      </c>
      <c r="BP387" s="125">
        <f>Tabela1[[#This Row],[Pré MCHC g/dL]]</f>
        <v>32.4</v>
      </c>
      <c r="BQ387" s="125">
        <f>Tabela1[[#This Row],[Pós MCHC g/dL]]</f>
        <v>32</v>
      </c>
      <c r="BR387" s="85">
        <f>Tabela1[[#This Row],[Pré PLT 10³/mm³]]</f>
        <v>333</v>
      </c>
      <c r="BS387" s="85">
        <f>Tabela1[[#This Row],[Pós PLT 10³/mm³]]</f>
        <v>384</v>
      </c>
      <c r="BT387" s="125">
        <f>Tabela1[[#This Row],[Pré RDW %]]</f>
        <v>13.3</v>
      </c>
      <c r="BU387" s="125">
        <f>Tabela1[[#This Row],[Pós RDW %]]</f>
        <v>13.3</v>
      </c>
      <c r="BV387" s="179" t="str">
        <f>Tabela1[[#This Row],[Pré RET %]]</f>
        <v>-</v>
      </c>
      <c r="BW387" s="196" t="str">
        <f>Tabela1[[#This Row],[Pós RET %]]</f>
        <v>-</v>
      </c>
      <c r="BX387" s="197">
        <f>Tabela1[[#This Row],[Pré WBC 10³/mm³]]</f>
        <v>11.94</v>
      </c>
      <c r="BY387" s="179">
        <f>Tabela1[[#This Row],[Pós WBC 10³/mm³]]</f>
        <v>14.55</v>
      </c>
      <c r="BZ387" s="125">
        <f>Tabela1[[#This Row],[Pré NEUT %]]</f>
        <v>84</v>
      </c>
      <c r="CA387" s="125">
        <f>Tabela1[[#This Row],[Pós NEUT %]]</f>
        <v>81.7</v>
      </c>
      <c r="CB387" s="125">
        <f>Tabela1[[#This Row],[Pré LINF %]]</f>
        <v>10.4</v>
      </c>
      <c r="CC387" s="125">
        <f>Tabela1[[#This Row],[Pós LINF %]]</f>
        <v>10.4</v>
      </c>
      <c r="CD387" s="125">
        <f>Tabela1[[#This Row],[Pré MONO %]]</f>
        <v>5</v>
      </c>
      <c r="CE387" s="125">
        <f>Tabela1[[#This Row],[Pós MONO %]]</f>
        <v>7.6</v>
      </c>
      <c r="CF387" s="125">
        <f>Tabela1[[#This Row],[Pré EOS %]]</f>
        <v>0.3</v>
      </c>
      <c r="CG387" s="125">
        <f>Tabela1[[#This Row],[Pós EOS %]]</f>
        <v>0.1</v>
      </c>
      <c r="CH387" s="125">
        <f>Tabela1[[#This Row],[Pré BASO %]]</f>
        <v>0.3</v>
      </c>
      <c r="CI387" s="198">
        <f>Tabela1[[#This Row],[Pós BASO %]]</f>
        <v>0.2</v>
      </c>
      <c r="CJ387" s="199" t="str">
        <f t="shared" si="25"/>
        <v>NÃO</v>
      </c>
      <c r="CK387" s="200" t="str">
        <f t="shared" si="26"/>
        <v>SIM</v>
      </c>
      <c r="CL387" s="194">
        <f t="shared" si="27"/>
        <v>74.301159999999996</v>
      </c>
      <c r="CM387" s="125">
        <f>Tabela1[[#This Row],[MCT KG]]</f>
        <v>91.1</v>
      </c>
      <c r="CN387" s="85">
        <f>Tabela1[[#This Row],[ESTATURA]]</f>
        <v>181.5</v>
      </c>
      <c r="CO387" s="85" t="str">
        <f>Tabela1[[#This Row],[vo2max estimado]]</f>
        <v>48,75</v>
      </c>
      <c r="CP387" s="85">
        <f>Tabela1[[#This Row],[Handgrip     Dominante]]</f>
        <v>70</v>
      </c>
      <c r="CQ387" s="85">
        <f>Tabela1[[#This Row],[Handgrip Contrário]]</f>
        <v>66</v>
      </c>
      <c r="CR387" s="281" t="str">
        <f>Tabela1[[#This Row],[% gordura]]</f>
        <v>18,44</v>
      </c>
    </row>
    <row r="388" spans="1:96" ht="15.75" customHeight="1">
      <c r="A388" s="279">
        <f>Tabela1[[#This Row],[Ano]]</f>
        <v>2023</v>
      </c>
      <c r="B388" s="181" t="str">
        <f>Tabela1[[#This Row],[Missão]]</f>
        <v>Marambaia</v>
      </c>
      <c r="C388" s="181">
        <f>Tabela1[[#This Row],[Aluno]]</f>
        <v>3340</v>
      </c>
      <c r="D388" s="181">
        <f>Tabela1[[#This Row],[Idade]]</f>
        <v>29</v>
      </c>
      <c r="E388" s="182">
        <f>Tabela1[[#This Row],[Peso Kg]]</f>
        <v>81.099999999999994</v>
      </c>
      <c r="F388" s="191">
        <f>Tabela1[[#This Row],[Cor da pele]]</f>
        <v>2</v>
      </c>
      <c r="G388" s="192" t="str">
        <f>Tabela1[[#This Row],[ACTN3]]</f>
        <v>RR</v>
      </c>
      <c r="H388" s="85" t="str">
        <f>Tabela1[[#This Row],[AGT]]</f>
        <v>TT</v>
      </c>
      <c r="I388" s="85" t="str">
        <f>Tabela1[[#This Row],[ECA]]</f>
        <v>ID</v>
      </c>
      <c r="J388" s="85" t="str">
        <f>Tabela1[[#This Row],[BDKRB2]]</f>
        <v xml:space="preserve"> +9,+9</v>
      </c>
      <c r="K388" s="85">
        <f>Tabela1[[#This Row],[Score Força%]]</f>
        <v>87.5</v>
      </c>
      <c r="L388" s="193">
        <f>Tabela1[[#This Row],[Score Resistência %]]</f>
        <v>12.5</v>
      </c>
      <c r="M388" s="192">
        <f>Tabela1[[#This Row],[Pré CK (U/L)]]</f>
        <v>223</v>
      </c>
      <c r="N388" s="85">
        <f>Tabela1[[#This Row],[Pós CK (U/L)]]</f>
        <v>1570</v>
      </c>
      <c r="O388" s="85" t="str">
        <f>Tabela1[[#This Row],[Pré CK MB U/L]]</f>
        <v>-</v>
      </c>
      <c r="P388" s="85" t="str">
        <f>Tabela1[[#This Row],[Pós CK MB U/L]]</f>
        <v>-</v>
      </c>
      <c r="Q388" s="85">
        <f>Tabela1[[#This Row],[Pré Lactato (mmol/L)]]</f>
        <v>1.7</v>
      </c>
      <c r="R388" s="85">
        <f>Tabela1[[#This Row],[Pós Lactato (mmol/L)]]</f>
        <v>2.2000000000000002</v>
      </c>
      <c r="S388" s="85">
        <f>Tabela1[[#This Row],[Pré LDH (U/L)]]</f>
        <v>190</v>
      </c>
      <c r="T388" s="85">
        <f>Tabela1[[#This Row],[Pós LDH (U/L)]]</f>
        <v>302</v>
      </c>
      <c r="U388" s="85">
        <f>Tabela1[[#This Row],[Pré AST (U/L)]]</f>
        <v>35</v>
      </c>
      <c r="V388" s="193">
        <f>Tabela1[[#This Row],[Pós AST (U/L)]]</f>
        <v>121</v>
      </c>
      <c r="W388" s="194">
        <f>Tabela1[[#This Row],[Pré Albumina (g/dL)]]</f>
        <v>4.3</v>
      </c>
      <c r="X388" s="125">
        <f>Tabela1[[#This Row],[Pós Albumina (g/dL)]]</f>
        <v>5.3</v>
      </c>
      <c r="Y388" s="85">
        <f>Tabela1[[#This Row],[Pré TGP (g/dL)]]</f>
        <v>40</v>
      </c>
      <c r="Z388" s="85">
        <f>Tabela1[[#This Row],[Pós TGP (g/dL)]]</f>
        <v>84</v>
      </c>
      <c r="AA388" s="85">
        <f>Tabela1[[#This Row],[Pré GGT U/L]]</f>
        <v>18</v>
      </c>
      <c r="AB388" s="193">
        <f>Tabela1[[#This Row],[Pós GGT U/L]]</f>
        <v>22</v>
      </c>
      <c r="AC388" s="194">
        <f>Tabela1[[#This Row],[Pré Ac. Úrico (mg/dL)]]</f>
        <v>4.5999999999999996</v>
      </c>
      <c r="AD388" s="125">
        <f>Tabela1[[#This Row],[Pós Ac. Úrico (mg/dL)2]]</f>
        <v>7.1</v>
      </c>
      <c r="AE38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128.16261155123286</v>
      </c>
      <c r="AF38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124.09605859642029</v>
      </c>
      <c r="AG388" s="85">
        <f>Tabela1[[#This Row],[Pré Ureia mg/dL]]</f>
        <v>44</v>
      </c>
      <c r="AH388" s="85">
        <f>Tabela1[[#This Row],[Pós Ureia mg/dL]]</f>
        <v>58</v>
      </c>
      <c r="AI388" s="125">
        <f>Tabela1[[#This Row],[Pré creatinina mg/dL]]</f>
        <v>0.71</v>
      </c>
      <c r="AJ388" s="125">
        <f>Tabela1[[#This Row],[Pós creatinina mg/dL]]</f>
        <v>0.79</v>
      </c>
      <c r="AK388" s="180">
        <f t="shared" si="24"/>
        <v>8.0000000000000071E-2</v>
      </c>
      <c r="AL388" s="125">
        <f>Tabela1[[#This Row],[Pré Fósforo mg/dL]]</f>
        <v>3.5</v>
      </c>
      <c r="AM388" s="125">
        <f>Tabela1[[#This Row],[Pós Fósforo mg/dL]]</f>
        <v>5.3</v>
      </c>
      <c r="AN388" s="125">
        <f>Tabela1[[#This Row],[Pré Proteína Total (g/dL)]]</f>
        <v>7.5</v>
      </c>
      <c r="AO388" s="125">
        <f>Tabela1[[#This Row],[Pós Proteína Total (g/dL)]]</f>
        <v>9.1999999999999993</v>
      </c>
      <c r="AP388" s="85">
        <f>Tabela1[[#This Row],[Pré FE (ug/dL)]]</f>
        <v>57</v>
      </c>
      <c r="AQ388" s="193">
        <f>Tabela1[[#This Row],[Pós FE (ug/dL)]]</f>
        <v>10</v>
      </c>
      <c r="AR388" s="194">
        <f>Tabela1[[#This Row],[Pré calcio mg/dL]]</f>
        <v>9.6999999999999993</v>
      </c>
      <c r="AS388" s="125">
        <f>Tabela1[[#This Row],[Pós calcio mg/dL]]</f>
        <v>10.6</v>
      </c>
      <c r="AT388" s="125">
        <f>Tabela1[[#This Row],[Pré Potássio mmol/L]]</f>
        <v>4.8</v>
      </c>
      <c r="AU388" s="125">
        <f>Tabela1[[#This Row],[Pós Potássio mmol/L]]</f>
        <v>4.4000000000000004</v>
      </c>
      <c r="AV388" s="85">
        <f>Tabela1[[#This Row],[Glicose pré]]</f>
        <v>100</v>
      </c>
      <c r="AW388" s="85">
        <f>Tabela1[[#This Row],[Glicose pós]]</f>
        <v>92</v>
      </c>
      <c r="AX388" s="85">
        <f>Tabela1[[#This Row],[Pré Sódio mmol/L]]</f>
        <v>140</v>
      </c>
      <c r="AY388" s="85">
        <f>Tabela1[[#This Row],[Pós Sódio mmol/L]]</f>
        <v>147</v>
      </c>
      <c r="AZ388" s="125">
        <f>Tabela1[[#This Row],[Pré Magnésio mg/dL]]</f>
        <v>2.2000000000000002</v>
      </c>
      <c r="BA388" s="125">
        <f>Tabela1[[#This Row],[Pós Magnésio mg/dL]]</f>
        <v>2.5</v>
      </c>
      <c r="BB388" s="85">
        <f>Tabela1[[#This Row],[Pré Cloro mmol/L]]</f>
        <v>105</v>
      </c>
      <c r="BC388" s="85">
        <f>Tabela1[[#This Row],[Pós Cloro mmol/L]]</f>
        <v>107</v>
      </c>
      <c r="BD38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297.05022222222226</v>
      </c>
      <c r="BE38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311.14844444444452</v>
      </c>
      <c r="BF388" s="194">
        <f>Tabela1[[#This Row],[Pré RBC 10^6/mm³]]</f>
        <v>4.95</v>
      </c>
      <c r="BG388" s="125">
        <f>Tabela1[[#This Row],[Pós RBC 10^6/mm³]]</f>
        <v>5.08</v>
      </c>
      <c r="BH388" s="125">
        <f>Tabela1[[#This Row],[Pré HGB g/dL]]</f>
        <v>14.3</v>
      </c>
      <c r="BI388" s="125">
        <f>Tabela1[[#This Row],[Pós HGB g/dL]]</f>
        <v>14.5</v>
      </c>
      <c r="BJ388" s="125">
        <f>Tabela1[[#This Row],[Pré HCT %]]</f>
        <v>42.9</v>
      </c>
      <c r="BK388" s="125">
        <f>Tabela1[[#This Row],[Pós HCT %]]</f>
        <v>44.3</v>
      </c>
      <c r="BL388" s="125">
        <f>Tabela1[[#This Row],[Pré MCV fL]]</f>
        <v>86.7</v>
      </c>
      <c r="BM388" s="125">
        <f>Tabela1[[#This Row],[Pós MCV fL]]</f>
        <v>87.2</v>
      </c>
      <c r="BN388" s="125">
        <f>Tabela1[[#This Row],[Pré MCH pg]]</f>
        <v>28.9</v>
      </c>
      <c r="BO388" s="125">
        <f>Tabela1[[#This Row],[Pós MCH pg]]</f>
        <v>28.5</v>
      </c>
      <c r="BP388" s="125">
        <f>Tabela1[[#This Row],[Pré MCHC g/dL]]</f>
        <v>33.4</v>
      </c>
      <c r="BQ388" s="125">
        <f>Tabela1[[#This Row],[Pós MCHC g/dL]]</f>
        <v>32.700000000000003</v>
      </c>
      <c r="BR388" s="85">
        <f>Tabela1[[#This Row],[Pré PLT 10³/mm³]]</f>
        <v>339</v>
      </c>
      <c r="BS388" s="85">
        <f>Tabela1[[#This Row],[Pós PLT 10³/mm³]]</f>
        <v>357</v>
      </c>
      <c r="BT388" s="125">
        <f>Tabela1[[#This Row],[Pré RDW %]]</f>
        <v>12.2</v>
      </c>
      <c r="BU388" s="125">
        <f>Tabela1[[#This Row],[Pós RDW %]]</f>
        <v>12.4</v>
      </c>
      <c r="BV388" s="179" t="str">
        <f>Tabela1[[#This Row],[Pré RET %]]</f>
        <v>-</v>
      </c>
      <c r="BW388" s="196" t="str">
        <f>Tabela1[[#This Row],[Pós RET %]]</f>
        <v>-</v>
      </c>
      <c r="BX388" s="197">
        <f>Tabela1[[#This Row],[Pré WBC 10³/mm³]]</f>
        <v>7.3</v>
      </c>
      <c r="BY388" s="179">
        <f>Tabela1[[#This Row],[Pós WBC 10³/mm³]]</f>
        <v>10.6</v>
      </c>
      <c r="BZ388" s="125">
        <f>Tabela1[[#This Row],[Pré NEUT %]]</f>
        <v>58.7</v>
      </c>
      <c r="CA388" s="125">
        <f>Tabela1[[#This Row],[Pós NEUT %]]</f>
        <v>68.8</v>
      </c>
      <c r="CB388" s="125">
        <f>Tabela1[[#This Row],[Pré LINF %]]</f>
        <v>31.6</v>
      </c>
      <c r="CC388" s="125">
        <f>Tabela1[[#This Row],[Pós LINF %]]</f>
        <v>22.1</v>
      </c>
      <c r="CD388" s="125">
        <f>Tabela1[[#This Row],[Pré MONO %]]</f>
        <v>6.6</v>
      </c>
      <c r="CE388" s="125">
        <f>Tabela1[[#This Row],[Pós MONO %]]</f>
        <v>8.1</v>
      </c>
      <c r="CF388" s="125">
        <f>Tabela1[[#This Row],[Pré EOS %]]</f>
        <v>2</v>
      </c>
      <c r="CG388" s="125">
        <f>Tabela1[[#This Row],[Pós EOS %]]</f>
        <v>0.5</v>
      </c>
      <c r="CH388" s="125">
        <f>Tabela1[[#This Row],[Pré BASO %]]</f>
        <v>1.1000000000000001</v>
      </c>
      <c r="CI388" s="198">
        <f>Tabela1[[#This Row],[Pós BASO %]]</f>
        <v>0.5</v>
      </c>
      <c r="CJ388" s="199" t="str">
        <f t="shared" si="25"/>
        <v>NÃO</v>
      </c>
      <c r="CK388" s="200" t="str">
        <f t="shared" si="26"/>
        <v>SIM</v>
      </c>
      <c r="CL388" s="194">
        <f t="shared" si="27"/>
        <v>76.399559999999994</v>
      </c>
      <c r="CM388" s="125">
        <f>Tabela1[[#This Row],[MCT KG]]</f>
        <v>82.8</v>
      </c>
      <c r="CN388" s="85">
        <f>Tabela1[[#This Row],[ESTATURA]]</f>
        <v>182</v>
      </c>
      <c r="CO388" s="85" t="str">
        <f>Tabela1[[#This Row],[vo2max estimado]]</f>
        <v>53,54</v>
      </c>
      <c r="CP388" s="85">
        <f>Tabela1[[#This Row],[Handgrip     Dominante]]</f>
        <v>56</v>
      </c>
      <c r="CQ388" s="85">
        <f>Tabela1[[#This Row],[Handgrip Contrário]]</f>
        <v>59</v>
      </c>
      <c r="CR388" s="281" t="str">
        <f>Tabela1[[#This Row],[% gordura]]</f>
        <v>7,73</v>
      </c>
    </row>
    <row r="389" spans="1:96" ht="15.75" customHeight="1">
      <c r="A389" s="279">
        <f>Tabela1[[#This Row],[Ano]]</f>
        <v>2023</v>
      </c>
      <c r="B389" s="181" t="str">
        <f>Tabela1[[#This Row],[Missão]]</f>
        <v>Marambaia</v>
      </c>
      <c r="C389" s="181">
        <f>Tabela1[[#This Row],[Aluno]]</f>
        <v>3343</v>
      </c>
      <c r="D389" s="181">
        <f>Tabela1[[#This Row],[Idade]]</f>
        <v>27</v>
      </c>
      <c r="E389" s="182">
        <f>Tabela1[[#This Row],[Peso Kg]]</f>
        <v>72.900000000000006</v>
      </c>
      <c r="F389" s="191">
        <f>Tabela1[[#This Row],[Cor da pele]]</f>
        <v>2</v>
      </c>
      <c r="G389" s="192" t="str">
        <f>Tabela1[[#This Row],[ACTN3]]</f>
        <v>RR</v>
      </c>
      <c r="H389" s="85" t="str">
        <f>Tabela1[[#This Row],[AGT]]</f>
        <v>MT</v>
      </c>
      <c r="I389" s="85" t="str">
        <f>Tabela1[[#This Row],[ECA]]</f>
        <v>II</v>
      </c>
      <c r="J389" s="85">
        <f>Tabela1[[#This Row],[BDKRB2]]</f>
        <v>0</v>
      </c>
      <c r="K389" s="85">
        <f>Tabela1[[#This Row],[Score Força%]]</f>
        <v>50</v>
      </c>
      <c r="L389" s="193">
        <f>Tabela1[[#This Row],[Score Resistência %]]</f>
        <v>50</v>
      </c>
      <c r="M389" s="192">
        <f>Tabela1[[#This Row],[Pré CK (U/L)]]</f>
        <v>340</v>
      </c>
      <c r="N389" s="85">
        <f>Tabela1[[#This Row],[Pós CK (U/L)]]</f>
        <v>11324</v>
      </c>
      <c r="O389" s="85" t="str">
        <f>Tabela1[[#This Row],[Pré CK MB U/L]]</f>
        <v>-</v>
      </c>
      <c r="P389" s="85" t="str">
        <f>Tabela1[[#This Row],[Pós CK MB U/L]]</f>
        <v>-</v>
      </c>
      <c r="Q389" s="85">
        <f>Tabela1[[#This Row],[Pré Lactato (mmol/L)]]</f>
        <v>2.1</v>
      </c>
      <c r="R389" s="85">
        <f>Tabela1[[#This Row],[Pós Lactato (mmol/L)]]</f>
        <v>2.2000000000000002</v>
      </c>
      <c r="S389" s="85">
        <f>Tabela1[[#This Row],[Pré LDH (U/L)]]</f>
        <v>250</v>
      </c>
      <c r="T389" s="85">
        <f>Tabela1[[#This Row],[Pós LDH (U/L)]]</f>
        <v>488</v>
      </c>
      <c r="U389" s="85">
        <f>Tabela1[[#This Row],[Pré AST (U/L)]]</f>
        <v>39</v>
      </c>
      <c r="V389" s="193">
        <f>Tabela1[[#This Row],[Pós AST (U/L)]]</f>
        <v>320</v>
      </c>
      <c r="W389" s="194">
        <f>Tabela1[[#This Row],[Pré Albumina (g/dL)]]</f>
        <v>4.8</v>
      </c>
      <c r="X389" s="125">
        <f>Tabela1[[#This Row],[Pós Albumina (g/dL)]]</f>
        <v>4.9000000000000004</v>
      </c>
      <c r="Y389" s="85">
        <f>Tabela1[[#This Row],[Pré TGP (g/dL)]]</f>
        <v>42</v>
      </c>
      <c r="Z389" s="85">
        <f>Tabela1[[#This Row],[Pós TGP (g/dL)]]</f>
        <v>74</v>
      </c>
      <c r="AA389" s="85">
        <f>Tabela1[[#This Row],[Pré GGT U/L]]</f>
        <v>21</v>
      </c>
      <c r="AB389" s="193">
        <f>Tabela1[[#This Row],[Pós GGT U/L]]</f>
        <v>20</v>
      </c>
      <c r="AC389" s="194">
        <f>Tabela1[[#This Row],[Pré Ac. Úrico (mg/dL)]]</f>
        <v>5.2</v>
      </c>
      <c r="AD389" s="125">
        <f>Tabela1[[#This Row],[Pós Ac. Úrico (mg/dL)2]]</f>
        <v>8.6</v>
      </c>
      <c r="AE38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134.84650417699166</v>
      </c>
      <c r="AF38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61.188747044502946</v>
      </c>
      <c r="AG389" s="85">
        <f>Tabela1[[#This Row],[Pré Ureia mg/dL]]</f>
        <v>43</v>
      </c>
      <c r="AH389" s="85">
        <f>Tabela1[[#This Row],[Pós Ureia mg/dL]]</f>
        <v>82</v>
      </c>
      <c r="AI389" s="125">
        <f>Tabela1[[#This Row],[Pré creatinina mg/dL]]</f>
        <v>0.6</v>
      </c>
      <c r="AJ389" s="125">
        <f>Tabela1[[#This Row],[Pós creatinina mg/dL]]</f>
        <v>1.57</v>
      </c>
      <c r="AK389" s="180">
        <f t="shared" si="24"/>
        <v>0.97000000000000008</v>
      </c>
      <c r="AL389" s="125">
        <f>Tabela1[[#This Row],[Pré Fósforo mg/dL]]</f>
        <v>4.7</v>
      </c>
      <c r="AM389" s="125">
        <f>Tabela1[[#This Row],[Pós Fósforo mg/dL]]</f>
        <v>6.1</v>
      </c>
      <c r="AN389" s="125">
        <f>Tabela1[[#This Row],[Pré Proteína Total (g/dL)]]</f>
        <v>7.8</v>
      </c>
      <c r="AO389" s="125">
        <f>Tabela1[[#This Row],[Pós Proteína Total (g/dL)]]</f>
        <v>7.8</v>
      </c>
      <c r="AP389" s="85">
        <f>Tabela1[[#This Row],[Pré FE (ug/dL)]]</f>
        <v>11</v>
      </c>
      <c r="AQ389" s="193">
        <f>Tabela1[[#This Row],[Pós FE (ug/dL)]]</f>
        <v>10</v>
      </c>
      <c r="AR389" s="194">
        <f>Tabela1[[#This Row],[Pré calcio mg/dL]]</f>
        <v>9.9</v>
      </c>
      <c r="AS389" s="125">
        <f>Tabela1[[#This Row],[Pós calcio mg/dL]]</f>
        <v>9.6999999999999993</v>
      </c>
      <c r="AT389" s="125">
        <f>Tabela1[[#This Row],[Pré Potássio mmol/L]]</f>
        <v>4.8</v>
      </c>
      <c r="AU389" s="125">
        <f>Tabela1[[#This Row],[Pós Potássio mmol/L]]</f>
        <v>4.5</v>
      </c>
      <c r="AV389" s="85">
        <f>Tabela1[[#This Row],[Glicose pré]]</f>
        <v>103</v>
      </c>
      <c r="AW389" s="85">
        <f>Tabela1[[#This Row],[Glicose pós]]</f>
        <v>105</v>
      </c>
      <c r="AX389" s="85">
        <f>Tabela1[[#This Row],[Pré Sódio mmol/L]]</f>
        <v>139</v>
      </c>
      <c r="AY389" s="85">
        <f>Tabela1[[#This Row],[Pós Sódio mmol/L]]</f>
        <v>142</v>
      </c>
      <c r="AZ389" s="125">
        <f>Tabela1[[#This Row],[Pré Magnésio mg/dL]]</f>
        <v>2.1</v>
      </c>
      <c r="BA389" s="125">
        <f>Tabela1[[#This Row],[Pós Magnésio mg/dL]]</f>
        <v>2.2000000000000002</v>
      </c>
      <c r="BB389" s="85">
        <f>Tabela1[[#This Row],[Pré Cloro mmol/L]]</f>
        <v>102</v>
      </c>
      <c r="BC389" s="85">
        <f>Tabela1[[#This Row],[Pós Cloro mmol/L]]</f>
        <v>105</v>
      </c>
      <c r="BD38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295.21522222222228</v>
      </c>
      <c r="BE38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306.86500000000001</v>
      </c>
      <c r="BF389" s="194">
        <f>Tabela1[[#This Row],[Pré RBC 10^6/mm³]]</f>
        <v>5.24</v>
      </c>
      <c r="BG389" s="125">
        <f>Tabela1[[#This Row],[Pós RBC 10^6/mm³]]</f>
        <v>4.79</v>
      </c>
      <c r="BH389" s="125">
        <f>Tabela1[[#This Row],[Pré HGB g/dL]]</f>
        <v>14</v>
      </c>
      <c r="BI389" s="125">
        <f>Tabela1[[#This Row],[Pós HGB g/dL]]</f>
        <v>13</v>
      </c>
      <c r="BJ389" s="125">
        <f>Tabela1[[#This Row],[Pré HCT %]]</f>
        <v>45.4</v>
      </c>
      <c r="BK389" s="125">
        <f>Tabela1[[#This Row],[Pós HCT %]]</f>
        <v>41.5</v>
      </c>
      <c r="BL389" s="125">
        <f>Tabela1[[#This Row],[Pré MCV fL]]</f>
        <v>86.7</v>
      </c>
      <c r="BM389" s="125">
        <f>Tabela1[[#This Row],[Pós MCV fL]]</f>
        <v>86.6</v>
      </c>
      <c r="BN389" s="125">
        <f>Tabela1[[#This Row],[Pré MCH pg]]</f>
        <v>26.7</v>
      </c>
      <c r="BO389" s="125">
        <f>Tabela1[[#This Row],[Pós MCH pg]]</f>
        <v>27.2</v>
      </c>
      <c r="BP389" s="125">
        <f>Tabela1[[#This Row],[Pré MCHC g/dL]]</f>
        <v>30.8</v>
      </c>
      <c r="BQ389" s="125">
        <f>Tabela1[[#This Row],[Pós MCHC g/dL]]</f>
        <v>31.4</v>
      </c>
      <c r="BR389" s="85">
        <f>Tabela1[[#This Row],[Pré PLT 10³/mm³]]</f>
        <v>318</v>
      </c>
      <c r="BS389" s="85">
        <f>Tabela1[[#This Row],[Pós PLT 10³/mm³]]</f>
        <v>356</v>
      </c>
      <c r="BT389" s="125">
        <f>Tabela1[[#This Row],[Pré RDW %]]</f>
        <v>12.8</v>
      </c>
      <c r="BU389" s="125">
        <f>Tabela1[[#This Row],[Pós RDW %]]</f>
        <v>13.3</v>
      </c>
      <c r="BV389" s="179" t="str">
        <f>Tabela1[[#This Row],[Pré RET %]]</f>
        <v>-</v>
      </c>
      <c r="BW389" s="196" t="str">
        <f>Tabela1[[#This Row],[Pós RET %]]</f>
        <v>-</v>
      </c>
      <c r="BX389" s="197">
        <f>Tabela1[[#This Row],[Pré WBC 10³/mm³]]</f>
        <v>8.73</v>
      </c>
      <c r="BY389" s="179">
        <f>Tabela1[[#This Row],[Pós WBC 10³/mm³]]</f>
        <v>13.08</v>
      </c>
      <c r="BZ389" s="125">
        <f>Tabela1[[#This Row],[Pré NEUT %]]</f>
        <v>74</v>
      </c>
      <c r="CA389" s="125">
        <f>Tabela1[[#This Row],[Pós NEUT %]]</f>
        <v>78.2</v>
      </c>
      <c r="CB389" s="125">
        <f>Tabela1[[#This Row],[Pré LINF %]]</f>
        <v>17.399999999999999</v>
      </c>
      <c r="CC389" s="125">
        <f>Tabela1[[#This Row],[Pós LINF %]]</f>
        <v>13.2</v>
      </c>
      <c r="CD389" s="125">
        <f>Tabela1[[#This Row],[Pré MONO %]]</f>
        <v>7.4</v>
      </c>
      <c r="CE389" s="125">
        <f>Tabela1[[#This Row],[Pós MONO %]]</f>
        <v>8.5</v>
      </c>
      <c r="CF389" s="125">
        <f>Tabela1[[#This Row],[Pré EOS %]]</f>
        <v>1</v>
      </c>
      <c r="CG389" s="125">
        <f>Tabela1[[#This Row],[Pós EOS %]]</f>
        <v>0.1</v>
      </c>
      <c r="CH389" s="125">
        <f>Tabela1[[#This Row],[Pré BASO %]]</f>
        <v>0.2</v>
      </c>
      <c r="CI389" s="198">
        <f>Tabela1[[#This Row],[Pós BASO %]]</f>
        <v>0</v>
      </c>
      <c r="CJ389" s="199" t="str">
        <f t="shared" si="25"/>
        <v>SIM</v>
      </c>
      <c r="CK389" s="200" t="str">
        <f t="shared" si="26"/>
        <v>SIM</v>
      </c>
      <c r="CL389" s="194">
        <f t="shared" si="27"/>
        <v>65.795109999999994</v>
      </c>
      <c r="CM389" s="125">
        <f>Tabela1[[#This Row],[MCT KG]]</f>
        <v>75.099999999999994</v>
      </c>
      <c r="CN389" s="85">
        <f>Tabela1[[#This Row],[ESTATURA]]</f>
        <v>170</v>
      </c>
      <c r="CO389" s="85" t="str">
        <f>Tabela1[[#This Row],[vo2max estimado]]</f>
        <v>-</v>
      </c>
      <c r="CP389" s="85">
        <f>Tabela1[[#This Row],[Handgrip     Dominante]]</f>
        <v>48</v>
      </c>
      <c r="CQ389" s="85">
        <f>Tabela1[[#This Row],[Handgrip Contrário]]</f>
        <v>60</v>
      </c>
      <c r="CR389" s="281" t="str">
        <f>Tabela1[[#This Row],[% gordura]]</f>
        <v>12,39</v>
      </c>
    </row>
    <row r="390" spans="1:96" ht="15.75" customHeight="1">
      <c r="A390" s="279">
        <f>Tabela1[[#This Row],[Ano]]</f>
        <v>2023</v>
      </c>
      <c r="B390" s="181" t="str">
        <f>Tabela1[[#This Row],[Missão]]</f>
        <v>Marambaia</v>
      </c>
      <c r="C390" s="181">
        <f>Tabela1[[#This Row],[Aluno]]</f>
        <v>3347</v>
      </c>
      <c r="D390" s="181">
        <f>Tabela1[[#This Row],[Idade]]</f>
        <v>28</v>
      </c>
      <c r="E390" s="182">
        <f>Tabela1[[#This Row],[Peso Kg]]</f>
        <v>84.6</v>
      </c>
      <c r="F390" s="191">
        <f>Tabela1[[#This Row],[Cor da pele]]</f>
        <v>2</v>
      </c>
      <c r="G390" s="192" t="str">
        <f>Tabela1[[#This Row],[ACTN3]]</f>
        <v>RR</v>
      </c>
      <c r="H390" s="85" t="str">
        <f>Tabela1[[#This Row],[AGT]]</f>
        <v>TT</v>
      </c>
      <c r="I390" s="85" t="str">
        <f>Tabela1[[#This Row],[ECA]]</f>
        <v>ID</v>
      </c>
      <c r="J390" s="85">
        <f>Tabela1[[#This Row],[BDKRB2]]</f>
        <v>0</v>
      </c>
      <c r="K390" s="85">
        <f>Tabela1[[#This Row],[Score Força%]]</f>
        <v>75</v>
      </c>
      <c r="L390" s="193">
        <f>Tabela1[[#This Row],[Score Resistência %]]</f>
        <v>25</v>
      </c>
      <c r="M390" s="192">
        <f>Tabela1[[#This Row],[Pré CK (U/L)]]</f>
        <v>312</v>
      </c>
      <c r="N390" s="85">
        <f>Tabela1[[#This Row],[Pós CK (U/L)]]</f>
        <v>4688</v>
      </c>
      <c r="O390" s="85" t="str">
        <f>Tabela1[[#This Row],[Pré CK MB U/L]]</f>
        <v>-</v>
      </c>
      <c r="P390" s="85" t="str">
        <f>Tabela1[[#This Row],[Pós CK MB U/L]]</f>
        <v>-</v>
      </c>
      <c r="Q390" s="85">
        <f>Tabela1[[#This Row],[Pré Lactato (mmol/L)]]</f>
        <v>2.6</v>
      </c>
      <c r="R390" s="85">
        <f>Tabela1[[#This Row],[Pós Lactato (mmol/L)]]</f>
        <v>1.8</v>
      </c>
      <c r="S390" s="85">
        <f>Tabela1[[#This Row],[Pré LDH (U/L)]]</f>
        <v>305</v>
      </c>
      <c r="T390" s="85">
        <f>Tabela1[[#This Row],[Pós LDH (U/L)]]</f>
        <v>456</v>
      </c>
      <c r="U390" s="85">
        <f>Tabela1[[#This Row],[Pré AST (U/L)]]</f>
        <v>115</v>
      </c>
      <c r="V390" s="193">
        <f>Tabela1[[#This Row],[Pós AST (U/L)]]</f>
        <v>163</v>
      </c>
      <c r="W390" s="194">
        <f>Tabela1[[#This Row],[Pré Albumina (g/dL)]]</f>
        <v>4.2</v>
      </c>
      <c r="X390" s="125">
        <f>Tabela1[[#This Row],[Pós Albumina (g/dL)]]</f>
        <v>4.7</v>
      </c>
      <c r="Y390" s="85">
        <f>Tabela1[[#This Row],[Pré TGP (g/dL)]]</f>
        <v>111</v>
      </c>
      <c r="Z390" s="85">
        <f>Tabela1[[#This Row],[Pós TGP (g/dL)]]</f>
        <v>109</v>
      </c>
      <c r="AA390" s="85">
        <f>Tabela1[[#This Row],[Pré GGT U/L]]</f>
        <v>34</v>
      </c>
      <c r="AB390" s="193">
        <f>Tabela1[[#This Row],[Pós GGT U/L]]</f>
        <v>35</v>
      </c>
      <c r="AC390" s="194">
        <f>Tabela1[[#This Row],[Pré Ac. Úrico (mg/dL)]]</f>
        <v>3.9</v>
      </c>
      <c r="AD390" s="125">
        <f>Tabela1[[#This Row],[Pós Ac. Úrico (mg/dL)2]]</f>
        <v>4.7</v>
      </c>
      <c r="AE39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124.09605859642029</v>
      </c>
      <c r="AF39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127.09189811991408</v>
      </c>
      <c r="AG390" s="85">
        <f>Tabela1[[#This Row],[Pré Ureia mg/dL]]</f>
        <v>42</v>
      </c>
      <c r="AH390" s="85">
        <f>Tabela1[[#This Row],[Pós Ureia mg/dL]]</f>
        <v>52</v>
      </c>
      <c r="AI390" s="125">
        <f>Tabela1[[#This Row],[Pré creatinina mg/dL]]</f>
        <v>0.79</v>
      </c>
      <c r="AJ390" s="125">
        <f>Tabela1[[#This Row],[Pós creatinina mg/dL]]</f>
        <v>0.73</v>
      </c>
      <c r="AK390" s="180">
        <f t="shared" si="24"/>
        <v>0</v>
      </c>
      <c r="AL390" s="125">
        <f>Tabela1[[#This Row],[Pré Fósforo mg/dL]]</f>
        <v>3.7</v>
      </c>
      <c r="AM390" s="125">
        <f>Tabela1[[#This Row],[Pós Fósforo mg/dL]]</f>
        <v>6.1</v>
      </c>
      <c r="AN390" s="125">
        <f>Tabela1[[#This Row],[Pré Proteína Total (g/dL)]]</f>
        <v>7.5</v>
      </c>
      <c r="AO390" s="125">
        <f>Tabela1[[#This Row],[Pós Proteína Total (g/dL)]]</f>
        <v>8</v>
      </c>
      <c r="AP390" s="85">
        <f>Tabela1[[#This Row],[Pré FE (ug/dL)]]</f>
        <v>10</v>
      </c>
      <c r="AQ390" s="193">
        <f>Tabela1[[#This Row],[Pós FE (ug/dL)]]</f>
        <v>10</v>
      </c>
      <c r="AR390" s="194">
        <f>Tabela1[[#This Row],[Pré calcio mg/dL]]</f>
        <v>9.8000000000000007</v>
      </c>
      <c r="AS390" s="125">
        <f>Tabela1[[#This Row],[Pós calcio mg/dL]]</f>
        <v>10</v>
      </c>
      <c r="AT390" s="125">
        <f>Tabela1[[#This Row],[Pré Potássio mmol/L]]</f>
        <v>4.8</v>
      </c>
      <c r="AU390" s="125">
        <f>Tabela1[[#This Row],[Pós Potássio mmol/L]]</f>
        <v>5.0999999999999996</v>
      </c>
      <c r="AV390" s="85">
        <f>Tabela1[[#This Row],[Glicose pré]]</f>
        <v>112</v>
      </c>
      <c r="AW390" s="85">
        <f>Tabela1[[#This Row],[Glicose pós]]</f>
        <v>100</v>
      </c>
      <c r="AX390" s="85">
        <f>Tabela1[[#This Row],[Pré Sódio mmol/L]]</f>
        <v>146</v>
      </c>
      <c r="AY390" s="85">
        <f>Tabela1[[#This Row],[Pós Sódio mmol/L]]</f>
        <v>148</v>
      </c>
      <c r="AZ390" s="125">
        <f>Tabela1[[#This Row],[Pré Magnésio mg/dL]]</f>
        <v>2.2000000000000002</v>
      </c>
      <c r="BA390" s="125">
        <f>Tabela1[[#This Row],[Pós Magnésio mg/dL]]</f>
        <v>2.5</v>
      </c>
      <c r="BB390" s="85">
        <f>Tabela1[[#This Row],[Pré Cloro mmol/L]]</f>
        <v>111</v>
      </c>
      <c r="BC390" s="85">
        <f>Tabela1[[#This Row],[Pós Cloro mmol/L]]</f>
        <v>112</v>
      </c>
      <c r="BD39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308.64355555555562</v>
      </c>
      <c r="BE39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313.82155555555562</v>
      </c>
      <c r="BF390" s="194">
        <f>Tabela1[[#This Row],[Pré RBC 10^6/mm³]]</f>
        <v>4.59</v>
      </c>
      <c r="BG390" s="125">
        <f>Tabela1[[#This Row],[Pós RBC 10^6/mm³]]</f>
        <v>4.4000000000000004</v>
      </c>
      <c r="BH390" s="125">
        <f>Tabela1[[#This Row],[Pré HGB g/dL]]</f>
        <v>13.2</v>
      </c>
      <c r="BI390" s="125">
        <f>Tabela1[[#This Row],[Pós HGB g/dL]]</f>
        <v>12.6</v>
      </c>
      <c r="BJ390" s="125">
        <f>Tabela1[[#This Row],[Pré HCT %]]</f>
        <v>41.6</v>
      </c>
      <c r="BK390" s="125">
        <f>Tabela1[[#This Row],[Pós HCT %]]</f>
        <v>40.1</v>
      </c>
      <c r="BL390" s="125">
        <f>Tabela1[[#This Row],[Pré MCV fL]]</f>
        <v>90.5</v>
      </c>
      <c r="BM390" s="125">
        <f>Tabela1[[#This Row],[Pós MCV fL]]</f>
        <v>91.1</v>
      </c>
      <c r="BN390" s="125">
        <f>Tabela1[[#This Row],[Pré MCH pg]]</f>
        <v>28.8</v>
      </c>
      <c r="BO390" s="125">
        <f>Tabela1[[#This Row],[Pós MCH pg]]</f>
        <v>28.4</v>
      </c>
      <c r="BP390" s="125">
        <f>Tabela1[[#This Row],[Pré MCHC g/dL]]</f>
        <v>31.8</v>
      </c>
      <c r="BQ390" s="125">
        <f>Tabela1[[#This Row],[Pós MCHC g/dL]]</f>
        <v>31.4</v>
      </c>
      <c r="BR390" s="85">
        <f>Tabela1[[#This Row],[Pré PLT 10³/mm³]]</f>
        <v>380</v>
      </c>
      <c r="BS390" s="85">
        <f>Tabela1[[#This Row],[Pós PLT 10³/mm³]]</f>
        <v>390</v>
      </c>
      <c r="BT390" s="125">
        <f>Tabela1[[#This Row],[Pré RDW %]]</f>
        <v>13</v>
      </c>
      <c r="BU390" s="125">
        <f>Tabela1[[#This Row],[Pós RDW %]]</f>
        <v>13</v>
      </c>
      <c r="BV390" s="179" t="str">
        <f>Tabela1[[#This Row],[Pré RET %]]</f>
        <v>-</v>
      </c>
      <c r="BW390" s="196" t="str">
        <f>Tabela1[[#This Row],[Pós RET %]]</f>
        <v>-</v>
      </c>
      <c r="BX390" s="197">
        <f>Tabela1[[#This Row],[Pré WBC 10³/mm³]]</f>
        <v>5.64</v>
      </c>
      <c r="BY390" s="179">
        <f>Tabela1[[#This Row],[Pós WBC 10³/mm³]]</f>
        <v>8.82</v>
      </c>
      <c r="BZ390" s="125">
        <f>Tabela1[[#This Row],[Pré NEUT %]]</f>
        <v>63.8</v>
      </c>
      <c r="CA390" s="125">
        <f>Tabela1[[#This Row],[Pós NEUT %]]</f>
        <v>67.099999999999994</v>
      </c>
      <c r="CB390" s="125">
        <f>Tabela1[[#This Row],[Pré LINF %]]</f>
        <v>21.4</v>
      </c>
      <c r="CC390" s="125">
        <f>Tabela1[[#This Row],[Pós LINF %]]</f>
        <v>20.2</v>
      </c>
      <c r="CD390" s="125">
        <f>Tabela1[[#This Row],[Pré MONO %]]</f>
        <v>10</v>
      </c>
      <c r="CE390" s="125">
        <f>Tabela1[[#This Row],[Pós MONO %]]</f>
        <v>11.2</v>
      </c>
      <c r="CF390" s="125">
        <f>Tabela1[[#This Row],[Pré EOS %]]</f>
        <v>4.0999999999999996</v>
      </c>
      <c r="CG390" s="125">
        <f>Tabela1[[#This Row],[Pós EOS %]]</f>
        <v>1.4</v>
      </c>
      <c r="CH390" s="125">
        <f>Tabela1[[#This Row],[Pré BASO %]]</f>
        <v>0.7</v>
      </c>
      <c r="CI390" s="198">
        <f>Tabela1[[#This Row],[Pós BASO %]]</f>
        <v>0.1</v>
      </c>
      <c r="CJ390" s="199" t="str">
        <f t="shared" si="25"/>
        <v>NÃO</v>
      </c>
      <c r="CK390" s="200" t="str">
        <f t="shared" si="26"/>
        <v>SIM</v>
      </c>
      <c r="CL390" s="194">
        <f t="shared" si="27"/>
        <v>74.264600000000002</v>
      </c>
      <c r="CM390" s="125">
        <f>Tabela1[[#This Row],[MCT KG]]</f>
        <v>82.7</v>
      </c>
      <c r="CN390" s="85">
        <f>Tabela1[[#This Row],[ESTATURA]]</f>
        <v>179.5</v>
      </c>
      <c r="CO390" s="85" t="str">
        <f>Tabela1[[#This Row],[vo2max estimado]]</f>
        <v>50,56</v>
      </c>
      <c r="CP390" s="85">
        <f>Tabela1[[#This Row],[Handgrip     Dominante]]</f>
        <v>58</v>
      </c>
      <c r="CQ390" s="85">
        <f>Tabela1[[#This Row],[Handgrip Contrário]]</f>
        <v>52</v>
      </c>
      <c r="CR390" s="281" t="str">
        <f>Tabela1[[#This Row],[% gordura]]</f>
        <v>10,20</v>
      </c>
    </row>
    <row r="391" spans="1:96" ht="15.75" customHeight="1">
      <c r="A391" s="279">
        <f>Tabela1[[#This Row],[Ano]]</f>
        <v>2023</v>
      </c>
      <c r="B391" s="181" t="str">
        <f>Tabela1[[#This Row],[Missão]]</f>
        <v>Marambaia</v>
      </c>
      <c r="C391" s="181">
        <f>Tabela1[[#This Row],[Aluno]]</f>
        <v>3348</v>
      </c>
      <c r="D391" s="181">
        <f>Tabela1[[#This Row],[Idade]]</f>
        <v>29</v>
      </c>
      <c r="E391" s="182">
        <f>Tabela1[[#This Row],[Peso Kg]]</f>
        <v>79.400000000000006</v>
      </c>
      <c r="F391" s="191">
        <f>Tabela1[[#This Row],[Cor da pele]]</f>
        <v>2</v>
      </c>
      <c r="G391" s="192" t="str">
        <f>Tabela1[[#This Row],[ACTN3]]</f>
        <v>RR</v>
      </c>
      <c r="H391" s="85" t="str">
        <f>Tabela1[[#This Row],[AGT]]</f>
        <v>MM</v>
      </c>
      <c r="I391" s="85" t="str">
        <f>Tabela1[[#This Row],[ECA]]</f>
        <v>ID</v>
      </c>
      <c r="J391" s="85" t="str">
        <f>Tabela1[[#This Row],[BDKRB2]]</f>
        <v xml:space="preserve"> +9,+9</v>
      </c>
      <c r="K391" s="85">
        <f>Tabela1[[#This Row],[Score Força%]]</f>
        <v>62.5</v>
      </c>
      <c r="L391" s="193">
        <f>Tabela1[[#This Row],[Score Resistência %]]</f>
        <v>37.5</v>
      </c>
      <c r="M391" s="192">
        <f>Tabela1[[#This Row],[Pré CK (U/L)]]</f>
        <v>109</v>
      </c>
      <c r="N391" s="85">
        <f>Tabela1[[#This Row],[Pós CK (U/L)]]</f>
        <v>6710</v>
      </c>
      <c r="O391" s="85" t="str">
        <f>Tabela1[[#This Row],[Pré CK MB U/L]]</f>
        <v>-</v>
      </c>
      <c r="P391" s="85" t="str">
        <f>Tabela1[[#This Row],[Pós CK MB U/L]]</f>
        <v>-</v>
      </c>
      <c r="Q391" s="85">
        <f>Tabela1[[#This Row],[Pré Lactato (mmol/L)]]</f>
        <v>2.5</v>
      </c>
      <c r="R391" s="85">
        <f>Tabela1[[#This Row],[Pós Lactato (mmol/L)]]</f>
        <v>1.9</v>
      </c>
      <c r="S391" s="85">
        <f>Tabela1[[#This Row],[Pré LDH (U/L)]]</f>
        <v>222</v>
      </c>
      <c r="T391" s="85">
        <f>Tabela1[[#This Row],[Pós LDH (U/L)]]</f>
        <v>310</v>
      </c>
      <c r="U391" s="85">
        <f>Tabela1[[#This Row],[Pré AST (U/L)]]</f>
        <v>39</v>
      </c>
      <c r="V391" s="193">
        <f>Tabela1[[#This Row],[Pós AST (U/L)]]</f>
        <v>181</v>
      </c>
      <c r="W391" s="194">
        <f>Tabela1[[#This Row],[Pré Albumina (g/dL)]]</f>
        <v>4.4000000000000004</v>
      </c>
      <c r="X391" s="125">
        <f>Tabela1[[#This Row],[Pós Albumina (g/dL)]]</f>
        <v>4.8</v>
      </c>
      <c r="Y391" s="85">
        <f>Tabela1[[#This Row],[Pré TGP (g/dL)]]</f>
        <v>54</v>
      </c>
      <c r="Z391" s="85">
        <f>Tabela1[[#This Row],[Pós TGP (g/dL)]]</f>
        <v>49</v>
      </c>
      <c r="AA391" s="85">
        <f>Tabela1[[#This Row],[Pré GGT U/L]]</f>
        <v>19</v>
      </c>
      <c r="AB391" s="193">
        <f>Tabela1[[#This Row],[Pós GGT U/L]]</f>
        <v>20</v>
      </c>
      <c r="AC391" s="194">
        <f>Tabela1[[#This Row],[Pré Ac. Úrico (mg/dL)]]</f>
        <v>4.2</v>
      </c>
      <c r="AD391" s="125">
        <f>Tabela1[[#This Row],[Pós Ac. Úrico (mg/dL)2]]</f>
        <v>6.1</v>
      </c>
      <c r="AE39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98.035666297733968</v>
      </c>
      <c r="AF39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114.70216226319162</v>
      </c>
      <c r="AG391" s="85">
        <f>Tabela1[[#This Row],[Pré Ureia mg/dL]]</f>
        <v>64</v>
      </c>
      <c r="AH391" s="85">
        <f>Tabela1[[#This Row],[Pós Ureia mg/dL]]</f>
        <v>70</v>
      </c>
      <c r="AI391" s="125">
        <f>Tabela1[[#This Row],[Pré creatinina mg/dL]]</f>
        <v>1.06</v>
      </c>
      <c r="AJ391" s="125">
        <f>Tabela1[[#This Row],[Pós creatinina mg/dL]]</f>
        <v>0.93</v>
      </c>
      <c r="AK391" s="180">
        <f t="shared" si="24"/>
        <v>0</v>
      </c>
      <c r="AL391" s="125">
        <f>Tabela1[[#This Row],[Pré Fósforo mg/dL]]</f>
        <v>5.0999999999999996</v>
      </c>
      <c r="AM391" s="125">
        <f>Tabela1[[#This Row],[Pós Fósforo mg/dL]]</f>
        <v>4.7</v>
      </c>
      <c r="AN391" s="125">
        <f>Tabela1[[#This Row],[Pré Proteína Total (g/dL)]]</f>
        <v>7.5</v>
      </c>
      <c r="AO391" s="125">
        <f>Tabela1[[#This Row],[Pós Proteína Total (g/dL)]]</f>
        <v>8.1</v>
      </c>
      <c r="AP391" s="85">
        <f>Tabela1[[#This Row],[Pré FE (ug/dL)]]</f>
        <v>10</v>
      </c>
      <c r="AQ391" s="193">
        <f>Tabela1[[#This Row],[Pós FE (ug/dL)]]</f>
        <v>10</v>
      </c>
      <c r="AR391" s="194">
        <f>Tabela1[[#This Row],[Pré calcio mg/dL]]</f>
        <v>9.6999999999999993</v>
      </c>
      <c r="AS391" s="125">
        <f>Tabela1[[#This Row],[Pós calcio mg/dL]]</f>
        <v>9.9</v>
      </c>
      <c r="AT391" s="125">
        <f>Tabela1[[#This Row],[Pré Potássio mmol/L]]</f>
        <v>4.5999999999999996</v>
      </c>
      <c r="AU391" s="125">
        <f>Tabela1[[#This Row],[Pós Potássio mmol/L]]</f>
        <v>5</v>
      </c>
      <c r="AV391" s="85">
        <f>Tabela1[[#This Row],[Glicose pré]]</f>
        <v>80</v>
      </c>
      <c r="AW391" s="85">
        <f>Tabela1[[#This Row],[Glicose pós]]</f>
        <v>105</v>
      </c>
      <c r="AX391" s="85">
        <f>Tabela1[[#This Row],[Pré Sódio mmol/L]]</f>
        <v>141</v>
      </c>
      <c r="AY391" s="85">
        <f>Tabela1[[#This Row],[Pós Sódio mmol/L]]</f>
        <v>143</v>
      </c>
      <c r="AZ391" s="125">
        <f>Tabela1[[#This Row],[Pré Magnésio mg/dL]]</f>
        <v>2.1</v>
      </c>
      <c r="BA391" s="125">
        <f>Tabela1[[#This Row],[Pós Magnésio mg/dL]]</f>
        <v>2.4</v>
      </c>
      <c r="BB391" s="85">
        <f>Tabela1[[#This Row],[Pré Cloro mmol/L]]</f>
        <v>104</v>
      </c>
      <c r="BC391" s="85">
        <f>Tabela1[[#This Row],[Pós Cloro mmol/L]]</f>
        <v>107</v>
      </c>
      <c r="BD39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300.5937777777778</v>
      </c>
      <c r="BE39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307.65500000000003</v>
      </c>
      <c r="BF391" s="194">
        <f>Tabela1[[#This Row],[Pré RBC 10^6/mm³]]</f>
        <v>5.03</v>
      </c>
      <c r="BG391" s="125">
        <f>Tabela1[[#This Row],[Pós RBC 10^6/mm³]]</f>
        <v>4.95</v>
      </c>
      <c r="BH391" s="125">
        <f>Tabela1[[#This Row],[Pré HGB g/dL]]</f>
        <v>14.8</v>
      </c>
      <c r="BI391" s="125">
        <f>Tabela1[[#This Row],[Pós HGB g/dL]]</f>
        <v>14.3</v>
      </c>
      <c r="BJ391" s="125">
        <f>Tabela1[[#This Row],[Pré HCT %]]</f>
        <v>45.1</v>
      </c>
      <c r="BK391" s="125">
        <f>Tabela1[[#This Row],[Pós HCT %]]</f>
        <v>44.3</v>
      </c>
      <c r="BL391" s="125">
        <f>Tabela1[[#This Row],[Pré MCV fL]]</f>
        <v>89.6</v>
      </c>
      <c r="BM391" s="125">
        <f>Tabela1[[#This Row],[Pós MCV fL]]</f>
        <v>89.6</v>
      </c>
      <c r="BN391" s="125">
        <f>Tabela1[[#This Row],[Pré MCH pg]]</f>
        <v>29.4</v>
      </c>
      <c r="BO391" s="125">
        <f>Tabela1[[#This Row],[Pós MCH pg]]</f>
        <v>28.9</v>
      </c>
      <c r="BP391" s="125">
        <f>Tabela1[[#This Row],[Pré MCHC g/dL]]</f>
        <v>32.799999999999997</v>
      </c>
      <c r="BQ391" s="125">
        <f>Tabela1[[#This Row],[Pós MCHC g/dL]]</f>
        <v>32.299999999999997</v>
      </c>
      <c r="BR391" s="85">
        <f>Tabela1[[#This Row],[Pré PLT 10³/mm³]]</f>
        <v>279</v>
      </c>
      <c r="BS391" s="85">
        <f>Tabela1[[#This Row],[Pós PLT 10³/mm³]]</f>
        <v>349</v>
      </c>
      <c r="BT391" s="125">
        <f>Tabela1[[#This Row],[Pré RDW %]]</f>
        <v>12.6</v>
      </c>
      <c r="BU391" s="125">
        <f>Tabela1[[#This Row],[Pós RDW %]]</f>
        <v>12.8</v>
      </c>
      <c r="BV391" s="179" t="str">
        <f>Tabela1[[#This Row],[Pré RET %]]</f>
        <v>-</v>
      </c>
      <c r="BW391" s="196" t="str">
        <f>Tabela1[[#This Row],[Pós RET %]]</f>
        <v>-</v>
      </c>
      <c r="BX391" s="197">
        <f>Tabela1[[#This Row],[Pré WBC 10³/mm³]]</f>
        <v>12.27</v>
      </c>
      <c r="BY391" s="179">
        <f>Tabela1[[#This Row],[Pós WBC 10³/mm³]]</f>
        <v>16.11</v>
      </c>
      <c r="BZ391" s="125">
        <f>Tabela1[[#This Row],[Pré NEUT %]]</f>
        <v>77.099999999999994</v>
      </c>
      <c r="CA391" s="125">
        <f>Tabela1[[#This Row],[Pós NEUT %]]</f>
        <v>76.3</v>
      </c>
      <c r="CB391" s="125">
        <f>Tabela1[[#This Row],[Pré LINF %]]</f>
        <v>15.9</v>
      </c>
      <c r="CC391" s="125">
        <f>Tabela1[[#This Row],[Pós LINF %]]</f>
        <v>15.6</v>
      </c>
      <c r="CD391" s="125">
        <f>Tabela1[[#This Row],[Pré MONO %]]</f>
        <v>5.8</v>
      </c>
      <c r="CE391" s="125">
        <f>Tabela1[[#This Row],[Pós MONO %]]</f>
        <v>7.6</v>
      </c>
      <c r="CF391" s="125">
        <f>Tabela1[[#This Row],[Pré EOS %]]</f>
        <v>0.9</v>
      </c>
      <c r="CG391" s="125">
        <f>Tabela1[[#This Row],[Pós EOS %]]</f>
        <v>0.3</v>
      </c>
      <c r="CH391" s="125">
        <f>Tabela1[[#This Row],[Pré BASO %]]</f>
        <v>0.3</v>
      </c>
      <c r="CI391" s="198">
        <f>Tabela1[[#This Row],[Pós BASO %]]</f>
        <v>0.2</v>
      </c>
      <c r="CJ391" s="199" t="str">
        <f t="shared" si="25"/>
        <v>NÃO</v>
      </c>
      <c r="CK391" s="200" t="str">
        <f t="shared" si="26"/>
        <v>SIM</v>
      </c>
      <c r="CL391" s="194">
        <f t="shared" si="27"/>
        <v>70.179900000000004</v>
      </c>
      <c r="CM391" s="125">
        <f>Tabela1[[#This Row],[MCT KG]]</f>
        <v>80.5</v>
      </c>
      <c r="CN391" s="85">
        <f>Tabela1[[#This Row],[ESTATURA]]</f>
        <v>181</v>
      </c>
      <c r="CO391" s="85" t="str">
        <f>Tabela1[[#This Row],[vo2max estimado]]</f>
        <v>51,80</v>
      </c>
      <c r="CP391" s="85">
        <f>Tabela1[[#This Row],[Handgrip     Dominante]]</f>
        <v>60</v>
      </c>
      <c r="CQ391" s="85">
        <f>Tabela1[[#This Row],[Handgrip Contrário]]</f>
        <v>50</v>
      </c>
      <c r="CR391" s="281" t="str">
        <f>Tabela1[[#This Row],[% gordura]]</f>
        <v>12,82</v>
      </c>
    </row>
    <row r="392" spans="1:96" ht="15.75" customHeight="1">
      <c r="A392" s="279">
        <f>Tabela1[[#This Row],[Ano]]</f>
        <v>2023</v>
      </c>
      <c r="B392" s="181" t="str">
        <f>Tabela1[[#This Row],[Missão]]</f>
        <v>Marambaia</v>
      </c>
      <c r="C392" s="181">
        <f>Tabela1[[#This Row],[Aluno]]</f>
        <v>3350</v>
      </c>
      <c r="D392" s="181">
        <f>Tabela1[[#This Row],[Idade]]</f>
        <v>29</v>
      </c>
      <c r="E392" s="182">
        <f>Tabela1[[#This Row],[Peso Kg]]</f>
        <v>83.3</v>
      </c>
      <c r="F392" s="191">
        <f>Tabela1[[#This Row],[Cor da pele]]</f>
        <v>2</v>
      </c>
      <c r="G392" s="192" t="str">
        <f>Tabela1[[#This Row],[ACTN3]]</f>
        <v>RR</v>
      </c>
      <c r="H392" s="85" t="str">
        <f>Tabela1[[#This Row],[AGT]]</f>
        <v>TT</v>
      </c>
      <c r="I392" s="85" t="str">
        <f>Tabela1[[#This Row],[ECA]]</f>
        <v>II</v>
      </c>
      <c r="J392" s="85">
        <f>Tabela1[[#This Row],[BDKRB2]]</f>
        <v>0</v>
      </c>
      <c r="K392" s="85">
        <f>Tabela1[[#This Row],[Score Força%]]</f>
        <v>62.5</v>
      </c>
      <c r="L392" s="193">
        <f>Tabela1[[#This Row],[Score Resistência %]]</f>
        <v>37.5</v>
      </c>
      <c r="M392" s="192">
        <f>Tabela1[[#This Row],[Pré CK (U/L)]]</f>
        <v>90</v>
      </c>
      <c r="N392" s="85">
        <f>Tabela1[[#This Row],[Pós CK (U/L)]]</f>
        <v>4504</v>
      </c>
      <c r="O392" s="85" t="str">
        <f>Tabela1[[#This Row],[Pré CK MB U/L]]</f>
        <v>-</v>
      </c>
      <c r="P392" s="85" t="str">
        <f>Tabela1[[#This Row],[Pós CK MB U/L]]</f>
        <v>-</v>
      </c>
      <c r="Q392" s="85">
        <f>Tabela1[[#This Row],[Pré Lactato (mmol/L)]]</f>
        <v>1.5</v>
      </c>
      <c r="R392" s="85">
        <f>Tabela1[[#This Row],[Pós Lactato (mmol/L)]]</f>
        <v>1.8</v>
      </c>
      <c r="S392" s="85">
        <f>Tabela1[[#This Row],[Pré LDH (U/L)]]</f>
        <v>254</v>
      </c>
      <c r="T392" s="85">
        <f>Tabela1[[#This Row],[Pós LDH (U/L)]]</f>
        <v>862</v>
      </c>
      <c r="U392" s="85">
        <f>Tabela1[[#This Row],[Pré AST (U/L)]]</f>
        <v>82</v>
      </c>
      <c r="V392" s="193">
        <f>Tabela1[[#This Row],[Pós AST (U/L)]]</f>
        <v>692</v>
      </c>
      <c r="W392" s="194">
        <f>Tabela1[[#This Row],[Pré Albumina (g/dL)]]</f>
        <v>4.5999999999999996</v>
      </c>
      <c r="X392" s="125">
        <f>Tabela1[[#This Row],[Pós Albumina (g/dL)]]</f>
        <v>5.6</v>
      </c>
      <c r="Y392" s="85">
        <f>Tabela1[[#This Row],[Pré TGP (g/dL)]]</f>
        <v>82</v>
      </c>
      <c r="Z392" s="85">
        <f>Tabela1[[#This Row],[Pós TGP (g/dL)]]</f>
        <v>511</v>
      </c>
      <c r="AA392" s="85">
        <f>Tabela1[[#This Row],[Pré GGT U/L]]</f>
        <v>23</v>
      </c>
      <c r="AB392" s="193">
        <f>Tabela1[[#This Row],[Pós GGT U/L]]</f>
        <v>47</v>
      </c>
      <c r="AC392" s="194">
        <f>Tabela1[[#This Row],[Pré Ac. Úrico (mg/dL)]]</f>
        <v>3.1</v>
      </c>
      <c r="AD392" s="125">
        <f>Tabela1[[#This Row],[Pós Ac. Úrico (mg/dL)2]]</f>
        <v>6.3</v>
      </c>
      <c r="AE39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134.17504806257992</v>
      </c>
      <c r="AF39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131.6259552440923</v>
      </c>
      <c r="AG392" s="85">
        <f>Tabela1[[#This Row],[Pré Ureia mg/dL]]</f>
        <v>30</v>
      </c>
      <c r="AH392" s="85">
        <f>Tabela1[[#This Row],[Pós Ureia mg/dL]]</f>
        <v>72</v>
      </c>
      <c r="AI392" s="125">
        <f>Tabela1[[#This Row],[Pré creatinina mg/dL]]</f>
        <v>0.61</v>
      </c>
      <c r="AJ392" s="125">
        <f>Tabela1[[#This Row],[Pós creatinina mg/dL]]</f>
        <v>0.65</v>
      </c>
      <c r="AK392" s="180">
        <f t="shared" si="24"/>
        <v>4.0000000000000036E-2</v>
      </c>
      <c r="AL392" s="125">
        <f>Tabela1[[#This Row],[Pré Fósforo mg/dL]]</f>
        <v>3.4</v>
      </c>
      <c r="AM392" s="125">
        <f>Tabela1[[#This Row],[Pós Fósforo mg/dL]]</f>
        <v>5.9</v>
      </c>
      <c r="AN392" s="125">
        <f>Tabela1[[#This Row],[Pré Proteína Total (g/dL)]]</f>
        <v>8.3000000000000007</v>
      </c>
      <c r="AO392" s="125">
        <f>Tabela1[[#This Row],[Pós Proteína Total (g/dL)]]</f>
        <v>10.5</v>
      </c>
      <c r="AP392" s="85">
        <f>Tabela1[[#This Row],[Pré FE (ug/dL)]]</f>
        <v>11</v>
      </c>
      <c r="AQ392" s="193">
        <f>Tabela1[[#This Row],[Pós FE (ug/dL)]]</f>
        <v>10</v>
      </c>
      <c r="AR392" s="194">
        <f>Tabela1[[#This Row],[Pré calcio mg/dL]]</f>
        <v>9.6999999999999993</v>
      </c>
      <c r="AS392" s="125">
        <f>Tabela1[[#This Row],[Pós calcio mg/dL]]</f>
        <v>11.2</v>
      </c>
      <c r="AT392" s="125">
        <f>Tabela1[[#This Row],[Pré Potássio mmol/L]]</f>
        <v>5.0999999999999996</v>
      </c>
      <c r="AU392" s="125">
        <f>Tabela1[[#This Row],[Pós Potássio mmol/L]]</f>
        <v>4.7</v>
      </c>
      <c r="AV392" s="85">
        <f>Tabela1[[#This Row],[Glicose pré]]</f>
        <v>102</v>
      </c>
      <c r="AW392" s="85">
        <f>Tabela1[[#This Row],[Glicose pós]]</f>
        <v>180</v>
      </c>
      <c r="AX392" s="85">
        <f>Tabela1[[#This Row],[Pré Sódio mmol/L]]</f>
        <v>138</v>
      </c>
      <c r="AY392" s="85">
        <f>Tabela1[[#This Row],[Pós Sódio mmol/L]]</f>
        <v>149</v>
      </c>
      <c r="AZ392" s="125">
        <f>Tabela1[[#This Row],[Pré Magnésio mg/dL]]</f>
        <v>2.1</v>
      </c>
      <c r="BA392" s="125">
        <f>Tabela1[[#This Row],[Pós Magnésio mg/dL]]</f>
        <v>2.8</v>
      </c>
      <c r="BB392" s="85">
        <f>Tabela1[[#This Row],[Pré Cloro mmol/L]]</f>
        <v>102</v>
      </c>
      <c r="BC392" s="85">
        <f>Tabela1[[#This Row],[Pós Cloro mmol/L]]</f>
        <v>107</v>
      </c>
      <c r="BD39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291.68266666666665</v>
      </c>
      <c r="BE39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323.38200000000001</v>
      </c>
      <c r="BF392" s="194">
        <f>Tabela1[[#This Row],[Pré RBC 10^6/mm³]]</f>
        <v>4.68</v>
      </c>
      <c r="BG392" s="125">
        <f>Tabela1[[#This Row],[Pós RBC 10^6/mm³]]</f>
        <v>4.53</v>
      </c>
      <c r="BH392" s="125">
        <f>Tabela1[[#This Row],[Pré HGB g/dL]]</f>
        <v>13.6</v>
      </c>
      <c r="BI392" s="125">
        <f>Tabela1[[#This Row],[Pós HGB g/dL]]</f>
        <v>13.1</v>
      </c>
      <c r="BJ392" s="125">
        <f>Tabela1[[#This Row],[Pré HCT %]]</f>
        <v>42.1</v>
      </c>
      <c r="BK392" s="125">
        <f>Tabela1[[#This Row],[Pós HCT %]]</f>
        <v>41.1</v>
      </c>
      <c r="BL392" s="125">
        <f>Tabela1[[#This Row],[Pré MCV fL]]</f>
        <v>89.9</v>
      </c>
      <c r="BM392" s="125">
        <f>Tabela1[[#This Row],[Pós MCV fL]]</f>
        <v>90.8</v>
      </c>
      <c r="BN392" s="125">
        <f>Tabela1[[#This Row],[Pré MCH pg]]</f>
        <v>29</v>
      </c>
      <c r="BO392" s="125">
        <f>Tabela1[[#This Row],[Pós MCH pg]]</f>
        <v>28.9</v>
      </c>
      <c r="BP392" s="125">
        <f>Tabela1[[#This Row],[Pré MCHC g/dL]]</f>
        <v>32.200000000000003</v>
      </c>
      <c r="BQ392" s="125">
        <f>Tabela1[[#This Row],[Pós MCHC g/dL]]</f>
        <v>31.8</v>
      </c>
      <c r="BR392" s="85">
        <f>Tabela1[[#This Row],[Pré PLT 10³/mm³]]</f>
        <v>445</v>
      </c>
      <c r="BS392" s="85">
        <f>Tabela1[[#This Row],[Pós PLT 10³/mm³]]</f>
        <v>449</v>
      </c>
      <c r="BT392" s="125">
        <f>Tabela1[[#This Row],[Pré RDW %]]</f>
        <v>12.9</v>
      </c>
      <c r="BU392" s="125">
        <f>Tabela1[[#This Row],[Pós RDW %]]</f>
        <v>13.2</v>
      </c>
      <c r="BV392" s="179" t="str">
        <f>Tabela1[[#This Row],[Pré RET %]]</f>
        <v>-</v>
      </c>
      <c r="BW392" s="196" t="str">
        <f>Tabela1[[#This Row],[Pós RET %]]</f>
        <v>-</v>
      </c>
      <c r="BX392" s="197">
        <f>Tabela1[[#This Row],[Pré WBC 10³/mm³]]</f>
        <v>6.37</v>
      </c>
      <c r="BY392" s="179">
        <f>Tabela1[[#This Row],[Pós WBC 10³/mm³]]</f>
        <v>12.86</v>
      </c>
      <c r="BZ392" s="125">
        <f>Tabela1[[#This Row],[Pré NEUT %]]</f>
        <v>66.8</v>
      </c>
      <c r="CA392" s="125">
        <f>Tabela1[[#This Row],[Pós NEUT %]]</f>
        <v>80.7</v>
      </c>
      <c r="CB392" s="125">
        <f>Tabela1[[#This Row],[Pré LINF %]]</f>
        <v>23.5</v>
      </c>
      <c r="CC392" s="125">
        <f>Tabela1[[#This Row],[Pós LINF %]]</f>
        <v>12.5</v>
      </c>
      <c r="CD392" s="125">
        <f>Tabela1[[#This Row],[Pré MONO %]]</f>
        <v>8.1999999999999993</v>
      </c>
      <c r="CE392" s="125">
        <f>Tabela1[[#This Row],[Pós MONO %]]</f>
        <v>5.9</v>
      </c>
      <c r="CF392" s="125">
        <f>Tabela1[[#This Row],[Pré EOS %]]</f>
        <v>1.3</v>
      </c>
      <c r="CG392" s="125">
        <f>Tabela1[[#This Row],[Pós EOS %]]</f>
        <v>0.8</v>
      </c>
      <c r="CH392" s="125">
        <f>Tabela1[[#This Row],[Pré BASO %]]</f>
        <v>0.2</v>
      </c>
      <c r="CI392" s="198">
        <f>Tabela1[[#This Row],[Pós BASO %]]</f>
        <v>0.1</v>
      </c>
      <c r="CJ392" s="199" t="str">
        <f t="shared" si="25"/>
        <v>NÃO</v>
      </c>
      <c r="CK392" s="200" t="str">
        <f t="shared" si="26"/>
        <v>SIM</v>
      </c>
      <c r="CL392" s="194">
        <f t="shared" si="27"/>
        <v>75.160799999999995</v>
      </c>
      <c r="CM392" s="125">
        <f>Tabela1[[#This Row],[MCT KG]]</f>
        <v>85.8</v>
      </c>
      <c r="CN392" s="85">
        <f>Tabela1[[#This Row],[ESTATURA]]</f>
        <v>178</v>
      </c>
      <c r="CO392" s="85" t="str">
        <f>Tabela1[[#This Row],[vo2max estimado]]</f>
        <v>53,41</v>
      </c>
      <c r="CP392" s="85">
        <f>Tabela1[[#This Row],[Handgrip     Dominante]]</f>
        <v>55</v>
      </c>
      <c r="CQ392" s="85">
        <f>Tabela1[[#This Row],[Handgrip Contrário]]</f>
        <v>56</v>
      </c>
      <c r="CR392" s="281" t="str">
        <f>Tabela1[[#This Row],[% gordura]]</f>
        <v>12,40</v>
      </c>
    </row>
    <row r="393" spans="1:96" ht="15.75" customHeight="1">
      <c r="A393" s="279">
        <f>Tabela1[[#This Row],[Ano]]</f>
        <v>2023</v>
      </c>
      <c r="B393" s="181" t="str">
        <f>Tabela1[[#This Row],[Missão]]</f>
        <v>Avelar</v>
      </c>
      <c r="C393" s="181">
        <f>Tabela1[[#This Row],[Aluno]]</f>
        <v>3262</v>
      </c>
      <c r="D393" s="181">
        <f>Tabela1[[#This Row],[Idade]]</f>
        <v>25</v>
      </c>
      <c r="E393" s="182">
        <f>Tabela1[[#This Row],[Peso Kg]]</f>
        <v>72.099999999999994</v>
      </c>
      <c r="F393" s="191">
        <f>Tabela1[[#This Row],[Cor da pele]]</f>
        <v>1</v>
      </c>
      <c r="G393" s="192" t="str">
        <f>Tabela1[[#This Row],[ACTN3]]</f>
        <v>XX</v>
      </c>
      <c r="H393" s="85" t="str">
        <f>Tabela1[[#This Row],[AGT]]</f>
        <v>MM</v>
      </c>
      <c r="I393" s="85" t="str">
        <f>Tabela1[[#This Row],[ECA]]</f>
        <v>ID</v>
      </c>
      <c r="J393" s="85" t="str">
        <f>Tabela1[[#This Row],[BDKRB2]]</f>
        <v xml:space="preserve"> +9,+9</v>
      </c>
      <c r="K393" s="85">
        <f>Tabela1[[#This Row],[Score Força%]]</f>
        <v>37.5</v>
      </c>
      <c r="L393" s="193">
        <f>Tabela1[[#This Row],[Score Resistência %]]</f>
        <v>62.5</v>
      </c>
      <c r="M393" s="192">
        <f>Tabela1[[#This Row],[Pré CK (U/L)]]</f>
        <v>120</v>
      </c>
      <c r="N393" s="85">
        <f>Tabela1[[#This Row],[Pós CK (U/L)]]</f>
        <v>2600</v>
      </c>
      <c r="O393" s="85" t="str">
        <f>Tabela1[[#This Row],[Pré CK MB U/L]]</f>
        <v>-</v>
      </c>
      <c r="P393" s="85" t="str">
        <f>Tabela1[[#This Row],[Pós CK MB U/L]]</f>
        <v>-</v>
      </c>
      <c r="Q393" s="85" t="str">
        <f>Tabela1[[#This Row],[Pré Lactato (mmol/L)]]</f>
        <v>-</v>
      </c>
      <c r="R393" s="85" t="str">
        <f>Tabela1[[#This Row],[Pós Lactato (mmol/L)]]</f>
        <v>-</v>
      </c>
      <c r="S393" s="85">
        <f>Tabela1[[#This Row],[Pré LDH (U/L)]]</f>
        <v>239</v>
      </c>
      <c r="T393" s="85">
        <f>Tabela1[[#This Row],[Pós LDH (U/L)]]</f>
        <v>313</v>
      </c>
      <c r="U393" s="85">
        <f>Tabela1[[#This Row],[Pré AST (U/L)]]</f>
        <v>28</v>
      </c>
      <c r="V393" s="193">
        <f>Tabela1[[#This Row],[Pós AST (U/L)]]</f>
        <v>98</v>
      </c>
      <c r="W393" s="194" t="str">
        <f>Tabela1[[#This Row],[Pré Albumina (g/dL)]]</f>
        <v>-</v>
      </c>
      <c r="X393" s="125" t="str">
        <f>Tabela1[[#This Row],[Pós Albumina (g/dL)]]</f>
        <v>-</v>
      </c>
      <c r="Y393" s="85" t="str">
        <f>Tabela1[[#This Row],[Pré TGP (g/dL)]]</f>
        <v>-</v>
      </c>
      <c r="Z393" s="85" t="str">
        <f>Tabela1[[#This Row],[Pós TGP (g/dL)]]</f>
        <v>-</v>
      </c>
      <c r="AA393" s="85" t="str">
        <f>Tabela1[[#This Row],[Pré GGT U/L]]</f>
        <v>-</v>
      </c>
      <c r="AB393" s="193" t="str">
        <f>Tabela1[[#This Row],[Pós GGT U/L]]</f>
        <v>-</v>
      </c>
      <c r="AC393" s="194" t="str">
        <f>Tabela1[[#This Row],[Pré Ac. Úrico (mg/dL)]]</f>
        <v>-</v>
      </c>
      <c r="AD393" s="125" t="str">
        <f>Tabela1[[#This Row],[Pós Ac. Úrico (mg/dL)2]]</f>
        <v>-</v>
      </c>
      <c r="AE39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9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393" s="85">
        <f>Tabela1[[#This Row],[Pré Ureia mg/dL]]</f>
        <v>39</v>
      </c>
      <c r="AH393" s="85">
        <f>Tabela1[[#This Row],[Pós Ureia mg/dL]]</f>
        <v>49</v>
      </c>
      <c r="AI393" s="125">
        <f>Tabela1[[#This Row],[Pré creatinina mg/dL]]</f>
        <v>0.8</v>
      </c>
      <c r="AJ393" s="125">
        <f>Tabela1[[#This Row],[Pós creatinina mg/dL]]</f>
        <v>1.3</v>
      </c>
      <c r="AK393" s="180">
        <f t="shared" si="24"/>
        <v>0.5</v>
      </c>
      <c r="AL393" s="125" t="str">
        <f>Tabela1[[#This Row],[Pré Fósforo mg/dL]]</f>
        <v>-</v>
      </c>
      <c r="AM393" s="125" t="str">
        <f>Tabela1[[#This Row],[Pós Fósforo mg/dL]]</f>
        <v>-</v>
      </c>
      <c r="AN393" s="125" t="str">
        <f>Tabela1[[#This Row],[Pré Proteína Total (g/dL)]]</f>
        <v>-</v>
      </c>
      <c r="AO393" s="125" t="str">
        <f>Tabela1[[#This Row],[Pós Proteína Total (g/dL)]]</f>
        <v>-</v>
      </c>
      <c r="AP393" s="85" t="str">
        <f>Tabela1[[#This Row],[Pré FE (ug/dL)]]</f>
        <v>-</v>
      </c>
      <c r="AQ393" s="193" t="str">
        <f>Tabela1[[#This Row],[Pós FE (ug/dL)]]</f>
        <v>-</v>
      </c>
      <c r="AR393" s="194" t="str">
        <f>Tabela1[[#This Row],[Pré calcio mg/dL]]</f>
        <v>-</v>
      </c>
      <c r="AS393" s="125" t="str">
        <f>Tabela1[[#This Row],[Pós calcio mg/dL]]</f>
        <v>-</v>
      </c>
      <c r="AT393" s="125">
        <f>Tabela1[[#This Row],[Pré Potássio mmol/L]]</f>
        <v>5.2</v>
      </c>
      <c r="AU393" s="125">
        <f>Tabela1[[#This Row],[Pós Potássio mmol/L]]</f>
        <v>3.9</v>
      </c>
      <c r="AV393" s="85">
        <f>Tabela1[[#This Row],[Glicose pré]]</f>
        <v>78</v>
      </c>
      <c r="AW393" s="85">
        <f>Tabela1[[#This Row],[Glicose pós]]</f>
        <v>121</v>
      </c>
      <c r="AX393" s="85">
        <f>Tabela1[[#This Row],[Pré Sódio mmol/L]]</f>
        <v>140</v>
      </c>
      <c r="AY393" s="85">
        <f>Tabela1[[#This Row],[Pós Sódio mmol/L]]</f>
        <v>137</v>
      </c>
      <c r="AZ393" s="125" t="str">
        <f>Tabela1[[#This Row],[Pré Magnésio mg/dL]]</f>
        <v>-</v>
      </c>
      <c r="BA393" s="125" t="str">
        <f>Tabela1[[#This Row],[Pós Magnésio mg/dL]]</f>
        <v>-</v>
      </c>
      <c r="BB393" s="85">
        <f>Tabela1[[#This Row],[Pré Cloro mmol/L]]</f>
        <v>100</v>
      </c>
      <c r="BC393" s="85">
        <f>Tabela1[[#This Row],[Pós Cloro mmol/L]]</f>
        <v>99</v>
      </c>
      <c r="BD39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295.55533333333335</v>
      </c>
      <c r="BE39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291.97122222222225</v>
      </c>
      <c r="BF393" s="194">
        <f>Tabela1[[#This Row],[Pré RBC 10^6/mm³]]</f>
        <v>5.33</v>
      </c>
      <c r="BG393" s="125">
        <f>Tabela1[[#This Row],[Pós RBC 10^6/mm³]]</f>
        <v>5.55</v>
      </c>
      <c r="BH393" s="125">
        <f>Tabela1[[#This Row],[Pré HGB g/dL]]</f>
        <v>15.5</v>
      </c>
      <c r="BI393" s="125">
        <f>Tabela1[[#This Row],[Pós HGB g/dL]]</f>
        <v>16.2</v>
      </c>
      <c r="BJ393" s="125">
        <f>Tabela1[[#This Row],[Pré HCT %]]</f>
        <v>47.1</v>
      </c>
      <c r="BK393" s="125">
        <f>Tabela1[[#This Row],[Pós HCT %]]</f>
        <v>47.5</v>
      </c>
      <c r="BL393" s="125">
        <f>Tabela1[[#This Row],[Pré MCV fL]]</f>
        <v>88.4</v>
      </c>
      <c r="BM393" s="125">
        <f>Tabela1[[#This Row],[Pós MCV fL]]</f>
        <v>85.6</v>
      </c>
      <c r="BN393" s="125">
        <f>Tabela1[[#This Row],[Pré MCH pg]]</f>
        <v>29.1</v>
      </c>
      <c r="BO393" s="125">
        <f>Tabela1[[#This Row],[Pós MCH pg]]</f>
        <v>29.2</v>
      </c>
      <c r="BP393" s="125">
        <f>Tabela1[[#This Row],[Pré MCHC g/dL]]</f>
        <v>32.9</v>
      </c>
      <c r="BQ393" s="125">
        <f>Tabela1[[#This Row],[Pós MCHC g/dL]]</f>
        <v>34.1</v>
      </c>
      <c r="BR393" s="85">
        <f>Tabela1[[#This Row],[Pré PLT 10³/mm³]]</f>
        <v>271</v>
      </c>
      <c r="BS393" s="85">
        <f>Tabela1[[#This Row],[Pós PLT 10³/mm³]]</f>
        <v>374</v>
      </c>
      <c r="BT393" s="125">
        <f>Tabela1[[#This Row],[Pré RDW %]]</f>
        <v>12.1</v>
      </c>
      <c r="BU393" s="125">
        <f>Tabela1[[#This Row],[Pós RDW %]]</f>
        <v>12.5</v>
      </c>
      <c r="BV393" s="179" t="str">
        <f>Tabela1[[#This Row],[Pré RET %]]</f>
        <v>-</v>
      </c>
      <c r="BW393" s="196" t="str">
        <f>Tabela1[[#This Row],[Pós RET %]]</f>
        <v>-</v>
      </c>
      <c r="BX393" s="197">
        <f>Tabela1[[#This Row],[Pré WBC 10³/mm³]]</f>
        <v>10.33</v>
      </c>
      <c r="BY393" s="179">
        <f>Tabela1[[#This Row],[Pós WBC 10³/mm³]]</f>
        <v>15.73</v>
      </c>
      <c r="BZ393" s="125">
        <f>Tabela1[[#This Row],[Pré NEUT %]]</f>
        <v>66.2</v>
      </c>
      <c r="CA393" s="125">
        <f>Tabela1[[#This Row],[Pós NEUT %]]</f>
        <v>60.5</v>
      </c>
      <c r="CB393" s="125">
        <f>Tabela1[[#This Row],[Pré LINF %]]</f>
        <v>23.3</v>
      </c>
      <c r="CC393" s="125">
        <f>Tabela1[[#This Row],[Pós LINF %]]</f>
        <v>25.7</v>
      </c>
      <c r="CD393" s="125">
        <f>Tabela1[[#This Row],[Pré MONO %]]</f>
        <v>8.3000000000000007</v>
      </c>
      <c r="CE393" s="125">
        <f>Tabela1[[#This Row],[Pós MONO %]]</f>
        <v>13.2</v>
      </c>
      <c r="CF393" s="125">
        <f>Tabela1[[#This Row],[Pré EOS %]]</f>
        <v>1.2</v>
      </c>
      <c r="CG393" s="125">
        <f>Tabela1[[#This Row],[Pós EOS %]]</f>
        <v>0.2</v>
      </c>
      <c r="CH393" s="125">
        <f>Tabela1[[#This Row],[Pré BASO %]]</f>
        <v>0.5</v>
      </c>
      <c r="CI393" s="198">
        <f>Tabela1[[#This Row],[Pós BASO %]]</f>
        <v>0.4</v>
      </c>
      <c r="CJ393" s="199" t="str">
        <f t="shared" si="25"/>
        <v>SIM</v>
      </c>
      <c r="CK393" s="200" t="str">
        <f t="shared" si="26"/>
        <v>SIM</v>
      </c>
      <c r="CL393" s="194">
        <f t="shared" si="27"/>
        <v>63.201930000000004</v>
      </c>
      <c r="CM393" s="125">
        <f>Tabela1[[#This Row],[MCT KG]]</f>
        <v>75.900000000000006</v>
      </c>
      <c r="CN393" s="85">
        <f>Tabela1[[#This Row],[ESTATURA]]</f>
        <v>179</v>
      </c>
      <c r="CO393" s="85" t="str">
        <f>Tabela1[[#This Row],[vo2max estimado]]</f>
        <v>51,73</v>
      </c>
      <c r="CP393" s="85">
        <f>Tabela1[[#This Row],[Handgrip     Dominante]]</f>
        <v>52</v>
      </c>
      <c r="CQ393" s="85">
        <f>Tabela1[[#This Row],[Handgrip Contrário]]</f>
        <v>58</v>
      </c>
      <c r="CR393" s="281" t="str">
        <f>Tabela1[[#This Row],[% gordura]]</f>
        <v>16,73</v>
      </c>
    </row>
    <row r="394" spans="1:96" ht="15.75" customHeight="1">
      <c r="A394" s="279">
        <f>Tabela1[[#This Row],[Ano]]</f>
        <v>2023</v>
      </c>
      <c r="B394" s="181" t="str">
        <f>Tabela1[[#This Row],[Missão]]</f>
        <v>Avelar</v>
      </c>
      <c r="C394" s="181">
        <f>Tabela1[[#This Row],[Aluno]]</f>
        <v>3264</v>
      </c>
      <c r="D394" s="181">
        <f>Tabela1[[#This Row],[Idade]]</f>
        <v>27</v>
      </c>
      <c r="E394" s="182">
        <f>Tabela1[[#This Row],[Peso Kg]]</f>
        <v>87.7</v>
      </c>
      <c r="F394" s="191">
        <f>Tabela1[[#This Row],[Cor da pele]]</f>
        <v>2</v>
      </c>
      <c r="G394" s="192" t="str">
        <f>Tabela1[[#This Row],[ACTN3]]</f>
        <v>RX</v>
      </c>
      <c r="H394" s="85" t="str">
        <f>Tabela1[[#This Row],[AGT]]</f>
        <v>TT</v>
      </c>
      <c r="I394" s="85" t="str">
        <f>Tabela1[[#This Row],[ECA]]</f>
        <v>DD</v>
      </c>
      <c r="J394" s="85">
        <f>Tabela1[[#This Row],[BDKRB2]]</f>
        <v>0</v>
      </c>
      <c r="K394" s="85">
        <f>Tabela1[[#This Row],[Score Força%]]</f>
        <v>75</v>
      </c>
      <c r="L394" s="193">
        <f>Tabela1[[#This Row],[Score Resistência %]]</f>
        <v>25</v>
      </c>
      <c r="M394" s="192">
        <f>Tabela1[[#This Row],[Pré CK (U/L)]]</f>
        <v>179</v>
      </c>
      <c r="N394" s="85">
        <f>Tabela1[[#This Row],[Pós CK (U/L)]]</f>
        <v>890</v>
      </c>
      <c r="O394" s="85" t="str">
        <f>Tabela1[[#This Row],[Pré CK MB U/L]]</f>
        <v>-</v>
      </c>
      <c r="P394" s="85" t="str">
        <f>Tabela1[[#This Row],[Pós CK MB U/L]]</f>
        <v>-</v>
      </c>
      <c r="Q394" s="85" t="str">
        <f>Tabela1[[#This Row],[Pré Lactato (mmol/L)]]</f>
        <v>-</v>
      </c>
      <c r="R394" s="85" t="str">
        <f>Tabela1[[#This Row],[Pós Lactato (mmol/L)]]</f>
        <v>-</v>
      </c>
      <c r="S394" s="85">
        <f>Tabela1[[#This Row],[Pré LDH (U/L)]]</f>
        <v>229</v>
      </c>
      <c r="T394" s="85">
        <f>Tabela1[[#This Row],[Pós LDH (U/L)]]</f>
        <v>216</v>
      </c>
      <c r="U394" s="85">
        <f>Tabela1[[#This Row],[Pré AST (U/L)]]</f>
        <v>22</v>
      </c>
      <c r="V394" s="193">
        <f>Tabela1[[#This Row],[Pós AST (U/L)]]</f>
        <v>38</v>
      </c>
      <c r="W394" s="194" t="str">
        <f>Tabela1[[#This Row],[Pré Albumina (g/dL)]]</f>
        <v>-</v>
      </c>
      <c r="X394" s="125" t="str">
        <f>Tabela1[[#This Row],[Pós Albumina (g/dL)]]</f>
        <v>-</v>
      </c>
      <c r="Y394" s="85" t="str">
        <f>Tabela1[[#This Row],[Pré TGP (g/dL)]]</f>
        <v>-</v>
      </c>
      <c r="Z394" s="85" t="str">
        <f>Tabela1[[#This Row],[Pós TGP (g/dL)]]</f>
        <v>-</v>
      </c>
      <c r="AA394" s="85" t="str">
        <f>Tabela1[[#This Row],[Pré GGT U/L]]</f>
        <v>-</v>
      </c>
      <c r="AB394" s="193" t="str">
        <f>Tabela1[[#This Row],[Pós GGT U/L]]</f>
        <v>-</v>
      </c>
      <c r="AC394" s="194" t="str">
        <f>Tabela1[[#This Row],[Pré Ac. Úrico (mg/dL)]]</f>
        <v>-</v>
      </c>
      <c r="AD394" s="125" t="str">
        <f>Tabela1[[#This Row],[Pós Ac. Úrico (mg/dL)2]]</f>
        <v>-</v>
      </c>
      <c r="AE39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9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394" s="85">
        <f>Tabela1[[#This Row],[Pré Ureia mg/dL]]</f>
        <v>35</v>
      </c>
      <c r="AH394" s="85">
        <f>Tabela1[[#This Row],[Pós Ureia mg/dL]]</f>
        <v>35</v>
      </c>
      <c r="AI394" s="125">
        <f>Tabela1[[#This Row],[Pré creatinina mg/dL]]</f>
        <v>0.8</v>
      </c>
      <c r="AJ394" s="125">
        <f>Tabela1[[#This Row],[Pós creatinina mg/dL]]</f>
        <v>1</v>
      </c>
      <c r="AK394" s="180">
        <f t="shared" si="24"/>
        <v>0.19999999999999996</v>
      </c>
      <c r="AL394" s="125" t="str">
        <f>Tabela1[[#This Row],[Pré Fósforo mg/dL]]</f>
        <v>-</v>
      </c>
      <c r="AM394" s="125" t="str">
        <f>Tabela1[[#This Row],[Pós Fósforo mg/dL]]</f>
        <v>-</v>
      </c>
      <c r="AN394" s="125" t="str">
        <f>Tabela1[[#This Row],[Pré Proteína Total (g/dL)]]</f>
        <v>-</v>
      </c>
      <c r="AO394" s="125" t="str">
        <f>Tabela1[[#This Row],[Pós Proteína Total (g/dL)]]</f>
        <v>-</v>
      </c>
      <c r="AP394" s="85" t="str">
        <f>Tabela1[[#This Row],[Pré FE (ug/dL)]]</f>
        <v>-</v>
      </c>
      <c r="AQ394" s="193" t="str">
        <f>Tabela1[[#This Row],[Pós FE (ug/dL)]]</f>
        <v>-</v>
      </c>
      <c r="AR394" s="194" t="str">
        <f>Tabela1[[#This Row],[Pré calcio mg/dL]]</f>
        <v>-</v>
      </c>
      <c r="AS394" s="125" t="str">
        <f>Tabela1[[#This Row],[Pós calcio mg/dL]]</f>
        <v>-</v>
      </c>
      <c r="AT394" s="125">
        <f>Tabela1[[#This Row],[Pré Potássio mmol/L]]</f>
        <v>4.2</v>
      </c>
      <c r="AU394" s="125">
        <f>Tabela1[[#This Row],[Pós Potássio mmol/L]]</f>
        <v>3.9</v>
      </c>
      <c r="AV394" s="85">
        <f>Tabela1[[#This Row],[Glicose pré]]</f>
        <v>107</v>
      </c>
      <c r="AW394" s="85">
        <f>Tabela1[[#This Row],[Glicose pós]]</f>
        <v>91</v>
      </c>
      <c r="AX394" s="85">
        <f>Tabela1[[#This Row],[Pré Sódio mmol/L]]</f>
        <v>141</v>
      </c>
      <c r="AY394" s="85">
        <f>Tabela1[[#This Row],[Pós Sódio mmol/L]]</f>
        <v>135</v>
      </c>
      <c r="AZ394" s="125" t="str">
        <f>Tabela1[[#This Row],[Pré Magnésio mg/dL]]</f>
        <v>-</v>
      </c>
      <c r="BA394" s="125" t="str">
        <f>Tabela1[[#This Row],[Pós Magnésio mg/dL]]</f>
        <v>-</v>
      </c>
      <c r="BB394" s="85">
        <f>Tabela1[[#This Row],[Pré Cloro mmol/L]]</f>
        <v>101</v>
      </c>
      <c r="BC394" s="85">
        <f>Tabela1[[#This Row],[Pós Cloro mmol/L]]</f>
        <v>99</v>
      </c>
      <c r="BD39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296.74144444444443</v>
      </c>
      <c r="BE39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284.00122222222222</v>
      </c>
      <c r="BF394" s="194">
        <f>Tabela1[[#This Row],[Pré RBC 10^6/mm³]]</f>
        <v>5.07</v>
      </c>
      <c r="BG394" s="125">
        <f>Tabela1[[#This Row],[Pós RBC 10^6/mm³]]</f>
        <v>5.33</v>
      </c>
      <c r="BH394" s="125">
        <f>Tabela1[[#This Row],[Pré HGB g/dL]]</f>
        <v>15</v>
      </c>
      <c r="BI394" s="125">
        <f>Tabela1[[#This Row],[Pós HGB g/dL]]</f>
        <v>15.7</v>
      </c>
      <c r="BJ394" s="125">
        <f>Tabela1[[#This Row],[Pré HCT %]]</f>
        <v>42.9</v>
      </c>
      <c r="BK394" s="125">
        <f>Tabela1[[#This Row],[Pós HCT %]]</f>
        <v>44</v>
      </c>
      <c r="BL394" s="125">
        <f>Tabela1[[#This Row],[Pré MCV fL]]</f>
        <v>84.6</v>
      </c>
      <c r="BM394" s="125">
        <f>Tabela1[[#This Row],[Pós MCV fL]]</f>
        <v>82.6</v>
      </c>
      <c r="BN394" s="125">
        <f>Tabela1[[#This Row],[Pré MCH pg]]</f>
        <v>29.6</v>
      </c>
      <c r="BO394" s="125">
        <f>Tabela1[[#This Row],[Pós MCH pg]]</f>
        <v>29.5</v>
      </c>
      <c r="BP394" s="125">
        <f>Tabela1[[#This Row],[Pré MCHC g/dL]]</f>
        <v>35</v>
      </c>
      <c r="BQ394" s="125">
        <f>Tabela1[[#This Row],[Pós MCHC g/dL]]</f>
        <v>35.700000000000003</v>
      </c>
      <c r="BR394" s="85">
        <f>Tabela1[[#This Row],[Pré PLT 10³/mm³]]</f>
        <v>211</v>
      </c>
      <c r="BS394" s="85">
        <f>Tabela1[[#This Row],[Pós PLT 10³/mm³]]</f>
        <v>282</v>
      </c>
      <c r="BT394" s="125">
        <f>Tabela1[[#This Row],[Pré RDW %]]</f>
        <v>11.9</v>
      </c>
      <c r="BU394" s="125">
        <f>Tabela1[[#This Row],[Pós RDW %]]</f>
        <v>11.9</v>
      </c>
      <c r="BV394" s="179" t="str">
        <f>Tabela1[[#This Row],[Pré RET %]]</f>
        <v>-</v>
      </c>
      <c r="BW394" s="196" t="str">
        <f>Tabela1[[#This Row],[Pós RET %]]</f>
        <v>-</v>
      </c>
      <c r="BX394" s="197">
        <f>Tabela1[[#This Row],[Pré WBC 10³/mm³]]</f>
        <v>6.18</v>
      </c>
      <c r="BY394" s="179">
        <f>Tabela1[[#This Row],[Pós WBC 10³/mm³]]</f>
        <v>9.2200000000000006</v>
      </c>
      <c r="BZ394" s="125">
        <f>Tabela1[[#This Row],[Pré NEUT %]]</f>
        <v>53.1</v>
      </c>
      <c r="CA394" s="125">
        <f>Tabela1[[#This Row],[Pós NEUT %]]</f>
        <v>57</v>
      </c>
      <c r="CB394" s="125">
        <f>Tabela1[[#This Row],[Pré LINF %]]</f>
        <v>36.200000000000003</v>
      </c>
      <c r="CC394" s="125">
        <f>Tabela1[[#This Row],[Pós LINF %]]</f>
        <v>32.799999999999997</v>
      </c>
      <c r="CD394" s="125">
        <f>Tabela1[[#This Row],[Pré MONO %]]</f>
        <v>9.1</v>
      </c>
      <c r="CE394" s="125">
        <f>Tabela1[[#This Row],[Pós MONO %]]</f>
        <v>9.3000000000000007</v>
      </c>
      <c r="CF394" s="125">
        <f>Tabela1[[#This Row],[Pré EOS %]]</f>
        <v>1</v>
      </c>
      <c r="CG394" s="125">
        <f>Tabela1[[#This Row],[Pós EOS %]]</f>
        <v>0.4</v>
      </c>
      <c r="CH394" s="125">
        <f>Tabela1[[#This Row],[Pré BASO %]]</f>
        <v>0.6</v>
      </c>
      <c r="CI394" s="198">
        <f>Tabela1[[#This Row],[Pós BASO %]]</f>
        <v>0.5</v>
      </c>
      <c r="CJ394" s="199" t="str">
        <f t="shared" si="25"/>
        <v>NÃO</v>
      </c>
      <c r="CK394" s="200" t="str">
        <f t="shared" si="26"/>
        <v>NÃO</v>
      </c>
      <c r="CL394" s="194">
        <f t="shared" si="27"/>
        <v>76.304699999999997</v>
      </c>
      <c r="CM394" s="125">
        <f>Tabela1[[#This Row],[MCT KG]]</f>
        <v>88.5</v>
      </c>
      <c r="CN394" s="85">
        <f>Tabela1[[#This Row],[ESTATURA]]</f>
        <v>176</v>
      </c>
      <c r="CO394" s="85" t="str">
        <f>Tabela1[[#This Row],[vo2max estimado]]</f>
        <v>51,21</v>
      </c>
      <c r="CP394" s="85">
        <f>Tabela1[[#This Row],[Handgrip     Dominante]]</f>
        <v>80</v>
      </c>
      <c r="CQ394" s="85">
        <f>Tabela1[[#This Row],[Handgrip Contrário]]</f>
        <v>88</v>
      </c>
      <c r="CR394" s="281" t="str">
        <f>Tabela1[[#This Row],[% gordura]]</f>
        <v>13,78</v>
      </c>
    </row>
    <row r="395" spans="1:96" ht="15.75" customHeight="1">
      <c r="A395" s="279">
        <f>Tabela1[[#This Row],[Ano]]</f>
        <v>2023</v>
      </c>
      <c r="B395" s="181" t="str">
        <f>Tabela1[[#This Row],[Missão]]</f>
        <v>Avelar</v>
      </c>
      <c r="C395" s="181">
        <f>Tabela1[[#This Row],[Aluno]]</f>
        <v>3268</v>
      </c>
      <c r="D395" s="181">
        <f>Tabela1[[#This Row],[Idade]]</f>
        <v>24</v>
      </c>
      <c r="E395" s="182">
        <f>Tabela1[[#This Row],[Peso Kg]]</f>
        <v>75.900000000000006</v>
      </c>
      <c r="F395" s="191">
        <f>Tabela1[[#This Row],[Cor da pele]]</f>
        <v>2</v>
      </c>
      <c r="G395" s="192" t="str">
        <f>Tabela1[[#This Row],[ACTN3]]</f>
        <v>RR</v>
      </c>
      <c r="H395" s="85" t="str">
        <f>Tabela1[[#This Row],[AGT]]</f>
        <v>MT</v>
      </c>
      <c r="I395" s="85" t="str">
        <f>Tabela1[[#This Row],[ECA]]</f>
        <v>ID</v>
      </c>
      <c r="J395" s="85" t="str">
        <f>Tabela1[[#This Row],[BDKRB2]]</f>
        <v>-9,-9</v>
      </c>
      <c r="K395" s="85">
        <f>Tabela1[[#This Row],[Score Força%]]</f>
        <v>50</v>
      </c>
      <c r="L395" s="193">
        <f>Tabela1[[#This Row],[Score Resistência %]]</f>
        <v>50</v>
      </c>
      <c r="M395" s="192">
        <f>Tabela1[[#This Row],[Pré CK (U/L)]]</f>
        <v>295</v>
      </c>
      <c r="N395" s="85">
        <f>Tabela1[[#This Row],[Pós CK (U/L)]]</f>
        <v>4761</v>
      </c>
      <c r="O395" s="85" t="str">
        <f>Tabela1[[#This Row],[Pré CK MB U/L]]</f>
        <v>-</v>
      </c>
      <c r="P395" s="85" t="str">
        <f>Tabela1[[#This Row],[Pós CK MB U/L]]</f>
        <v>-</v>
      </c>
      <c r="Q395" s="85" t="str">
        <f>Tabela1[[#This Row],[Pré Lactato (mmol/L)]]</f>
        <v>-</v>
      </c>
      <c r="R395" s="85" t="str">
        <f>Tabela1[[#This Row],[Pós Lactato (mmol/L)]]</f>
        <v>-</v>
      </c>
      <c r="S395" s="85">
        <f>Tabela1[[#This Row],[Pré LDH (U/L)]]</f>
        <v>202</v>
      </c>
      <c r="T395" s="85">
        <f>Tabela1[[#This Row],[Pós LDH (U/L)]]</f>
        <v>217</v>
      </c>
      <c r="U395" s="85">
        <f>Tabela1[[#This Row],[Pré AST (U/L)]]</f>
        <v>30</v>
      </c>
      <c r="V395" s="193">
        <f>Tabela1[[#This Row],[Pós AST (U/L)]]</f>
        <v>119</v>
      </c>
      <c r="W395" s="194" t="str">
        <f>Tabela1[[#This Row],[Pré Albumina (g/dL)]]</f>
        <v>-</v>
      </c>
      <c r="X395" s="125" t="str">
        <f>Tabela1[[#This Row],[Pós Albumina (g/dL)]]</f>
        <v>-</v>
      </c>
      <c r="Y395" s="85" t="str">
        <f>Tabela1[[#This Row],[Pré TGP (g/dL)]]</f>
        <v>-</v>
      </c>
      <c r="Z395" s="85" t="str">
        <f>Tabela1[[#This Row],[Pós TGP (g/dL)]]</f>
        <v>-</v>
      </c>
      <c r="AA395" s="85" t="str">
        <f>Tabela1[[#This Row],[Pré GGT U/L]]</f>
        <v>-</v>
      </c>
      <c r="AB395" s="193" t="str">
        <f>Tabela1[[#This Row],[Pós GGT U/L]]</f>
        <v>-</v>
      </c>
      <c r="AC395" s="194" t="str">
        <f>Tabela1[[#This Row],[Pré Ac. Úrico (mg/dL)]]</f>
        <v>-</v>
      </c>
      <c r="AD395" s="125" t="str">
        <f>Tabela1[[#This Row],[Pós Ac. Úrico (mg/dL)2]]</f>
        <v>-</v>
      </c>
      <c r="AE39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39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395" s="85">
        <f>Tabela1[[#This Row],[Pré Ureia mg/dL]]</f>
        <v>34</v>
      </c>
      <c r="AH395" s="85">
        <f>Tabela1[[#This Row],[Pós Ureia mg/dL]]</f>
        <v>48</v>
      </c>
      <c r="AI395" s="125">
        <f>Tabela1[[#This Row],[Pré creatinina mg/dL]]</f>
        <v>0.7</v>
      </c>
      <c r="AJ395" s="125">
        <f>Tabela1[[#This Row],[Pós creatinina mg/dL]]</f>
        <v>1.2</v>
      </c>
      <c r="AK395" s="180">
        <f t="shared" si="24"/>
        <v>0.5</v>
      </c>
      <c r="AL395" s="125" t="str">
        <f>Tabela1[[#This Row],[Pré Fósforo mg/dL]]</f>
        <v>-</v>
      </c>
      <c r="AM395" s="125" t="str">
        <f>Tabela1[[#This Row],[Pós Fósforo mg/dL]]</f>
        <v>-</v>
      </c>
      <c r="AN395" s="125" t="str">
        <f>Tabela1[[#This Row],[Pré Proteína Total (g/dL)]]</f>
        <v>-</v>
      </c>
      <c r="AO395" s="125" t="str">
        <f>Tabela1[[#This Row],[Pós Proteína Total (g/dL)]]</f>
        <v>-</v>
      </c>
      <c r="AP395" s="85" t="str">
        <f>Tabela1[[#This Row],[Pré FE (ug/dL)]]</f>
        <v>-</v>
      </c>
      <c r="AQ395" s="193" t="str">
        <f>Tabela1[[#This Row],[Pós FE (ug/dL)]]</f>
        <v>-</v>
      </c>
      <c r="AR395" s="194" t="str">
        <f>Tabela1[[#This Row],[Pré calcio mg/dL]]</f>
        <v>-</v>
      </c>
      <c r="AS395" s="125" t="str">
        <f>Tabela1[[#This Row],[Pós calcio mg/dL]]</f>
        <v>-</v>
      </c>
      <c r="AT395" s="125">
        <f>Tabela1[[#This Row],[Pré Potássio mmol/L]]</f>
        <v>4.7</v>
      </c>
      <c r="AU395" s="125">
        <f>Tabela1[[#This Row],[Pós Potássio mmol/L]]</f>
        <v>3.9</v>
      </c>
      <c r="AV395" s="85">
        <f>Tabela1[[#This Row],[Glicose pré]]</f>
        <v>95</v>
      </c>
      <c r="AW395" s="85">
        <f>Tabela1[[#This Row],[Glicose pós]]</f>
        <v>108</v>
      </c>
      <c r="AX395" s="85">
        <f>Tabela1[[#This Row],[Pré Sódio mmol/L]]</f>
        <v>141</v>
      </c>
      <c r="AY395" s="85">
        <f>Tabela1[[#This Row],[Pós Sódio mmol/L]]</f>
        <v>150</v>
      </c>
      <c r="AZ395" s="125" t="str">
        <f>Tabela1[[#This Row],[Pré Magnésio mg/dL]]</f>
        <v>-</v>
      </c>
      <c r="BA395" s="125" t="str">
        <f>Tabela1[[#This Row],[Pós Magnésio mg/dL]]</f>
        <v>-</v>
      </c>
      <c r="BB395" s="85">
        <f>Tabela1[[#This Row],[Pré Cloro mmol/L]]</f>
        <v>101</v>
      </c>
      <c r="BC395" s="85">
        <f>Tabela1[[#This Row],[Pós Cloro mmol/L]]</f>
        <v>107</v>
      </c>
      <c r="BD39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296.73811111111115</v>
      </c>
      <c r="BE39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315.154</v>
      </c>
      <c r="BF395" s="194">
        <f>Tabela1[[#This Row],[Pré RBC 10^6/mm³]]</f>
        <v>4.99</v>
      </c>
      <c r="BG395" s="125">
        <f>Tabela1[[#This Row],[Pós RBC 10^6/mm³]]</f>
        <v>4.8899999999999997</v>
      </c>
      <c r="BH395" s="125">
        <f>Tabela1[[#This Row],[Pré HGB g/dL]]</f>
        <v>15.1</v>
      </c>
      <c r="BI395" s="125">
        <f>Tabela1[[#This Row],[Pós HGB g/dL]]</f>
        <v>14.9</v>
      </c>
      <c r="BJ395" s="125">
        <f>Tabela1[[#This Row],[Pré HCT %]]</f>
        <v>44.9</v>
      </c>
      <c r="BK395" s="125">
        <f>Tabela1[[#This Row],[Pós HCT %]]</f>
        <v>43.1</v>
      </c>
      <c r="BL395" s="125">
        <f>Tabela1[[#This Row],[Pré MCV fL]]</f>
        <v>90</v>
      </c>
      <c r="BM395" s="125">
        <f>Tabela1[[#This Row],[Pós MCV fL]]</f>
        <v>88.1</v>
      </c>
      <c r="BN395" s="125">
        <f>Tabela1[[#This Row],[Pré MCH pg]]</f>
        <v>30.3</v>
      </c>
      <c r="BO395" s="125">
        <f>Tabela1[[#This Row],[Pós MCH pg]]</f>
        <v>30.5</v>
      </c>
      <c r="BP395" s="125">
        <f>Tabela1[[#This Row],[Pré MCHC g/dL]]</f>
        <v>33.6</v>
      </c>
      <c r="BQ395" s="125">
        <f>Tabela1[[#This Row],[Pós MCHC g/dL]]</f>
        <v>34.6</v>
      </c>
      <c r="BR395" s="85">
        <f>Tabela1[[#This Row],[Pré PLT 10³/mm³]]</f>
        <v>236</v>
      </c>
      <c r="BS395" s="85">
        <f>Tabela1[[#This Row],[Pós PLT 10³/mm³]]</f>
        <v>268</v>
      </c>
      <c r="BT395" s="125">
        <f>Tabela1[[#This Row],[Pré RDW %]]</f>
        <v>12.5</v>
      </c>
      <c r="BU395" s="125">
        <f>Tabela1[[#This Row],[Pós RDW %]]</f>
        <v>12.7</v>
      </c>
      <c r="BV395" s="179" t="str">
        <f>Tabela1[[#This Row],[Pré RET %]]</f>
        <v>-</v>
      </c>
      <c r="BW395" s="196" t="str">
        <f>Tabela1[[#This Row],[Pós RET %]]</f>
        <v>-</v>
      </c>
      <c r="BX395" s="197">
        <f>Tabela1[[#This Row],[Pré WBC 10³/mm³]]</f>
        <v>6.86</v>
      </c>
      <c r="BY395" s="179">
        <f>Tabela1[[#This Row],[Pós WBC 10³/mm³]]</f>
        <v>11.51</v>
      </c>
      <c r="BZ395" s="125">
        <f>Tabela1[[#This Row],[Pré NEUT %]]</f>
        <v>51.4</v>
      </c>
      <c r="CA395" s="125">
        <f>Tabela1[[#This Row],[Pós NEUT %]]</f>
        <v>50.8</v>
      </c>
      <c r="CB395" s="125">
        <f>Tabela1[[#This Row],[Pré LINF %]]</f>
        <v>29.9</v>
      </c>
      <c r="CC395" s="125">
        <f>Tabela1[[#This Row],[Pós LINF %]]</f>
        <v>36.799999999999997</v>
      </c>
      <c r="CD395" s="125">
        <f>Tabela1[[#This Row],[Pré MONO %]]</f>
        <v>12</v>
      </c>
      <c r="CE395" s="125">
        <f>Tabela1[[#This Row],[Pós MONO %]]</f>
        <v>11.6</v>
      </c>
      <c r="CF395" s="125">
        <f>Tabela1[[#This Row],[Pré EOS %]]</f>
        <v>5.7</v>
      </c>
      <c r="CG395" s="125">
        <f>Tabela1[[#This Row],[Pós EOS %]]</f>
        <v>0.3</v>
      </c>
      <c r="CH395" s="125">
        <f>Tabela1[[#This Row],[Pré BASO %]]</f>
        <v>1</v>
      </c>
      <c r="CI395" s="198">
        <f>Tabela1[[#This Row],[Pós BASO %]]</f>
        <v>0.5</v>
      </c>
      <c r="CJ395" s="199" t="str">
        <f t="shared" si="25"/>
        <v>SIM</v>
      </c>
      <c r="CK395" s="200" t="str">
        <f t="shared" si="26"/>
        <v>SIM</v>
      </c>
      <c r="CL395" s="194">
        <f t="shared" si="27"/>
        <v>69.677400000000006</v>
      </c>
      <c r="CM395" s="125">
        <f>Tabela1[[#This Row],[MCT KG]]</f>
        <v>78</v>
      </c>
      <c r="CN395" s="85">
        <f>Tabela1[[#This Row],[ESTATURA]]</f>
        <v>178</v>
      </c>
      <c r="CO395" s="85" t="str">
        <f>Tabela1[[#This Row],[vo2max estimado]]</f>
        <v>52,07</v>
      </c>
      <c r="CP395" s="85">
        <f>Tabela1[[#This Row],[Handgrip     Dominante]]</f>
        <v>56</v>
      </c>
      <c r="CQ395" s="85">
        <f>Tabela1[[#This Row],[Handgrip Contrário]]</f>
        <v>56</v>
      </c>
      <c r="CR395" s="281" t="str">
        <f>Tabela1[[#This Row],[% gordura]]</f>
        <v>10,67</v>
      </c>
    </row>
    <row r="396" spans="1:96" ht="15.75" customHeight="1">
      <c r="A396" s="279">
        <f>Tabela1[[#This Row],[Ano]]</f>
        <v>2023</v>
      </c>
      <c r="B396" s="181" t="str">
        <f>Tabela1[[#This Row],[Missão]]</f>
        <v>Avelar</v>
      </c>
      <c r="C396" s="181">
        <f>Tabela1[[#This Row],[Aluno]]</f>
        <v>3274</v>
      </c>
      <c r="D396" s="181">
        <f>Tabela1[[#This Row],[Idade]]</f>
        <v>34</v>
      </c>
      <c r="E396" s="182">
        <f>Tabela1[[#This Row],[Peso Kg]]</f>
        <v>74</v>
      </c>
      <c r="F396" s="191">
        <f>Tabela1[[#This Row],[Cor da pele]]</f>
        <v>1</v>
      </c>
      <c r="G396" s="192" t="str">
        <f>Tabela1[[#This Row],[ACTN3]]</f>
        <v>RX</v>
      </c>
      <c r="H396" s="85" t="str">
        <f>Tabela1[[#This Row],[AGT]]</f>
        <v>MT</v>
      </c>
      <c r="I396" s="85" t="str">
        <f>Tabela1[[#This Row],[ECA]]</f>
        <v>ID</v>
      </c>
      <c r="J396" s="85">
        <f>Tabela1[[#This Row],[BDKRB2]]</f>
        <v>0</v>
      </c>
      <c r="K396" s="85">
        <f>Tabela1[[#This Row],[Score Força%]]</f>
        <v>50</v>
      </c>
      <c r="L396" s="193">
        <f>Tabela1[[#This Row],[Score Resistência %]]</f>
        <v>50</v>
      </c>
      <c r="M396" s="192">
        <f>Tabela1[[#This Row],[Pré CK (U/L)]]</f>
        <v>125</v>
      </c>
      <c r="N396" s="85">
        <f>Tabela1[[#This Row],[Pós CK (U/L)]]</f>
        <v>1313</v>
      </c>
      <c r="O396" s="85" t="str">
        <f>Tabela1[[#This Row],[Pré CK MB U/L]]</f>
        <v>-</v>
      </c>
      <c r="P396" s="85" t="str">
        <f>Tabela1[[#This Row],[Pós CK MB U/L]]</f>
        <v>-</v>
      </c>
      <c r="Q396" s="85" t="str">
        <f>Tabela1[[#This Row],[Pré Lactato (mmol/L)]]</f>
        <v>-</v>
      </c>
      <c r="R396" s="85" t="str">
        <f>Tabela1[[#This Row],[Pós Lactato (mmol/L)]]</f>
        <v>-</v>
      </c>
      <c r="S396" s="85">
        <f>Tabela1[[#This Row],[Pré LDH (U/L)]]</f>
        <v>190</v>
      </c>
      <c r="T396" s="85">
        <f>Tabela1[[#This Row],[Pós LDH (U/L)]]</f>
        <v>138</v>
      </c>
      <c r="U396" s="85">
        <f>Tabela1[[#This Row],[Pré AST (U/L)]]</f>
        <v>26</v>
      </c>
      <c r="V396" s="193">
        <f>Tabela1[[#This Row],[Pós AST (U/L)]]</f>
        <v>74</v>
      </c>
      <c r="W396" s="194" t="str">
        <f>Tabela1[[#This Row],[Pré Albumina (g/dL)]]</f>
        <v>-</v>
      </c>
      <c r="X396" s="125" t="str">
        <f>Tabela1[[#This Row],[Pós Albumina (g/dL)]]</f>
        <v>-</v>
      </c>
      <c r="Y396" s="85" t="str">
        <f>Tabela1[[#This Row],[Pré TGP (g/dL)]]</f>
        <v>-</v>
      </c>
      <c r="Z396" s="85" t="str">
        <f>Tabela1[[#This Row],[Pós TGP (g/dL)]]</f>
        <v>-</v>
      </c>
      <c r="AA396" s="85" t="str">
        <f>Tabela1[[#This Row],[Pré GGT U/L]]</f>
        <v>-</v>
      </c>
      <c r="AB396" s="193" t="str">
        <f>Tabela1[[#This Row],[Pós GGT U/L]]</f>
        <v>-</v>
      </c>
      <c r="AC396" s="194" t="str">
        <f>Tabela1[[#This Row],[Pré Ac. Úrico (mg/dL)]]</f>
        <v>-</v>
      </c>
      <c r="AD396" s="125" t="str">
        <f>Tabela1[[#This Row],[Pós Ac. Úrico (mg/dL)2]]</f>
        <v>-</v>
      </c>
      <c r="AE39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9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396" s="85">
        <f>Tabela1[[#This Row],[Pré Ureia mg/dL]]</f>
        <v>40</v>
      </c>
      <c r="AH396" s="85">
        <f>Tabela1[[#This Row],[Pós Ureia mg/dL]]</f>
        <v>37</v>
      </c>
      <c r="AI396" s="125">
        <f>Tabela1[[#This Row],[Pré creatinina mg/dL]]</f>
        <v>0.9</v>
      </c>
      <c r="AJ396" s="125">
        <f>Tabela1[[#This Row],[Pós creatinina mg/dL]]</f>
        <v>1.2</v>
      </c>
      <c r="AK396" s="180">
        <f t="shared" si="24"/>
        <v>0.29999999999999993</v>
      </c>
      <c r="AL396" s="125" t="str">
        <f>Tabela1[[#This Row],[Pré Fósforo mg/dL]]</f>
        <v>-</v>
      </c>
      <c r="AM396" s="125" t="str">
        <f>Tabela1[[#This Row],[Pós Fósforo mg/dL]]</f>
        <v>-</v>
      </c>
      <c r="AN396" s="125" t="str">
        <f>Tabela1[[#This Row],[Pré Proteína Total (g/dL)]]</f>
        <v>-</v>
      </c>
      <c r="AO396" s="125" t="str">
        <f>Tabela1[[#This Row],[Pós Proteína Total (g/dL)]]</f>
        <v>-</v>
      </c>
      <c r="AP396" s="85" t="str">
        <f>Tabela1[[#This Row],[Pré FE (ug/dL)]]</f>
        <v>-</v>
      </c>
      <c r="AQ396" s="193" t="str">
        <f>Tabela1[[#This Row],[Pós FE (ug/dL)]]</f>
        <v>-</v>
      </c>
      <c r="AR396" s="194" t="str">
        <f>Tabela1[[#This Row],[Pré calcio mg/dL]]</f>
        <v>-</v>
      </c>
      <c r="AS396" s="125" t="str">
        <f>Tabela1[[#This Row],[Pós calcio mg/dL]]</f>
        <v>-</v>
      </c>
      <c r="AT396" s="125">
        <f>Tabela1[[#This Row],[Pré Potássio mmol/L]]</f>
        <v>4.0999999999999996</v>
      </c>
      <c r="AU396" s="125">
        <f>Tabela1[[#This Row],[Pós Potássio mmol/L]]</f>
        <v>4.0999999999999996</v>
      </c>
      <c r="AV396" s="85">
        <f>Tabela1[[#This Row],[Glicose pré]]</f>
        <v>82</v>
      </c>
      <c r="AW396" s="85">
        <f>Tabela1[[#This Row],[Glicose pós]]</f>
        <v>86</v>
      </c>
      <c r="AX396" s="85">
        <f>Tabela1[[#This Row],[Pré Sódio mmol/L]]</f>
        <v>142</v>
      </c>
      <c r="AY396" s="85">
        <f>Tabela1[[#This Row],[Pós Sódio mmol/L]]</f>
        <v>139</v>
      </c>
      <c r="AZ396" s="125" t="str">
        <f>Tabela1[[#This Row],[Pré Magnésio mg/dL]]</f>
        <v>-</v>
      </c>
      <c r="BA396" s="125" t="str">
        <f>Tabela1[[#This Row],[Pós Magnésio mg/dL]]</f>
        <v>-</v>
      </c>
      <c r="BB396" s="85">
        <f>Tabela1[[#This Row],[Pré Cloro mmol/L]]</f>
        <v>104</v>
      </c>
      <c r="BC396" s="85">
        <f>Tabela1[[#This Row],[Pós Cloro mmol/L]]</f>
        <v>102</v>
      </c>
      <c r="BD39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297.65155555555555</v>
      </c>
      <c r="BE39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291.82711111111115</v>
      </c>
      <c r="BF396" s="194">
        <f>Tabela1[[#This Row],[Pré RBC 10^6/mm³]]</f>
        <v>5.67</v>
      </c>
      <c r="BG396" s="125">
        <f>Tabela1[[#This Row],[Pós RBC 10^6/mm³]]</f>
        <v>6.05</v>
      </c>
      <c r="BH396" s="125">
        <f>Tabela1[[#This Row],[Pré HGB g/dL]]</f>
        <v>12.7</v>
      </c>
      <c r="BI396" s="125">
        <f>Tabela1[[#This Row],[Pós HGB g/dL]]</f>
        <v>13.4</v>
      </c>
      <c r="BJ396" s="125">
        <f>Tabela1[[#This Row],[Pré HCT %]]</f>
        <v>40.700000000000003</v>
      </c>
      <c r="BK396" s="125">
        <f>Tabela1[[#This Row],[Pós HCT %]]</f>
        <v>42.5</v>
      </c>
      <c r="BL396" s="125">
        <f>Tabela1[[#This Row],[Pré MCV fL]]</f>
        <v>71.8</v>
      </c>
      <c r="BM396" s="125">
        <f>Tabela1[[#This Row],[Pós MCV fL]]</f>
        <v>70.2</v>
      </c>
      <c r="BN396" s="125">
        <f>Tabela1[[#This Row],[Pré MCH pg]]</f>
        <v>22.4</v>
      </c>
      <c r="BO396" s="125">
        <f>Tabela1[[#This Row],[Pós MCH pg]]</f>
        <v>22.1</v>
      </c>
      <c r="BP396" s="125">
        <f>Tabela1[[#This Row],[Pré MCHC g/dL]]</f>
        <v>31.2</v>
      </c>
      <c r="BQ396" s="125">
        <f>Tabela1[[#This Row],[Pós MCHC g/dL]]</f>
        <v>31.5</v>
      </c>
      <c r="BR396" s="85">
        <f>Tabela1[[#This Row],[Pré PLT 10³/mm³]]</f>
        <v>271</v>
      </c>
      <c r="BS396" s="85">
        <f>Tabela1[[#This Row],[Pós PLT 10³/mm³]]</f>
        <v>297</v>
      </c>
      <c r="BT396" s="125">
        <f>Tabela1[[#This Row],[Pré RDW %]]</f>
        <v>13.5</v>
      </c>
      <c r="BU396" s="125">
        <f>Tabela1[[#This Row],[Pós RDW %]]</f>
        <v>13.7</v>
      </c>
      <c r="BV396" s="179" t="str">
        <f>Tabela1[[#This Row],[Pré RET %]]</f>
        <v>-</v>
      </c>
      <c r="BW396" s="196" t="str">
        <f>Tabela1[[#This Row],[Pós RET %]]</f>
        <v>-</v>
      </c>
      <c r="BX396" s="197">
        <f>Tabela1[[#This Row],[Pré WBC 10³/mm³]]</f>
        <v>11.6</v>
      </c>
      <c r="BY396" s="179">
        <f>Tabela1[[#This Row],[Pós WBC 10³/mm³]]</f>
        <v>18.66</v>
      </c>
      <c r="BZ396" s="125">
        <f>Tabela1[[#This Row],[Pré NEUT %]]</f>
        <v>61.4</v>
      </c>
      <c r="CA396" s="125">
        <f>Tabela1[[#This Row],[Pós NEUT %]]</f>
        <v>68.900000000000006</v>
      </c>
      <c r="CB396" s="125">
        <f>Tabela1[[#This Row],[Pré LINF %]]</f>
        <v>25.9</v>
      </c>
      <c r="CC396" s="125">
        <f>Tabela1[[#This Row],[Pós LINF %]]</f>
        <v>21.2</v>
      </c>
      <c r="CD396" s="125">
        <f>Tabela1[[#This Row],[Pré MONO %]]</f>
        <v>8.9</v>
      </c>
      <c r="CE396" s="125">
        <f>Tabela1[[#This Row],[Pós MONO %]]</f>
        <v>8.4</v>
      </c>
      <c r="CF396" s="125">
        <f>Tabela1[[#This Row],[Pré EOS %]]</f>
        <v>3.2</v>
      </c>
      <c r="CG396" s="125">
        <f>Tabela1[[#This Row],[Pós EOS %]]</f>
        <v>0.9</v>
      </c>
      <c r="CH396" s="125">
        <f>Tabela1[[#This Row],[Pré BASO %]]</f>
        <v>0.6</v>
      </c>
      <c r="CI396" s="198">
        <f>Tabela1[[#This Row],[Pós BASO %]]</f>
        <v>0.6</v>
      </c>
      <c r="CJ396" s="199" t="str">
        <f t="shared" si="25"/>
        <v>SIM</v>
      </c>
      <c r="CK396" s="200" t="str">
        <f t="shared" si="26"/>
        <v>SIM</v>
      </c>
      <c r="CL396" s="194">
        <f t="shared" si="27"/>
        <v>65.063019999999995</v>
      </c>
      <c r="CM396" s="125">
        <f>Tabela1[[#This Row],[MCT KG]]</f>
        <v>81.400000000000006</v>
      </c>
      <c r="CN396" s="85">
        <f>Tabela1[[#This Row],[ESTATURA]]</f>
        <v>178.5</v>
      </c>
      <c r="CO396" s="85" t="str">
        <f>Tabela1[[#This Row],[vo2max estimado]]</f>
        <v>47,31</v>
      </c>
      <c r="CP396" s="85">
        <f>Tabela1[[#This Row],[Handgrip     Dominante]]</f>
        <v>52</v>
      </c>
      <c r="CQ396" s="85">
        <f>Tabela1[[#This Row],[Handgrip Contrário]]</f>
        <v>52</v>
      </c>
      <c r="CR396" s="281" t="str">
        <f>Tabela1[[#This Row],[% gordura]]</f>
        <v>20,07</v>
      </c>
    </row>
    <row r="397" spans="1:96" ht="15.75" customHeight="1">
      <c r="A397" s="279">
        <f>Tabela1[[#This Row],[Ano]]</f>
        <v>2023</v>
      </c>
      <c r="B397" s="181" t="str">
        <f>Tabela1[[#This Row],[Missão]]</f>
        <v>Avelar</v>
      </c>
      <c r="C397" s="181">
        <f>Tabela1[[#This Row],[Aluno]]</f>
        <v>3277</v>
      </c>
      <c r="D397" s="181">
        <f>Tabela1[[#This Row],[Idade]]</f>
        <v>32</v>
      </c>
      <c r="E397" s="182">
        <f>Tabela1[[#This Row],[Peso Kg]]</f>
        <v>74.7</v>
      </c>
      <c r="F397" s="191">
        <f>Tabela1[[#This Row],[Cor da pele]]</f>
        <v>2</v>
      </c>
      <c r="G397" s="192" t="str">
        <f>Tabela1[[#This Row],[ACTN3]]</f>
        <v>RR</v>
      </c>
      <c r="H397" s="85" t="str">
        <f>Tabela1[[#This Row],[AGT]]</f>
        <v>MT</v>
      </c>
      <c r="I397" s="85" t="str">
        <f>Tabela1[[#This Row],[ECA]]</f>
        <v>II</v>
      </c>
      <c r="J397" s="85" t="str">
        <f>Tabela1[[#This Row],[BDKRB2]]</f>
        <v xml:space="preserve"> +9,+9</v>
      </c>
      <c r="K397" s="85">
        <f>Tabela1[[#This Row],[Score Força%]]</f>
        <v>62.5</v>
      </c>
      <c r="L397" s="193">
        <f>Tabela1[[#This Row],[Score Resistência %]]</f>
        <v>37.5</v>
      </c>
      <c r="M397" s="192">
        <f>Tabela1[[#This Row],[Pré CK (U/L)]]</f>
        <v>108</v>
      </c>
      <c r="N397" s="85">
        <f>Tabela1[[#This Row],[Pós CK (U/L)]]</f>
        <v>1114</v>
      </c>
      <c r="O397" s="85" t="str">
        <f>Tabela1[[#This Row],[Pré CK MB U/L]]</f>
        <v>-</v>
      </c>
      <c r="P397" s="85" t="str">
        <f>Tabela1[[#This Row],[Pós CK MB U/L]]</f>
        <v>-</v>
      </c>
      <c r="Q397" s="85" t="str">
        <f>Tabela1[[#This Row],[Pré Lactato (mmol/L)]]</f>
        <v>-</v>
      </c>
      <c r="R397" s="85" t="str">
        <f>Tabela1[[#This Row],[Pós Lactato (mmol/L)]]</f>
        <v>-</v>
      </c>
      <c r="S397" s="85">
        <f>Tabela1[[#This Row],[Pré LDH (U/L)]]</f>
        <v>162</v>
      </c>
      <c r="T397" s="85">
        <f>Tabela1[[#This Row],[Pós LDH (U/L)]]</f>
        <v>93</v>
      </c>
      <c r="U397" s="85">
        <f>Tabela1[[#This Row],[Pré AST (U/L)]]</f>
        <v>26</v>
      </c>
      <c r="V397" s="193">
        <f>Tabela1[[#This Row],[Pós AST (U/L)]]</f>
        <v>50</v>
      </c>
      <c r="W397" s="194" t="str">
        <f>Tabela1[[#This Row],[Pré Albumina (g/dL)]]</f>
        <v>-</v>
      </c>
      <c r="X397" s="125" t="str">
        <f>Tabela1[[#This Row],[Pós Albumina (g/dL)]]</f>
        <v>-</v>
      </c>
      <c r="Y397" s="85" t="str">
        <f>Tabela1[[#This Row],[Pré TGP (g/dL)]]</f>
        <v>-</v>
      </c>
      <c r="Z397" s="85" t="str">
        <f>Tabela1[[#This Row],[Pós TGP (g/dL)]]</f>
        <v>-</v>
      </c>
      <c r="AA397" s="85" t="str">
        <f>Tabela1[[#This Row],[Pré GGT U/L]]</f>
        <v>-</v>
      </c>
      <c r="AB397" s="193" t="str">
        <f>Tabela1[[#This Row],[Pós GGT U/L]]</f>
        <v>-</v>
      </c>
      <c r="AC397" s="194" t="str">
        <f>Tabela1[[#This Row],[Pré Ac. Úrico (mg/dL)]]</f>
        <v>-</v>
      </c>
      <c r="AD397" s="125" t="str">
        <f>Tabela1[[#This Row],[Pós Ac. Úrico (mg/dL)2]]</f>
        <v>-</v>
      </c>
      <c r="AE39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9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397" s="85">
        <f>Tabela1[[#This Row],[Pré Ureia mg/dL]]</f>
        <v>44</v>
      </c>
      <c r="AH397" s="85">
        <f>Tabela1[[#This Row],[Pós Ureia mg/dL]]</f>
        <v>44</v>
      </c>
      <c r="AI397" s="125">
        <f>Tabela1[[#This Row],[Pré creatinina mg/dL]]</f>
        <v>0.9</v>
      </c>
      <c r="AJ397" s="125">
        <f>Tabela1[[#This Row],[Pós creatinina mg/dL]]</f>
        <v>1.1000000000000001</v>
      </c>
      <c r="AK397" s="180">
        <f t="shared" si="24"/>
        <v>0.20000000000000007</v>
      </c>
      <c r="AL397" s="125" t="str">
        <f>Tabela1[[#This Row],[Pré Fósforo mg/dL]]</f>
        <v>-</v>
      </c>
      <c r="AM397" s="125" t="str">
        <f>Tabela1[[#This Row],[Pós Fósforo mg/dL]]</f>
        <v>-</v>
      </c>
      <c r="AN397" s="125" t="str">
        <f>Tabela1[[#This Row],[Pré Proteína Total (g/dL)]]</f>
        <v>-</v>
      </c>
      <c r="AO397" s="125" t="str">
        <f>Tabela1[[#This Row],[Pós Proteína Total (g/dL)]]</f>
        <v>-</v>
      </c>
      <c r="AP397" s="85" t="str">
        <f>Tabela1[[#This Row],[Pré FE (ug/dL)]]</f>
        <v>-</v>
      </c>
      <c r="AQ397" s="193" t="str">
        <f>Tabela1[[#This Row],[Pós FE (ug/dL)]]</f>
        <v>-</v>
      </c>
      <c r="AR397" s="194" t="str">
        <f>Tabela1[[#This Row],[Pré calcio mg/dL]]</f>
        <v>-</v>
      </c>
      <c r="AS397" s="125" t="str">
        <f>Tabela1[[#This Row],[Pós calcio mg/dL]]</f>
        <v>-</v>
      </c>
      <c r="AT397" s="125">
        <f>Tabela1[[#This Row],[Pré Potássio mmol/L]]</f>
        <v>4.2</v>
      </c>
      <c r="AU397" s="125">
        <f>Tabela1[[#This Row],[Pós Potássio mmol/L]]</f>
        <v>4.0999999999999996</v>
      </c>
      <c r="AV397" s="85">
        <f>Tabela1[[#This Row],[Glicose pré]]</f>
        <v>74</v>
      </c>
      <c r="AW397" s="85">
        <f>Tabela1[[#This Row],[Glicose pós]]</f>
        <v>82</v>
      </c>
      <c r="AX397" s="85">
        <f>Tabela1[[#This Row],[Pré Sódio mmol/L]]</f>
        <v>141</v>
      </c>
      <c r="AY397" s="85">
        <f>Tabela1[[#This Row],[Pós Sódio mmol/L]]</f>
        <v>138</v>
      </c>
      <c r="AZ397" s="125" t="str">
        <f>Tabela1[[#This Row],[Pré Magnésio mg/dL]]</f>
        <v>-</v>
      </c>
      <c r="BA397" s="125" t="str">
        <f>Tabela1[[#This Row],[Pós Magnésio mg/dL]]</f>
        <v>-</v>
      </c>
      <c r="BB397" s="85">
        <f>Tabela1[[#This Row],[Pré Cloro mmol/L]]</f>
        <v>103</v>
      </c>
      <c r="BC397" s="85">
        <f>Tabela1[[#This Row],[Pós Cloro mmol/L]]</f>
        <v>103</v>
      </c>
      <c r="BD39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296.13311111111108</v>
      </c>
      <c r="BE39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290.87822222222218</v>
      </c>
      <c r="BF397" s="194">
        <f>Tabela1[[#This Row],[Pré RBC 10^6/mm³]]</f>
        <v>5.34</v>
      </c>
      <c r="BG397" s="125">
        <f>Tabela1[[#This Row],[Pós RBC 10^6/mm³]]</f>
        <v>5.17</v>
      </c>
      <c r="BH397" s="125">
        <f>Tabela1[[#This Row],[Pré HGB g/dL]]</f>
        <v>14.6</v>
      </c>
      <c r="BI397" s="125">
        <f>Tabela1[[#This Row],[Pós HGB g/dL]]</f>
        <v>14.2</v>
      </c>
      <c r="BJ397" s="125">
        <f>Tabela1[[#This Row],[Pré HCT %]]</f>
        <v>44.3</v>
      </c>
      <c r="BK397" s="125">
        <f>Tabela1[[#This Row],[Pós HCT %]]</f>
        <v>42.8</v>
      </c>
      <c r="BL397" s="125">
        <f>Tabela1[[#This Row],[Pré MCV fL]]</f>
        <v>83</v>
      </c>
      <c r="BM397" s="125">
        <f>Tabela1[[#This Row],[Pós MCV fL]]</f>
        <v>82.8</v>
      </c>
      <c r="BN397" s="125">
        <f>Tabela1[[#This Row],[Pré MCH pg]]</f>
        <v>27.3</v>
      </c>
      <c r="BO397" s="125">
        <f>Tabela1[[#This Row],[Pós MCH pg]]</f>
        <v>27.5</v>
      </c>
      <c r="BP397" s="125">
        <f>Tabela1[[#This Row],[Pré MCHC g/dL]]</f>
        <v>33</v>
      </c>
      <c r="BQ397" s="125">
        <f>Tabela1[[#This Row],[Pós MCHC g/dL]]</f>
        <v>33.200000000000003</v>
      </c>
      <c r="BR397" s="85">
        <f>Tabela1[[#This Row],[Pré PLT 10³/mm³]]</f>
        <v>234</v>
      </c>
      <c r="BS397" s="85">
        <f>Tabela1[[#This Row],[Pós PLT 10³/mm³]]</f>
        <v>214</v>
      </c>
      <c r="BT397" s="125">
        <f>Tabela1[[#This Row],[Pré RDW %]]</f>
        <v>13.9</v>
      </c>
      <c r="BU397" s="125">
        <f>Tabela1[[#This Row],[Pós RDW %]]</f>
        <v>14.3</v>
      </c>
      <c r="BV397" s="179" t="str">
        <f>Tabela1[[#This Row],[Pré RET %]]</f>
        <v>-</v>
      </c>
      <c r="BW397" s="196" t="str">
        <f>Tabela1[[#This Row],[Pós RET %]]</f>
        <v>-</v>
      </c>
      <c r="BX397" s="197">
        <f>Tabela1[[#This Row],[Pré WBC 10³/mm³]]</f>
        <v>5.55</v>
      </c>
      <c r="BY397" s="179">
        <f>Tabela1[[#This Row],[Pós WBC 10³/mm³]]</f>
        <v>11.18</v>
      </c>
      <c r="BZ397" s="125">
        <f>Tabela1[[#This Row],[Pré NEUT %]]</f>
        <v>54.3</v>
      </c>
      <c r="CA397" s="125">
        <f>Tabela1[[#This Row],[Pós NEUT %]]</f>
        <v>63.6</v>
      </c>
      <c r="CB397" s="125">
        <f>Tabela1[[#This Row],[Pré LINF %]]</f>
        <v>29.7</v>
      </c>
      <c r="CC397" s="125">
        <f>Tabela1[[#This Row],[Pós LINF %]]</f>
        <v>25.8</v>
      </c>
      <c r="CD397" s="125">
        <f>Tabela1[[#This Row],[Pré MONO %]]</f>
        <v>14.2</v>
      </c>
      <c r="CE397" s="125">
        <f>Tabela1[[#This Row],[Pós MONO %]]</f>
        <v>10.1</v>
      </c>
      <c r="CF397" s="125">
        <f>Tabela1[[#This Row],[Pré EOS %]]</f>
        <v>1.3</v>
      </c>
      <c r="CG397" s="125">
        <f>Tabela1[[#This Row],[Pós EOS %]]</f>
        <v>0.2</v>
      </c>
      <c r="CH397" s="125">
        <f>Tabela1[[#This Row],[Pré BASO %]]</f>
        <v>0.5</v>
      </c>
      <c r="CI397" s="198">
        <f>Tabela1[[#This Row],[Pós BASO %]]</f>
        <v>0.3</v>
      </c>
      <c r="CJ397" s="199" t="str">
        <f t="shared" si="25"/>
        <v>NÃO</v>
      </c>
      <c r="CK397" s="200" t="str">
        <f t="shared" si="26"/>
        <v>SIM</v>
      </c>
      <c r="CL397" s="194">
        <f t="shared" si="27"/>
        <v>67.988160000000008</v>
      </c>
      <c r="CM397" s="125">
        <f>Tabela1[[#This Row],[MCT KG]]</f>
        <v>77.400000000000006</v>
      </c>
      <c r="CN397" s="85">
        <f>Tabela1[[#This Row],[ESTATURA]]</f>
        <v>172</v>
      </c>
      <c r="CO397" s="85" t="str">
        <f>Tabela1[[#This Row],[vo2max estimado]]</f>
        <v>50,97</v>
      </c>
      <c r="CP397" s="85">
        <f>Tabela1[[#This Row],[Handgrip     Dominante]]</f>
        <v>52</v>
      </c>
      <c r="CQ397" s="85">
        <f>Tabela1[[#This Row],[Handgrip Contrário]]</f>
        <v>56</v>
      </c>
      <c r="CR397" s="281" t="str">
        <f>Tabela1[[#This Row],[% gordura]]</f>
        <v>12,16</v>
      </c>
    </row>
    <row r="398" spans="1:96" ht="15.75" customHeight="1">
      <c r="A398" s="279">
        <f>Tabela1[[#This Row],[Ano]]</f>
        <v>2023</v>
      </c>
      <c r="B398" s="181" t="str">
        <f>Tabela1[[#This Row],[Missão]]</f>
        <v>Avelar</v>
      </c>
      <c r="C398" s="181">
        <f>Tabela1[[#This Row],[Aluno]]</f>
        <v>3282</v>
      </c>
      <c r="D398" s="181">
        <f>Tabela1[[#This Row],[Idade]]</f>
        <v>34</v>
      </c>
      <c r="E398" s="182">
        <f>Tabela1[[#This Row],[Peso Kg]]</f>
        <v>76.5</v>
      </c>
      <c r="F398" s="191">
        <f>Tabela1[[#This Row],[Cor da pele]]</f>
        <v>2</v>
      </c>
      <c r="G398" s="192" t="str">
        <f>Tabela1[[#This Row],[ACTN3]]</f>
        <v>RX</v>
      </c>
      <c r="H398" s="85" t="str">
        <f>Tabela1[[#This Row],[AGT]]</f>
        <v>TT</v>
      </c>
      <c r="I398" s="85" t="str">
        <f>Tabela1[[#This Row],[ECA]]</f>
        <v>ID</v>
      </c>
      <c r="J398" s="85" t="str">
        <f>Tabela1[[#This Row],[BDKRB2]]</f>
        <v xml:space="preserve"> +9,+9</v>
      </c>
      <c r="K398" s="85">
        <f>Tabela1[[#This Row],[Score Força%]]</f>
        <v>75</v>
      </c>
      <c r="L398" s="193">
        <f>Tabela1[[#This Row],[Score Resistência %]]</f>
        <v>25</v>
      </c>
      <c r="M398" s="192">
        <f>Tabela1[[#This Row],[Pré CK (U/L)]]</f>
        <v>90</v>
      </c>
      <c r="N398" s="85">
        <f>Tabela1[[#This Row],[Pós CK (U/L)]]</f>
        <v>1386</v>
      </c>
      <c r="O398" s="85" t="str">
        <f>Tabela1[[#This Row],[Pré CK MB U/L]]</f>
        <v>-</v>
      </c>
      <c r="P398" s="85" t="str">
        <f>Tabela1[[#This Row],[Pós CK MB U/L]]</f>
        <v>-</v>
      </c>
      <c r="Q398" s="85" t="str">
        <f>Tabela1[[#This Row],[Pré Lactato (mmol/L)]]</f>
        <v>-</v>
      </c>
      <c r="R398" s="85" t="str">
        <f>Tabela1[[#This Row],[Pós Lactato (mmol/L)]]</f>
        <v>-</v>
      </c>
      <c r="S398" s="85">
        <f>Tabela1[[#This Row],[Pré LDH (U/L)]]</f>
        <v>181</v>
      </c>
      <c r="T398" s="85">
        <f>Tabela1[[#This Row],[Pós LDH (U/L)]]</f>
        <v>133</v>
      </c>
      <c r="U398" s="85">
        <f>Tabela1[[#This Row],[Pré AST (U/L)]]</f>
        <v>21</v>
      </c>
      <c r="V398" s="193">
        <f>Tabela1[[#This Row],[Pós AST (U/L)]]</f>
        <v>58</v>
      </c>
      <c r="W398" s="194" t="str">
        <f>Tabela1[[#This Row],[Pré Albumina (g/dL)]]</f>
        <v>-</v>
      </c>
      <c r="X398" s="125" t="str">
        <f>Tabela1[[#This Row],[Pós Albumina (g/dL)]]</f>
        <v>-</v>
      </c>
      <c r="Y398" s="85" t="str">
        <f>Tabela1[[#This Row],[Pré TGP (g/dL)]]</f>
        <v>-</v>
      </c>
      <c r="Z398" s="85" t="str">
        <f>Tabela1[[#This Row],[Pós TGP (g/dL)]]</f>
        <v>-</v>
      </c>
      <c r="AA398" s="85" t="str">
        <f>Tabela1[[#This Row],[Pré GGT U/L]]</f>
        <v>-</v>
      </c>
      <c r="AB398" s="193" t="str">
        <f>Tabela1[[#This Row],[Pós GGT U/L]]</f>
        <v>-</v>
      </c>
      <c r="AC398" s="194" t="str">
        <f>Tabela1[[#This Row],[Pré Ac. Úrico (mg/dL)]]</f>
        <v>-</v>
      </c>
      <c r="AD398" s="125" t="str">
        <f>Tabela1[[#This Row],[Pós Ac. Úrico (mg/dL)2]]</f>
        <v>-</v>
      </c>
      <c r="AE39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39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398" s="85">
        <f>Tabela1[[#This Row],[Pré Ureia mg/dL]]</f>
        <v>27</v>
      </c>
      <c r="AH398" s="85">
        <f>Tabela1[[#This Row],[Pós Ureia mg/dL]]</f>
        <v>36</v>
      </c>
      <c r="AI398" s="125">
        <f>Tabela1[[#This Row],[Pré creatinina mg/dL]]</f>
        <v>0.8</v>
      </c>
      <c r="AJ398" s="125">
        <f>Tabela1[[#This Row],[Pós creatinina mg/dL]]</f>
        <v>1.3</v>
      </c>
      <c r="AK398" s="180">
        <f t="shared" si="24"/>
        <v>0.5</v>
      </c>
      <c r="AL398" s="125" t="str">
        <f>Tabela1[[#This Row],[Pré Fósforo mg/dL]]</f>
        <v>-</v>
      </c>
      <c r="AM398" s="125" t="str">
        <f>Tabela1[[#This Row],[Pós Fósforo mg/dL]]</f>
        <v>-</v>
      </c>
      <c r="AN398" s="125" t="str">
        <f>Tabela1[[#This Row],[Pré Proteína Total (g/dL)]]</f>
        <v>-</v>
      </c>
      <c r="AO398" s="125" t="str">
        <f>Tabela1[[#This Row],[Pós Proteína Total (g/dL)]]</f>
        <v>-</v>
      </c>
      <c r="AP398" s="85" t="str">
        <f>Tabela1[[#This Row],[Pré FE (ug/dL)]]</f>
        <v>-</v>
      </c>
      <c r="AQ398" s="193" t="str">
        <f>Tabela1[[#This Row],[Pós FE (ug/dL)]]</f>
        <v>-</v>
      </c>
      <c r="AR398" s="194" t="str">
        <f>Tabela1[[#This Row],[Pré calcio mg/dL]]</f>
        <v>-</v>
      </c>
      <c r="AS398" s="125" t="str">
        <f>Tabela1[[#This Row],[Pós calcio mg/dL]]</f>
        <v>-</v>
      </c>
      <c r="AT398" s="125">
        <f>Tabela1[[#This Row],[Pré Potássio mmol/L]]</f>
        <v>4.3</v>
      </c>
      <c r="AU398" s="125">
        <f>Tabela1[[#This Row],[Pós Potássio mmol/L]]</f>
        <v>3.9</v>
      </c>
      <c r="AV398" s="85">
        <f>Tabela1[[#This Row],[Glicose pré]]</f>
        <v>84</v>
      </c>
      <c r="AW398" s="85">
        <f>Tabela1[[#This Row],[Glicose pós]]</f>
        <v>108</v>
      </c>
      <c r="AX398" s="85">
        <f>Tabela1[[#This Row],[Pré Sódio mmol/L]]</f>
        <v>137</v>
      </c>
      <c r="AY398" s="85">
        <f>Tabela1[[#This Row],[Pós Sódio mmol/L]]</f>
        <v>142</v>
      </c>
      <c r="AZ398" s="125" t="str">
        <f>Tabela1[[#This Row],[Pré Magnésio mg/dL]]</f>
        <v>-</v>
      </c>
      <c r="BA398" s="125" t="str">
        <f>Tabela1[[#This Row],[Pós Magnésio mg/dL]]</f>
        <v>-</v>
      </c>
      <c r="BB398" s="85">
        <f>Tabela1[[#This Row],[Pré Cloro mmol/L]]</f>
        <v>100</v>
      </c>
      <c r="BC398" s="85">
        <f>Tabela1[[#This Row],[Pós Cloro mmol/L]]</f>
        <v>104</v>
      </c>
      <c r="BD39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286.68466666666671</v>
      </c>
      <c r="BE39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298.274</v>
      </c>
      <c r="BF398" s="194">
        <f>Tabela1[[#This Row],[Pré RBC 10^6/mm³]]</f>
        <v>5.63</v>
      </c>
      <c r="BG398" s="125">
        <f>Tabela1[[#This Row],[Pós RBC 10^6/mm³]]</f>
        <v>5.59</v>
      </c>
      <c r="BH398" s="125">
        <f>Tabela1[[#This Row],[Pré HGB g/dL]]</f>
        <v>15</v>
      </c>
      <c r="BI398" s="125">
        <f>Tabela1[[#This Row],[Pós HGB g/dL]]</f>
        <v>14.9</v>
      </c>
      <c r="BJ398" s="125">
        <f>Tabela1[[#This Row],[Pré HCT %]]</f>
        <v>46.4</v>
      </c>
      <c r="BK398" s="125">
        <f>Tabela1[[#This Row],[Pós HCT %]]</f>
        <v>45.3</v>
      </c>
      <c r="BL398" s="125">
        <f>Tabela1[[#This Row],[Pré MCV fL]]</f>
        <v>82.4</v>
      </c>
      <c r="BM398" s="125">
        <f>Tabela1[[#This Row],[Pós MCV fL]]</f>
        <v>81</v>
      </c>
      <c r="BN398" s="125">
        <f>Tabela1[[#This Row],[Pré MCH pg]]</f>
        <v>26.6</v>
      </c>
      <c r="BO398" s="125">
        <f>Tabela1[[#This Row],[Pós MCH pg]]</f>
        <v>26.7</v>
      </c>
      <c r="BP398" s="125">
        <f>Tabela1[[#This Row],[Pré MCHC g/dL]]</f>
        <v>32.299999999999997</v>
      </c>
      <c r="BQ398" s="125">
        <f>Tabela1[[#This Row],[Pós MCHC g/dL]]</f>
        <v>32.9</v>
      </c>
      <c r="BR398" s="85">
        <f>Tabela1[[#This Row],[Pré PLT 10³/mm³]]</f>
        <v>246</v>
      </c>
      <c r="BS398" s="85">
        <f>Tabela1[[#This Row],[Pós PLT 10³/mm³]]</f>
        <v>245</v>
      </c>
      <c r="BT398" s="125">
        <f>Tabela1[[#This Row],[Pré RDW %]]</f>
        <v>14.4</v>
      </c>
      <c r="BU398" s="125">
        <f>Tabela1[[#This Row],[Pós RDW %]]</f>
        <v>14.8</v>
      </c>
      <c r="BV398" s="179" t="str">
        <f>Tabela1[[#This Row],[Pré RET %]]</f>
        <v>-</v>
      </c>
      <c r="BW398" s="196" t="str">
        <f>Tabela1[[#This Row],[Pós RET %]]</f>
        <v>-</v>
      </c>
      <c r="BX398" s="197">
        <f>Tabela1[[#This Row],[Pré WBC 10³/mm³]]</f>
        <v>10.119999999999999</v>
      </c>
      <c r="BY398" s="179">
        <f>Tabela1[[#This Row],[Pós WBC 10³/mm³]]</f>
        <v>16.920000000000002</v>
      </c>
      <c r="BZ398" s="125">
        <f>Tabela1[[#This Row],[Pré NEUT %]]</f>
        <v>61.1</v>
      </c>
      <c r="CA398" s="125">
        <f>Tabela1[[#This Row],[Pós NEUT %]]</f>
        <v>70.2</v>
      </c>
      <c r="CB398" s="125">
        <f>Tabela1[[#This Row],[Pré LINF %]]</f>
        <v>25.2</v>
      </c>
      <c r="CC398" s="125">
        <f>Tabela1[[#This Row],[Pós LINF %]]</f>
        <v>18.899999999999999</v>
      </c>
      <c r="CD398" s="125">
        <f>Tabela1[[#This Row],[Pré MONO %]]</f>
        <v>12.6</v>
      </c>
      <c r="CE398" s="125">
        <f>Tabela1[[#This Row],[Pós MONO %]]</f>
        <v>10</v>
      </c>
      <c r="CF398" s="125">
        <f>Tabela1[[#This Row],[Pré EOS %]]</f>
        <v>0.6</v>
      </c>
      <c r="CG398" s="125">
        <f>Tabela1[[#This Row],[Pós EOS %]]</f>
        <v>0.8</v>
      </c>
      <c r="CH398" s="125">
        <f>Tabela1[[#This Row],[Pré BASO %]]</f>
        <v>0.5</v>
      </c>
      <c r="CI398" s="198">
        <f>Tabela1[[#This Row],[Pós BASO %]]</f>
        <v>0.1</v>
      </c>
      <c r="CJ398" s="199" t="str">
        <f t="shared" si="25"/>
        <v>SIM</v>
      </c>
      <c r="CK398" s="200" t="str">
        <f t="shared" si="26"/>
        <v>SIM</v>
      </c>
      <c r="CL398" s="194">
        <f t="shared" si="27"/>
        <v>64.173225000000002</v>
      </c>
      <c r="CM398" s="125">
        <f>Tabela1[[#This Row],[MCT KG]]</f>
        <v>84.25</v>
      </c>
      <c r="CN398" s="85">
        <f>Tabela1[[#This Row],[ESTATURA]]</f>
        <v>177</v>
      </c>
      <c r="CO398" s="85" t="str">
        <f>Tabela1[[#This Row],[vo2max estimado]]</f>
        <v>48,78</v>
      </c>
      <c r="CP398" s="85" t="str">
        <f>Tabela1[[#This Row],[Handgrip     Dominante]]</f>
        <v>-</v>
      </c>
      <c r="CQ398" s="85" t="str">
        <f>Tabela1[[#This Row],[Handgrip Contrário]]</f>
        <v>-</v>
      </c>
      <c r="CR398" s="281" t="str">
        <f>Tabela1[[#This Row],[% gordura]]</f>
        <v>23,83</v>
      </c>
    </row>
    <row r="399" spans="1:96" ht="15.75" customHeight="1">
      <c r="A399" s="279">
        <f>Tabela1[[#This Row],[Ano]]</f>
        <v>2023</v>
      </c>
      <c r="B399" s="181" t="str">
        <f>Tabela1[[#This Row],[Missão]]</f>
        <v>Avelar</v>
      </c>
      <c r="C399" s="181">
        <f>Tabela1[[#This Row],[Aluno]]</f>
        <v>3283</v>
      </c>
      <c r="D399" s="181">
        <f>Tabela1[[#This Row],[Idade]]</f>
        <v>33</v>
      </c>
      <c r="E399" s="182">
        <f>Tabela1[[#This Row],[Peso Kg]]</f>
        <v>68.099999999999994</v>
      </c>
      <c r="F399" s="191">
        <f>Tabela1[[#This Row],[Cor da pele]]</f>
        <v>2</v>
      </c>
      <c r="G399" s="192" t="str">
        <f>Tabela1[[#This Row],[ACTN3]]</f>
        <v>RR</v>
      </c>
      <c r="H399" s="85" t="str">
        <f>Tabela1[[#This Row],[AGT]]</f>
        <v>TT</v>
      </c>
      <c r="I399" s="85" t="str">
        <f>Tabela1[[#This Row],[ECA]]</f>
        <v>ID</v>
      </c>
      <c r="J399" s="85">
        <f>Tabela1[[#This Row],[BDKRB2]]</f>
        <v>0</v>
      </c>
      <c r="K399" s="85">
        <f>Tabela1[[#This Row],[Score Força%]]</f>
        <v>75</v>
      </c>
      <c r="L399" s="193">
        <f>Tabela1[[#This Row],[Score Resistência %]]</f>
        <v>25</v>
      </c>
      <c r="M399" s="192">
        <f>Tabela1[[#This Row],[Pré CK (U/L)]]</f>
        <v>212</v>
      </c>
      <c r="N399" s="85">
        <f>Tabela1[[#This Row],[Pós CK (U/L)]]</f>
        <v>2903</v>
      </c>
      <c r="O399" s="85" t="str">
        <f>Tabela1[[#This Row],[Pré CK MB U/L]]</f>
        <v>-</v>
      </c>
      <c r="P399" s="85" t="str">
        <f>Tabela1[[#This Row],[Pós CK MB U/L]]</f>
        <v>-</v>
      </c>
      <c r="Q399" s="85" t="str">
        <f>Tabela1[[#This Row],[Pré Lactato (mmol/L)]]</f>
        <v>-</v>
      </c>
      <c r="R399" s="85" t="str">
        <f>Tabela1[[#This Row],[Pós Lactato (mmol/L)]]</f>
        <v>-</v>
      </c>
      <c r="S399" s="85">
        <f>Tabela1[[#This Row],[Pré LDH (U/L)]]</f>
        <v>164</v>
      </c>
      <c r="T399" s="85">
        <f>Tabela1[[#This Row],[Pós LDH (U/L)]]</f>
        <v>146</v>
      </c>
      <c r="U399" s="85">
        <f>Tabela1[[#This Row],[Pré AST (U/L)]]</f>
        <v>27</v>
      </c>
      <c r="V399" s="193">
        <f>Tabela1[[#This Row],[Pós AST (U/L)]]</f>
        <v>86</v>
      </c>
      <c r="W399" s="194" t="str">
        <f>Tabela1[[#This Row],[Pré Albumina (g/dL)]]</f>
        <v>-</v>
      </c>
      <c r="X399" s="125" t="str">
        <f>Tabela1[[#This Row],[Pós Albumina (g/dL)]]</f>
        <v>-</v>
      </c>
      <c r="Y399" s="85" t="str">
        <f>Tabela1[[#This Row],[Pré TGP (g/dL)]]</f>
        <v>-</v>
      </c>
      <c r="Z399" s="85" t="str">
        <f>Tabela1[[#This Row],[Pós TGP (g/dL)]]</f>
        <v>-</v>
      </c>
      <c r="AA399" s="85" t="str">
        <f>Tabela1[[#This Row],[Pré GGT U/L]]</f>
        <v>-</v>
      </c>
      <c r="AB399" s="193" t="str">
        <f>Tabela1[[#This Row],[Pós GGT U/L]]</f>
        <v>-</v>
      </c>
      <c r="AC399" s="194" t="str">
        <f>Tabela1[[#This Row],[Pré Ac. Úrico (mg/dL)]]</f>
        <v>-</v>
      </c>
      <c r="AD399" s="125" t="str">
        <f>Tabela1[[#This Row],[Pós Ac. Úrico (mg/dL)2]]</f>
        <v>-</v>
      </c>
      <c r="AE39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39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59.814594653328946</v>
      </c>
      <c r="AG399" s="85">
        <f>Tabela1[[#This Row],[Pré Ureia mg/dL]]</f>
        <v>28</v>
      </c>
      <c r="AH399" s="85">
        <f>Tabela1[[#This Row],[Pós Ureia mg/dL]]</f>
        <v>54</v>
      </c>
      <c r="AI399" s="125">
        <f>Tabela1[[#This Row],[Pré creatinina mg/dL]]</f>
        <v>0.9</v>
      </c>
      <c r="AJ399" s="125">
        <f>Tabela1[[#This Row],[Pós creatinina mg/dL]]</f>
        <v>1.6</v>
      </c>
      <c r="AK399" s="180">
        <f t="shared" si="24"/>
        <v>0.70000000000000007</v>
      </c>
      <c r="AL399" s="125" t="str">
        <f>Tabela1[[#This Row],[Pré Fósforo mg/dL]]</f>
        <v>-</v>
      </c>
      <c r="AM399" s="125" t="str">
        <f>Tabela1[[#This Row],[Pós Fósforo mg/dL]]</f>
        <v>-</v>
      </c>
      <c r="AN399" s="125" t="str">
        <f>Tabela1[[#This Row],[Pré Proteína Total (g/dL)]]</f>
        <v>-</v>
      </c>
      <c r="AO399" s="125" t="str">
        <f>Tabela1[[#This Row],[Pós Proteína Total (g/dL)]]</f>
        <v>-</v>
      </c>
      <c r="AP399" s="85" t="str">
        <f>Tabela1[[#This Row],[Pré FE (ug/dL)]]</f>
        <v>-</v>
      </c>
      <c r="AQ399" s="193" t="str">
        <f>Tabela1[[#This Row],[Pós FE (ug/dL)]]</f>
        <v>-</v>
      </c>
      <c r="AR399" s="194" t="str">
        <f>Tabela1[[#This Row],[Pré calcio mg/dL]]</f>
        <v>-</v>
      </c>
      <c r="AS399" s="125" t="str">
        <f>Tabela1[[#This Row],[Pós calcio mg/dL]]</f>
        <v>-</v>
      </c>
      <c r="AT399" s="125">
        <f>Tabela1[[#This Row],[Pré Potássio mmol/L]]</f>
        <v>4.5</v>
      </c>
      <c r="AU399" s="125">
        <f>Tabela1[[#This Row],[Pós Potássio mmol/L]]</f>
        <v>4.5999999999999996</v>
      </c>
      <c r="AV399" s="85">
        <f>Tabela1[[#This Row],[Glicose pré]]</f>
        <v>100</v>
      </c>
      <c r="AW399" s="85">
        <f>Tabela1[[#This Row],[Glicose pós]]</f>
        <v>121</v>
      </c>
      <c r="AX399" s="85">
        <f>Tabela1[[#This Row],[Pré Sódio mmol/L]]</f>
        <v>141</v>
      </c>
      <c r="AY399" s="85">
        <f>Tabela1[[#This Row],[Pós Sódio mmol/L]]</f>
        <v>134</v>
      </c>
      <c r="AZ399" s="125" t="str">
        <f>Tabela1[[#This Row],[Pré Magnésio mg/dL]]</f>
        <v>-</v>
      </c>
      <c r="BA399" s="125" t="str">
        <f>Tabela1[[#This Row],[Pós Magnésio mg/dL]]</f>
        <v>-</v>
      </c>
      <c r="BB399" s="85">
        <f>Tabela1[[#This Row],[Pré Cloro mmol/L]]</f>
        <v>101</v>
      </c>
      <c r="BC399" s="85">
        <f>Tabela1[[#This Row],[Pós Cloro mmol/L]]</f>
        <v>93</v>
      </c>
      <c r="BD39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295.6855555555556</v>
      </c>
      <c r="BE39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288.52655555555555</v>
      </c>
      <c r="BF399" s="194">
        <f>Tabela1[[#This Row],[Pré RBC 10^6/mm³]]</f>
        <v>4.59</v>
      </c>
      <c r="BG399" s="125">
        <f>Tabela1[[#This Row],[Pós RBC 10^6/mm³]]</f>
        <v>4.99</v>
      </c>
      <c r="BH399" s="125">
        <f>Tabela1[[#This Row],[Pré HGB g/dL]]</f>
        <v>14.4</v>
      </c>
      <c r="BI399" s="125">
        <f>Tabela1[[#This Row],[Pós HGB g/dL]]</f>
        <v>15.5</v>
      </c>
      <c r="BJ399" s="125">
        <f>Tabela1[[#This Row],[Pré HCT %]]</f>
        <v>43.2</v>
      </c>
      <c r="BK399" s="125">
        <f>Tabela1[[#This Row],[Pós HCT %]]</f>
        <v>45.5</v>
      </c>
      <c r="BL399" s="125">
        <f>Tabela1[[#This Row],[Pré MCV fL]]</f>
        <v>94.1</v>
      </c>
      <c r="BM399" s="125">
        <f>Tabela1[[#This Row],[Pós MCV fL]]</f>
        <v>91.2</v>
      </c>
      <c r="BN399" s="125">
        <f>Tabela1[[#This Row],[Pré MCH pg]]</f>
        <v>31.4</v>
      </c>
      <c r="BO399" s="125">
        <f>Tabela1[[#This Row],[Pós MCH pg]]</f>
        <v>31.1</v>
      </c>
      <c r="BP399" s="125">
        <f>Tabela1[[#This Row],[Pré MCHC g/dL]]</f>
        <v>33.299999999999997</v>
      </c>
      <c r="BQ399" s="125">
        <f>Tabela1[[#This Row],[Pós MCHC g/dL]]</f>
        <v>34.1</v>
      </c>
      <c r="BR399" s="85">
        <f>Tabela1[[#This Row],[Pré PLT 10³/mm³]]</f>
        <v>159</v>
      </c>
      <c r="BS399" s="85">
        <f>Tabela1[[#This Row],[Pós PLT 10³/mm³]]</f>
        <v>160</v>
      </c>
      <c r="BT399" s="125">
        <f>Tabela1[[#This Row],[Pré RDW %]]</f>
        <v>12.2</v>
      </c>
      <c r="BU399" s="125">
        <f>Tabela1[[#This Row],[Pós RDW %]]</f>
        <v>12.3</v>
      </c>
      <c r="BV399" s="179" t="str">
        <f>Tabela1[[#This Row],[Pré RET %]]</f>
        <v>-</v>
      </c>
      <c r="BW399" s="196" t="str">
        <f>Tabela1[[#This Row],[Pós RET %]]</f>
        <v>-</v>
      </c>
      <c r="BX399" s="197">
        <f>Tabela1[[#This Row],[Pré WBC 10³/mm³]]</f>
        <v>4.37</v>
      </c>
      <c r="BY399" s="179">
        <f>Tabela1[[#This Row],[Pós WBC 10³/mm³]]</f>
        <v>11.38</v>
      </c>
      <c r="BZ399" s="125">
        <f>Tabela1[[#This Row],[Pré NEUT %]]</f>
        <v>49.9</v>
      </c>
      <c r="CA399" s="125">
        <f>Tabela1[[#This Row],[Pós NEUT %]]</f>
        <v>74.099999999999994</v>
      </c>
      <c r="CB399" s="125">
        <f>Tabela1[[#This Row],[Pré LINF %]]</f>
        <v>35.9</v>
      </c>
      <c r="CC399" s="125">
        <f>Tabela1[[#This Row],[Pós LINF %]]</f>
        <v>16.899999999999999</v>
      </c>
      <c r="CD399" s="125">
        <f>Tabela1[[#This Row],[Pré MONO %]]</f>
        <v>9.4</v>
      </c>
      <c r="CE399" s="125">
        <f>Tabela1[[#This Row],[Pós MONO %]]</f>
        <v>8.6</v>
      </c>
      <c r="CF399" s="125">
        <f>Tabela1[[#This Row],[Pré EOS %]]</f>
        <v>3.9</v>
      </c>
      <c r="CG399" s="125">
        <f>Tabela1[[#This Row],[Pós EOS %]]</f>
        <v>0.1</v>
      </c>
      <c r="CH399" s="125">
        <f>Tabela1[[#This Row],[Pré BASO %]]</f>
        <v>0.9</v>
      </c>
      <c r="CI399" s="198">
        <f>Tabela1[[#This Row],[Pós BASO %]]</f>
        <v>0.3</v>
      </c>
      <c r="CJ399" s="199" t="str">
        <f t="shared" si="25"/>
        <v>SIM</v>
      </c>
      <c r="CK399" s="200" t="str">
        <f t="shared" si="26"/>
        <v>SIM</v>
      </c>
      <c r="CL399" s="194">
        <f t="shared" si="27"/>
        <v>62.813019999999995</v>
      </c>
      <c r="CM399" s="125">
        <f>Tabela1[[#This Row],[MCT KG]]</f>
        <v>69.8</v>
      </c>
      <c r="CN399" s="85">
        <f>Tabela1[[#This Row],[ESTATURA]]</f>
        <v>175</v>
      </c>
      <c r="CO399" s="85" t="str">
        <f>Tabela1[[#This Row],[vo2max estimado]]</f>
        <v>49,28</v>
      </c>
      <c r="CP399" s="85">
        <f>Tabela1[[#This Row],[Handgrip     Dominante]]</f>
        <v>70</v>
      </c>
      <c r="CQ399" s="85">
        <f>Tabela1[[#This Row],[Handgrip Contrário]]</f>
        <v>61</v>
      </c>
      <c r="CR399" s="281" t="str">
        <f>Tabela1[[#This Row],[% gordura]]</f>
        <v>10,01</v>
      </c>
    </row>
    <row r="400" spans="1:96" ht="15.75" customHeight="1">
      <c r="A400" s="279">
        <f>Tabela1[[#This Row],[Ano]]</f>
        <v>2023</v>
      </c>
      <c r="B400" s="181" t="str">
        <f>Tabela1[[#This Row],[Missão]]</f>
        <v>Avelar</v>
      </c>
      <c r="C400" s="181">
        <f>Tabela1[[#This Row],[Aluno]]</f>
        <v>3289</v>
      </c>
      <c r="D400" s="181">
        <f>Tabela1[[#This Row],[Idade]]</f>
        <v>34</v>
      </c>
      <c r="E400" s="182">
        <f>Tabela1[[#This Row],[Peso Kg]]</f>
        <v>78.099999999999994</v>
      </c>
      <c r="F400" s="191">
        <f>Tabela1[[#This Row],[Cor da pele]]</f>
        <v>2</v>
      </c>
      <c r="G400" s="192" t="str">
        <f>Tabela1[[#This Row],[ACTN3]]</f>
        <v>RR</v>
      </c>
      <c r="H400" s="85" t="str">
        <f>Tabela1[[#This Row],[AGT]]</f>
        <v>TT</v>
      </c>
      <c r="I400" s="85" t="str">
        <f>Tabela1[[#This Row],[ECA]]</f>
        <v>DD</v>
      </c>
      <c r="J400" s="85" t="str">
        <f>Tabela1[[#This Row],[BDKRB2]]</f>
        <v>-9,-9</v>
      </c>
      <c r="K400" s="85">
        <f>Tabela1[[#This Row],[Score Força%]]</f>
        <v>75</v>
      </c>
      <c r="L400" s="193">
        <f>Tabela1[[#This Row],[Score Resistência %]]</f>
        <v>25</v>
      </c>
      <c r="M400" s="192">
        <f>Tabela1[[#This Row],[Pré CK (U/L)]]</f>
        <v>116</v>
      </c>
      <c r="N400" s="85">
        <f>Tabela1[[#This Row],[Pós CK (U/L)]]</f>
        <v>353</v>
      </c>
      <c r="O400" s="85" t="str">
        <f>Tabela1[[#This Row],[Pré CK MB U/L]]</f>
        <v>-</v>
      </c>
      <c r="P400" s="85" t="str">
        <f>Tabela1[[#This Row],[Pós CK MB U/L]]</f>
        <v>-</v>
      </c>
      <c r="Q400" s="85" t="str">
        <f>Tabela1[[#This Row],[Pré Lactato (mmol/L)]]</f>
        <v>-</v>
      </c>
      <c r="R400" s="85" t="str">
        <f>Tabela1[[#This Row],[Pós Lactato (mmol/L)]]</f>
        <v>-</v>
      </c>
      <c r="S400" s="85">
        <f>Tabela1[[#This Row],[Pré LDH (U/L)]]</f>
        <v>194</v>
      </c>
      <c r="T400" s="85">
        <f>Tabela1[[#This Row],[Pós LDH (U/L)]]</f>
        <v>117</v>
      </c>
      <c r="U400" s="85">
        <f>Tabela1[[#This Row],[Pré AST (U/L)]]</f>
        <v>23</v>
      </c>
      <c r="V400" s="193">
        <f>Tabela1[[#This Row],[Pós AST (U/L)]]</f>
        <v>26</v>
      </c>
      <c r="W400" s="194" t="str">
        <f>Tabela1[[#This Row],[Pré Albumina (g/dL)]]</f>
        <v>-</v>
      </c>
      <c r="X400" s="125" t="str">
        <f>Tabela1[[#This Row],[Pós Albumina (g/dL)]]</f>
        <v>-</v>
      </c>
      <c r="Y400" s="85" t="str">
        <f>Tabela1[[#This Row],[Pré TGP (g/dL)]]</f>
        <v>-</v>
      </c>
      <c r="Z400" s="85" t="str">
        <f>Tabela1[[#This Row],[Pós TGP (g/dL)]]</f>
        <v>-</v>
      </c>
      <c r="AA400" s="85" t="str">
        <f>Tabela1[[#This Row],[Pré GGT U/L]]</f>
        <v>-</v>
      </c>
      <c r="AB400" s="193" t="str">
        <f>Tabela1[[#This Row],[Pós GGT U/L]]</f>
        <v>-</v>
      </c>
      <c r="AC400" s="194" t="str">
        <f>Tabela1[[#This Row],[Pré Ac. Úrico (mg/dL)]]</f>
        <v>-</v>
      </c>
      <c r="AD400" s="125" t="str">
        <f>Tabela1[[#This Row],[Pós Ac. Úrico (mg/dL)2]]</f>
        <v>-</v>
      </c>
      <c r="AE40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40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128.71280700150223</v>
      </c>
      <c r="AG400" s="85">
        <f>Tabela1[[#This Row],[Pré Ureia mg/dL]]</f>
        <v>27</v>
      </c>
      <c r="AH400" s="85">
        <f>Tabela1[[#This Row],[Pós Ureia mg/dL]]</f>
        <v>28</v>
      </c>
      <c r="AI400" s="125">
        <f>Tabela1[[#This Row],[Pré creatinina mg/dL]]</f>
        <v>0.7</v>
      </c>
      <c r="AJ400" s="125">
        <f>Tabela1[[#This Row],[Pós creatinina mg/dL]]</f>
        <v>0.7</v>
      </c>
      <c r="AK400" s="180">
        <f t="shared" si="24"/>
        <v>0</v>
      </c>
      <c r="AL400" s="125" t="str">
        <f>Tabela1[[#This Row],[Pré Fósforo mg/dL]]</f>
        <v>-</v>
      </c>
      <c r="AM400" s="125" t="str">
        <f>Tabela1[[#This Row],[Pós Fósforo mg/dL]]</f>
        <v>-</v>
      </c>
      <c r="AN400" s="125" t="str">
        <f>Tabela1[[#This Row],[Pré Proteína Total (g/dL)]]</f>
        <v>-</v>
      </c>
      <c r="AO400" s="125" t="str">
        <f>Tabela1[[#This Row],[Pós Proteína Total (g/dL)]]</f>
        <v>-</v>
      </c>
      <c r="AP400" s="85" t="str">
        <f>Tabela1[[#This Row],[Pré FE (ug/dL)]]</f>
        <v>-</v>
      </c>
      <c r="AQ400" s="193" t="str">
        <f>Tabela1[[#This Row],[Pós FE (ug/dL)]]</f>
        <v>-</v>
      </c>
      <c r="AR400" s="194" t="str">
        <f>Tabela1[[#This Row],[Pré calcio mg/dL]]</f>
        <v>-</v>
      </c>
      <c r="AS400" s="125" t="str">
        <f>Tabela1[[#This Row],[Pós calcio mg/dL]]</f>
        <v>-</v>
      </c>
      <c r="AT400" s="125">
        <f>Tabela1[[#This Row],[Pré Potássio mmol/L]]</f>
        <v>4.3</v>
      </c>
      <c r="AU400" s="125">
        <f>Tabela1[[#This Row],[Pós Potássio mmol/L]]</f>
        <v>4</v>
      </c>
      <c r="AV400" s="85">
        <f>Tabela1[[#This Row],[Glicose pré]]</f>
        <v>78</v>
      </c>
      <c r="AW400" s="85">
        <f>Tabela1[[#This Row],[Glicose pós]]</f>
        <v>88</v>
      </c>
      <c r="AX400" s="85">
        <f>Tabela1[[#This Row],[Pré Sódio mmol/L]]</f>
        <v>141</v>
      </c>
      <c r="AY400" s="85">
        <f>Tabela1[[#This Row],[Pós Sódio mmol/L]]</f>
        <v>132</v>
      </c>
      <c r="AZ400" s="125" t="str">
        <f>Tabela1[[#This Row],[Pré Magnésio mg/dL]]</f>
        <v>-</v>
      </c>
      <c r="BA400" s="125" t="str">
        <f>Tabela1[[#This Row],[Pós Magnésio mg/dL]]</f>
        <v>-</v>
      </c>
      <c r="BB400" s="85">
        <f>Tabela1[[#This Row],[Pré Cloro mmol/L]]</f>
        <v>102</v>
      </c>
      <c r="BC400" s="85">
        <f>Tabela1[[#This Row],[Pós Cloro mmol/L]]</f>
        <v>98</v>
      </c>
      <c r="BD40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293.74133333333339</v>
      </c>
      <c r="BE40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277.24888888888893</v>
      </c>
      <c r="BF400" s="194">
        <f>Tabela1[[#This Row],[Pré RBC 10^6/mm³]]</f>
        <v>5.0999999999999996</v>
      </c>
      <c r="BG400" s="125">
        <f>Tabela1[[#This Row],[Pós RBC 10^6/mm³]]</f>
        <v>4.9000000000000004</v>
      </c>
      <c r="BH400" s="125">
        <f>Tabela1[[#This Row],[Pré HGB g/dL]]</f>
        <v>15.9</v>
      </c>
      <c r="BI400" s="125">
        <f>Tabela1[[#This Row],[Pós HGB g/dL]]</f>
        <v>15.2</v>
      </c>
      <c r="BJ400" s="125">
        <f>Tabela1[[#This Row],[Pré HCT %]]</f>
        <v>47.1</v>
      </c>
      <c r="BK400" s="125">
        <f>Tabela1[[#This Row],[Pós HCT %]]</f>
        <v>44.2</v>
      </c>
      <c r="BL400" s="125">
        <f>Tabela1[[#This Row],[Pré MCV fL]]</f>
        <v>92.4</v>
      </c>
      <c r="BM400" s="125">
        <f>Tabela1[[#This Row],[Pós MCV fL]]</f>
        <v>90.2</v>
      </c>
      <c r="BN400" s="125">
        <f>Tabela1[[#This Row],[Pré MCH pg]]</f>
        <v>31.2</v>
      </c>
      <c r="BO400" s="125">
        <f>Tabela1[[#This Row],[Pós MCH pg]]</f>
        <v>31</v>
      </c>
      <c r="BP400" s="125">
        <f>Tabela1[[#This Row],[Pré MCHC g/dL]]</f>
        <v>33.799999999999997</v>
      </c>
      <c r="BQ400" s="125">
        <f>Tabela1[[#This Row],[Pós MCHC g/dL]]</f>
        <v>34.4</v>
      </c>
      <c r="BR400" s="85">
        <f>Tabela1[[#This Row],[Pré PLT 10³/mm³]]</f>
        <v>269</v>
      </c>
      <c r="BS400" s="85">
        <f>Tabela1[[#This Row],[Pós PLT 10³/mm³]]</f>
        <v>273</v>
      </c>
      <c r="BT400" s="125">
        <f>Tabela1[[#This Row],[Pré RDW %]]</f>
        <v>12.1</v>
      </c>
      <c r="BU400" s="125">
        <f>Tabela1[[#This Row],[Pós RDW %]]</f>
        <v>12.3</v>
      </c>
      <c r="BV400" s="179" t="str">
        <f>Tabela1[[#This Row],[Pré RET %]]</f>
        <v>-</v>
      </c>
      <c r="BW400" s="196" t="str">
        <f>Tabela1[[#This Row],[Pós RET %]]</f>
        <v>-</v>
      </c>
      <c r="BX400" s="197">
        <f>Tabela1[[#This Row],[Pré WBC 10³/mm³]]</f>
        <v>6.58</v>
      </c>
      <c r="BY400" s="179">
        <f>Tabela1[[#This Row],[Pós WBC 10³/mm³]]</f>
        <v>6.28</v>
      </c>
      <c r="BZ400" s="125">
        <f>Tabela1[[#This Row],[Pré NEUT %]]</f>
        <v>38.5</v>
      </c>
      <c r="CA400" s="125">
        <f>Tabela1[[#This Row],[Pós NEUT %]]</f>
        <v>48.9</v>
      </c>
      <c r="CB400" s="125">
        <f>Tabela1[[#This Row],[Pré LINF %]]</f>
        <v>38.5</v>
      </c>
      <c r="CC400" s="125">
        <f>Tabela1[[#This Row],[Pós LINF %]]</f>
        <v>37.1</v>
      </c>
      <c r="CD400" s="125">
        <f>Tabela1[[#This Row],[Pré MONO %]]</f>
        <v>13.7</v>
      </c>
      <c r="CE400" s="125">
        <f>Tabela1[[#This Row],[Pós MONO %]]</f>
        <v>12.7</v>
      </c>
      <c r="CF400" s="125">
        <f>Tabela1[[#This Row],[Pré EOS %]]</f>
        <v>1.1000000000000001</v>
      </c>
      <c r="CG400" s="125">
        <f>Tabela1[[#This Row],[Pós EOS %]]</f>
        <v>0.5</v>
      </c>
      <c r="CH400" s="125">
        <f>Tabela1[[#This Row],[Pré BASO %]]</f>
        <v>1.1000000000000001</v>
      </c>
      <c r="CI400" s="198">
        <f>Tabela1[[#This Row],[Pós BASO %]]</f>
        <v>0.8</v>
      </c>
      <c r="CJ400" s="199" t="str">
        <f t="shared" si="25"/>
        <v>NÃO</v>
      </c>
      <c r="CK400" s="200" t="str">
        <f t="shared" si="26"/>
        <v>NÃO</v>
      </c>
      <c r="CL400" s="194">
        <f t="shared" si="27"/>
        <v>67.389839999999992</v>
      </c>
      <c r="CM400" s="125">
        <f>Tabela1[[#This Row],[MCT KG]]</f>
        <v>75.599999999999994</v>
      </c>
      <c r="CN400" s="85">
        <f>Tabela1[[#This Row],[ESTATURA]]</f>
        <v>177</v>
      </c>
      <c r="CO400" s="85" t="str">
        <f>Tabela1[[#This Row],[vo2max estimado]]</f>
        <v>53,53</v>
      </c>
      <c r="CP400" s="85">
        <f>Tabela1[[#This Row],[Handgrip     Dominante]]</f>
        <v>60</v>
      </c>
      <c r="CQ400" s="85">
        <f>Tabela1[[#This Row],[Handgrip Contrário]]</f>
        <v>59</v>
      </c>
      <c r="CR400" s="281" t="str">
        <f>Tabela1[[#This Row],[% gordura]]</f>
        <v>10,86</v>
      </c>
    </row>
    <row r="401" spans="1:96" ht="15.75" customHeight="1">
      <c r="A401" s="279">
        <f>Tabela1[[#This Row],[Ano]]</f>
        <v>2023</v>
      </c>
      <c r="B401" s="181" t="str">
        <f>Tabela1[[#This Row],[Missão]]</f>
        <v>Avelar</v>
      </c>
      <c r="C401" s="181">
        <f>Tabela1[[#This Row],[Aluno]]</f>
        <v>3291</v>
      </c>
      <c r="D401" s="181">
        <f>Tabela1[[#This Row],[Idade]]</f>
        <v>32</v>
      </c>
      <c r="E401" s="182">
        <f>Tabela1[[#This Row],[Peso Kg]]</f>
        <v>75.099999999999994</v>
      </c>
      <c r="F401" s="191">
        <f>Tabela1[[#This Row],[Cor da pele]]</f>
        <v>2</v>
      </c>
      <c r="G401" s="192" t="str">
        <f>Tabela1[[#This Row],[ACTN3]]</f>
        <v>XX</v>
      </c>
      <c r="H401" s="85" t="str">
        <f>Tabela1[[#This Row],[AGT]]</f>
        <v>MT</v>
      </c>
      <c r="I401" s="85" t="str">
        <f>Tabela1[[#This Row],[ECA]]</f>
        <v>ID</v>
      </c>
      <c r="J401" s="85">
        <f>Tabela1[[#This Row],[BDKRB2]]</f>
        <v>0</v>
      </c>
      <c r="K401" s="85">
        <f>Tabela1[[#This Row],[Score Força%]]</f>
        <v>37.5</v>
      </c>
      <c r="L401" s="193">
        <f>Tabela1[[#This Row],[Score Resistência %]]</f>
        <v>62.5</v>
      </c>
      <c r="M401" s="192">
        <f>Tabela1[[#This Row],[Pré CK (U/L)]]</f>
        <v>287</v>
      </c>
      <c r="N401" s="85">
        <f>Tabela1[[#This Row],[Pós CK (U/L)]]</f>
        <v>3219</v>
      </c>
      <c r="O401" s="85" t="str">
        <f>Tabela1[[#This Row],[Pré CK MB U/L]]</f>
        <v>-</v>
      </c>
      <c r="P401" s="85" t="str">
        <f>Tabela1[[#This Row],[Pós CK MB U/L]]</f>
        <v>-</v>
      </c>
      <c r="Q401" s="85" t="str">
        <f>Tabela1[[#This Row],[Pré Lactato (mmol/L)]]</f>
        <v>-</v>
      </c>
      <c r="R401" s="85" t="str">
        <f>Tabela1[[#This Row],[Pós Lactato (mmol/L)]]</f>
        <v>-</v>
      </c>
      <c r="S401" s="85">
        <f>Tabela1[[#This Row],[Pré LDH (U/L)]]</f>
        <v>210</v>
      </c>
      <c r="T401" s="85">
        <f>Tabela1[[#This Row],[Pós LDH (U/L)]]</f>
        <v>131</v>
      </c>
      <c r="U401" s="85">
        <f>Tabela1[[#This Row],[Pré AST (U/L)]]</f>
        <v>32</v>
      </c>
      <c r="V401" s="193">
        <f>Tabela1[[#This Row],[Pós AST (U/L)]]</f>
        <v>85</v>
      </c>
      <c r="W401" s="194" t="str">
        <f>Tabela1[[#This Row],[Pré Albumina (g/dL)]]</f>
        <v>-</v>
      </c>
      <c r="X401" s="125" t="str">
        <f>Tabela1[[#This Row],[Pós Albumina (g/dL)]]</f>
        <v>-</v>
      </c>
      <c r="Y401" s="85" t="str">
        <f>Tabela1[[#This Row],[Pré TGP (g/dL)]]</f>
        <v>-</v>
      </c>
      <c r="Z401" s="85" t="str">
        <f>Tabela1[[#This Row],[Pós TGP (g/dL)]]</f>
        <v>-</v>
      </c>
      <c r="AA401" s="85" t="str">
        <f>Tabela1[[#This Row],[Pré GGT U/L]]</f>
        <v>-</v>
      </c>
      <c r="AB401" s="193" t="str">
        <f>Tabela1[[#This Row],[Pós GGT U/L]]</f>
        <v>-</v>
      </c>
      <c r="AC401" s="194" t="str">
        <f>Tabela1[[#This Row],[Pré Ac. Úrico (mg/dL)]]</f>
        <v>-</v>
      </c>
      <c r="AD401" s="125" t="str">
        <f>Tabela1[[#This Row],[Pós Ac. Úrico (mg/dL)2]]</f>
        <v>-</v>
      </c>
      <c r="AE401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401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70.209761921634552</v>
      </c>
      <c r="AG401" s="85">
        <f>Tabela1[[#This Row],[Pré Ureia mg/dL]]</f>
        <v>33</v>
      </c>
      <c r="AH401" s="85">
        <f>Tabela1[[#This Row],[Pós Ureia mg/dL]]</f>
        <v>51</v>
      </c>
      <c r="AI401" s="125">
        <f>Tabela1[[#This Row],[Pré creatinina mg/dL]]</f>
        <v>0.9</v>
      </c>
      <c r="AJ401" s="125">
        <f>Tabela1[[#This Row],[Pós creatinina mg/dL]]</f>
        <v>1.4</v>
      </c>
      <c r="AK401" s="180">
        <f t="shared" si="24"/>
        <v>0.49999999999999989</v>
      </c>
      <c r="AL401" s="125" t="str">
        <f>Tabela1[[#This Row],[Pré Fósforo mg/dL]]</f>
        <v>-</v>
      </c>
      <c r="AM401" s="125" t="str">
        <f>Tabela1[[#This Row],[Pós Fósforo mg/dL]]</f>
        <v>-</v>
      </c>
      <c r="AN401" s="125" t="str">
        <f>Tabela1[[#This Row],[Pré Proteína Total (g/dL)]]</f>
        <v>-</v>
      </c>
      <c r="AO401" s="125" t="str">
        <f>Tabela1[[#This Row],[Pós Proteína Total (g/dL)]]</f>
        <v>-</v>
      </c>
      <c r="AP401" s="85" t="str">
        <f>Tabela1[[#This Row],[Pré FE (ug/dL)]]</f>
        <v>-</v>
      </c>
      <c r="AQ401" s="193" t="str">
        <f>Tabela1[[#This Row],[Pós FE (ug/dL)]]</f>
        <v>-</v>
      </c>
      <c r="AR401" s="194" t="str">
        <f>Tabela1[[#This Row],[Pré calcio mg/dL]]</f>
        <v>-</v>
      </c>
      <c r="AS401" s="125" t="str">
        <f>Tabela1[[#This Row],[Pós calcio mg/dL]]</f>
        <v>-</v>
      </c>
      <c r="AT401" s="125">
        <f>Tabela1[[#This Row],[Pré Potássio mmol/L]]</f>
        <v>4.5999999999999996</v>
      </c>
      <c r="AU401" s="125">
        <f>Tabela1[[#This Row],[Pós Potássio mmol/L]]</f>
        <v>4.0999999999999996</v>
      </c>
      <c r="AV401" s="85">
        <f>Tabela1[[#This Row],[Glicose pré]]</f>
        <v>84</v>
      </c>
      <c r="AW401" s="85">
        <f>Tabela1[[#This Row],[Glicose pós]]</f>
        <v>104</v>
      </c>
      <c r="AX401" s="85">
        <f>Tabela1[[#This Row],[Pré Sódio mmol/L]]</f>
        <v>140</v>
      </c>
      <c r="AY401" s="85">
        <f>Tabela1[[#This Row],[Pós Sódio mmol/L]]</f>
        <v>136</v>
      </c>
      <c r="AZ401" s="125" t="str">
        <f>Tabela1[[#This Row],[Pré Magnésio mg/dL]]</f>
        <v>-</v>
      </c>
      <c r="BA401" s="125" t="str">
        <f>Tabela1[[#This Row],[Pós Magnésio mg/dL]]</f>
        <v>-</v>
      </c>
      <c r="BB401" s="85">
        <f>Tabela1[[#This Row],[Pré Cloro mmol/L]]</f>
        <v>106</v>
      </c>
      <c r="BC401" s="85">
        <f>Tabela1[[#This Row],[Pós Cloro mmol/L]]</f>
        <v>100</v>
      </c>
      <c r="BD401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293.82266666666669</v>
      </c>
      <c r="BE401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289.73044444444446</v>
      </c>
      <c r="BF401" s="194">
        <f>Tabela1[[#This Row],[Pré RBC 10^6/mm³]]</f>
        <v>6.26</v>
      </c>
      <c r="BG401" s="125">
        <f>Tabela1[[#This Row],[Pós RBC 10^6/mm³]]</f>
        <v>6.63</v>
      </c>
      <c r="BH401" s="125">
        <f>Tabela1[[#This Row],[Pré HGB g/dL]]</f>
        <v>13.9</v>
      </c>
      <c r="BI401" s="125">
        <f>Tabela1[[#This Row],[Pós HGB g/dL]]</f>
        <v>14.7</v>
      </c>
      <c r="BJ401" s="125">
        <f>Tabela1[[#This Row],[Pré HCT %]]</f>
        <v>44.2</v>
      </c>
      <c r="BK401" s="125">
        <f>Tabela1[[#This Row],[Pós HCT %]]</f>
        <v>45.5</v>
      </c>
      <c r="BL401" s="125">
        <f>Tabela1[[#This Row],[Pré MCV fL]]</f>
        <v>70.599999999999994</v>
      </c>
      <c r="BM401" s="125">
        <f>Tabela1[[#This Row],[Pós MCV fL]]</f>
        <v>68.599999999999994</v>
      </c>
      <c r="BN401" s="125">
        <f>Tabela1[[#This Row],[Pré MCH pg]]</f>
        <v>22.2</v>
      </c>
      <c r="BO401" s="125">
        <f>Tabela1[[#This Row],[Pós MCH pg]]</f>
        <v>22.2</v>
      </c>
      <c r="BP401" s="125">
        <f>Tabela1[[#This Row],[Pré MCHC g/dL]]</f>
        <v>31.4</v>
      </c>
      <c r="BQ401" s="125">
        <f>Tabela1[[#This Row],[Pós MCHC g/dL]]</f>
        <v>32.299999999999997</v>
      </c>
      <c r="BR401" s="85">
        <f>Tabela1[[#This Row],[Pré PLT 10³/mm³]]</f>
        <v>308</v>
      </c>
      <c r="BS401" s="85">
        <f>Tabela1[[#This Row],[Pós PLT 10³/mm³]]</f>
        <v>344</v>
      </c>
      <c r="BT401" s="125">
        <f>Tabela1[[#This Row],[Pré RDW %]]</f>
        <v>14.8</v>
      </c>
      <c r="BU401" s="125">
        <f>Tabela1[[#This Row],[Pós RDW %]]</f>
        <v>15</v>
      </c>
      <c r="BV401" s="179" t="str">
        <f>Tabela1[[#This Row],[Pré RET %]]</f>
        <v>-</v>
      </c>
      <c r="BW401" s="196" t="str">
        <f>Tabela1[[#This Row],[Pós RET %]]</f>
        <v>-</v>
      </c>
      <c r="BX401" s="197">
        <f>Tabela1[[#This Row],[Pré WBC 10³/mm³]]</f>
        <v>7.4</v>
      </c>
      <c r="BY401" s="179">
        <f>Tabela1[[#This Row],[Pós WBC 10³/mm³]]</f>
        <v>13.3</v>
      </c>
      <c r="BZ401" s="125">
        <f>Tabela1[[#This Row],[Pré NEUT %]]</f>
        <v>58</v>
      </c>
      <c r="CA401" s="125">
        <f>Tabela1[[#This Row],[Pós NEUT %]]</f>
        <v>73</v>
      </c>
      <c r="CB401" s="125">
        <f>Tabela1[[#This Row],[Pré LINF %]]</f>
        <v>28.2</v>
      </c>
      <c r="CC401" s="125">
        <f>Tabela1[[#This Row],[Pós LINF %]]</f>
        <v>18.399999999999999</v>
      </c>
      <c r="CD401" s="125">
        <f>Tabela1[[#This Row],[Pré MONO %]]</f>
        <v>10.9</v>
      </c>
      <c r="CE401" s="125">
        <f>Tabela1[[#This Row],[Pós MONO %]]</f>
        <v>7.8</v>
      </c>
      <c r="CF401" s="125">
        <f>Tabela1[[#This Row],[Pré EOS %]]</f>
        <v>1.8</v>
      </c>
      <c r="CG401" s="125">
        <f>Tabela1[[#This Row],[Pós EOS %]]</f>
        <v>0.3</v>
      </c>
      <c r="CH401" s="125">
        <f>Tabela1[[#This Row],[Pré BASO %]]</f>
        <v>1.1000000000000001</v>
      </c>
      <c r="CI401" s="198">
        <f>Tabela1[[#This Row],[Pós BASO %]]</f>
        <v>0.5</v>
      </c>
      <c r="CJ401" s="199" t="str">
        <f t="shared" si="25"/>
        <v>SIM</v>
      </c>
      <c r="CK401" s="200" t="str">
        <f t="shared" si="26"/>
        <v>SIM</v>
      </c>
      <c r="CL401" s="194">
        <f t="shared" si="27"/>
        <v>63.856044999999995</v>
      </c>
      <c r="CM401" s="125">
        <f>Tabela1[[#This Row],[MCT KG]]</f>
        <v>79.849999999999994</v>
      </c>
      <c r="CN401" s="85">
        <f>Tabela1[[#This Row],[ESTATURA]]</f>
        <v>178.5</v>
      </c>
      <c r="CO401" s="85" t="str">
        <f>Tabela1[[#This Row],[vo2max estimado]]</f>
        <v>47,85</v>
      </c>
      <c r="CP401" s="85">
        <f>Tabela1[[#This Row],[Handgrip     Dominante]]</f>
        <v>50</v>
      </c>
      <c r="CQ401" s="85">
        <f>Tabela1[[#This Row],[Handgrip Contrário]]</f>
        <v>56</v>
      </c>
      <c r="CR401" s="281" t="str">
        <f>Tabela1[[#This Row],[% gordura]]</f>
        <v>20,03</v>
      </c>
    </row>
    <row r="402" spans="1:96" ht="15.75" customHeight="1">
      <c r="A402" s="279">
        <f>Tabela1[[#This Row],[Ano]]</f>
        <v>2023</v>
      </c>
      <c r="B402" s="181" t="str">
        <f>Tabela1[[#This Row],[Missão]]</f>
        <v>Avelar</v>
      </c>
      <c r="C402" s="181">
        <f>Tabela1[[#This Row],[Aluno]]</f>
        <v>3305</v>
      </c>
      <c r="D402" s="181">
        <f>Tabela1[[#This Row],[Idade]]</f>
        <v>33</v>
      </c>
      <c r="E402" s="182">
        <f>Tabela1[[#This Row],[Peso Kg]]</f>
        <v>86.2</v>
      </c>
      <c r="F402" s="191">
        <f>Tabela1[[#This Row],[Cor da pele]]</f>
        <v>2</v>
      </c>
      <c r="G402" s="192" t="str">
        <f>Tabela1[[#This Row],[ACTN3]]</f>
        <v>-</v>
      </c>
      <c r="H402" s="85" t="str">
        <f>Tabela1[[#This Row],[AGT]]</f>
        <v>-</v>
      </c>
      <c r="I402" s="85" t="str">
        <f>Tabela1[[#This Row],[ECA]]</f>
        <v>-</v>
      </c>
      <c r="J402" s="85" t="str">
        <f>Tabela1[[#This Row],[BDKRB2]]</f>
        <v>-</v>
      </c>
      <c r="K402" s="85" t="str">
        <f>Tabela1[[#This Row],[Score Força%]]</f>
        <v>-</v>
      </c>
      <c r="L402" s="193" t="str">
        <f>Tabela1[[#This Row],[Score Resistência %]]</f>
        <v>-</v>
      </c>
      <c r="M402" s="192">
        <f>Tabela1[[#This Row],[Pré CK (U/L)]]</f>
        <v>130</v>
      </c>
      <c r="N402" s="85">
        <f>Tabela1[[#This Row],[Pós CK (U/L)]]</f>
        <v>1284</v>
      </c>
      <c r="O402" s="85" t="str">
        <f>Tabela1[[#This Row],[Pré CK MB U/L]]</f>
        <v>-</v>
      </c>
      <c r="P402" s="85" t="str">
        <f>Tabela1[[#This Row],[Pós CK MB U/L]]</f>
        <v>-</v>
      </c>
      <c r="Q402" s="85" t="str">
        <f>Tabela1[[#This Row],[Pré Lactato (mmol/L)]]</f>
        <v>-</v>
      </c>
      <c r="R402" s="85" t="str">
        <f>Tabela1[[#This Row],[Pós Lactato (mmol/L)]]</f>
        <v>-</v>
      </c>
      <c r="S402" s="85">
        <f>Tabela1[[#This Row],[Pré LDH (U/L)]]</f>
        <v>171</v>
      </c>
      <c r="T402" s="85">
        <f>Tabela1[[#This Row],[Pós LDH (U/L)]]</f>
        <v>180</v>
      </c>
      <c r="U402" s="85">
        <f>Tabela1[[#This Row],[Pré AST (U/L)]]</f>
        <v>26</v>
      </c>
      <c r="V402" s="193">
        <f>Tabela1[[#This Row],[Pós AST (U/L)]]</f>
        <v>63</v>
      </c>
      <c r="W402" s="194" t="str">
        <f>Tabela1[[#This Row],[Pré Albumina (g/dL)]]</f>
        <v>-</v>
      </c>
      <c r="X402" s="125" t="str">
        <f>Tabela1[[#This Row],[Pós Albumina (g/dL)]]</f>
        <v>-</v>
      </c>
      <c r="Y402" s="85" t="str">
        <f>Tabela1[[#This Row],[Pré TGP (g/dL)]]</f>
        <v>-</v>
      </c>
      <c r="Z402" s="85" t="str">
        <f>Tabela1[[#This Row],[Pós TGP (g/dL)]]</f>
        <v>-</v>
      </c>
      <c r="AA402" s="85" t="str">
        <f>Tabela1[[#This Row],[Pré GGT U/L]]</f>
        <v>-</v>
      </c>
      <c r="AB402" s="193" t="str">
        <f>Tabela1[[#This Row],[Pós GGT U/L]]</f>
        <v>-</v>
      </c>
      <c r="AC402" s="194" t="str">
        <f>Tabela1[[#This Row],[Pré Ac. Úrico (mg/dL)]]</f>
        <v>-</v>
      </c>
      <c r="AD402" s="125" t="str">
        <f>Tabela1[[#This Row],[Pós Ac. Úrico (mg/dL)2]]</f>
        <v>-</v>
      </c>
      <c r="AE402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402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402" s="85">
        <f>Tabela1[[#This Row],[Pré Ureia mg/dL]]</f>
        <v>36</v>
      </c>
      <c r="AH402" s="85">
        <f>Tabela1[[#This Row],[Pós Ureia mg/dL]]</f>
        <v>55</v>
      </c>
      <c r="AI402" s="125">
        <f>Tabela1[[#This Row],[Pré creatinina mg/dL]]</f>
        <v>0.7</v>
      </c>
      <c r="AJ402" s="125">
        <f>Tabela1[[#This Row],[Pós creatinina mg/dL]]</f>
        <v>1.1000000000000001</v>
      </c>
      <c r="AK402" s="180">
        <f t="shared" si="24"/>
        <v>0.40000000000000013</v>
      </c>
      <c r="AL402" s="125" t="str">
        <f>Tabela1[[#This Row],[Pré Fósforo mg/dL]]</f>
        <v>-</v>
      </c>
      <c r="AM402" s="125" t="str">
        <f>Tabela1[[#This Row],[Pós Fósforo mg/dL]]</f>
        <v>-</v>
      </c>
      <c r="AN402" s="125" t="str">
        <f>Tabela1[[#This Row],[Pré Proteína Total (g/dL)]]</f>
        <v>-</v>
      </c>
      <c r="AO402" s="125" t="str">
        <f>Tabela1[[#This Row],[Pós Proteína Total (g/dL)]]</f>
        <v>-</v>
      </c>
      <c r="AP402" s="85" t="str">
        <f>Tabela1[[#This Row],[Pré FE (ug/dL)]]</f>
        <v>-</v>
      </c>
      <c r="AQ402" s="193" t="str">
        <f>Tabela1[[#This Row],[Pós FE (ug/dL)]]</f>
        <v>-</v>
      </c>
      <c r="AR402" s="194" t="str">
        <f>Tabela1[[#This Row],[Pré calcio mg/dL]]</f>
        <v>-</v>
      </c>
      <c r="AS402" s="125" t="str">
        <f>Tabela1[[#This Row],[Pós calcio mg/dL]]</f>
        <v>-</v>
      </c>
      <c r="AT402" s="125">
        <f>Tabela1[[#This Row],[Pré Potássio mmol/L]]</f>
        <v>4.3</v>
      </c>
      <c r="AU402" s="125">
        <f>Tabela1[[#This Row],[Pós Potássio mmol/L]]</f>
        <v>3.9</v>
      </c>
      <c r="AV402" s="85">
        <f>Tabela1[[#This Row],[Glicose pré]]</f>
        <v>81</v>
      </c>
      <c r="AW402" s="85">
        <f>Tabela1[[#This Row],[Glicose pós]]</f>
        <v>85</v>
      </c>
      <c r="AX402" s="85">
        <f>Tabela1[[#This Row],[Pré Sódio mmol/L]]</f>
        <v>138</v>
      </c>
      <c r="AY402" s="85">
        <f>Tabela1[[#This Row],[Pós Sódio mmol/L]]</f>
        <v>141</v>
      </c>
      <c r="AZ402" s="125" t="str">
        <f>Tabela1[[#This Row],[Pré Magnésio mg/dL]]</f>
        <v>-</v>
      </c>
      <c r="BA402" s="125" t="str">
        <f>Tabela1[[#This Row],[Pós Magnésio mg/dL]]</f>
        <v>-</v>
      </c>
      <c r="BB402" s="85">
        <f>Tabela1[[#This Row],[Pré Cloro mmol/L]]</f>
        <v>100</v>
      </c>
      <c r="BC402" s="85">
        <f>Tabela1[[#This Row],[Pós Cloro mmol/L]]</f>
        <v>101</v>
      </c>
      <c r="BD402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289.85300000000007</v>
      </c>
      <c r="BE402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298.11122222222224</v>
      </c>
      <c r="BF402" s="194">
        <f>Tabela1[[#This Row],[Pré RBC 10^6/mm³]]</f>
        <v>5.17</v>
      </c>
      <c r="BG402" s="125">
        <f>Tabela1[[#This Row],[Pós RBC 10^6/mm³]]</f>
        <v>5.18</v>
      </c>
      <c r="BH402" s="125">
        <f>Tabela1[[#This Row],[Pré HGB g/dL]]</f>
        <v>15.7</v>
      </c>
      <c r="BI402" s="125">
        <f>Tabela1[[#This Row],[Pós HGB g/dL]]</f>
        <v>15.6</v>
      </c>
      <c r="BJ402" s="125">
        <f>Tabela1[[#This Row],[Pré HCT %]]</f>
        <v>46.7</v>
      </c>
      <c r="BK402" s="125">
        <f>Tabela1[[#This Row],[Pós HCT %]]</f>
        <v>45.8</v>
      </c>
      <c r="BL402" s="125">
        <f>Tabela1[[#This Row],[Pré MCV fL]]</f>
        <v>90.3</v>
      </c>
      <c r="BM402" s="125">
        <f>Tabela1[[#This Row],[Pós MCV fL]]</f>
        <v>88.4</v>
      </c>
      <c r="BN402" s="125">
        <f>Tabela1[[#This Row],[Pré MCH pg]]</f>
        <v>30.4</v>
      </c>
      <c r="BO402" s="125">
        <f>Tabela1[[#This Row],[Pós MCH pg]]</f>
        <v>30.1</v>
      </c>
      <c r="BP402" s="125">
        <f>Tabela1[[#This Row],[Pré MCHC g/dL]]</f>
        <v>33.6</v>
      </c>
      <c r="BQ402" s="125">
        <f>Tabela1[[#This Row],[Pós MCHC g/dL]]</f>
        <v>34.1</v>
      </c>
      <c r="BR402" s="85">
        <f>Tabela1[[#This Row],[Pré PLT 10³/mm³]]</f>
        <v>279</v>
      </c>
      <c r="BS402" s="85">
        <f>Tabela1[[#This Row],[Pós PLT 10³/mm³]]</f>
        <v>332</v>
      </c>
      <c r="BT402" s="125">
        <f>Tabela1[[#This Row],[Pré RDW %]]</f>
        <v>11.5</v>
      </c>
      <c r="BU402" s="125">
        <f>Tabela1[[#This Row],[Pós RDW %]]</f>
        <v>11.7</v>
      </c>
      <c r="BV402" s="179" t="str">
        <f>Tabela1[[#This Row],[Pré RET %]]</f>
        <v>-</v>
      </c>
      <c r="BW402" s="196" t="str">
        <f>Tabela1[[#This Row],[Pós RET %]]</f>
        <v>-</v>
      </c>
      <c r="BX402" s="197">
        <f>Tabela1[[#This Row],[Pré WBC 10³/mm³]]</f>
        <v>7.85</v>
      </c>
      <c r="BY402" s="179">
        <f>Tabela1[[#This Row],[Pós WBC 10³/mm³]]</f>
        <v>12.82</v>
      </c>
      <c r="BZ402" s="125">
        <f>Tabela1[[#This Row],[Pré NEUT %]]</f>
        <v>65.599999999999994</v>
      </c>
      <c r="CA402" s="125">
        <f>Tabela1[[#This Row],[Pós NEUT %]]</f>
        <v>63.8</v>
      </c>
      <c r="CB402" s="125">
        <f>Tabela1[[#This Row],[Pré LINF %]]</f>
        <v>22.2</v>
      </c>
      <c r="CC402" s="125">
        <f>Tabela1[[#This Row],[Pós LINF %]]</f>
        <v>22.6</v>
      </c>
      <c r="CD402" s="125">
        <f>Tabela1[[#This Row],[Pré MONO %]]</f>
        <v>10.8</v>
      </c>
      <c r="CE402" s="125">
        <f>Tabela1[[#This Row],[Pós MONO %]]</f>
        <v>12.8</v>
      </c>
      <c r="CF402" s="125">
        <f>Tabela1[[#This Row],[Pré EOS %]]</f>
        <v>0.4</v>
      </c>
      <c r="CG402" s="125">
        <f>Tabela1[[#This Row],[Pós EOS %]]</f>
        <v>0.1</v>
      </c>
      <c r="CH402" s="125">
        <f>Tabela1[[#This Row],[Pré BASO %]]</f>
        <v>1</v>
      </c>
      <c r="CI402" s="198">
        <f>Tabela1[[#This Row],[Pós BASO %]]</f>
        <v>0.7</v>
      </c>
      <c r="CJ402" s="199" t="str">
        <f t="shared" si="25"/>
        <v>SIM</v>
      </c>
      <c r="CK402" s="200" t="str">
        <f t="shared" si="26"/>
        <v>SIM</v>
      </c>
      <c r="CL402" s="194">
        <f t="shared" si="27"/>
        <v>79.646280000000004</v>
      </c>
      <c r="CM402" s="125">
        <f>Tabela1[[#This Row],[MCT KG]]</f>
        <v>89.45</v>
      </c>
      <c r="CN402" s="85">
        <f>Tabela1[[#This Row],[ESTATURA]]</f>
        <v>179</v>
      </c>
      <c r="CO402" s="85" t="str">
        <f>Tabela1[[#This Row],[vo2max estimado]]</f>
        <v>49,25</v>
      </c>
      <c r="CP402" s="85">
        <f>Tabela1[[#This Row],[Handgrip     Dominante]]</f>
        <v>56</v>
      </c>
      <c r="CQ402" s="85">
        <f>Tabela1[[#This Row],[Handgrip Contrário]]</f>
        <v>54</v>
      </c>
      <c r="CR402" s="281" t="str">
        <f>Tabela1[[#This Row],[% gordura]]</f>
        <v>10,96</v>
      </c>
    </row>
    <row r="403" spans="1:96" ht="15.75" customHeight="1">
      <c r="A403" s="279">
        <f>Tabela1[[#This Row],[Ano]]</f>
        <v>2023</v>
      </c>
      <c r="B403" s="181" t="str">
        <f>Tabela1[[#This Row],[Missão]]</f>
        <v>Avelar</v>
      </c>
      <c r="C403" s="181">
        <f>Tabela1[[#This Row],[Aluno]]</f>
        <v>3306</v>
      </c>
      <c r="D403" s="181">
        <f>Tabela1[[#This Row],[Idade]]</f>
        <v>33</v>
      </c>
      <c r="E403" s="182">
        <f>Tabela1[[#This Row],[Peso Kg]]</f>
        <v>71.400000000000006</v>
      </c>
      <c r="F403" s="191">
        <f>Tabela1[[#This Row],[Cor da pele]]</f>
        <v>1</v>
      </c>
      <c r="G403" s="192" t="str">
        <f>Tabela1[[#This Row],[ACTN3]]</f>
        <v>RR</v>
      </c>
      <c r="H403" s="85" t="str">
        <f>Tabela1[[#This Row],[AGT]]</f>
        <v>MT</v>
      </c>
      <c r="I403" s="85" t="str">
        <f>Tabela1[[#This Row],[ECA]]</f>
        <v>ID</v>
      </c>
      <c r="J403" s="85">
        <f>Tabela1[[#This Row],[BDKRB2]]</f>
        <v>0</v>
      </c>
      <c r="K403" s="85">
        <f>Tabela1[[#This Row],[Score Força%]]</f>
        <v>62.5</v>
      </c>
      <c r="L403" s="193">
        <f>Tabela1[[#This Row],[Score Resistência %]]</f>
        <v>37.5</v>
      </c>
      <c r="M403" s="192">
        <f>Tabela1[[#This Row],[Pré CK (U/L)]]</f>
        <v>89</v>
      </c>
      <c r="N403" s="85">
        <f>Tabela1[[#This Row],[Pós CK (U/L)]]</f>
        <v>144</v>
      </c>
      <c r="O403" s="85" t="str">
        <f>Tabela1[[#This Row],[Pré CK MB U/L]]</f>
        <v>-</v>
      </c>
      <c r="P403" s="85" t="str">
        <f>Tabela1[[#This Row],[Pós CK MB U/L]]</f>
        <v>-</v>
      </c>
      <c r="Q403" s="85" t="str">
        <f>Tabela1[[#This Row],[Pré Lactato (mmol/L)]]</f>
        <v>-</v>
      </c>
      <c r="R403" s="85" t="str">
        <f>Tabela1[[#This Row],[Pós Lactato (mmol/L)]]</f>
        <v>-</v>
      </c>
      <c r="S403" s="85">
        <f>Tabela1[[#This Row],[Pré LDH (U/L)]]</f>
        <v>140</v>
      </c>
      <c r="T403" s="85">
        <f>Tabela1[[#This Row],[Pós LDH (U/L)]]</f>
        <v>151</v>
      </c>
      <c r="U403" s="85">
        <f>Tabela1[[#This Row],[Pré AST (U/L)]]</f>
        <v>25</v>
      </c>
      <c r="V403" s="193">
        <f>Tabela1[[#This Row],[Pós AST (U/L)]]</f>
        <v>31</v>
      </c>
      <c r="W403" s="194" t="str">
        <f>Tabela1[[#This Row],[Pré Albumina (g/dL)]]</f>
        <v>-</v>
      </c>
      <c r="X403" s="125" t="str">
        <f>Tabela1[[#This Row],[Pós Albumina (g/dL)]]</f>
        <v>-</v>
      </c>
      <c r="Y403" s="85" t="str">
        <f>Tabela1[[#This Row],[Pré TGP (g/dL)]]</f>
        <v>-</v>
      </c>
      <c r="Z403" s="85" t="str">
        <f>Tabela1[[#This Row],[Pós TGP (g/dL)]]</f>
        <v>-</v>
      </c>
      <c r="AA403" s="85" t="str">
        <f>Tabela1[[#This Row],[Pré GGT U/L]]</f>
        <v>-</v>
      </c>
      <c r="AB403" s="193" t="str">
        <f>Tabela1[[#This Row],[Pós GGT U/L]]</f>
        <v>-</v>
      </c>
      <c r="AC403" s="194" t="str">
        <f>Tabela1[[#This Row],[Pré Ac. Úrico (mg/dL)]]</f>
        <v>-</v>
      </c>
      <c r="AD403" s="125" t="str">
        <f>Tabela1[[#This Row],[Pós Ac. Úrico (mg/dL)2]]</f>
        <v>-</v>
      </c>
      <c r="AE403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403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403" s="85">
        <f>Tabela1[[#This Row],[Pré Ureia mg/dL]]</f>
        <v>35</v>
      </c>
      <c r="AH403" s="85">
        <f>Tabela1[[#This Row],[Pós Ureia mg/dL]]</f>
        <v>32</v>
      </c>
      <c r="AI403" s="125">
        <f>Tabela1[[#This Row],[Pré creatinina mg/dL]]</f>
        <v>0.8</v>
      </c>
      <c r="AJ403" s="125">
        <f>Tabela1[[#This Row],[Pós creatinina mg/dL]]</f>
        <v>1.1000000000000001</v>
      </c>
      <c r="AK403" s="180">
        <f t="shared" si="24"/>
        <v>0.30000000000000004</v>
      </c>
      <c r="AL403" s="125" t="str">
        <f>Tabela1[[#This Row],[Pré Fósforo mg/dL]]</f>
        <v>-</v>
      </c>
      <c r="AM403" s="125" t="str">
        <f>Tabela1[[#This Row],[Pós Fósforo mg/dL]]</f>
        <v>-</v>
      </c>
      <c r="AN403" s="125" t="str">
        <f>Tabela1[[#This Row],[Pré Proteína Total (g/dL)]]</f>
        <v>-</v>
      </c>
      <c r="AO403" s="125" t="str">
        <f>Tabela1[[#This Row],[Pós Proteína Total (g/dL)]]</f>
        <v>-</v>
      </c>
      <c r="AP403" s="85" t="str">
        <f>Tabela1[[#This Row],[Pré FE (ug/dL)]]</f>
        <v>-</v>
      </c>
      <c r="AQ403" s="193" t="str">
        <f>Tabela1[[#This Row],[Pós FE (ug/dL)]]</f>
        <v>-</v>
      </c>
      <c r="AR403" s="194" t="str">
        <f>Tabela1[[#This Row],[Pré calcio mg/dL]]</f>
        <v>-</v>
      </c>
      <c r="AS403" s="125" t="str">
        <f>Tabela1[[#This Row],[Pós calcio mg/dL]]</f>
        <v>-</v>
      </c>
      <c r="AT403" s="125">
        <f>Tabela1[[#This Row],[Pré Potássio mmol/L]]</f>
        <v>4.8</v>
      </c>
      <c r="AU403" s="125">
        <f>Tabela1[[#This Row],[Pós Potássio mmol/L]]</f>
        <v>4.5</v>
      </c>
      <c r="AV403" s="85">
        <f>Tabela1[[#This Row],[Glicose pré]]</f>
        <v>78</v>
      </c>
      <c r="AW403" s="85">
        <f>Tabela1[[#This Row],[Glicose pós]]</f>
        <v>83</v>
      </c>
      <c r="AX403" s="85">
        <f>Tabela1[[#This Row],[Pré Sódio mmol/L]]</f>
        <v>138</v>
      </c>
      <c r="AY403" s="85">
        <f>Tabela1[[#This Row],[Pós Sódio mmol/L]]</f>
        <v>140</v>
      </c>
      <c r="AZ403" s="125" t="str">
        <f>Tabela1[[#This Row],[Pré Magnésio mg/dL]]</f>
        <v>-</v>
      </c>
      <c r="BA403" s="125" t="str">
        <f>Tabela1[[#This Row],[Pós Magnésio mg/dL]]</f>
        <v>-</v>
      </c>
      <c r="BB403" s="85">
        <f>Tabela1[[#This Row],[Pré Cloro mmol/L]]</f>
        <v>101</v>
      </c>
      <c r="BC403" s="85">
        <f>Tabela1[[#This Row],[Pós Cloro mmol/L]]</f>
        <v>103</v>
      </c>
      <c r="BD403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290.42466666666672</v>
      </c>
      <c r="BE403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293.4061111111111</v>
      </c>
      <c r="BF403" s="194">
        <f>Tabela1[[#This Row],[Pré RBC 10^6/mm³]]</f>
        <v>5.0999999999999996</v>
      </c>
      <c r="BG403" s="125">
        <f>Tabela1[[#This Row],[Pós RBC 10^6/mm³]]</f>
        <v>5.4</v>
      </c>
      <c r="BH403" s="125">
        <f>Tabela1[[#This Row],[Pré HGB g/dL]]</f>
        <v>14.8</v>
      </c>
      <c r="BI403" s="125">
        <f>Tabela1[[#This Row],[Pós HGB g/dL]]</f>
        <v>15.5</v>
      </c>
      <c r="BJ403" s="125">
        <f>Tabela1[[#This Row],[Pré HCT %]]</f>
        <v>44</v>
      </c>
      <c r="BK403" s="125">
        <f>Tabela1[[#This Row],[Pós HCT %]]</f>
        <v>45.8</v>
      </c>
      <c r="BL403" s="125">
        <f>Tabela1[[#This Row],[Pré MCV fL]]</f>
        <v>86.3</v>
      </c>
      <c r="BM403" s="125">
        <f>Tabela1[[#This Row],[Pós MCV fL]]</f>
        <v>84.8</v>
      </c>
      <c r="BN403" s="125">
        <f>Tabela1[[#This Row],[Pré MCH pg]]</f>
        <v>29</v>
      </c>
      <c r="BO403" s="125">
        <f>Tabela1[[#This Row],[Pós MCH pg]]</f>
        <v>28.7</v>
      </c>
      <c r="BP403" s="125">
        <f>Tabela1[[#This Row],[Pré MCHC g/dL]]</f>
        <v>33.6</v>
      </c>
      <c r="BQ403" s="125">
        <f>Tabela1[[#This Row],[Pós MCHC g/dL]]</f>
        <v>33.799999999999997</v>
      </c>
      <c r="BR403" s="85">
        <f>Tabela1[[#This Row],[Pré PLT 10³/mm³]]</f>
        <v>199</v>
      </c>
      <c r="BS403" s="85">
        <f>Tabela1[[#This Row],[Pós PLT 10³/mm³]]</f>
        <v>241</v>
      </c>
      <c r="BT403" s="125">
        <f>Tabela1[[#This Row],[Pré RDW %]]</f>
        <v>11.6</v>
      </c>
      <c r="BU403" s="125">
        <f>Tabela1[[#This Row],[Pós RDW %]]</f>
        <v>11.7</v>
      </c>
      <c r="BV403" s="179" t="str">
        <f>Tabela1[[#This Row],[Pré RET %]]</f>
        <v>-</v>
      </c>
      <c r="BW403" s="196" t="str">
        <f>Tabela1[[#This Row],[Pós RET %]]</f>
        <v>-</v>
      </c>
      <c r="BX403" s="197">
        <f>Tabela1[[#This Row],[Pré WBC 10³/mm³]]</f>
        <v>11.5</v>
      </c>
      <c r="BY403" s="179">
        <f>Tabela1[[#This Row],[Pós WBC 10³/mm³]]</f>
        <v>12.3</v>
      </c>
      <c r="BZ403" s="125">
        <f>Tabela1[[#This Row],[Pré NEUT %]]</f>
        <v>62.5</v>
      </c>
      <c r="CA403" s="125">
        <f>Tabela1[[#This Row],[Pós NEUT %]]</f>
        <v>54.8</v>
      </c>
      <c r="CB403" s="125">
        <f>Tabela1[[#This Row],[Pré LINF %]]</f>
        <v>27.7</v>
      </c>
      <c r="CC403" s="125">
        <f>Tabela1[[#This Row],[Pós LINF %]]</f>
        <v>35.6</v>
      </c>
      <c r="CD403" s="125">
        <f>Tabela1[[#This Row],[Pré MONO %]]</f>
        <v>7.7</v>
      </c>
      <c r="CE403" s="125">
        <f>Tabela1[[#This Row],[Pós MONO %]]</f>
        <v>7.6</v>
      </c>
      <c r="CF403" s="125">
        <f>Tabela1[[#This Row],[Pré EOS %]]</f>
        <v>1.3</v>
      </c>
      <c r="CG403" s="125">
        <f>Tabela1[[#This Row],[Pós EOS %]]</f>
        <v>1.1000000000000001</v>
      </c>
      <c r="CH403" s="125">
        <f>Tabela1[[#This Row],[Pré BASO %]]</f>
        <v>0.8</v>
      </c>
      <c r="CI403" s="198">
        <f>Tabela1[[#This Row],[Pós BASO %]]</f>
        <v>0.9</v>
      </c>
      <c r="CJ403" s="199" t="str">
        <f t="shared" si="25"/>
        <v>SIM</v>
      </c>
      <c r="CK403" s="200" t="str">
        <f t="shared" si="26"/>
        <v>NÃO</v>
      </c>
      <c r="CL403" s="194">
        <f t="shared" si="27"/>
        <v>63.732880000000009</v>
      </c>
      <c r="CM403" s="125">
        <f>Tabela1[[#This Row],[MCT KG]]</f>
        <v>76.400000000000006</v>
      </c>
      <c r="CN403" s="85">
        <f>Tabela1[[#This Row],[ESTATURA]]</f>
        <v>175.5</v>
      </c>
      <c r="CO403" s="85" t="str">
        <f>Tabela1[[#This Row],[vo2max estimado]]</f>
        <v>50,68</v>
      </c>
      <c r="CP403" s="85">
        <f>Tabela1[[#This Row],[Handgrip     Dominante]]</f>
        <v>53</v>
      </c>
      <c r="CQ403" s="85">
        <f>Tabela1[[#This Row],[Handgrip Contrário]]</f>
        <v>50</v>
      </c>
      <c r="CR403" s="281" t="str">
        <f>Tabela1[[#This Row],[% gordura]]</f>
        <v>16,58</v>
      </c>
    </row>
    <row r="404" spans="1:96" ht="15.75" customHeight="1">
      <c r="A404" s="279">
        <f>Tabela1[[#This Row],[Ano]]</f>
        <v>2023</v>
      </c>
      <c r="B404" s="181" t="str">
        <f>Tabela1[[#This Row],[Missão]]</f>
        <v>Avelar</v>
      </c>
      <c r="C404" s="181">
        <f>Tabela1[[#This Row],[Aluno]]</f>
        <v>3328</v>
      </c>
      <c r="D404" s="181" t="str">
        <f>Tabela1[[#This Row],[Idade]]</f>
        <v>-</v>
      </c>
      <c r="E404" s="182">
        <f>Tabela1[[#This Row],[Peso Kg]]</f>
        <v>88.9</v>
      </c>
      <c r="F404" s="191" t="str">
        <f>Tabela1[[#This Row],[Cor da pele]]</f>
        <v>-</v>
      </c>
      <c r="G404" s="192" t="str">
        <f>Tabela1[[#This Row],[ACTN3]]</f>
        <v>-</v>
      </c>
      <c r="H404" s="85" t="str">
        <f>Tabela1[[#This Row],[AGT]]</f>
        <v>-</v>
      </c>
      <c r="I404" s="85" t="str">
        <f>Tabela1[[#This Row],[ECA]]</f>
        <v>-</v>
      </c>
      <c r="J404" s="85" t="str">
        <f>Tabela1[[#This Row],[BDKRB2]]</f>
        <v>-</v>
      </c>
      <c r="K404" s="85" t="str">
        <f>Tabela1[[#This Row],[Score Força%]]</f>
        <v>-</v>
      </c>
      <c r="L404" s="193" t="str">
        <f>Tabela1[[#This Row],[Score Resistência %]]</f>
        <v>-</v>
      </c>
      <c r="M404" s="192">
        <f>Tabela1[[#This Row],[Pré CK (U/L)]]</f>
        <v>102</v>
      </c>
      <c r="N404" s="85">
        <f>Tabela1[[#This Row],[Pós CK (U/L)]]</f>
        <v>1216</v>
      </c>
      <c r="O404" s="85" t="str">
        <f>Tabela1[[#This Row],[Pré CK MB U/L]]</f>
        <v>-</v>
      </c>
      <c r="P404" s="85" t="str">
        <f>Tabela1[[#This Row],[Pós CK MB U/L]]</f>
        <v>-</v>
      </c>
      <c r="Q404" s="85" t="str">
        <f>Tabela1[[#This Row],[Pré Lactato (mmol/L)]]</f>
        <v>-</v>
      </c>
      <c r="R404" s="85" t="str">
        <f>Tabela1[[#This Row],[Pós Lactato (mmol/L)]]</f>
        <v>-</v>
      </c>
      <c r="S404" s="85">
        <f>Tabela1[[#This Row],[Pré LDH (U/L)]]</f>
        <v>148</v>
      </c>
      <c r="T404" s="85">
        <f>Tabela1[[#This Row],[Pós LDH (U/L)]]</f>
        <v>152</v>
      </c>
      <c r="U404" s="85">
        <f>Tabela1[[#This Row],[Pré AST (U/L)]]</f>
        <v>24</v>
      </c>
      <c r="V404" s="193">
        <f>Tabela1[[#This Row],[Pós AST (U/L)]]</f>
        <v>70</v>
      </c>
      <c r="W404" s="194" t="str">
        <f>Tabela1[[#This Row],[Pré Albumina (g/dL)]]</f>
        <v>-</v>
      </c>
      <c r="X404" s="125" t="str">
        <f>Tabela1[[#This Row],[Pós Albumina (g/dL)]]</f>
        <v>-</v>
      </c>
      <c r="Y404" s="85" t="str">
        <f>Tabela1[[#This Row],[Pré TGP (g/dL)]]</f>
        <v>-</v>
      </c>
      <c r="Z404" s="85" t="str">
        <f>Tabela1[[#This Row],[Pós TGP (g/dL)]]</f>
        <v>-</v>
      </c>
      <c r="AA404" s="85" t="str">
        <f>Tabela1[[#This Row],[Pré GGT U/L]]</f>
        <v>-</v>
      </c>
      <c r="AB404" s="193" t="str">
        <f>Tabela1[[#This Row],[Pós GGT U/L]]</f>
        <v>-</v>
      </c>
      <c r="AC404" s="194" t="str">
        <f>Tabela1[[#This Row],[Pré Ac. Úrico (mg/dL)]]</f>
        <v>-</v>
      </c>
      <c r="AD404" s="125" t="str">
        <f>Tabela1[[#This Row],[Pós Ac. Úrico (mg/dL)2]]</f>
        <v>-</v>
      </c>
      <c r="AE404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404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404" s="85">
        <f>Tabela1[[#This Row],[Pré Ureia mg/dL]]</f>
        <v>34</v>
      </c>
      <c r="AH404" s="85">
        <f>Tabela1[[#This Row],[Pós Ureia mg/dL]]</f>
        <v>42</v>
      </c>
      <c r="AI404" s="125">
        <f>Tabela1[[#This Row],[Pré creatinina mg/dL]]</f>
        <v>0.8</v>
      </c>
      <c r="AJ404" s="125">
        <f>Tabela1[[#This Row],[Pós creatinina mg/dL]]</f>
        <v>1.3</v>
      </c>
      <c r="AK404" s="180">
        <f t="shared" si="24"/>
        <v>0.5</v>
      </c>
      <c r="AL404" s="125" t="str">
        <f>Tabela1[[#This Row],[Pré Fósforo mg/dL]]</f>
        <v>-</v>
      </c>
      <c r="AM404" s="125" t="str">
        <f>Tabela1[[#This Row],[Pós Fósforo mg/dL]]</f>
        <v>-</v>
      </c>
      <c r="AN404" s="125" t="str">
        <f>Tabela1[[#This Row],[Pré Proteína Total (g/dL)]]</f>
        <v>-</v>
      </c>
      <c r="AO404" s="125" t="str">
        <f>Tabela1[[#This Row],[Pós Proteína Total (g/dL)]]</f>
        <v>-</v>
      </c>
      <c r="AP404" s="85" t="str">
        <f>Tabela1[[#This Row],[Pré FE (ug/dL)]]</f>
        <v>-</v>
      </c>
      <c r="AQ404" s="193" t="str">
        <f>Tabela1[[#This Row],[Pós FE (ug/dL)]]</f>
        <v>-</v>
      </c>
      <c r="AR404" s="194" t="str">
        <f>Tabela1[[#This Row],[Pré calcio mg/dL]]</f>
        <v>-</v>
      </c>
      <c r="AS404" s="125" t="str">
        <f>Tabela1[[#This Row],[Pós calcio mg/dL]]</f>
        <v>-</v>
      </c>
      <c r="AT404" s="125">
        <f>Tabela1[[#This Row],[Pré Potássio mmol/L]]</f>
        <v>4</v>
      </c>
      <c r="AU404" s="125">
        <f>Tabela1[[#This Row],[Pós Potássio mmol/L]]</f>
        <v>3.9</v>
      </c>
      <c r="AV404" s="85">
        <f>Tabela1[[#This Row],[Glicose pré]]</f>
        <v>85</v>
      </c>
      <c r="AW404" s="85">
        <f>Tabela1[[#This Row],[Glicose pós]]</f>
        <v>90</v>
      </c>
      <c r="AX404" s="85">
        <f>Tabela1[[#This Row],[Pré Sódio mmol/L]]</f>
        <v>137</v>
      </c>
      <c r="AY404" s="85">
        <f>Tabela1[[#This Row],[Pós Sódio mmol/L]]</f>
        <v>139</v>
      </c>
      <c r="AZ404" s="125" t="str">
        <f>Tabela1[[#This Row],[Pré Magnésio mg/dL]]</f>
        <v>-</v>
      </c>
      <c r="BA404" s="125" t="str">
        <f>Tabela1[[#This Row],[Pós Magnésio mg/dL]]</f>
        <v>-</v>
      </c>
      <c r="BB404" s="85">
        <f>Tabela1[[#This Row],[Pré Cloro mmol/L]]</f>
        <v>100</v>
      </c>
      <c r="BC404" s="85">
        <f>Tabela1[[#This Row],[Pós Cloro mmol/L]]</f>
        <v>101</v>
      </c>
      <c r="BD404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287.35722222222222</v>
      </c>
      <c r="BE404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292.54400000000004</v>
      </c>
      <c r="BF404" s="194">
        <f>Tabela1[[#This Row],[Pré RBC 10^6/mm³]]</f>
        <v>5.46</v>
      </c>
      <c r="BG404" s="125">
        <f>Tabela1[[#This Row],[Pós RBC 10^6/mm³]]</f>
        <v>5.97</v>
      </c>
      <c r="BH404" s="125">
        <f>Tabela1[[#This Row],[Pré HGB g/dL]]</f>
        <v>14.7</v>
      </c>
      <c r="BI404" s="125">
        <f>Tabela1[[#This Row],[Pós HGB g/dL]]</f>
        <v>15.8</v>
      </c>
      <c r="BJ404" s="125">
        <f>Tabela1[[#This Row],[Pré HCT %]]</f>
        <v>44.3</v>
      </c>
      <c r="BK404" s="125">
        <f>Tabela1[[#This Row],[Pós HCT %]]</f>
        <v>47.1</v>
      </c>
      <c r="BL404" s="125">
        <f>Tabela1[[#This Row],[Pré MCV fL]]</f>
        <v>81.099999999999994</v>
      </c>
      <c r="BM404" s="125">
        <f>Tabela1[[#This Row],[Pós MCV fL]]</f>
        <v>78.900000000000006</v>
      </c>
      <c r="BN404" s="125">
        <f>Tabela1[[#This Row],[Pré MCH pg]]</f>
        <v>26.9</v>
      </c>
      <c r="BO404" s="125">
        <f>Tabela1[[#This Row],[Pós MCH pg]]</f>
        <v>26.5</v>
      </c>
      <c r="BP404" s="125">
        <f>Tabela1[[#This Row],[Pré MCHC g/dL]]</f>
        <v>33.200000000000003</v>
      </c>
      <c r="BQ404" s="125">
        <f>Tabela1[[#This Row],[Pós MCHC g/dL]]</f>
        <v>33.5</v>
      </c>
      <c r="BR404" s="85">
        <f>Tabela1[[#This Row],[Pré PLT 10³/mm³]]</f>
        <v>227</v>
      </c>
      <c r="BS404" s="85">
        <f>Tabela1[[#This Row],[Pós PLT 10³/mm³]]</f>
        <v>267</v>
      </c>
      <c r="BT404" s="125">
        <f>Tabela1[[#This Row],[Pré RDW %]]</f>
        <v>12.4</v>
      </c>
      <c r="BU404" s="125">
        <f>Tabela1[[#This Row],[Pós RDW %]]</f>
        <v>13</v>
      </c>
      <c r="BV404" s="179" t="str">
        <f>Tabela1[[#This Row],[Pré RET %]]</f>
        <v>-</v>
      </c>
      <c r="BW404" s="196" t="str">
        <f>Tabela1[[#This Row],[Pós RET %]]</f>
        <v>-</v>
      </c>
      <c r="BX404" s="197">
        <f>Tabela1[[#This Row],[Pré WBC 10³/mm³]]</f>
        <v>4.53</v>
      </c>
      <c r="BY404" s="179">
        <f>Tabela1[[#This Row],[Pós WBC 10³/mm³]]</f>
        <v>10.01</v>
      </c>
      <c r="BZ404" s="125">
        <f>Tabela1[[#This Row],[Pré NEUT %]]</f>
        <v>61.2</v>
      </c>
      <c r="CA404" s="125">
        <f>Tabela1[[#This Row],[Pós NEUT %]]</f>
        <v>63.4</v>
      </c>
      <c r="CB404" s="125">
        <f>Tabela1[[#This Row],[Pré LINF %]]</f>
        <v>28.9</v>
      </c>
      <c r="CC404" s="125">
        <f>Tabela1[[#This Row],[Pós LINF %]]</f>
        <v>27.1</v>
      </c>
      <c r="CD404" s="125">
        <f>Tabela1[[#This Row],[Pré MONO %]]</f>
        <v>7.7</v>
      </c>
      <c r="CE404" s="125">
        <f>Tabela1[[#This Row],[Pós MONO %]]</f>
        <v>8.5</v>
      </c>
      <c r="CF404" s="125">
        <f>Tabela1[[#This Row],[Pré EOS %]]</f>
        <v>1.5</v>
      </c>
      <c r="CG404" s="125">
        <f>Tabela1[[#This Row],[Pós EOS %]]</f>
        <v>0.5</v>
      </c>
      <c r="CH404" s="125">
        <f>Tabela1[[#This Row],[Pré BASO %]]</f>
        <v>0.7</v>
      </c>
      <c r="CI404" s="198">
        <f>Tabela1[[#This Row],[Pós BASO %]]</f>
        <v>0.5</v>
      </c>
      <c r="CJ404" s="199" t="str">
        <f t="shared" si="25"/>
        <v>SIM</v>
      </c>
      <c r="CK404" s="200" t="str">
        <f t="shared" si="26"/>
        <v>SIM</v>
      </c>
      <c r="CL404" s="194" t="e">
        <f t="shared" si="27"/>
        <v>#VALUE!</v>
      </c>
      <c r="CM404" s="125" t="str">
        <f>Tabela1[[#This Row],[MCT KG]]</f>
        <v>-</v>
      </c>
      <c r="CN404" s="85" t="str">
        <f>Tabela1[[#This Row],[ESTATURA]]</f>
        <v>-</v>
      </c>
      <c r="CO404" s="85" t="str">
        <f>Tabela1[[#This Row],[vo2max estimado]]</f>
        <v>-</v>
      </c>
      <c r="CP404" s="85" t="str">
        <f>Tabela1[[#This Row],[Handgrip     Dominante]]</f>
        <v>-</v>
      </c>
      <c r="CQ404" s="85" t="str">
        <f>Tabela1[[#This Row],[Handgrip Contrário]]</f>
        <v>-</v>
      </c>
      <c r="CR404" s="281" t="str">
        <f>Tabela1[[#This Row],[% gordura]]</f>
        <v>-</v>
      </c>
    </row>
    <row r="405" spans="1:96" ht="15.75" customHeight="1">
      <c r="A405" s="279">
        <f>Tabela1[[#This Row],[Ano]]</f>
        <v>2023</v>
      </c>
      <c r="B405" s="181" t="str">
        <f>Tabela1[[#This Row],[Missão]]</f>
        <v>Avelar</v>
      </c>
      <c r="C405" s="181">
        <f>Tabela1[[#This Row],[Aluno]]</f>
        <v>3330</v>
      </c>
      <c r="D405" s="181">
        <f>Tabela1[[#This Row],[Idade]]</f>
        <v>28</v>
      </c>
      <c r="E405" s="182">
        <f>Tabela1[[#This Row],[Peso Kg]]</f>
        <v>80.5</v>
      </c>
      <c r="F405" s="191">
        <f>Tabela1[[#This Row],[Cor da pele]]</f>
        <v>1</v>
      </c>
      <c r="G405" s="192" t="str">
        <f>Tabela1[[#This Row],[ACTN3]]</f>
        <v>RX</v>
      </c>
      <c r="H405" s="85" t="str">
        <f>Tabela1[[#This Row],[AGT]]</f>
        <v>MM</v>
      </c>
      <c r="I405" s="85" t="str">
        <f>Tabela1[[#This Row],[ECA]]</f>
        <v>DD</v>
      </c>
      <c r="J405" s="85">
        <f>Tabela1[[#This Row],[BDKRB2]]</f>
        <v>0</v>
      </c>
      <c r="K405" s="85">
        <f>Tabela1[[#This Row],[Score Força%]]</f>
        <v>50</v>
      </c>
      <c r="L405" s="193">
        <f>Tabela1[[#This Row],[Score Resistência %]]</f>
        <v>50</v>
      </c>
      <c r="M405" s="192">
        <f>Tabela1[[#This Row],[Pré CK (U/L)]]</f>
        <v>355</v>
      </c>
      <c r="N405" s="85">
        <f>Tabela1[[#This Row],[Pós CK (U/L)]]</f>
        <v>726</v>
      </c>
      <c r="O405" s="85" t="str">
        <f>Tabela1[[#This Row],[Pré CK MB U/L]]</f>
        <v>-</v>
      </c>
      <c r="P405" s="85" t="str">
        <f>Tabela1[[#This Row],[Pós CK MB U/L]]</f>
        <v>-</v>
      </c>
      <c r="Q405" s="85" t="str">
        <f>Tabela1[[#This Row],[Pré Lactato (mmol/L)]]</f>
        <v>-</v>
      </c>
      <c r="R405" s="85" t="str">
        <f>Tabela1[[#This Row],[Pós Lactato (mmol/L)]]</f>
        <v>-</v>
      </c>
      <c r="S405" s="85">
        <f>Tabela1[[#This Row],[Pré LDH (U/L)]]</f>
        <v>202</v>
      </c>
      <c r="T405" s="85">
        <f>Tabela1[[#This Row],[Pós LDH (U/L)]]</f>
        <v>171</v>
      </c>
      <c r="U405" s="85">
        <f>Tabela1[[#This Row],[Pré AST (U/L)]]</f>
        <v>40</v>
      </c>
      <c r="V405" s="193">
        <f>Tabela1[[#This Row],[Pós AST (U/L)]]</f>
        <v>37</v>
      </c>
      <c r="W405" s="194" t="str">
        <f>Tabela1[[#This Row],[Pré Albumina (g/dL)]]</f>
        <v>-</v>
      </c>
      <c r="X405" s="125" t="str">
        <f>Tabela1[[#This Row],[Pós Albumina (g/dL)]]</f>
        <v>-</v>
      </c>
      <c r="Y405" s="85" t="str">
        <f>Tabela1[[#This Row],[Pré TGP (g/dL)]]</f>
        <v>-</v>
      </c>
      <c r="Z405" s="85" t="str">
        <f>Tabela1[[#This Row],[Pós TGP (g/dL)]]</f>
        <v>-</v>
      </c>
      <c r="AA405" s="85" t="str">
        <f>Tabela1[[#This Row],[Pré GGT U/L]]</f>
        <v>-</v>
      </c>
      <c r="AB405" s="193" t="str">
        <f>Tabela1[[#This Row],[Pós GGT U/L]]</f>
        <v>-</v>
      </c>
      <c r="AC405" s="194" t="str">
        <f>Tabela1[[#This Row],[Pré Ac. Úrico (mg/dL)]]</f>
        <v>-</v>
      </c>
      <c r="AD405" s="125" t="str">
        <f>Tabela1[[#This Row],[Pós Ac. Úrico (mg/dL)2]]</f>
        <v>-</v>
      </c>
      <c r="AE405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405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405" s="85">
        <f>Tabela1[[#This Row],[Pré Ureia mg/dL]]</f>
        <v>28</v>
      </c>
      <c r="AH405" s="85">
        <f>Tabela1[[#This Row],[Pós Ureia mg/dL]]</f>
        <v>29</v>
      </c>
      <c r="AI405" s="125">
        <f>Tabela1[[#This Row],[Pré creatinina mg/dL]]</f>
        <v>0.8</v>
      </c>
      <c r="AJ405" s="125">
        <f>Tabela1[[#This Row],[Pós creatinina mg/dL]]</f>
        <v>1</v>
      </c>
      <c r="AK405" s="180">
        <f t="shared" si="24"/>
        <v>0.19999999999999996</v>
      </c>
      <c r="AL405" s="125" t="str">
        <f>Tabela1[[#This Row],[Pré Fósforo mg/dL]]</f>
        <v>-</v>
      </c>
      <c r="AM405" s="125" t="str">
        <f>Tabela1[[#This Row],[Pós Fósforo mg/dL]]</f>
        <v>-</v>
      </c>
      <c r="AN405" s="125" t="str">
        <f>Tabela1[[#This Row],[Pré Proteína Total (g/dL)]]</f>
        <v>-</v>
      </c>
      <c r="AO405" s="125" t="str">
        <f>Tabela1[[#This Row],[Pós Proteína Total (g/dL)]]</f>
        <v>-</v>
      </c>
      <c r="AP405" s="85" t="str">
        <f>Tabela1[[#This Row],[Pré FE (ug/dL)]]</f>
        <v>-</v>
      </c>
      <c r="AQ405" s="193" t="str">
        <f>Tabela1[[#This Row],[Pós FE (ug/dL)]]</f>
        <v>-</v>
      </c>
      <c r="AR405" s="194" t="str">
        <f>Tabela1[[#This Row],[Pré calcio mg/dL]]</f>
        <v>-</v>
      </c>
      <c r="AS405" s="125" t="str">
        <f>Tabela1[[#This Row],[Pós calcio mg/dL]]</f>
        <v>-</v>
      </c>
      <c r="AT405" s="125">
        <f>Tabela1[[#This Row],[Pré Potássio mmol/L]]</f>
        <v>4.3</v>
      </c>
      <c r="AU405" s="125">
        <f>Tabela1[[#This Row],[Pós Potássio mmol/L]]</f>
        <v>4</v>
      </c>
      <c r="AV405" s="85">
        <f>Tabela1[[#This Row],[Glicose pré]]</f>
        <v>83</v>
      </c>
      <c r="AW405" s="85">
        <f>Tabela1[[#This Row],[Glicose pós]]</f>
        <v>92</v>
      </c>
      <c r="AX405" s="85">
        <f>Tabela1[[#This Row],[Pré Sódio mmol/L]]</f>
        <v>138</v>
      </c>
      <c r="AY405" s="85">
        <f>Tabela1[[#This Row],[Pós Sódio mmol/L]]</f>
        <v>136</v>
      </c>
      <c r="AZ405" s="125" t="str">
        <f>Tabela1[[#This Row],[Pré Magnésio mg/dL]]</f>
        <v>-</v>
      </c>
      <c r="BA405" s="125" t="str">
        <f>Tabela1[[#This Row],[Pós Magnésio mg/dL]]</f>
        <v>-</v>
      </c>
      <c r="BB405" s="85">
        <f>Tabela1[[#This Row],[Pré Cloro mmol/L]]</f>
        <v>99</v>
      </c>
      <c r="BC405" s="85">
        <f>Tabela1[[#This Row],[Pós Cloro mmol/L]]</f>
        <v>100</v>
      </c>
      <c r="BD405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288.64744444444449</v>
      </c>
      <c r="BE405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285.11111111111114</v>
      </c>
      <c r="BF405" s="194">
        <f>Tabela1[[#This Row],[Pré RBC 10^6/mm³]]</f>
        <v>5.0199999999999996</v>
      </c>
      <c r="BG405" s="125">
        <f>Tabela1[[#This Row],[Pós RBC 10^6/mm³]]</f>
        <v>4.62</v>
      </c>
      <c r="BH405" s="125">
        <f>Tabela1[[#This Row],[Pré HGB g/dL]]</f>
        <v>14.7</v>
      </c>
      <c r="BI405" s="125">
        <f>Tabela1[[#This Row],[Pós HGB g/dL]]</f>
        <v>13.6</v>
      </c>
      <c r="BJ405" s="125">
        <f>Tabela1[[#This Row],[Pré HCT %]]</f>
        <v>43.9</v>
      </c>
      <c r="BK405" s="125">
        <f>Tabela1[[#This Row],[Pós HCT %]]</f>
        <v>40.4</v>
      </c>
      <c r="BL405" s="125">
        <f>Tabela1[[#This Row],[Pré MCV fL]]</f>
        <v>87.5</v>
      </c>
      <c r="BM405" s="125">
        <f>Tabela1[[#This Row],[Pós MCV fL]]</f>
        <v>87.4</v>
      </c>
      <c r="BN405" s="125">
        <f>Tabela1[[#This Row],[Pré MCH pg]]</f>
        <v>29.3</v>
      </c>
      <c r="BO405" s="125">
        <f>Tabela1[[#This Row],[Pós MCH pg]]</f>
        <v>29.4</v>
      </c>
      <c r="BP405" s="125">
        <f>Tabela1[[#This Row],[Pré MCHC g/dL]]</f>
        <v>33.5</v>
      </c>
      <c r="BQ405" s="125">
        <f>Tabela1[[#This Row],[Pós MCHC g/dL]]</f>
        <v>33.700000000000003</v>
      </c>
      <c r="BR405" s="85">
        <f>Tabela1[[#This Row],[Pré PLT 10³/mm³]]</f>
        <v>171</v>
      </c>
      <c r="BS405" s="85">
        <f>Tabela1[[#This Row],[Pós PLT 10³/mm³]]</f>
        <v>216</v>
      </c>
      <c r="BT405" s="125">
        <f>Tabela1[[#This Row],[Pré RDW %]]</f>
        <v>12.1</v>
      </c>
      <c r="BU405" s="125">
        <f>Tabela1[[#This Row],[Pós RDW %]]</f>
        <v>12.4</v>
      </c>
      <c r="BV405" s="179" t="str">
        <f>Tabela1[[#This Row],[Pré RET %]]</f>
        <v>-</v>
      </c>
      <c r="BW405" s="196" t="str">
        <f>Tabela1[[#This Row],[Pós RET %]]</f>
        <v>-</v>
      </c>
      <c r="BX405" s="197">
        <f>Tabela1[[#This Row],[Pré WBC 10³/mm³]]</f>
        <v>5.48</v>
      </c>
      <c r="BY405" s="179">
        <f>Tabela1[[#This Row],[Pós WBC 10³/mm³]]</f>
        <v>8.18</v>
      </c>
      <c r="BZ405" s="125">
        <f>Tabela1[[#This Row],[Pré NEUT %]]</f>
        <v>59.7</v>
      </c>
      <c r="CA405" s="125">
        <f>Tabela1[[#This Row],[Pós NEUT %]]</f>
        <v>70.8</v>
      </c>
      <c r="CB405" s="125">
        <f>Tabela1[[#This Row],[Pré LINF %]]</f>
        <v>30.8</v>
      </c>
      <c r="CC405" s="125">
        <f>Tabela1[[#This Row],[Pós LINF %]]</f>
        <v>20.2</v>
      </c>
      <c r="CD405" s="125">
        <f>Tabela1[[#This Row],[Pré MONO %]]</f>
        <v>7.8</v>
      </c>
      <c r="CE405" s="125">
        <f>Tabela1[[#This Row],[Pós MONO %]]</f>
        <v>8.6999999999999993</v>
      </c>
      <c r="CF405" s="125">
        <f>Tabela1[[#This Row],[Pré EOS %]]</f>
        <v>1.3</v>
      </c>
      <c r="CG405" s="125">
        <f>Tabela1[[#This Row],[Pós EOS %]]</f>
        <v>0.2</v>
      </c>
      <c r="CH405" s="125">
        <f>Tabela1[[#This Row],[Pré BASO %]]</f>
        <v>0.4</v>
      </c>
      <c r="CI405" s="198">
        <f>Tabela1[[#This Row],[Pós BASO %]]</f>
        <v>0.1</v>
      </c>
      <c r="CJ405" s="199" t="str">
        <f t="shared" si="25"/>
        <v>NÃO</v>
      </c>
      <c r="CK405" s="200" t="str">
        <f t="shared" si="26"/>
        <v>NÃO</v>
      </c>
      <c r="CL405" s="194">
        <f t="shared" si="27"/>
        <v>67.44474000000001</v>
      </c>
      <c r="CM405" s="125">
        <f>Tabela1[[#This Row],[MCT KG]]</f>
        <v>75.900000000000006</v>
      </c>
      <c r="CN405" s="85">
        <f>Tabela1[[#This Row],[ESTATURA]]</f>
        <v>182</v>
      </c>
      <c r="CO405" s="85" t="str">
        <f>Tabela1[[#This Row],[vo2max estimado]]</f>
        <v>53,11</v>
      </c>
      <c r="CP405" s="85">
        <f>Tabela1[[#This Row],[Handgrip     Dominante]]</f>
        <v>52</v>
      </c>
      <c r="CQ405" s="85">
        <f>Tabela1[[#This Row],[Handgrip Contrário]]</f>
        <v>42</v>
      </c>
      <c r="CR405" s="281" t="str">
        <f>Tabela1[[#This Row],[% gordura]]</f>
        <v>11,14</v>
      </c>
    </row>
    <row r="406" spans="1:96" ht="15.75" customHeight="1">
      <c r="A406" s="279">
        <f>Tabela1[[#This Row],[Ano]]</f>
        <v>2023</v>
      </c>
      <c r="B406" s="181" t="str">
        <f>Tabela1[[#This Row],[Missão]]</f>
        <v>Avelar</v>
      </c>
      <c r="C406" s="181">
        <f>Tabela1[[#This Row],[Aluno]]</f>
        <v>3331</v>
      </c>
      <c r="D406" s="181">
        <f>Tabela1[[#This Row],[Idade]]</f>
        <v>28</v>
      </c>
      <c r="E406" s="182">
        <f>Tabela1[[#This Row],[Peso Kg]]</f>
        <v>84.1</v>
      </c>
      <c r="F406" s="191">
        <f>Tabela1[[#This Row],[Cor da pele]]</f>
        <v>1</v>
      </c>
      <c r="G406" s="192" t="str">
        <f>Tabela1[[#This Row],[ACTN3]]</f>
        <v>RX</v>
      </c>
      <c r="H406" s="85" t="str">
        <f>Tabela1[[#This Row],[AGT]]</f>
        <v>MT</v>
      </c>
      <c r="I406" s="85" t="str">
        <f>Tabela1[[#This Row],[ECA]]</f>
        <v>DD</v>
      </c>
      <c r="J406" s="85" t="str">
        <f>Tabela1[[#This Row],[BDKRB2]]</f>
        <v xml:space="preserve"> +9,+9</v>
      </c>
      <c r="K406" s="85">
        <f>Tabela1[[#This Row],[Score Força%]]</f>
        <v>75</v>
      </c>
      <c r="L406" s="193">
        <f>Tabela1[[#This Row],[Score Resistência %]]</f>
        <v>25</v>
      </c>
      <c r="M406" s="192">
        <f>Tabela1[[#This Row],[Pré CK (U/L)]]</f>
        <v>88</v>
      </c>
      <c r="N406" s="85">
        <f>Tabela1[[#This Row],[Pós CK (U/L)]]</f>
        <v>849</v>
      </c>
      <c r="O406" s="85" t="str">
        <f>Tabela1[[#This Row],[Pré CK MB U/L]]</f>
        <v>-</v>
      </c>
      <c r="P406" s="85" t="str">
        <f>Tabela1[[#This Row],[Pós CK MB U/L]]</f>
        <v>-</v>
      </c>
      <c r="Q406" s="85" t="str">
        <f>Tabela1[[#This Row],[Pré Lactato (mmol/L)]]</f>
        <v>-</v>
      </c>
      <c r="R406" s="85" t="str">
        <f>Tabela1[[#This Row],[Pós Lactato (mmol/L)]]</f>
        <v>-</v>
      </c>
      <c r="S406" s="85">
        <f>Tabela1[[#This Row],[Pré LDH (U/L)]]</f>
        <v>161</v>
      </c>
      <c r="T406" s="85">
        <f>Tabela1[[#This Row],[Pós LDH (U/L)]]</f>
        <v>143</v>
      </c>
      <c r="U406" s="85">
        <f>Tabela1[[#This Row],[Pré AST (U/L)]]</f>
        <v>21</v>
      </c>
      <c r="V406" s="193">
        <f>Tabela1[[#This Row],[Pós AST (U/L)]]</f>
        <v>45</v>
      </c>
      <c r="W406" s="194" t="str">
        <f>Tabela1[[#This Row],[Pré Albumina (g/dL)]]</f>
        <v>-</v>
      </c>
      <c r="X406" s="125" t="str">
        <f>Tabela1[[#This Row],[Pós Albumina (g/dL)]]</f>
        <v>-</v>
      </c>
      <c r="Y406" s="85" t="str">
        <f>Tabela1[[#This Row],[Pré TGP (g/dL)]]</f>
        <v>-</v>
      </c>
      <c r="Z406" s="85" t="str">
        <f>Tabela1[[#This Row],[Pós TGP (g/dL)]]</f>
        <v>-</v>
      </c>
      <c r="AA406" s="85" t="str">
        <f>Tabela1[[#This Row],[Pré GGT U/L]]</f>
        <v>-</v>
      </c>
      <c r="AB406" s="193" t="str">
        <f>Tabela1[[#This Row],[Pós GGT U/L]]</f>
        <v>-</v>
      </c>
      <c r="AC406" s="194" t="str">
        <f>Tabela1[[#This Row],[Pré Ac. Úrico (mg/dL)]]</f>
        <v>-</v>
      </c>
      <c r="AD406" s="125" t="str">
        <f>Tabela1[[#This Row],[Pós Ac. Úrico (mg/dL)2]]</f>
        <v>-</v>
      </c>
      <c r="AE406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123.62553772503618</v>
      </c>
      <c r="AF406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105.13592575999401</v>
      </c>
      <c r="AG406" s="85">
        <f>Tabela1[[#This Row],[Pré Ureia mg/dL]]</f>
        <v>33</v>
      </c>
      <c r="AH406" s="85">
        <f>Tabela1[[#This Row],[Pós Ureia mg/dL]]</f>
        <v>36</v>
      </c>
      <c r="AI406" s="125">
        <f>Tabela1[[#This Row],[Pré creatinina mg/dL]]</f>
        <v>0.8</v>
      </c>
      <c r="AJ406" s="125">
        <f>Tabela1[[#This Row],[Pós creatinina mg/dL]]</f>
        <v>1</v>
      </c>
      <c r="AK406" s="180">
        <f t="shared" si="24"/>
        <v>0.19999999999999996</v>
      </c>
      <c r="AL406" s="125" t="str">
        <f>Tabela1[[#This Row],[Pré Fósforo mg/dL]]</f>
        <v>-</v>
      </c>
      <c r="AM406" s="125" t="str">
        <f>Tabela1[[#This Row],[Pós Fósforo mg/dL]]</f>
        <v>-</v>
      </c>
      <c r="AN406" s="125" t="str">
        <f>Tabela1[[#This Row],[Pré Proteína Total (g/dL)]]</f>
        <v>-</v>
      </c>
      <c r="AO406" s="125" t="str">
        <f>Tabela1[[#This Row],[Pós Proteína Total (g/dL)]]</f>
        <v>-</v>
      </c>
      <c r="AP406" s="85" t="str">
        <f>Tabela1[[#This Row],[Pré FE (ug/dL)]]</f>
        <v>-</v>
      </c>
      <c r="AQ406" s="193" t="str">
        <f>Tabela1[[#This Row],[Pós FE (ug/dL)]]</f>
        <v>-</v>
      </c>
      <c r="AR406" s="194" t="str">
        <f>Tabela1[[#This Row],[Pré calcio mg/dL]]</f>
        <v>-</v>
      </c>
      <c r="AS406" s="125" t="str">
        <f>Tabela1[[#This Row],[Pós calcio mg/dL]]</f>
        <v>-</v>
      </c>
      <c r="AT406" s="125">
        <f>Tabela1[[#This Row],[Pré Potássio mmol/L]]</f>
        <v>4.4000000000000004</v>
      </c>
      <c r="AU406" s="125">
        <f>Tabela1[[#This Row],[Pós Potássio mmol/L]]</f>
        <v>4.0999999999999996</v>
      </c>
      <c r="AV406" s="85">
        <f>Tabela1[[#This Row],[Glicose pré]]</f>
        <v>69</v>
      </c>
      <c r="AW406" s="85">
        <f>Tabela1[[#This Row],[Glicose pós]]</f>
        <v>83</v>
      </c>
      <c r="AX406" s="85">
        <f>Tabela1[[#This Row],[Pré Sódio mmol/L]]</f>
        <v>140</v>
      </c>
      <c r="AY406" s="85">
        <f>Tabela1[[#This Row],[Pós Sódio mmol/L]]</f>
        <v>138</v>
      </c>
      <c r="AZ406" s="125" t="str">
        <f>Tabela1[[#This Row],[Pré Magnésio mg/dL]]</f>
        <v>-</v>
      </c>
      <c r="BA406" s="125" t="str">
        <f>Tabela1[[#This Row],[Pós Magnésio mg/dL]]</f>
        <v>-</v>
      </c>
      <c r="BB406" s="85">
        <f>Tabela1[[#This Row],[Pré Cloro mmol/L]]</f>
        <v>101</v>
      </c>
      <c r="BC406" s="85">
        <f>Tabela1[[#This Row],[Pós Cloro mmol/L]]</f>
        <v>100</v>
      </c>
      <c r="BD406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292.49233333333336</v>
      </c>
      <c r="BE406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289.60877777777773</v>
      </c>
      <c r="BF406" s="194">
        <f>Tabela1[[#This Row],[Pré RBC 10^6/mm³]]</f>
        <v>5.48</v>
      </c>
      <c r="BG406" s="125">
        <f>Tabela1[[#This Row],[Pós RBC 10^6/mm³]]</f>
        <v>5.69</v>
      </c>
      <c r="BH406" s="125">
        <f>Tabela1[[#This Row],[Pré HGB g/dL]]</f>
        <v>15.5</v>
      </c>
      <c r="BI406" s="125">
        <f>Tabela1[[#This Row],[Pós HGB g/dL]]</f>
        <v>16.2</v>
      </c>
      <c r="BJ406" s="125">
        <f>Tabela1[[#This Row],[Pré HCT %]]</f>
        <v>46.5</v>
      </c>
      <c r="BK406" s="125">
        <f>Tabela1[[#This Row],[Pós HCT %]]</f>
        <v>46.3</v>
      </c>
      <c r="BL406" s="125">
        <f>Tabela1[[#This Row],[Pré MCV fL]]</f>
        <v>84.9</v>
      </c>
      <c r="BM406" s="125">
        <f>Tabela1[[#This Row],[Pós MCV fL]]</f>
        <v>81.400000000000006</v>
      </c>
      <c r="BN406" s="125">
        <f>Tabela1[[#This Row],[Pré MCH pg]]</f>
        <v>28.3</v>
      </c>
      <c r="BO406" s="125">
        <f>Tabela1[[#This Row],[Pós MCH pg]]</f>
        <v>28.5</v>
      </c>
      <c r="BP406" s="125">
        <f>Tabela1[[#This Row],[Pré MCHC g/dL]]</f>
        <v>33.299999999999997</v>
      </c>
      <c r="BQ406" s="125">
        <f>Tabela1[[#This Row],[Pós MCHC g/dL]]</f>
        <v>35</v>
      </c>
      <c r="BR406" s="85">
        <f>Tabela1[[#This Row],[Pré PLT 10³/mm³]]</f>
        <v>277</v>
      </c>
      <c r="BS406" s="85">
        <f>Tabela1[[#This Row],[Pós PLT 10³/mm³]]</f>
        <v>407</v>
      </c>
      <c r="BT406" s="125">
        <f>Tabela1[[#This Row],[Pré RDW %]]</f>
        <v>12.6</v>
      </c>
      <c r="BU406" s="125">
        <f>Tabela1[[#This Row],[Pós RDW %]]</f>
        <v>12.8</v>
      </c>
      <c r="BV406" s="179" t="str">
        <f>Tabela1[[#This Row],[Pré RET %]]</f>
        <v>-</v>
      </c>
      <c r="BW406" s="196" t="str">
        <f>Tabela1[[#This Row],[Pós RET %]]</f>
        <v>-</v>
      </c>
      <c r="BX406" s="197">
        <f>Tabela1[[#This Row],[Pré WBC 10³/mm³]]</f>
        <v>9.16</v>
      </c>
      <c r="BY406" s="179">
        <f>Tabela1[[#This Row],[Pós WBC 10³/mm³]]</f>
        <v>16.46</v>
      </c>
      <c r="BZ406" s="125">
        <f>Tabela1[[#This Row],[Pré NEUT %]]</f>
        <v>68.2</v>
      </c>
      <c r="CA406" s="125">
        <f>Tabela1[[#This Row],[Pós NEUT %]]</f>
        <v>73.099999999999994</v>
      </c>
      <c r="CB406" s="125">
        <f>Tabela1[[#This Row],[Pré LINF %]]</f>
        <v>20.100000000000001</v>
      </c>
      <c r="CC406" s="125">
        <f>Tabela1[[#This Row],[Pós LINF %]]</f>
        <v>18.5</v>
      </c>
      <c r="CD406" s="125">
        <f>Tabela1[[#This Row],[Pré MONO %]]</f>
        <v>7.8</v>
      </c>
      <c r="CE406" s="125">
        <f>Tabela1[[#This Row],[Pós MONO %]]</f>
        <v>7.9</v>
      </c>
      <c r="CF406" s="125">
        <f>Tabela1[[#This Row],[Pré EOS %]]</f>
        <v>3.1</v>
      </c>
      <c r="CG406" s="125">
        <f>Tabela1[[#This Row],[Pós EOS %]]</f>
        <v>0</v>
      </c>
      <c r="CH406" s="125">
        <f>Tabela1[[#This Row],[Pré BASO %]]</f>
        <v>0.8</v>
      </c>
      <c r="CI406" s="198">
        <f>Tabela1[[#This Row],[Pós BASO %]]</f>
        <v>0.5</v>
      </c>
      <c r="CJ406" s="199" t="str">
        <f t="shared" si="25"/>
        <v>NÃO</v>
      </c>
      <c r="CK406" s="200" t="str">
        <f t="shared" si="26"/>
        <v>NÃO</v>
      </c>
      <c r="CL406" s="194">
        <f t="shared" si="27"/>
        <v>74.301159999999996</v>
      </c>
      <c r="CM406" s="125">
        <f>Tabela1[[#This Row],[MCT KG]]</f>
        <v>91.1</v>
      </c>
      <c r="CN406" s="85">
        <f>Tabela1[[#This Row],[ESTATURA]]</f>
        <v>181.5</v>
      </c>
      <c r="CO406" s="85" t="str">
        <f>Tabela1[[#This Row],[vo2max estimado]]</f>
        <v>48,75</v>
      </c>
      <c r="CP406" s="85">
        <f>Tabela1[[#This Row],[Handgrip     Dominante]]</f>
        <v>70</v>
      </c>
      <c r="CQ406" s="85">
        <f>Tabela1[[#This Row],[Handgrip Contrário]]</f>
        <v>66</v>
      </c>
      <c r="CR406" s="281" t="str">
        <f>Tabela1[[#This Row],[% gordura]]</f>
        <v>18,44</v>
      </c>
    </row>
    <row r="407" spans="1:96" ht="15.75" customHeight="1">
      <c r="A407" s="279">
        <f>Tabela1[[#This Row],[Ano]]</f>
        <v>2023</v>
      </c>
      <c r="B407" s="181" t="str">
        <f>Tabela1[[#This Row],[Missão]]</f>
        <v>Avelar</v>
      </c>
      <c r="C407" s="181">
        <f>Tabela1[[#This Row],[Aluno]]</f>
        <v>3340</v>
      </c>
      <c r="D407" s="181">
        <f>Tabela1[[#This Row],[Idade]]</f>
        <v>29</v>
      </c>
      <c r="E407" s="182">
        <f>Tabela1[[#This Row],[Peso Kg]]</f>
        <v>83.5</v>
      </c>
      <c r="F407" s="191">
        <f>Tabela1[[#This Row],[Cor da pele]]</f>
        <v>2</v>
      </c>
      <c r="G407" s="192" t="str">
        <f>Tabela1[[#This Row],[ACTN3]]</f>
        <v>RR</v>
      </c>
      <c r="H407" s="85" t="str">
        <f>Tabela1[[#This Row],[AGT]]</f>
        <v>TT</v>
      </c>
      <c r="I407" s="85" t="str">
        <f>Tabela1[[#This Row],[ECA]]</f>
        <v>ID</v>
      </c>
      <c r="J407" s="85" t="str">
        <f>Tabela1[[#This Row],[BDKRB2]]</f>
        <v xml:space="preserve"> +9,+9</v>
      </c>
      <c r="K407" s="85">
        <f>Tabela1[[#This Row],[Score Força%]]</f>
        <v>87.5</v>
      </c>
      <c r="L407" s="193">
        <f>Tabela1[[#This Row],[Score Resistência %]]</f>
        <v>12.5</v>
      </c>
      <c r="M407" s="192">
        <f>Tabela1[[#This Row],[Pré CK (U/L)]]</f>
        <v>135</v>
      </c>
      <c r="N407" s="85">
        <f>Tabela1[[#This Row],[Pós CK (U/L)]]</f>
        <v>476</v>
      </c>
      <c r="O407" s="85" t="str">
        <f>Tabela1[[#This Row],[Pré CK MB U/L]]</f>
        <v>-</v>
      </c>
      <c r="P407" s="85" t="str">
        <f>Tabela1[[#This Row],[Pós CK MB U/L]]</f>
        <v>-</v>
      </c>
      <c r="Q407" s="85" t="str">
        <f>Tabela1[[#This Row],[Pré Lactato (mmol/L)]]</f>
        <v>-</v>
      </c>
      <c r="R407" s="85" t="str">
        <f>Tabela1[[#This Row],[Pós Lactato (mmol/L)]]</f>
        <v>-</v>
      </c>
      <c r="S407" s="85">
        <f>Tabela1[[#This Row],[Pré LDH (U/L)]]</f>
        <v>140</v>
      </c>
      <c r="T407" s="85">
        <f>Tabela1[[#This Row],[Pós LDH (U/L)]]</f>
        <v>125</v>
      </c>
      <c r="U407" s="85">
        <f>Tabela1[[#This Row],[Pré AST (U/L)]]</f>
        <v>23</v>
      </c>
      <c r="V407" s="193">
        <f>Tabela1[[#This Row],[Pós AST (U/L)]]</f>
        <v>32</v>
      </c>
      <c r="W407" s="194" t="str">
        <f>Tabela1[[#This Row],[Pré Albumina (g/dL)]]</f>
        <v>-</v>
      </c>
      <c r="X407" s="125" t="str">
        <f>Tabela1[[#This Row],[Pós Albumina (g/dL)]]</f>
        <v>-</v>
      </c>
      <c r="Y407" s="85" t="str">
        <f>Tabela1[[#This Row],[Pré TGP (g/dL)]]</f>
        <v>-</v>
      </c>
      <c r="Z407" s="85" t="str">
        <f>Tabela1[[#This Row],[Pós TGP (g/dL)]]</f>
        <v>-</v>
      </c>
      <c r="AA407" s="85" t="str">
        <f>Tabela1[[#This Row],[Pré GGT U/L]]</f>
        <v>-</v>
      </c>
      <c r="AB407" s="193" t="str">
        <f>Tabela1[[#This Row],[Pós GGT U/L]]</f>
        <v>-</v>
      </c>
      <c r="AC407" s="194" t="str">
        <f>Tabela1[[#This Row],[Pré Ac. Úrico (mg/dL)]]</f>
        <v>-</v>
      </c>
      <c r="AD407" s="125" t="str">
        <f>Tabela1[[#This Row],[Pós Ac. Úrico (mg/dL)2]]</f>
        <v>-</v>
      </c>
      <c r="AE407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119.30540843392204</v>
      </c>
      <c r="AF407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93.773455753121382</v>
      </c>
      <c r="AG407" s="85">
        <f>Tabela1[[#This Row],[Pré Ureia mg/dL]]</f>
        <v>26</v>
      </c>
      <c r="AH407" s="85">
        <f>Tabela1[[#This Row],[Pós Ureia mg/dL]]</f>
        <v>34</v>
      </c>
      <c r="AI407" s="125">
        <f>Tabela1[[#This Row],[Pré creatinina mg/dL]]</f>
        <v>0.9</v>
      </c>
      <c r="AJ407" s="125">
        <f>Tabela1[[#This Row],[Pós creatinina mg/dL]]</f>
        <v>1.1000000000000001</v>
      </c>
      <c r="AK407" s="180">
        <f t="shared" si="24"/>
        <v>0.20000000000000007</v>
      </c>
      <c r="AL407" s="125" t="str">
        <f>Tabela1[[#This Row],[Pré Fósforo mg/dL]]</f>
        <v>-</v>
      </c>
      <c r="AM407" s="125" t="str">
        <f>Tabela1[[#This Row],[Pós Fósforo mg/dL]]</f>
        <v>-</v>
      </c>
      <c r="AN407" s="125" t="str">
        <f>Tabela1[[#This Row],[Pré Proteína Total (g/dL)]]</f>
        <v>-</v>
      </c>
      <c r="AO407" s="125" t="str">
        <f>Tabela1[[#This Row],[Pós Proteína Total (g/dL)]]</f>
        <v>-</v>
      </c>
      <c r="AP407" s="85" t="str">
        <f>Tabela1[[#This Row],[Pré FE (ug/dL)]]</f>
        <v>-</v>
      </c>
      <c r="AQ407" s="193" t="str">
        <f>Tabela1[[#This Row],[Pós FE (ug/dL)]]</f>
        <v>-</v>
      </c>
      <c r="AR407" s="194" t="str">
        <f>Tabela1[[#This Row],[Pré calcio mg/dL]]</f>
        <v>-</v>
      </c>
      <c r="AS407" s="125" t="str">
        <f>Tabela1[[#This Row],[Pós calcio mg/dL]]</f>
        <v>-</v>
      </c>
      <c r="AT407" s="125">
        <f>Tabela1[[#This Row],[Pré Potássio mmol/L]]</f>
        <v>4.4000000000000004</v>
      </c>
      <c r="AU407" s="125">
        <f>Tabela1[[#This Row],[Pós Potássio mmol/L]]</f>
        <v>3.8</v>
      </c>
      <c r="AV407" s="85">
        <f>Tabela1[[#This Row],[Glicose pré]]</f>
        <v>88</v>
      </c>
      <c r="AW407" s="85">
        <f>Tabela1[[#This Row],[Glicose pós]]</f>
        <v>91</v>
      </c>
      <c r="AX407" s="85">
        <f>Tabela1[[#This Row],[Pré Sódio mmol/L]]</f>
        <v>137</v>
      </c>
      <c r="AY407" s="85">
        <f>Tabela1[[#This Row],[Pós Sódio mmol/L]]</f>
        <v>140</v>
      </c>
      <c r="AZ407" s="125" t="str">
        <f>Tabela1[[#This Row],[Pré Magnésio mg/dL]]</f>
        <v>-</v>
      </c>
      <c r="BA407" s="125" t="str">
        <f>Tabela1[[#This Row],[Pós Magnésio mg/dL]]</f>
        <v>-</v>
      </c>
      <c r="BB407" s="85">
        <f>Tabela1[[#This Row],[Pré Cloro mmol/L]]</f>
        <v>99</v>
      </c>
      <c r="BC407" s="85">
        <f>Tabela1[[#This Row],[Pós Cloro mmol/L]]</f>
        <v>102</v>
      </c>
      <c r="BD407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286.95955555555554</v>
      </c>
      <c r="BE407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292.94855555555557</v>
      </c>
      <c r="BF407" s="194">
        <f>Tabela1[[#This Row],[Pré RBC 10^6/mm³]]</f>
        <v>5.4</v>
      </c>
      <c r="BG407" s="125">
        <f>Tabela1[[#This Row],[Pós RBC 10^6/mm³]]</f>
        <v>5.52</v>
      </c>
      <c r="BH407" s="125">
        <f>Tabela1[[#This Row],[Pré HGB g/dL]]</f>
        <v>15.3</v>
      </c>
      <c r="BI407" s="125">
        <f>Tabela1[[#This Row],[Pós HGB g/dL]]</f>
        <v>15.6</v>
      </c>
      <c r="BJ407" s="125">
        <f>Tabela1[[#This Row],[Pré HCT %]]</f>
        <v>44.3</v>
      </c>
      <c r="BK407" s="125">
        <f>Tabela1[[#This Row],[Pós HCT %]]</f>
        <v>44.8</v>
      </c>
      <c r="BL407" s="125">
        <f>Tabela1[[#This Row],[Pré MCV fL]]</f>
        <v>82</v>
      </c>
      <c r="BM407" s="125">
        <f>Tabela1[[#This Row],[Pós MCV fL]]</f>
        <v>81.2</v>
      </c>
      <c r="BN407" s="125">
        <f>Tabela1[[#This Row],[Pré MCH pg]]</f>
        <v>28.3</v>
      </c>
      <c r="BO407" s="125">
        <f>Tabela1[[#This Row],[Pós MCH pg]]</f>
        <v>28.3</v>
      </c>
      <c r="BP407" s="125">
        <f>Tabela1[[#This Row],[Pré MCHC g/dL]]</f>
        <v>34.5</v>
      </c>
      <c r="BQ407" s="125">
        <f>Tabela1[[#This Row],[Pós MCHC g/dL]]</f>
        <v>34.799999999999997</v>
      </c>
      <c r="BR407" s="85">
        <f>Tabela1[[#This Row],[Pré PLT 10³/mm³]]</f>
        <v>294</v>
      </c>
      <c r="BS407" s="85">
        <f>Tabela1[[#This Row],[Pós PLT 10³/mm³]]</f>
        <v>362</v>
      </c>
      <c r="BT407" s="125">
        <f>Tabela1[[#This Row],[Pré RDW %]]</f>
        <v>11.6</v>
      </c>
      <c r="BU407" s="125">
        <f>Tabela1[[#This Row],[Pós RDW %]]</f>
        <v>11.7</v>
      </c>
      <c r="BV407" s="179" t="str">
        <f>Tabela1[[#This Row],[Pré RET %]]</f>
        <v>-</v>
      </c>
      <c r="BW407" s="196" t="str">
        <f>Tabela1[[#This Row],[Pós RET %]]</f>
        <v>-</v>
      </c>
      <c r="BX407" s="197">
        <f>Tabela1[[#This Row],[Pré WBC 10³/mm³]]</f>
        <v>6.63</v>
      </c>
      <c r="BY407" s="179">
        <f>Tabela1[[#This Row],[Pós WBC 10³/mm³]]</f>
        <v>8.2799999999999994</v>
      </c>
      <c r="BZ407" s="125">
        <f>Tabela1[[#This Row],[Pré NEUT %]]</f>
        <v>59.1</v>
      </c>
      <c r="CA407" s="125">
        <f>Tabela1[[#This Row],[Pós NEUT %]]</f>
        <v>55.6</v>
      </c>
      <c r="CB407" s="125">
        <f>Tabela1[[#This Row],[Pré LINF %]]</f>
        <v>30.3</v>
      </c>
      <c r="CC407" s="125">
        <f>Tabela1[[#This Row],[Pós LINF %]]</f>
        <v>34.1</v>
      </c>
      <c r="CD407" s="125">
        <f>Tabela1[[#This Row],[Pré MONO %]]</f>
        <v>8</v>
      </c>
      <c r="CE407" s="125">
        <f>Tabela1[[#This Row],[Pós MONO %]]</f>
        <v>8.5</v>
      </c>
      <c r="CF407" s="125">
        <f>Tabela1[[#This Row],[Pré EOS %]]</f>
        <v>1.4</v>
      </c>
      <c r="CG407" s="125">
        <f>Tabela1[[#This Row],[Pós EOS %]]</f>
        <v>1</v>
      </c>
      <c r="CH407" s="125">
        <f>Tabela1[[#This Row],[Pré BASO %]]</f>
        <v>1.2</v>
      </c>
      <c r="CI407" s="198">
        <f>Tabela1[[#This Row],[Pós BASO %]]</f>
        <v>0.8</v>
      </c>
      <c r="CJ407" s="199" t="str">
        <f t="shared" si="25"/>
        <v>NÃO</v>
      </c>
      <c r="CK407" s="200" t="str">
        <f t="shared" si="26"/>
        <v>NÃO</v>
      </c>
      <c r="CL407" s="194">
        <f t="shared" si="27"/>
        <v>76.399559999999994</v>
      </c>
      <c r="CM407" s="125">
        <f>Tabela1[[#This Row],[MCT KG]]</f>
        <v>82.8</v>
      </c>
      <c r="CN407" s="85">
        <f>Tabela1[[#This Row],[ESTATURA]]</f>
        <v>182</v>
      </c>
      <c r="CO407" s="85" t="str">
        <f>Tabela1[[#This Row],[vo2max estimado]]</f>
        <v>53,54</v>
      </c>
      <c r="CP407" s="85">
        <f>Tabela1[[#This Row],[Handgrip     Dominante]]</f>
        <v>56</v>
      </c>
      <c r="CQ407" s="85">
        <f>Tabela1[[#This Row],[Handgrip Contrário]]</f>
        <v>59</v>
      </c>
      <c r="CR407" s="281" t="str">
        <f>Tabela1[[#This Row],[% gordura]]</f>
        <v>7,73</v>
      </c>
    </row>
    <row r="408" spans="1:96" ht="15.75" customHeight="1">
      <c r="A408" s="279">
        <f>Tabela1[[#This Row],[Ano]]</f>
        <v>2023</v>
      </c>
      <c r="B408" s="181" t="str">
        <f>Tabela1[[#This Row],[Missão]]</f>
        <v>Avelar</v>
      </c>
      <c r="C408" s="181">
        <f>Tabela1[[#This Row],[Aluno]]</f>
        <v>3343</v>
      </c>
      <c r="D408" s="181">
        <f>Tabela1[[#This Row],[Idade]]</f>
        <v>27</v>
      </c>
      <c r="E408" s="182">
        <f>Tabela1[[#This Row],[Peso Kg]]</f>
        <v>76.2</v>
      </c>
      <c r="F408" s="191">
        <f>Tabela1[[#This Row],[Cor da pele]]</f>
        <v>2</v>
      </c>
      <c r="G408" s="192" t="str">
        <f>Tabela1[[#This Row],[ACTN3]]</f>
        <v>RR</v>
      </c>
      <c r="H408" s="85" t="str">
        <f>Tabela1[[#This Row],[AGT]]</f>
        <v>MT</v>
      </c>
      <c r="I408" s="85" t="str">
        <f>Tabela1[[#This Row],[ECA]]</f>
        <v>II</v>
      </c>
      <c r="J408" s="85">
        <f>Tabela1[[#This Row],[BDKRB2]]</f>
        <v>0</v>
      </c>
      <c r="K408" s="85">
        <f>Tabela1[[#This Row],[Score Força%]]</f>
        <v>50</v>
      </c>
      <c r="L408" s="193">
        <f>Tabela1[[#This Row],[Score Resistência %]]</f>
        <v>50</v>
      </c>
      <c r="M408" s="192">
        <f>Tabela1[[#This Row],[Pré CK (U/L)]]</f>
        <v>260</v>
      </c>
      <c r="N408" s="85">
        <f>Tabela1[[#This Row],[Pós CK (U/L)]]</f>
        <v>5401</v>
      </c>
      <c r="O408" s="85" t="str">
        <f>Tabela1[[#This Row],[Pré CK MB U/L]]</f>
        <v>-</v>
      </c>
      <c r="P408" s="85" t="str">
        <f>Tabela1[[#This Row],[Pós CK MB U/L]]</f>
        <v>-</v>
      </c>
      <c r="Q408" s="85" t="str">
        <f>Tabela1[[#This Row],[Pré Lactato (mmol/L)]]</f>
        <v>-</v>
      </c>
      <c r="R408" s="85" t="str">
        <f>Tabela1[[#This Row],[Pós Lactato (mmol/L)]]</f>
        <v>-</v>
      </c>
      <c r="S408" s="85">
        <f>Tabela1[[#This Row],[Pré LDH (U/L)]]</f>
        <v>186</v>
      </c>
      <c r="T408" s="85">
        <f>Tabela1[[#This Row],[Pós LDH (U/L)]]</f>
        <v>159</v>
      </c>
      <c r="U408" s="85">
        <f>Tabela1[[#This Row],[Pré AST (U/L)]]</f>
        <v>26</v>
      </c>
      <c r="V408" s="193">
        <f>Tabela1[[#This Row],[Pós AST (U/L)]]</f>
        <v>106</v>
      </c>
      <c r="W408" s="194" t="str">
        <f>Tabela1[[#This Row],[Pré Albumina (g/dL)]]</f>
        <v>-</v>
      </c>
      <c r="X408" s="125" t="str">
        <f>Tabela1[[#This Row],[Pós Albumina (g/dL)]]</f>
        <v>-</v>
      </c>
      <c r="Y408" s="85" t="str">
        <f>Tabela1[[#This Row],[Pré TGP (g/dL)]]</f>
        <v>-</v>
      </c>
      <c r="Z408" s="85" t="str">
        <f>Tabela1[[#This Row],[Pós TGP (g/dL)]]</f>
        <v>-</v>
      </c>
      <c r="AA408" s="85" t="str">
        <f>Tabela1[[#This Row],[Pré GGT U/L]]</f>
        <v>-</v>
      </c>
      <c r="AB408" s="193" t="str">
        <f>Tabela1[[#This Row],[Pós GGT U/L]]</f>
        <v>-</v>
      </c>
      <c r="AC408" s="194" t="str">
        <f>Tabela1[[#This Row],[Pré Ac. Úrico (mg/dL)]]</f>
        <v>-</v>
      </c>
      <c r="AD408" s="125" t="str">
        <f>Tabela1[[#This Row],[Pós Ac. Úrico (mg/dL)2]]</f>
        <v>-</v>
      </c>
      <c r="AE408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408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76.739527424440993</v>
      </c>
      <c r="AG408" s="85">
        <f>Tabela1[[#This Row],[Pré Ureia mg/dL]]</f>
        <v>43</v>
      </c>
      <c r="AH408" s="85">
        <f>Tabela1[[#This Row],[Pós Ureia mg/dL]]</f>
        <v>45</v>
      </c>
      <c r="AI408" s="125">
        <f>Tabela1[[#This Row],[Pré creatinina mg/dL]]</f>
        <v>1</v>
      </c>
      <c r="AJ408" s="125">
        <f>Tabela1[[#This Row],[Pós creatinina mg/dL]]</f>
        <v>1.3</v>
      </c>
      <c r="AK408" s="180">
        <f t="shared" si="24"/>
        <v>0.30000000000000004</v>
      </c>
      <c r="AL408" s="125" t="str">
        <f>Tabela1[[#This Row],[Pré Fósforo mg/dL]]</f>
        <v>-</v>
      </c>
      <c r="AM408" s="125" t="str">
        <f>Tabela1[[#This Row],[Pós Fósforo mg/dL]]</f>
        <v>-</v>
      </c>
      <c r="AN408" s="125" t="str">
        <f>Tabela1[[#This Row],[Pré Proteína Total (g/dL)]]</f>
        <v>-</v>
      </c>
      <c r="AO408" s="125" t="str">
        <f>Tabela1[[#This Row],[Pós Proteína Total (g/dL)]]</f>
        <v>-</v>
      </c>
      <c r="AP408" s="85" t="str">
        <f>Tabela1[[#This Row],[Pré FE (ug/dL)]]</f>
        <v>-</v>
      </c>
      <c r="AQ408" s="193" t="str">
        <f>Tabela1[[#This Row],[Pós FE (ug/dL)]]</f>
        <v>-</v>
      </c>
      <c r="AR408" s="194" t="str">
        <f>Tabela1[[#This Row],[Pré calcio mg/dL]]</f>
        <v>-</v>
      </c>
      <c r="AS408" s="125" t="str">
        <f>Tabela1[[#This Row],[Pós calcio mg/dL]]</f>
        <v>-</v>
      </c>
      <c r="AT408" s="125">
        <f>Tabela1[[#This Row],[Pré Potássio mmol/L]]</f>
        <v>4.2</v>
      </c>
      <c r="AU408" s="125">
        <f>Tabela1[[#This Row],[Pós Potássio mmol/L]]</f>
        <v>4.2</v>
      </c>
      <c r="AV408" s="85">
        <f>Tabela1[[#This Row],[Glicose pré]]</f>
        <v>110</v>
      </c>
      <c r="AW408" s="85">
        <f>Tabela1[[#This Row],[Glicose pós]]</f>
        <v>113</v>
      </c>
      <c r="AX408" s="85">
        <f>Tabela1[[#This Row],[Pré Sódio mmol/L]]</f>
        <v>142</v>
      </c>
      <c r="AY408" s="85">
        <f>Tabela1[[#This Row],[Pós Sódio mmol/L]]</f>
        <v>137</v>
      </c>
      <c r="AZ408" s="125" t="str">
        <f>Tabela1[[#This Row],[Pré Magnésio mg/dL]]</f>
        <v>-</v>
      </c>
      <c r="BA408" s="125" t="str">
        <f>Tabela1[[#This Row],[Pós Magnésio mg/dL]]</f>
        <v>-</v>
      </c>
      <c r="BB408" s="85">
        <f>Tabela1[[#This Row],[Pré Cloro mmol/L]]</f>
        <v>102</v>
      </c>
      <c r="BC408" s="85">
        <f>Tabela1[[#This Row],[Pós Cloro mmol/L]]</f>
        <v>97</v>
      </c>
      <c r="BD408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300.12644444444447</v>
      </c>
      <c r="BE408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291.35144444444444</v>
      </c>
      <c r="BF408" s="194">
        <f>Tabela1[[#This Row],[Pré RBC 10^6/mm³]]</f>
        <v>5.77</v>
      </c>
      <c r="BG408" s="125">
        <f>Tabela1[[#This Row],[Pós RBC 10^6/mm³]]</f>
        <v>5.95</v>
      </c>
      <c r="BH408" s="125">
        <f>Tabela1[[#This Row],[Pré HGB g/dL]]</f>
        <v>15</v>
      </c>
      <c r="BI408" s="125">
        <f>Tabela1[[#This Row],[Pós HGB g/dL]]</f>
        <v>15.5</v>
      </c>
      <c r="BJ408" s="125">
        <f>Tabela1[[#This Row],[Pré HCT %]]</f>
        <v>47.9</v>
      </c>
      <c r="BK408" s="125">
        <f>Tabela1[[#This Row],[Pós HCT %]]</f>
        <v>48</v>
      </c>
      <c r="BL408" s="125">
        <f>Tabela1[[#This Row],[Pré MCV fL]]</f>
        <v>83</v>
      </c>
      <c r="BM408" s="125">
        <f>Tabela1[[#This Row],[Pós MCV fL]]</f>
        <v>80.7</v>
      </c>
      <c r="BN408" s="125">
        <f>Tabela1[[#This Row],[Pré MCH pg]]</f>
        <v>26</v>
      </c>
      <c r="BO408" s="125">
        <f>Tabela1[[#This Row],[Pós MCH pg]]</f>
        <v>26.1</v>
      </c>
      <c r="BP408" s="125">
        <f>Tabela1[[#This Row],[Pré MCHC g/dL]]</f>
        <v>31.3</v>
      </c>
      <c r="BQ408" s="125">
        <f>Tabela1[[#This Row],[Pós MCHC g/dL]]</f>
        <v>32.299999999999997</v>
      </c>
      <c r="BR408" s="85">
        <f>Tabela1[[#This Row],[Pré PLT 10³/mm³]]</f>
        <v>223</v>
      </c>
      <c r="BS408" s="85">
        <f>Tabela1[[#This Row],[Pós PLT 10³/mm³]]</f>
        <v>298</v>
      </c>
      <c r="BT408" s="125">
        <f>Tabela1[[#This Row],[Pré RDW %]]</f>
        <v>12.7</v>
      </c>
      <c r="BU408" s="125">
        <f>Tabela1[[#This Row],[Pós RDW %]]</f>
        <v>13</v>
      </c>
      <c r="BV408" s="179" t="str">
        <f>Tabela1[[#This Row],[Pré RET %]]</f>
        <v>-</v>
      </c>
      <c r="BW408" s="196" t="str">
        <f>Tabela1[[#This Row],[Pós RET %]]</f>
        <v>-</v>
      </c>
      <c r="BX408" s="197">
        <f>Tabela1[[#This Row],[Pré WBC 10³/mm³]]</f>
        <v>8.61</v>
      </c>
      <c r="BY408" s="179">
        <f>Tabela1[[#This Row],[Pós WBC 10³/mm³]]</f>
        <v>8.2799999999999994</v>
      </c>
      <c r="BZ408" s="125">
        <f>Tabela1[[#This Row],[Pré NEUT %]]</f>
        <v>59.5</v>
      </c>
      <c r="CA408" s="125">
        <f>Tabela1[[#This Row],[Pós NEUT %]]</f>
        <v>70.7</v>
      </c>
      <c r="CB408" s="125">
        <f>Tabela1[[#This Row],[Pré LINF %]]</f>
        <v>31.5</v>
      </c>
      <c r="CC408" s="125">
        <f>Tabela1[[#This Row],[Pós LINF %]]</f>
        <v>20.6</v>
      </c>
      <c r="CD408" s="125">
        <f>Tabela1[[#This Row],[Pré MONO %]]</f>
        <v>6.7</v>
      </c>
      <c r="CE408" s="125">
        <f>Tabela1[[#This Row],[Pós MONO %]]</f>
        <v>8.3000000000000007</v>
      </c>
      <c r="CF408" s="125">
        <f>Tabela1[[#This Row],[Pré EOS %]]</f>
        <v>2</v>
      </c>
      <c r="CG408" s="125">
        <f>Tabela1[[#This Row],[Pós EOS %]]</f>
        <v>0.1</v>
      </c>
      <c r="CH408" s="125">
        <f>Tabela1[[#This Row],[Pré BASO %]]</f>
        <v>0.3</v>
      </c>
      <c r="CI408" s="198">
        <f>Tabela1[[#This Row],[Pós BASO %]]</f>
        <v>0.3</v>
      </c>
      <c r="CJ408" s="199" t="str">
        <f t="shared" si="25"/>
        <v>SIM</v>
      </c>
      <c r="CK408" s="200" t="str">
        <f t="shared" si="26"/>
        <v>SIM</v>
      </c>
      <c r="CL408" s="194">
        <f t="shared" si="27"/>
        <v>65.795109999999994</v>
      </c>
      <c r="CM408" s="125">
        <f>Tabela1[[#This Row],[MCT KG]]</f>
        <v>75.099999999999994</v>
      </c>
      <c r="CN408" s="85">
        <f>Tabela1[[#This Row],[ESTATURA]]</f>
        <v>170</v>
      </c>
      <c r="CO408" s="85" t="str">
        <f>Tabela1[[#This Row],[vo2max estimado]]</f>
        <v>-</v>
      </c>
      <c r="CP408" s="85">
        <f>Tabela1[[#This Row],[Handgrip     Dominante]]</f>
        <v>48</v>
      </c>
      <c r="CQ408" s="85">
        <f>Tabela1[[#This Row],[Handgrip Contrário]]</f>
        <v>60</v>
      </c>
      <c r="CR408" s="281" t="str">
        <f>Tabela1[[#This Row],[% gordura]]</f>
        <v>12,39</v>
      </c>
    </row>
    <row r="409" spans="1:96" ht="15.75" customHeight="1">
      <c r="A409" s="279">
        <f>Tabela1[[#This Row],[Ano]]</f>
        <v>2023</v>
      </c>
      <c r="B409" s="181" t="str">
        <f>Tabela1[[#This Row],[Missão]]</f>
        <v>Avelar</v>
      </c>
      <c r="C409" s="181">
        <f>Tabela1[[#This Row],[Aluno]]</f>
        <v>3347</v>
      </c>
      <c r="D409" s="181">
        <f>Tabela1[[#This Row],[Idade]]</f>
        <v>28</v>
      </c>
      <c r="E409" s="182">
        <f>Tabela1[[#This Row],[Peso Kg]]</f>
        <v>84.7</v>
      </c>
      <c r="F409" s="191">
        <f>Tabela1[[#This Row],[Cor da pele]]</f>
        <v>2</v>
      </c>
      <c r="G409" s="192" t="str">
        <f>Tabela1[[#This Row],[ACTN3]]</f>
        <v>RR</v>
      </c>
      <c r="H409" s="85" t="str">
        <f>Tabela1[[#This Row],[AGT]]</f>
        <v>TT</v>
      </c>
      <c r="I409" s="85" t="str">
        <f>Tabela1[[#This Row],[ECA]]</f>
        <v>ID</v>
      </c>
      <c r="J409" s="85">
        <f>Tabela1[[#This Row],[BDKRB2]]</f>
        <v>0</v>
      </c>
      <c r="K409" s="85">
        <f>Tabela1[[#This Row],[Score Força%]]</f>
        <v>75</v>
      </c>
      <c r="L409" s="193">
        <f>Tabela1[[#This Row],[Score Resistência %]]</f>
        <v>25</v>
      </c>
      <c r="M409" s="192">
        <f>Tabela1[[#This Row],[Pré CK (U/L)]]</f>
        <v>210</v>
      </c>
      <c r="N409" s="85">
        <f>Tabela1[[#This Row],[Pós CK (U/L)]]</f>
        <v>997</v>
      </c>
      <c r="O409" s="85" t="str">
        <f>Tabela1[[#This Row],[Pré CK MB U/L]]</f>
        <v>-</v>
      </c>
      <c r="P409" s="85" t="str">
        <f>Tabela1[[#This Row],[Pós CK MB U/L]]</f>
        <v>-</v>
      </c>
      <c r="Q409" s="85" t="str">
        <f>Tabela1[[#This Row],[Pré Lactato (mmol/L)]]</f>
        <v>-</v>
      </c>
      <c r="R409" s="85" t="str">
        <f>Tabela1[[#This Row],[Pós Lactato (mmol/L)]]</f>
        <v>-</v>
      </c>
      <c r="S409" s="85">
        <f>Tabela1[[#This Row],[Pré LDH (U/L)]]</f>
        <v>158</v>
      </c>
      <c r="T409" s="85">
        <f>Tabela1[[#This Row],[Pós LDH (U/L)]]</f>
        <v>148</v>
      </c>
      <c r="U409" s="85">
        <f>Tabela1[[#This Row],[Pré AST (U/L)]]</f>
        <v>28</v>
      </c>
      <c r="V409" s="193">
        <f>Tabela1[[#This Row],[Pós AST (U/L)]]</f>
        <v>53</v>
      </c>
      <c r="W409" s="194" t="str">
        <f>Tabela1[[#This Row],[Pré Albumina (g/dL)]]</f>
        <v>-</v>
      </c>
      <c r="X409" s="125" t="str">
        <f>Tabela1[[#This Row],[Pós Albumina (g/dL)]]</f>
        <v>-</v>
      </c>
      <c r="Y409" s="85" t="str">
        <f>Tabela1[[#This Row],[Pré TGP (g/dL)]]</f>
        <v>-</v>
      </c>
      <c r="Z409" s="85" t="str">
        <f>Tabela1[[#This Row],[Pós TGP (g/dL)]]</f>
        <v>-</v>
      </c>
      <c r="AA409" s="85" t="str">
        <f>Tabela1[[#This Row],[Pré GGT U/L]]</f>
        <v>-</v>
      </c>
      <c r="AB409" s="193" t="str">
        <f>Tabela1[[#This Row],[Pós GGT U/L]]</f>
        <v>-</v>
      </c>
      <c r="AC409" s="194" t="str">
        <f>Tabela1[[#This Row],[Pré Ac. Úrico (mg/dL)]]</f>
        <v>-</v>
      </c>
      <c r="AD409" s="125" t="str">
        <f>Tabela1[[#This Row],[Pós Ac. Úrico (mg/dL)2]]</f>
        <v>-</v>
      </c>
      <c r="AE409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105.13592575999401</v>
      </c>
      <c r="AF409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70.209761921634552</v>
      </c>
      <c r="AG409" s="85">
        <f>Tabela1[[#This Row],[Pré Ureia mg/dL]]</f>
        <v>33</v>
      </c>
      <c r="AH409" s="85">
        <f>Tabela1[[#This Row],[Pós Ureia mg/dL]]</f>
        <v>35</v>
      </c>
      <c r="AI409" s="125">
        <f>Tabela1[[#This Row],[Pré creatinina mg/dL]]</f>
        <v>1</v>
      </c>
      <c r="AJ409" s="125">
        <f>Tabela1[[#This Row],[Pós creatinina mg/dL]]</f>
        <v>1.4</v>
      </c>
      <c r="AK409" s="180">
        <f t="shared" si="24"/>
        <v>0.39999999999999991</v>
      </c>
      <c r="AL409" s="125" t="str">
        <f>Tabela1[[#This Row],[Pré Fósforo mg/dL]]</f>
        <v>-</v>
      </c>
      <c r="AM409" s="125" t="str">
        <f>Tabela1[[#This Row],[Pós Fósforo mg/dL]]</f>
        <v>-</v>
      </c>
      <c r="AN409" s="125" t="str">
        <f>Tabela1[[#This Row],[Pré Proteína Total (g/dL)]]</f>
        <v>-</v>
      </c>
      <c r="AO409" s="125" t="str">
        <f>Tabela1[[#This Row],[Pós Proteína Total (g/dL)]]</f>
        <v>-</v>
      </c>
      <c r="AP409" s="85" t="str">
        <f>Tabela1[[#This Row],[Pré FE (ug/dL)]]</f>
        <v>-</v>
      </c>
      <c r="AQ409" s="193" t="str">
        <f>Tabela1[[#This Row],[Pós FE (ug/dL)]]</f>
        <v>-</v>
      </c>
      <c r="AR409" s="194" t="str">
        <f>Tabela1[[#This Row],[Pré calcio mg/dL]]</f>
        <v>-</v>
      </c>
      <c r="AS409" s="125" t="str">
        <f>Tabela1[[#This Row],[Pós calcio mg/dL]]</f>
        <v>-</v>
      </c>
      <c r="AT409" s="125">
        <f>Tabela1[[#This Row],[Pré Potássio mmol/L]]</f>
        <v>4.2</v>
      </c>
      <c r="AU409" s="125">
        <f>Tabela1[[#This Row],[Pós Potássio mmol/L]]</f>
        <v>3.8</v>
      </c>
      <c r="AV409" s="85">
        <f>Tabela1[[#This Row],[Glicose pré]]</f>
        <v>81</v>
      </c>
      <c r="AW409" s="85">
        <f>Tabela1[[#This Row],[Glicose pós]]</f>
        <v>115</v>
      </c>
      <c r="AX409" s="85">
        <f>Tabela1[[#This Row],[Pré Sódio mmol/L]]</f>
        <v>138</v>
      </c>
      <c r="AY409" s="85">
        <f>Tabela1[[#This Row],[Pós Sódio mmol/L]]</f>
        <v>141</v>
      </c>
      <c r="AZ409" s="125" t="str">
        <f>Tabela1[[#This Row],[Pré Magnésio mg/dL]]</f>
        <v>-</v>
      </c>
      <c r="BA409" s="125" t="str">
        <f>Tabela1[[#This Row],[Pós Magnésio mg/dL]]</f>
        <v>-</v>
      </c>
      <c r="BB409" s="85">
        <f>Tabela1[[#This Row],[Pré Cloro mmol/L]]</f>
        <v>99</v>
      </c>
      <c r="BC409" s="85">
        <f>Tabela1[[#This Row],[Pós Cloro mmol/L]]</f>
        <v>103</v>
      </c>
      <c r="BD409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289.16700000000003</v>
      </c>
      <c r="BE409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296.50855555555557</v>
      </c>
      <c r="BF409" s="194">
        <f>Tabela1[[#This Row],[Pré RBC 10^6/mm³]]</f>
        <v>5.22</v>
      </c>
      <c r="BG409" s="125">
        <f>Tabela1[[#This Row],[Pós RBC 10^6/mm³]]</f>
        <v>5.19</v>
      </c>
      <c r="BH409" s="125">
        <f>Tabela1[[#This Row],[Pré HGB g/dL]]</f>
        <v>15</v>
      </c>
      <c r="BI409" s="125">
        <f>Tabela1[[#This Row],[Pós HGB g/dL]]</f>
        <v>14.8</v>
      </c>
      <c r="BJ409" s="125">
        <f>Tabela1[[#This Row],[Pré HCT %]]</f>
        <v>44.7</v>
      </c>
      <c r="BK409" s="125">
        <f>Tabela1[[#This Row],[Pós HCT %]]</f>
        <v>43</v>
      </c>
      <c r="BL409" s="125">
        <f>Tabela1[[#This Row],[Pré MCV fL]]</f>
        <v>85.6</v>
      </c>
      <c r="BM409" s="125">
        <f>Tabela1[[#This Row],[Pós MCV fL]]</f>
        <v>82.9</v>
      </c>
      <c r="BN409" s="125">
        <f>Tabela1[[#This Row],[Pré MCH pg]]</f>
        <v>28.7</v>
      </c>
      <c r="BO409" s="125">
        <f>Tabela1[[#This Row],[Pós MCH pg]]</f>
        <v>28.5</v>
      </c>
      <c r="BP409" s="125">
        <f>Tabela1[[#This Row],[Pré MCHC g/dL]]</f>
        <v>33.6</v>
      </c>
      <c r="BQ409" s="125">
        <f>Tabela1[[#This Row],[Pós MCHC g/dL]]</f>
        <v>34.4</v>
      </c>
      <c r="BR409" s="85">
        <f>Tabela1[[#This Row],[Pré PLT 10³/mm³]]</f>
        <v>326</v>
      </c>
      <c r="BS409" s="85">
        <f>Tabela1[[#This Row],[Pós PLT 10³/mm³]]</f>
        <v>353</v>
      </c>
      <c r="BT409" s="125">
        <f>Tabela1[[#This Row],[Pré RDW %]]</f>
        <v>12.4</v>
      </c>
      <c r="BU409" s="125">
        <f>Tabela1[[#This Row],[Pós RDW %]]</f>
        <v>12.6</v>
      </c>
      <c r="BV409" s="179" t="str">
        <f>Tabela1[[#This Row],[Pré RET %]]</f>
        <v>-</v>
      </c>
      <c r="BW409" s="196" t="str">
        <f>Tabela1[[#This Row],[Pós RET %]]</f>
        <v>-</v>
      </c>
      <c r="BX409" s="197">
        <f>Tabela1[[#This Row],[Pré WBC 10³/mm³]]</f>
        <v>5.45</v>
      </c>
      <c r="BY409" s="179">
        <f>Tabela1[[#This Row],[Pós WBC 10³/mm³]]</f>
        <v>15.77</v>
      </c>
      <c r="BZ409" s="125">
        <f>Tabela1[[#This Row],[Pré NEUT %]]</f>
        <v>44.6</v>
      </c>
      <c r="CA409" s="125">
        <f>Tabela1[[#This Row],[Pós NEUT %]]</f>
        <v>52.3</v>
      </c>
      <c r="CB409" s="125">
        <f>Tabela1[[#This Row],[Pré LINF %]]</f>
        <v>41.8</v>
      </c>
      <c r="CC409" s="125">
        <f>Tabela1[[#This Row],[Pós LINF %]]</f>
        <v>36.299999999999997</v>
      </c>
      <c r="CD409" s="125">
        <f>Tabela1[[#This Row],[Pré MONO %]]</f>
        <v>9</v>
      </c>
      <c r="CE409" s="125">
        <f>Tabela1[[#This Row],[Pós MONO %]]</f>
        <v>10.4</v>
      </c>
      <c r="CF409" s="125">
        <f>Tabela1[[#This Row],[Pré EOS %]]</f>
        <v>3.9</v>
      </c>
      <c r="CG409" s="125">
        <f>Tabela1[[#This Row],[Pós EOS %]]</f>
        <v>0.6</v>
      </c>
      <c r="CH409" s="125">
        <f>Tabela1[[#This Row],[Pré BASO %]]</f>
        <v>0.7</v>
      </c>
      <c r="CI409" s="198">
        <f>Tabela1[[#This Row],[Pós BASO %]]</f>
        <v>0.4</v>
      </c>
      <c r="CJ409" s="199" t="str">
        <f t="shared" si="25"/>
        <v>SIM</v>
      </c>
      <c r="CK409" s="200" t="str">
        <f t="shared" si="26"/>
        <v>NÃO</v>
      </c>
      <c r="CL409" s="194">
        <f t="shared" si="27"/>
        <v>74.264600000000002</v>
      </c>
      <c r="CM409" s="125">
        <f>Tabela1[[#This Row],[MCT KG]]</f>
        <v>82.7</v>
      </c>
      <c r="CN409" s="85">
        <f>Tabela1[[#This Row],[ESTATURA]]</f>
        <v>179.5</v>
      </c>
      <c r="CO409" s="85" t="str">
        <f>Tabela1[[#This Row],[vo2max estimado]]</f>
        <v>50,56</v>
      </c>
      <c r="CP409" s="85">
        <f>Tabela1[[#This Row],[Handgrip     Dominante]]</f>
        <v>58</v>
      </c>
      <c r="CQ409" s="85">
        <f>Tabela1[[#This Row],[Handgrip Contrário]]</f>
        <v>52</v>
      </c>
      <c r="CR409" s="281" t="str">
        <f>Tabela1[[#This Row],[% gordura]]</f>
        <v>10,20</v>
      </c>
    </row>
    <row r="410" spans="1:96" ht="15.75" customHeight="1">
      <c r="A410" s="279">
        <f>Tabela1[[#This Row],[Ano]]</f>
        <v>2023</v>
      </c>
      <c r="B410" s="181" t="str">
        <f>Tabela1[[#This Row],[Missão]]</f>
        <v>Avelar</v>
      </c>
      <c r="C410" s="181">
        <f>Tabela1[[#This Row],[Aluno]]</f>
        <v>3348</v>
      </c>
      <c r="D410" s="181">
        <f>Tabela1[[#This Row],[Idade]]</f>
        <v>29</v>
      </c>
      <c r="E410" s="182">
        <f>Tabela1[[#This Row],[Peso Kg]]</f>
        <v>81.400000000000006</v>
      </c>
      <c r="F410" s="191">
        <f>Tabela1[[#This Row],[Cor da pele]]</f>
        <v>2</v>
      </c>
      <c r="G410" s="192" t="str">
        <f>Tabela1[[#This Row],[ACTN3]]</f>
        <v>RR</v>
      </c>
      <c r="H410" s="85" t="str">
        <f>Tabela1[[#This Row],[AGT]]</f>
        <v>MM</v>
      </c>
      <c r="I410" s="85" t="str">
        <f>Tabela1[[#This Row],[ECA]]</f>
        <v>ID</v>
      </c>
      <c r="J410" s="85" t="str">
        <f>Tabela1[[#This Row],[BDKRB2]]</f>
        <v xml:space="preserve"> +9,+9</v>
      </c>
      <c r="K410" s="85">
        <f>Tabela1[[#This Row],[Score Força%]]</f>
        <v>62.5</v>
      </c>
      <c r="L410" s="193">
        <f>Tabela1[[#This Row],[Score Resistência %]]</f>
        <v>37.5</v>
      </c>
      <c r="M410" s="192">
        <f>Tabela1[[#This Row],[Pré CK (U/L)]]</f>
        <v>71</v>
      </c>
      <c r="N410" s="85">
        <f>Tabela1[[#This Row],[Pós CK (U/L)]]</f>
        <v>180</v>
      </c>
      <c r="O410" s="85" t="str">
        <f>Tabela1[[#This Row],[Pré CK MB U/L]]</f>
        <v>-</v>
      </c>
      <c r="P410" s="85" t="str">
        <f>Tabela1[[#This Row],[Pós CK MB U/L]]</f>
        <v>-</v>
      </c>
      <c r="Q410" s="85" t="str">
        <f>Tabela1[[#This Row],[Pré Lactato (mmol/L)]]</f>
        <v>-</v>
      </c>
      <c r="R410" s="85" t="str">
        <f>Tabela1[[#This Row],[Pós Lactato (mmol/L)]]</f>
        <v>-</v>
      </c>
      <c r="S410" s="85">
        <f>Tabela1[[#This Row],[Pré LDH (U/L)]]</f>
        <v>213</v>
      </c>
      <c r="T410" s="85">
        <f>Tabela1[[#This Row],[Pós LDH (U/L)]]</f>
        <v>173</v>
      </c>
      <c r="U410" s="85">
        <f>Tabela1[[#This Row],[Pré AST (U/L)]]</f>
        <v>21</v>
      </c>
      <c r="V410" s="193">
        <f>Tabela1[[#This Row],[Pós AST (U/L)]]</f>
        <v>24</v>
      </c>
      <c r="W410" s="194" t="str">
        <f>Tabela1[[#This Row],[Pré Albumina (g/dL)]]</f>
        <v>-</v>
      </c>
      <c r="X410" s="125" t="str">
        <f>Tabela1[[#This Row],[Pós Albumina (g/dL)]]</f>
        <v>-</v>
      </c>
      <c r="Y410" s="85" t="str">
        <f>Tabela1[[#This Row],[Pré TGP (g/dL)]]</f>
        <v>-</v>
      </c>
      <c r="Z410" s="85" t="str">
        <f>Tabela1[[#This Row],[Pós TGP (g/dL)]]</f>
        <v>-</v>
      </c>
      <c r="AA410" s="85" t="str">
        <f>Tabela1[[#This Row],[Pré GGT U/L]]</f>
        <v>-</v>
      </c>
      <c r="AB410" s="193" t="str">
        <f>Tabela1[[#This Row],[Pós GGT U/L]]</f>
        <v>-</v>
      </c>
      <c r="AC410" s="194" t="str">
        <f>Tabela1[[#This Row],[Pré Ac. Úrico (mg/dL)]]</f>
        <v>-</v>
      </c>
      <c r="AD410" s="125" t="str">
        <f>Tabela1[[#This Row],[Pós Ac. Úrico (mg/dL)2]]</f>
        <v>-</v>
      </c>
      <c r="AE410" s="180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128.71280700150223</v>
      </c>
      <c r="AF410" s="180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119.30540843392204</v>
      </c>
      <c r="AG410" s="85">
        <f>Tabela1[[#This Row],[Pré Ureia mg/dL]]</f>
        <v>25</v>
      </c>
      <c r="AH410" s="85">
        <f>Tabela1[[#This Row],[Pós Ureia mg/dL]]</f>
        <v>39</v>
      </c>
      <c r="AI410" s="125">
        <f>Tabela1[[#This Row],[Pré creatinina mg/dL]]</f>
        <v>0.7</v>
      </c>
      <c r="AJ410" s="125">
        <f>Tabela1[[#This Row],[Pós creatinina mg/dL]]</f>
        <v>0.9</v>
      </c>
      <c r="AK410" s="180">
        <f t="shared" si="24"/>
        <v>0.20000000000000007</v>
      </c>
      <c r="AL410" s="125" t="str">
        <f>Tabela1[[#This Row],[Pré Fósforo mg/dL]]</f>
        <v>-</v>
      </c>
      <c r="AM410" s="125" t="str">
        <f>Tabela1[[#This Row],[Pós Fósforo mg/dL]]</f>
        <v>-</v>
      </c>
      <c r="AN410" s="125" t="str">
        <f>Tabela1[[#This Row],[Pré Proteína Total (g/dL)]]</f>
        <v>-</v>
      </c>
      <c r="AO410" s="125" t="str">
        <f>Tabela1[[#This Row],[Pós Proteína Total (g/dL)]]</f>
        <v>-</v>
      </c>
      <c r="AP410" s="85" t="str">
        <f>Tabela1[[#This Row],[Pré FE (ug/dL)]]</f>
        <v>-</v>
      </c>
      <c r="AQ410" s="193" t="str">
        <f>Tabela1[[#This Row],[Pós FE (ug/dL)]]</f>
        <v>-</v>
      </c>
      <c r="AR410" s="194" t="str">
        <f>Tabela1[[#This Row],[Pré calcio mg/dL]]</f>
        <v>-</v>
      </c>
      <c r="AS410" s="125" t="str">
        <f>Tabela1[[#This Row],[Pós calcio mg/dL]]</f>
        <v>-</v>
      </c>
      <c r="AT410" s="125">
        <f>Tabela1[[#This Row],[Pré Potássio mmol/L]]</f>
        <v>4.3</v>
      </c>
      <c r="AU410" s="125">
        <f>Tabela1[[#This Row],[Pós Potássio mmol/L]]</f>
        <v>3.8</v>
      </c>
      <c r="AV410" s="85">
        <f>Tabela1[[#This Row],[Glicose pré]]</f>
        <v>83</v>
      </c>
      <c r="AW410" s="85">
        <f>Tabela1[[#This Row],[Glicose pós]]</f>
        <v>86</v>
      </c>
      <c r="AX410" s="85">
        <f>Tabela1[[#This Row],[Pré Sódio mmol/L]]</f>
        <v>142</v>
      </c>
      <c r="AY410" s="85">
        <f>Tabela1[[#This Row],[Pós Sódio mmol/L]]</f>
        <v>141</v>
      </c>
      <c r="AZ410" s="125" t="str">
        <f>Tabela1[[#This Row],[Pré Magnésio mg/dL]]</f>
        <v>-</v>
      </c>
      <c r="BA410" s="125" t="str">
        <f>Tabela1[[#This Row],[Pós Magnésio mg/dL]]</f>
        <v>-</v>
      </c>
      <c r="BB410" s="85">
        <f>Tabela1[[#This Row],[Pré Cloro mmol/L]]</f>
        <v>104</v>
      </c>
      <c r="BC410" s="85">
        <f>Tabela1[[#This Row],[Pós Cloro mmol/L]]</f>
        <v>102</v>
      </c>
      <c r="BD410" s="190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295.58744444444454</v>
      </c>
      <c r="BE410" s="195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295.3224444444445</v>
      </c>
      <c r="BF410" s="194">
        <f>Tabela1[[#This Row],[Pré RBC 10^6/mm³]]</f>
        <v>4.51</v>
      </c>
      <c r="BG410" s="125">
        <f>Tabela1[[#This Row],[Pós RBC 10^6/mm³]]</f>
        <v>5.7</v>
      </c>
      <c r="BH410" s="125">
        <f>Tabela1[[#This Row],[Pré HGB g/dL]]</f>
        <v>13.1</v>
      </c>
      <c r="BI410" s="125">
        <f>Tabela1[[#This Row],[Pós HGB g/dL]]</f>
        <v>16.600000000000001</v>
      </c>
      <c r="BJ410" s="125">
        <f>Tabela1[[#This Row],[Pré HCT %]]</f>
        <v>37.4</v>
      </c>
      <c r="BK410" s="125">
        <f>Tabela1[[#This Row],[Pós HCT %]]</f>
        <v>46.9</v>
      </c>
      <c r="BL410" s="125">
        <f>Tabela1[[#This Row],[Pré MCV fL]]</f>
        <v>82.9</v>
      </c>
      <c r="BM410" s="125">
        <f>Tabela1[[#This Row],[Pós MCV fL]]</f>
        <v>82.3</v>
      </c>
      <c r="BN410" s="125">
        <f>Tabela1[[#This Row],[Pré MCH pg]]</f>
        <v>29</v>
      </c>
      <c r="BO410" s="125">
        <f>Tabela1[[#This Row],[Pós MCH pg]]</f>
        <v>29.1</v>
      </c>
      <c r="BP410" s="125">
        <f>Tabela1[[#This Row],[Pré MCHC g/dL]]</f>
        <v>35</v>
      </c>
      <c r="BQ410" s="125">
        <f>Tabela1[[#This Row],[Pós MCHC g/dL]]</f>
        <v>35.4</v>
      </c>
      <c r="BR410" s="85">
        <f>Tabela1[[#This Row],[Pré PLT 10³/mm³]]</f>
        <v>130</v>
      </c>
      <c r="BS410" s="85">
        <f>Tabela1[[#This Row],[Pós PLT 10³/mm³]]</f>
        <v>261</v>
      </c>
      <c r="BT410" s="125">
        <f>Tabela1[[#This Row],[Pré RDW %]]</f>
        <v>11.9</v>
      </c>
      <c r="BU410" s="125">
        <f>Tabela1[[#This Row],[Pós RDW %]]</f>
        <v>12.6</v>
      </c>
      <c r="BV410" s="179" t="str">
        <f>Tabela1[[#This Row],[Pré RET %]]</f>
        <v>-</v>
      </c>
      <c r="BW410" s="196" t="str">
        <f>Tabela1[[#This Row],[Pós RET %]]</f>
        <v>-</v>
      </c>
      <c r="BX410" s="197">
        <f>Tabela1[[#This Row],[Pré WBC 10³/mm³]]</f>
        <v>4.9000000000000004</v>
      </c>
      <c r="BY410" s="179">
        <f>Tabela1[[#This Row],[Pós WBC 10³/mm³]]</f>
        <v>11.69</v>
      </c>
      <c r="BZ410" s="125">
        <f>Tabela1[[#This Row],[Pré NEUT %]]</f>
        <v>57.4</v>
      </c>
      <c r="CA410" s="125">
        <f>Tabela1[[#This Row],[Pós NEUT %]]</f>
        <v>57.5</v>
      </c>
      <c r="CB410" s="125">
        <f>Tabela1[[#This Row],[Pré LINF %]]</f>
        <v>31</v>
      </c>
      <c r="CC410" s="125">
        <f>Tabela1[[#This Row],[Pós LINF %]]</f>
        <v>31.4</v>
      </c>
      <c r="CD410" s="125">
        <f>Tabela1[[#This Row],[Pré MONO %]]</f>
        <v>8.8000000000000007</v>
      </c>
      <c r="CE410" s="125">
        <f>Tabela1[[#This Row],[Pós MONO %]]</f>
        <v>9.9</v>
      </c>
      <c r="CF410" s="125">
        <f>Tabela1[[#This Row],[Pré EOS %]]</f>
        <v>2</v>
      </c>
      <c r="CG410" s="125">
        <f>Tabela1[[#This Row],[Pós EOS %]]</f>
        <v>0.7</v>
      </c>
      <c r="CH410" s="125">
        <f>Tabela1[[#This Row],[Pré BASO %]]</f>
        <v>0.8</v>
      </c>
      <c r="CI410" s="198">
        <f>Tabela1[[#This Row],[Pós BASO %]]</f>
        <v>0.5</v>
      </c>
      <c r="CJ410" s="199" t="str">
        <f t="shared" si="25"/>
        <v>NÃO</v>
      </c>
      <c r="CK410" s="200" t="str">
        <f t="shared" si="26"/>
        <v>NÃO</v>
      </c>
      <c r="CL410" s="194">
        <f t="shared" si="27"/>
        <v>70.179900000000004</v>
      </c>
      <c r="CM410" s="125">
        <f>Tabela1[[#This Row],[MCT KG]]</f>
        <v>80.5</v>
      </c>
      <c r="CN410" s="85">
        <f>Tabela1[[#This Row],[ESTATURA]]</f>
        <v>181</v>
      </c>
      <c r="CO410" s="85" t="str">
        <f>Tabela1[[#This Row],[vo2max estimado]]</f>
        <v>51,80</v>
      </c>
      <c r="CP410" s="85">
        <f>Tabela1[[#This Row],[Handgrip     Dominante]]</f>
        <v>60</v>
      </c>
      <c r="CQ410" s="85">
        <f>Tabela1[[#This Row],[Handgrip Contrário]]</f>
        <v>50</v>
      </c>
      <c r="CR410" s="281" t="str">
        <f>Tabela1[[#This Row],[% gordura]]</f>
        <v>12,82</v>
      </c>
    </row>
    <row r="411" spans="1:96" ht="15.75" customHeight="1">
      <c r="A411" s="282">
        <f>Tabela1[[#This Row],[Ano]]</f>
        <v>2023</v>
      </c>
      <c r="B411" s="283" t="str">
        <f>Tabela1[[#This Row],[Missão]]</f>
        <v>Avelar</v>
      </c>
      <c r="C411" s="283">
        <f>Tabela1[[#This Row],[Aluno]]</f>
        <v>3350</v>
      </c>
      <c r="D411" s="283">
        <f>Tabela1[[#This Row],[Idade]]</f>
        <v>29</v>
      </c>
      <c r="E411" s="284">
        <f>Tabela1[[#This Row],[Peso Kg]]</f>
        <v>82.7</v>
      </c>
      <c r="F411" s="285">
        <f>Tabela1[[#This Row],[Cor da pele]]</f>
        <v>2</v>
      </c>
      <c r="G411" s="286" t="str">
        <f>Tabela1[[#This Row],[ACTN3]]</f>
        <v>RR</v>
      </c>
      <c r="H411" s="287" t="str">
        <f>Tabela1[[#This Row],[AGT]]</f>
        <v>TT</v>
      </c>
      <c r="I411" s="287" t="str">
        <f>Tabela1[[#This Row],[ECA]]</f>
        <v>II</v>
      </c>
      <c r="J411" s="287">
        <f>Tabela1[[#This Row],[BDKRB2]]</f>
        <v>0</v>
      </c>
      <c r="K411" s="287">
        <f>Tabela1[[#This Row],[Score Força%]]</f>
        <v>62.5</v>
      </c>
      <c r="L411" s="288">
        <f>Tabela1[[#This Row],[Score Resistência %]]</f>
        <v>37.5</v>
      </c>
      <c r="M411" s="286">
        <f>Tabela1[[#This Row],[Pré CK (U/L)]]</f>
        <v>139</v>
      </c>
      <c r="N411" s="287">
        <f>Tabela1[[#This Row],[Pós CK (U/L)]]</f>
        <v>2190</v>
      </c>
      <c r="O411" s="287" t="str">
        <f>Tabela1[[#This Row],[Pré CK MB U/L]]</f>
        <v>-</v>
      </c>
      <c r="P411" s="287" t="str">
        <f>Tabela1[[#This Row],[Pós CK MB U/L]]</f>
        <v>-</v>
      </c>
      <c r="Q411" s="287" t="str">
        <f>Tabela1[[#This Row],[Pré Lactato (mmol/L)]]</f>
        <v>-</v>
      </c>
      <c r="R411" s="287" t="str">
        <f>Tabela1[[#This Row],[Pós Lactato (mmol/L)]]</f>
        <v>-</v>
      </c>
      <c r="S411" s="287">
        <f>Tabela1[[#This Row],[Pré LDH (U/L)]]</f>
        <v>260</v>
      </c>
      <c r="T411" s="287">
        <f>Tabela1[[#This Row],[Pós LDH (U/L)]]</f>
        <v>305</v>
      </c>
      <c r="U411" s="287">
        <f>Tabela1[[#This Row],[Pré AST (U/L)]]</f>
        <v>33</v>
      </c>
      <c r="V411" s="288">
        <f>Tabela1[[#This Row],[Pós AST (U/L)]]</f>
        <v>106</v>
      </c>
      <c r="W411" s="289" t="str">
        <f>Tabela1[[#This Row],[Pré Albumina (g/dL)]]</f>
        <v>-</v>
      </c>
      <c r="X411" s="290" t="str">
        <f>Tabela1[[#This Row],[Pós Albumina (g/dL)]]</f>
        <v>-</v>
      </c>
      <c r="Y411" s="287" t="str">
        <f>Tabela1[[#This Row],[Pré TGP (g/dL)]]</f>
        <v>-</v>
      </c>
      <c r="Z411" s="287" t="str">
        <f>Tabela1[[#This Row],[Pós TGP (g/dL)]]</f>
        <v>-</v>
      </c>
      <c r="AA411" s="287" t="str">
        <f>Tabela1[[#This Row],[Pré GGT U/L]]</f>
        <v>-</v>
      </c>
      <c r="AB411" s="288" t="str">
        <f>Tabela1[[#This Row],[Pós GGT U/L]]</f>
        <v>-</v>
      </c>
      <c r="AC411" s="289" t="str">
        <f>Tabela1[[#This Row],[Pré Ac. Úrico (mg/dL)]]</f>
        <v>-</v>
      </c>
      <c r="AD411" s="290" t="str">
        <f>Tabela1[[#This Row],[Pós Ac. Úrico (mg/dL)2]]</f>
        <v>-</v>
      </c>
      <c r="AE411" s="291">
        <f>IFERROR(IF(Tabela13[[#This Row],[Pré creatinina mg/dL]]=0,"Dados Insuficientes",IF(Tabela13[[#This Row],[Pré creatinina mg/dL]]&gt;0.9,142*(Tabela13[[#This Row],[Pré creatinina mg/dL]]/0.9)^-1.2*0.9938^$D$4,142*(Tabela13[[#This Row],[Pré creatinina mg/dL]]/0.9)^-0.302*0.9938^$D$4)),"Dados Insuficientes")</f>
        <v>134.84650417699166</v>
      </c>
      <c r="AF411" s="291">
        <f>IFERROR(IF(Tabela13[[#This Row],[Pós creatinina mg/dL]]=0,"Dados Insuficientes",IF(Tabela13[[#This Row],[Pós creatinina mg/dL]]&gt;0.9,142*(Tabela13[[#This Row],[Pós creatinina mg/dL]]/0.9)^-1.2*0.9938^$D$4,142*(Tabela13[[#This Row],[Pós creatinina mg/dL]]/0.9)^-0.302*0.9938^$D$4)),"Dados Insuficientes")</f>
        <v>84.476059599302445</v>
      </c>
      <c r="AG411" s="287">
        <f>Tabela1[[#This Row],[Pré Ureia mg/dL]]</f>
        <v>27</v>
      </c>
      <c r="AH411" s="287">
        <f>Tabela1[[#This Row],[Pós Ureia mg/dL]]</f>
        <v>51</v>
      </c>
      <c r="AI411" s="290">
        <f>Tabela1[[#This Row],[Pré creatinina mg/dL]]</f>
        <v>0.6</v>
      </c>
      <c r="AJ411" s="290">
        <f>Tabela1[[#This Row],[Pós creatinina mg/dL]]</f>
        <v>1.2</v>
      </c>
      <c r="AK411" s="291">
        <f t="shared" si="24"/>
        <v>0.6</v>
      </c>
      <c r="AL411" s="290" t="str">
        <f>Tabela1[[#This Row],[Pré Fósforo mg/dL]]</f>
        <v>-</v>
      </c>
      <c r="AM411" s="290" t="str">
        <f>Tabela1[[#This Row],[Pós Fósforo mg/dL]]</f>
        <v>-</v>
      </c>
      <c r="AN411" s="290" t="str">
        <f>Tabela1[[#This Row],[Pré Proteína Total (g/dL)]]</f>
        <v>-</v>
      </c>
      <c r="AO411" s="290" t="str">
        <f>Tabela1[[#This Row],[Pós Proteína Total (g/dL)]]</f>
        <v>-</v>
      </c>
      <c r="AP411" s="287" t="str">
        <f>Tabela1[[#This Row],[Pré FE (ug/dL)]]</f>
        <v>-</v>
      </c>
      <c r="AQ411" s="288" t="str">
        <f>Tabela1[[#This Row],[Pós FE (ug/dL)]]</f>
        <v>-</v>
      </c>
      <c r="AR411" s="289" t="str">
        <f>Tabela1[[#This Row],[Pré calcio mg/dL]]</f>
        <v>-</v>
      </c>
      <c r="AS411" s="290" t="str">
        <f>Tabela1[[#This Row],[Pós calcio mg/dL]]</f>
        <v>-</v>
      </c>
      <c r="AT411" s="290">
        <f>Tabela1[[#This Row],[Pré Potássio mmol/L]]</f>
        <v>3.7</v>
      </c>
      <c r="AU411" s="290">
        <f>Tabela1[[#This Row],[Pós Potássio mmol/L]]</f>
        <v>4.7</v>
      </c>
      <c r="AV411" s="287">
        <f>Tabela1[[#This Row],[Glicose pré]]</f>
        <v>83</v>
      </c>
      <c r="AW411" s="287">
        <f>Tabela1[[#This Row],[Glicose pós]]</f>
        <v>104</v>
      </c>
      <c r="AX411" s="287">
        <f>Tabela1[[#This Row],[Pré Sódio mmol/L]]</f>
        <v>138</v>
      </c>
      <c r="AY411" s="287">
        <f>Tabela1[[#This Row],[Pós Sódio mmol/L]]</f>
        <v>137</v>
      </c>
      <c r="AZ411" s="290" t="str">
        <f>Tabela1[[#This Row],[Pré Magnésio mg/dL]]</f>
        <v>-</v>
      </c>
      <c r="BA411" s="290" t="str">
        <f>Tabela1[[#This Row],[Pós Magnésio mg/dL]]</f>
        <v>-</v>
      </c>
      <c r="BB411" s="287">
        <f>Tabela1[[#This Row],[Pré Cloro mmol/L]]</f>
        <v>100</v>
      </c>
      <c r="BC411" s="287">
        <f>Tabela1[[#This Row],[Pós Cloro mmol/L]]</f>
        <v>95</v>
      </c>
      <c r="BD411" s="292">
        <f>IFERROR(IF((1.86*(Tabela13[[#This Row],[Pré Sódio mmol/L]]+Tabela13[[#This Row],[Pré Potássio mmol/L]])+1.15*(Tabela13[[#This Row],[Glicose pré]]/18)+(Tabela13[[#This Row],[Pré Ureia mg/dL]]/6)+14)=14,"Dados Insuficientes",1.86*(Tabela13[[#This Row],[Pré Sódio mmol/L]]+Tabela13[[#This Row],[Pré Potássio mmol/L]])+1.15*(Tabela13[[#This Row],[Glicose pré]]/18)+(Tabela13[[#This Row],[Pré Ureia mg/dL]]/6)+14),"Dados Insuficientes")</f>
        <v>287.36477777777782</v>
      </c>
      <c r="BE411" s="293">
        <f>IFERROR(IF((1.86*(Tabela13[[#This Row],[Pós Sódio mmol/L]]+Tabela13[[#This Row],[Pós Potássio mmol/L]])+1.15*(Tabela13[[#This Row],[Glicose pós]]/18)+(Tabela13[[#This Row],[Pós Ureia mg/dL]]/6)+14)=14,"Dados Insuficientes",1.86*(Tabela13[[#This Row],[Pós Sódio mmol/L]]+Tabela13[[#This Row],[Pós Potássio mmol/L]])+1.15*(Tabela13[[#This Row],[Glicose pós]]/18)+(Tabela13[[#This Row],[Pós Ureia mg/dL]]/6)+14),"Dados Insuficientes")</f>
        <v>292.70644444444446</v>
      </c>
      <c r="BF411" s="289">
        <f>Tabela1[[#This Row],[Pré RBC 10^6/mm³]]</f>
        <v>4.71</v>
      </c>
      <c r="BG411" s="290">
        <f>Tabela1[[#This Row],[Pós RBC 10^6/mm³]]</f>
        <v>5.44</v>
      </c>
      <c r="BH411" s="290">
        <f>Tabela1[[#This Row],[Pré HGB g/dL]]</f>
        <v>13.2</v>
      </c>
      <c r="BI411" s="290">
        <f>Tabela1[[#This Row],[Pós HGB g/dL]]</f>
        <v>15.1</v>
      </c>
      <c r="BJ411" s="290">
        <f>Tabela1[[#This Row],[Pré HCT %]]</f>
        <v>39.299999999999997</v>
      </c>
      <c r="BK411" s="290">
        <f>Tabela1[[#This Row],[Pós HCT %]]</f>
        <v>44.8</v>
      </c>
      <c r="BL411" s="290">
        <f>Tabela1[[#This Row],[Pré MCV fL]]</f>
        <v>83.4</v>
      </c>
      <c r="BM411" s="290">
        <f>Tabela1[[#This Row],[Pós MCV fL]]</f>
        <v>82.4</v>
      </c>
      <c r="BN411" s="290">
        <f>Tabela1[[#This Row],[Pré MCH pg]]</f>
        <v>28</v>
      </c>
      <c r="BO411" s="290">
        <f>Tabela1[[#This Row],[Pós MCH pg]]</f>
        <v>27.8</v>
      </c>
      <c r="BP411" s="290">
        <f>Tabela1[[#This Row],[Pré MCHC g/dL]]</f>
        <v>33.6</v>
      </c>
      <c r="BQ411" s="290">
        <f>Tabela1[[#This Row],[Pós MCHC g/dL]]</f>
        <v>33.700000000000003</v>
      </c>
      <c r="BR411" s="287">
        <f>Tabela1[[#This Row],[Pré PLT 10³/mm³]]</f>
        <v>187</v>
      </c>
      <c r="BS411" s="287">
        <f>Tabela1[[#This Row],[Pós PLT 10³/mm³]]</f>
        <v>397</v>
      </c>
      <c r="BT411" s="290">
        <f>Tabela1[[#This Row],[Pré RDW %]]</f>
        <v>12.3</v>
      </c>
      <c r="BU411" s="290">
        <f>Tabela1[[#This Row],[Pós RDW %]]</f>
        <v>11.9</v>
      </c>
      <c r="BV411" s="294" t="str">
        <f>Tabela1[[#This Row],[Pré RET %]]</f>
        <v>-</v>
      </c>
      <c r="BW411" s="295" t="str">
        <f>Tabela1[[#This Row],[Pós RET %]]</f>
        <v>-</v>
      </c>
      <c r="BX411" s="296">
        <f>Tabela1[[#This Row],[Pré WBC 10³/mm³]]</f>
        <v>7.57</v>
      </c>
      <c r="BY411" s="294">
        <f>Tabela1[[#This Row],[Pós WBC 10³/mm³]]</f>
        <v>9.16</v>
      </c>
      <c r="BZ411" s="290">
        <f>Tabela1[[#This Row],[Pré NEUT %]]</f>
        <v>19.100000000000001</v>
      </c>
      <c r="CA411" s="290">
        <f>Tabela1[[#This Row],[Pós NEUT %]]</f>
        <v>42.4</v>
      </c>
      <c r="CB411" s="290">
        <f>Tabela1[[#This Row],[Pré LINF %]]</f>
        <v>69.599999999999994</v>
      </c>
      <c r="CC411" s="290">
        <f>Tabela1[[#This Row],[Pós LINF %]]</f>
        <v>48.8</v>
      </c>
      <c r="CD411" s="290">
        <f>Tabela1[[#This Row],[Pré MONO %]]</f>
        <v>8.6999999999999993</v>
      </c>
      <c r="CE411" s="290">
        <f>Tabela1[[#This Row],[Pós MONO %]]</f>
        <v>7.8</v>
      </c>
      <c r="CF411" s="290">
        <f>Tabela1[[#This Row],[Pré EOS %]]</f>
        <v>1.7</v>
      </c>
      <c r="CG411" s="290">
        <f>Tabela1[[#This Row],[Pós EOS %]]</f>
        <v>0.5</v>
      </c>
      <c r="CH411" s="290">
        <f>Tabela1[[#This Row],[Pré BASO %]]</f>
        <v>0.9</v>
      </c>
      <c r="CI411" s="297">
        <f>Tabela1[[#This Row],[Pós BASO %]]</f>
        <v>0.5</v>
      </c>
      <c r="CJ411" s="298" t="str">
        <f t="shared" si="25"/>
        <v>SIM</v>
      </c>
      <c r="CK411" s="299" t="str">
        <f t="shared" si="26"/>
        <v>SIM</v>
      </c>
      <c r="CL411" s="289">
        <f t="shared" si="27"/>
        <v>75.160799999999995</v>
      </c>
      <c r="CM411" s="290">
        <f>Tabela1[[#This Row],[MCT KG]]</f>
        <v>85.8</v>
      </c>
      <c r="CN411" s="287">
        <f>Tabela1[[#This Row],[ESTATURA]]</f>
        <v>178</v>
      </c>
      <c r="CO411" s="287" t="str">
        <f>Tabela1[[#This Row],[vo2max estimado]]</f>
        <v>53,41</v>
      </c>
      <c r="CP411" s="287">
        <f>Tabela1[[#This Row],[Handgrip     Dominante]]</f>
        <v>55</v>
      </c>
      <c r="CQ411" s="287">
        <f>Tabela1[[#This Row],[Handgrip Contrário]]</f>
        <v>56</v>
      </c>
      <c r="CR411" s="300" t="str">
        <f>Tabela1[[#This Row],[% gordura]]</f>
        <v>12,40</v>
      </c>
    </row>
    <row r="412" spans="1:96" ht="15.75" customHeight="1">
      <c r="D412" s="188"/>
      <c r="F412" s="188"/>
      <c r="CL412" s="46"/>
      <c r="CM412" s="46"/>
      <c r="CN412" s="46"/>
      <c r="CO412" s="46"/>
      <c r="CP412" s="46"/>
      <c r="CQ412" s="46"/>
      <c r="CR412" s="46"/>
    </row>
    <row r="413" spans="1:96" ht="15.75" customHeight="1">
      <c r="D413" s="188"/>
      <c r="F413" s="188"/>
      <c r="CL413" s="46"/>
      <c r="CM413" s="46"/>
      <c r="CN413" s="46"/>
      <c r="CO413" s="46"/>
      <c r="CP413" s="46"/>
      <c r="CQ413" s="46"/>
      <c r="CR413" s="46"/>
    </row>
    <row r="414" spans="1:96" ht="15.75" customHeight="1">
      <c r="D414" s="188"/>
      <c r="F414" s="188"/>
      <c r="CL414" s="46"/>
      <c r="CM414" s="46"/>
      <c r="CN414" s="46"/>
      <c r="CO414" s="46"/>
      <c r="CP414" s="46"/>
      <c r="CQ414" s="46"/>
      <c r="CR414" s="46"/>
    </row>
    <row r="415" spans="1:96" ht="15.75" customHeight="1">
      <c r="D415" s="188"/>
      <c r="E415" s="188"/>
      <c r="F415" s="188"/>
      <c r="G415" s="188"/>
      <c r="H415" s="188"/>
      <c r="I415" s="188"/>
      <c r="J415" s="188"/>
      <c r="K415" s="188"/>
      <c r="L415" s="188"/>
      <c r="M415" s="188"/>
      <c r="N415" s="188"/>
      <c r="O415" s="188"/>
      <c r="CL415" s="46"/>
      <c r="CM415" s="46"/>
      <c r="CN415" s="46"/>
      <c r="CO415" s="46"/>
      <c r="CP415" s="46"/>
      <c r="CQ415" s="46"/>
      <c r="CR415" s="46"/>
    </row>
    <row r="416" spans="1:96" ht="15.75" customHeight="1">
      <c r="D416" s="188"/>
      <c r="E416" s="13"/>
      <c r="F416" s="13"/>
      <c r="G416" s="188"/>
      <c r="H416" s="188"/>
      <c r="I416" s="188"/>
      <c r="J416" s="188"/>
      <c r="K416" s="188"/>
      <c r="L416" s="188"/>
      <c r="M416" s="188"/>
      <c r="N416" s="188"/>
      <c r="O416" s="365"/>
      <c r="CL416" s="46"/>
      <c r="CM416" s="46"/>
      <c r="CN416" s="46"/>
      <c r="CO416" s="46"/>
      <c r="CP416" s="46"/>
      <c r="CQ416" s="46"/>
      <c r="CR416" s="46"/>
    </row>
    <row r="417" spans="4:96" ht="15.75" customHeight="1">
      <c r="D417" s="188"/>
      <c r="E417" s="13"/>
      <c r="F417" s="13"/>
      <c r="G417" s="188"/>
      <c r="H417" s="188"/>
      <c r="I417" s="188"/>
      <c r="J417" s="188"/>
      <c r="K417" s="188"/>
      <c r="L417" s="188"/>
      <c r="M417" s="188"/>
      <c r="N417" s="188"/>
      <c r="O417" s="367"/>
      <c r="CL417" s="46"/>
      <c r="CM417" s="46"/>
      <c r="CN417" s="46"/>
      <c r="CO417" s="46"/>
      <c r="CP417" s="46"/>
      <c r="CQ417" s="46"/>
      <c r="CR417" s="46"/>
    </row>
    <row r="418" spans="4:96" ht="15.75" customHeight="1">
      <c r="D418" s="188"/>
      <c r="E418" s="13"/>
      <c r="F418" s="13"/>
      <c r="G418" s="188"/>
      <c r="H418" s="188"/>
      <c r="I418" s="365"/>
      <c r="J418" s="365"/>
      <c r="K418" s="365"/>
      <c r="L418" s="365"/>
      <c r="M418" s="365"/>
      <c r="N418" s="365"/>
      <c r="O418" s="365"/>
      <c r="CL418" s="46"/>
      <c r="CM418" s="46"/>
      <c r="CN418" s="46"/>
      <c r="CO418" s="46"/>
      <c r="CP418" s="46"/>
      <c r="CQ418" s="46"/>
      <c r="CR418" s="46"/>
    </row>
    <row r="419" spans="4:96" ht="15.75" customHeight="1">
      <c r="D419" s="188"/>
      <c r="E419" s="13"/>
      <c r="F419" s="13"/>
      <c r="G419" s="188"/>
      <c r="H419" s="188"/>
      <c r="I419" s="367"/>
      <c r="J419" s="367"/>
      <c r="K419" s="367"/>
      <c r="L419" s="367"/>
      <c r="M419" s="367"/>
      <c r="N419" s="367"/>
      <c r="O419" s="367"/>
      <c r="CL419" s="46"/>
      <c r="CM419" s="46"/>
      <c r="CN419" s="46"/>
      <c r="CO419" s="46"/>
      <c r="CP419" s="46"/>
      <c r="CQ419" s="46"/>
      <c r="CR419" s="46"/>
    </row>
    <row r="420" spans="4:96" ht="15.75" customHeight="1">
      <c r="D420" s="188"/>
      <c r="E420" s="13"/>
      <c r="F420" s="14"/>
      <c r="G420" s="188"/>
      <c r="H420" s="188"/>
      <c r="I420" s="12"/>
      <c r="J420" s="188"/>
      <c r="K420" s="188"/>
      <c r="L420" s="188"/>
      <c r="M420" s="188"/>
      <c r="N420" s="188"/>
      <c r="O420" s="188"/>
      <c r="CL420" s="46"/>
      <c r="CM420" s="46"/>
      <c r="CN420" s="46"/>
      <c r="CO420" s="46"/>
      <c r="CP420" s="46"/>
      <c r="CQ420" s="46"/>
      <c r="CR420" s="46"/>
    </row>
    <row r="421" spans="4:96" ht="15.75" customHeight="1">
      <c r="E421" s="13"/>
      <c r="F421" s="13"/>
      <c r="G421" s="188"/>
      <c r="H421" s="188"/>
      <c r="I421" s="12"/>
      <c r="J421" s="188"/>
      <c r="K421" s="188"/>
      <c r="L421" s="188"/>
      <c r="M421" s="188"/>
      <c r="N421" s="188"/>
      <c r="O421" s="188"/>
      <c r="CL421" s="46"/>
      <c r="CM421" s="46"/>
      <c r="CN421" s="46"/>
      <c r="CO421" s="46"/>
      <c r="CP421" s="46"/>
      <c r="CQ421" s="46"/>
      <c r="CR421" s="46"/>
    </row>
    <row r="422" spans="4:96" ht="15.75" customHeight="1">
      <c r="E422" s="13"/>
      <c r="F422" s="14"/>
      <c r="G422" s="188"/>
      <c r="H422" s="188"/>
      <c r="I422" s="15"/>
      <c r="J422" s="188"/>
      <c r="K422" s="188"/>
      <c r="L422" s="188"/>
      <c r="M422" s="188"/>
      <c r="N422" s="188"/>
      <c r="O422" s="188"/>
      <c r="CL422" s="46"/>
      <c r="CM422" s="46"/>
      <c r="CN422" s="46"/>
      <c r="CO422" s="46"/>
      <c r="CP422" s="46"/>
      <c r="CQ422" s="46"/>
      <c r="CR422" s="46"/>
    </row>
    <row r="423" spans="4:96" ht="15.75" customHeight="1">
      <c r="E423" s="13"/>
      <c r="F423" s="14"/>
      <c r="G423" s="188"/>
      <c r="H423" s="188"/>
      <c r="I423" s="12"/>
      <c r="J423" s="188"/>
      <c r="K423" s="188"/>
      <c r="L423" s="188"/>
      <c r="M423" s="188"/>
      <c r="N423" s="188"/>
      <c r="O423" s="188"/>
      <c r="CL423" s="46"/>
      <c r="CM423" s="46"/>
      <c r="CN423" s="46"/>
      <c r="CO423" s="46"/>
      <c r="CP423" s="46"/>
      <c r="CQ423" s="46"/>
      <c r="CR423" s="46"/>
    </row>
    <row r="424" spans="4:96" ht="15.75" customHeight="1">
      <c r="E424" s="13"/>
      <c r="F424" s="14"/>
      <c r="G424" s="188"/>
      <c r="H424" s="188"/>
      <c r="I424" s="15"/>
      <c r="J424" s="188"/>
      <c r="K424" s="188"/>
      <c r="L424" s="188"/>
      <c r="M424" s="188"/>
      <c r="N424" s="188"/>
      <c r="O424" s="188"/>
      <c r="CL424" s="46"/>
      <c r="CM424" s="46"/>
      <c r="CN424" s="46"/>
      <c r="CO424" s="46"/>
      <c r="CP424" s="46"/>
      <c r="CQ424" s="46"/>
      <c r="CR424" s="46"/>
    </row>
    <row r="425" spans="4:96" ht="15.75" customHeight="1">
      <c r="E425" s="13"/>
      <c r="F425" s="14"/>
      <c r="G425" s="188"/>
      <c r="H425" s="188"/>
      <c r="I425" s="16"/>
      <c r="J425" s="188"/>
      <c r="K425" s="188"/>
      <c r="L425" s="188"/>
      <c r="M425" s="188"/>
      <c r="N425" s="188"/>
      <c r="O425" s="188"/>
      <c r="CL425" s="46"/>
      <c r="CM425" s="46"/>
      <c r="CN425" s="46"/>
      <c r="CO425" s="46"/>
      <c r="CP425" s="46"/>
      <c r="CQ425" s="46"/>
      <c r="CR425" s="46"/>
    </row>
    <row r="426" spans="4:96" ht="15.75" customHeight="1">
      <c r="E426" s="13"/>
      <c r="F426" s="14"/>
      <c r="G426" s="188"/>
      <c r="H426" s="188"/>
      <c r="I426" s="16"/>
      <c r="J426" s="188"/>
      <c r="K426" s="188"/>
      <c r="L426" s="188"/>
      <c r="M426" s="188"/>
      <c r="N426" s="188"/>
      <c r="O426" s="188"/>
      <c r="CL426" s="46"/>
      <c r="CM426" s="46"/>
      <c r="CN426" s="46"/>
      <c r="CO426" s="46"/>
      <c r="CP426" s="46"/>
      <c r="CQ426" s="46"/>
      <c r="CR426" s="46"/>
    </row>
    <row r="427" spans="4:96" ht="15.75" customHeight="1">
      <c r="E427" s="13"/>
      <c r="F427" s="14"/>
      <c r="G427" s="188"/>
      <c r="H427" s="188"/>
      <c r="I427" s="16"/>
      <c r="J427" s="188"/>
      <c r="K427" s="188"/>
      <c r="L427" s="188"/>
      <c r="M427" s="188"/>
      <c r="N427" s="188"/>
      <c r="O427" s="188"/>
      <c r="CL427" s="46"/>
      <c r="CM427" s="46"/>
      <c r="CN427" s="46"/>
      <c r="CO427" s="46"/>
      <c r="CP427" s="46"/>
      <c r="CQ427" s="46"/>
      <c r="CR427" s="46"/>
    </row>
    <row r="428" spans="4:96" ht="15.75" customHeight="1">
      <c r="E428" s="13"/>
      <c r="F428" s="188"/>
      <c r="G428" s="188"/>
      <c r="H428" s="188"/>
      <c r="I428" s="17"/>
      <c r="J428" s="188"/>
      <c r="K428" s="188"/>
      <c r="L428" s="188"/>
      <c r="M428" s="188"/>
      <c r="N428" s="188"/>
      <c r="O428" s="188"/>
      <c r="CL428" s="46"/>
      <c r="CM428" s="46"/>
      <c r="CN428" s="46"/>
      <c r="CO428" s="46"/>
      <c r="CP428" s="46"/>
      <c r="CQ428" s="46"/>
      <c r="CR428" s="46"/>
    </row>
    <row r="429" spans="4:96" ht="15.75" customHeight="1">
      <c r="E429" s="13"/>
      <c r="F429" s="14"/>
      <c r="G429" s="188"/>
      <c r="H429" s="188"/>
      <c r="I429" s="17"/>
      <c r="J429" s="188"/>
      <c r="K429" s="188"/>
      <c r="L429" s="188"/>
      <c r="M429" s="188"/>
      <c r="N429" s="188"/>
      <c r="O429" s="188"/>
      <c r="CL429" s="46"/>
      <c r="CM429" s="46"/>
      <c r="CN429" s="46"/>
      <c r="CO429" s="46"/>
      <c r="CP429" s="46"/>
      <c r="CQ429" s="46"/>
      <c r="CR429" s="46"/>
    </row>
    <row r="430" spans="4:96" ht="15.75" customHeight="1">
      <c r="E430" s="13"/>
      <c r="F430" s="14"/>
      <c r="G430" s="188"/>
      <c r="H430" s="188"/>
      <c r="I430" s="17"/>
      <c r="J430" s="188"/>
      <c r="K430" s="188"/>
      <c r="L430" s="188"/>
      <c r="M430" s="188"/>
      <c r="N430" s="188"/>
      <c r="O430" s="188"/>
      <c r="CL430" s="46"/>
      <c r="CM430" s="46"/>
      <c r="CN430" s="46"/>
      <c r="CO430" s="46"/>
      <c r="CP430" s="46"/>
      <c r="CQ430" s="46"/>
      <c r="CR430" s="46"/>
    </row>
    <row r="431" spans="4:96" ht="15.75" customHeight="1">
      <c r="E431" s="13"/>
      <c r="F431" s="13"/>
      <c r="G431" s="188"/>
      <c r="H431" s="188"/>
      <c r="I431" s="17"/>
      <c r="J431" s="188"/>
      <c r="K431" s="188"/>
      <c r="L431" s="188"/>
      <c r="M431" s="188"/>
      <c r="N431" s="188"/>
      <c r="O431" s="188"/>
      <c r="CL431" s="46"/>
      <c r="CM431" s="46"/>
      <c r="CN431" s="46"/>
      <c r="CO431" s="46"/>
      <c r="CP431" s="46"/>
      <c r="CQ431" s="46"/>
      <c r="CR431" s="46"/>
    </row>
    <row r="432" spans="4:96" ht="15.75" customHeight="1">
      <c r="E432" s="13"/>
      <c r="F432" s="14"/>
      <c r="G432" s="188"/>
      <c r="H432" s="188"/>
      <c r="I432" s="16"/>
      <c r="J432" s="188"/>
      <c r="K432" s="188"/>
      <c r="L432" s="188"/>
      <c r="M432" s="188"/>
      <c r="N432" s="188"/>
      <c r="O432" s="188"/>
      <c r="CL432" s="46"/>
      <c r="CM432" s="46"/>
      <c r="CN432" s="46"/>
      <c r="CO432" s="46"/>
      <c r="CP432" s="46"/>
      <c r="CQ432" s="46"/>
      <c r="CR432" s="46"/>
    </row>
    <row r="433" spans="5:96" ht="15.75" customHeight="1">
      <c r="E433" s="13"/>
      <c r="F433" s="14"/>
      <c r="G433" s="188"/>
      <c r="H433" s="188"/>
      <c r="I433" s="12"/>
      <c r="J433" s="188"/>
      <c r="K433" s="188"/>
      <c r="L433" s="188"/>
      <c r="M433" s="188"/>
      <c r="N433" s="188"/>
      <c r="O433" s="188"/>
      <c r="CL433" s="46"/>
      <c r="CM433" s="46"/>
      <c r="CN433" s="46"/>
      <c r="CO433" s="46"/>
      <c r="CP433" s="46"/>
      <c r="CQ433" s="46"/>
      <c r="CR433" s="46"/>
    </row>
    <row r="434" spans="5:96" ht="15.75" customHeight="1">
      <c r="E434" s="13"/>
      <c r="F434" s="14"/>
      <c r="G434" s="188"/>
      <c r="H434" s="188"/>
      <c r="I434" s="12"/>
      <c r="J434" s="188"/>
      <c r="K434" s="188"/>
      <c r="L434" s="188"/>
      <c r="M434" s="188"/>
      <c r="N434" s="188"/>
      <c r="O434" s="188"/>
      <c r="CL434" s="46"/>
      <c r="CM434" s="46"/>
      <c r="CN434" s="46"/>
      <c r="CO434" s="46"/>
      <c r="CP434" s="46"/>
      <c r="CQ434" s="46"/>
      <c r="CR434" s="46"/>
    </row>
    <row r="435" spans="5:96" ht="15.75" customHeight="1">
      <c r="E435" s="13"/>
      <c r="F435" s="13"/>
      <c r="G435" s="188"/>
      <c r="H435" s="188"/>
      <c r="I435" s="15"/>
      <c r="J435" s="188"/>
      <c r="K435" s="188"/>
      <c r="L435" s="188"/>
      <c r="M435" s="188"/>
      <c r="N435" s="188"/>
      <c r="O435" s="188"/>
      <c r="CL435" s="46"/>
      <c r="CM435" s="46"/>
      <c r="CN435" s="46"/>
      <c r="CO435" s="46"/>
      <c r="CP435" s="46"/>
      <c r="CQ435" s="46"/>
      <c r="CR435" s="46"/>
    </row>
    <row r="436" spans="5:96" ht="15.75" customHeight="1">
      <c r="E436" s="18"/>
      <c r="F436" s="19"/>
      <c r="G436" s="12"/>
      <c r="H436" s="12"/>
      <c r="I436" s="12"/>
      <c r="J436" s="188"/>
      <c r="K436" s="188"/>
      <c r="L436" s="188"/>
      <c r="M436" s="188"/>
      <c r="N436" s="188"/>
      <c r="O436" s="188"/>
      <c r="CL436" s="46"/>
      <c r="CM436" s="46"/>
      <c r="CN436" s="46"/>
      <c r="CO436" s="46"/>
      <c r="CP436" s="46"/>
      <c r="CQ436" s="46"/>
      <c r="CR436" s="46"/>
    </row>
    <row r="437" spans="5:96" ht="15.75" customHeight="1">
      <c r="E437" s="18"/>
      <c r="F437" s="19"/>
      <c r="G437" s="19"/>
      <c r="H437" s="19"/>
      <c r="I437" s="15"/>
      <c r="J437" s="188"/>
      <c r="K437" s="188"/>
      <c r="L437" s="188"/>
      <c r="M437" s="188"/>
      <c r="N437" s="188"/>
      <c r="O437" s="188"/>
    </row>
    <row r="438" spans="5:96" ht="15.75" customHeight="1">
      <c r="E438" s="18"/>
      <c r="F438" s="19"/>
      <c r="G438" s="20"/>
      <c r="H438" s="20"/>
      <c r="I438" s="16"/>
      <c r="J438" s="188"/>
      <c r="K438" s="188"/>
      <c r="L438" s="188"/>
      <c r="M438" s="188"/>
      <c r="N438" s="188"/>
      <c r="O438" s="188"/>
    </row>
    <row r="439" spans="5:96" ht="15.75" customHeight="1">
      <c r="E439" s="18"/>
      <c r="F439" s="19"/>
      <c r="G439" s="20"/>
      <c r="H439" s="20"/>
      <c r="I439" s="16"/>
      <c r="J439" s="188"/>
      <c r="K439" s="188"/>
      <c r="L439" s="188"/>
      <c r="M439" s="188"/>
      <c r="N439" s="188"/>
      <c r="O439" s="188"/>
    </row>
    <row r="440" spans="5:96" ht="15.75" customHeight="1">
      <c r="E440" s="18"/>
      <c r="F440" s="19"/>
      <c r="G440" s="20"/>
      <c r="H440" s="20"/>
      <c r="I440" s="16"/>
      <c r="J440" s="188"/>
      <c r="K440" s="188"/>
      <c r="L440" s="188"/>
      <c r="M440" s="188"/>
      <c r="N440" s="188"/>
      <c r="O440" s="188"/>
    </row>
    <row r="441" spans="5:96" ht="15.75" customHeight="1">
      <c r="E441" s="18"/>
      <c r="F441" s="12"/>
      <c r="G441" s="20"/>
      <c r="H441" s="20"/>
      <c r="I441" s="17"/>
      <c r="J441" s="188"/>
      <c r="K441" s="188"/>
      <c r="L441" s="188"/>
      <c r="M441" s="188"/>
      <c r="N441" s="188"/>
      <c r="O441" s="188"/>
    </row>
    <row r="442" spans="5:96" ht="15.75" customHeight="1">
      <c r="E442" s="21"/>
      <c r="F442" s="19"/>
      <c r="G442" s="20"/>
      <c r="H442" s="20"/>
      <c r="I442" s="16"/>
      <c r="J442" s="188"/>
      <c r="K442" s="188"/>
      <c r="L442" s="188"/>
      <c r="M442" s="188"/>
      <c r="N442" s="188"/>
      <c r="O442" s="188"/>
    </row>
    <row r="443" spans="5:96" ht="15.75" customHeight="1">
      <c r="E443" s="18"/>
      <c r="F443" s="19"/>
      <c r="G443" s="12"/>
      <c r="H443" s="12"/>
      <c r="I443" s="12"/>
      <c r="J443" s="188"/>
      <c r="K443" s="188"/>
      <c r="L443" s="188"/>
      <c r="M443" s="188"/>
      <c r="N443" s="188"/>
      <c r="O443" s="188"/>
    </row>
    <row r="444" spans="5:96" ht="15.75" customHeight="1">
      <c r="E444" s="18"/>
      <c r="F444" s="12"/>
      <c r="G444" s="19"/>
      <c r="H444" s="19"/>
      <c r="I444" s="12"/>
      <c r="J444" s="188"/>
      <c r="K444" s="188"/>
      <c r="L444" s="188"/>
      <c r="M444" s="188"/>
      <c r="N444" s="188"/>
      <c r="O444" s="188"/>
    </row>
    <row r="445" spans="5:96" ht="15.75" customHeight="1">
      <c r="E445" s="18"/>
      <c r="F445" s="19"/>
      <c r="G445" s="19"/>
      <c r="H445" s="19"/>
      <c r="I445" s="15"/>
      <c r="J445" s="188"/>
      <c r="K445" s="188"/>
      <c r="L445" s="188"/>
      <c r="M445" s="188"/>
      <c r="N445" s="188"/>
      <c r="O445" s="188"/>
    </row>
    <row r="446" spans="5:96" ht="15.75" customHeight="1">
      <c r="E446" s="18"/>
      <c r="F446" s="19"/>
      <c r="G446" s="12"/>
      <c r="H446" s="12"/>
      <c r="I446" s="12"/>
      <c r="J446" s="188"/>
      <c r="K446" s="188"/>
      <c r="L446" s="188"/>
      <c r="M446" s="188"/>
      <c r="N446" s="188"/>
      <c r="O446" s="188"/>
    </row>
    <row r="447" spans="5:96" ht="15.75" customHeight="1">
      <c r="E447" s="18"/>
      <c r="F447" s="19"/>
      <c r="G447" s="20"/>
      <c r="H447" s="20"/>
      <c r="I447" s="16"/>
      <c r="J447" s="188"/>
      <c r="K447" s="188"/>
      <c r="L447" s="188"/>
      <c r="M447" s="188"/>
      <c r="N447" s="188"/>
      <c r="O447" s="188"/>
    </row>
    <row r="448" spans="5:96" ht="15.75" customHeight="1">
      <c r="E448" s="18"/>
      <c r="F448" s="19"/>
      <c r="G448" s="20"/>
      <c r="H448" s="20"/>
      <c r="I448" s="16"/>
      <c r="J448" s="188"/>
      <c r="K448" s="188"/>
      <c r="L448" s="188"/>
      <c r="M448" s="188"/>
      <c r="N448" s="188"/>
      <c r="O448" s="188"/>
    </row>
    <row r="449" spans="5:15" ht="15.75" customHeight="1">
      <c r="E449" s="18"/>
      <c r="F449" s="19"/>
      <c r="G449" s="20"/>
      <c r="H449" s="20"/>
      <c r="I449" s="16"/>
      <c r="J449" s="188"/>
      <c r="K449" s="188"/>
      <c r="L449" s="188"/>
      <c r="M449" s="188"/>
      <c r="N449" s="188"/>
      <c r="O449" s="188"/>
    </row>
    <row r="450" spans="5:15" ht="15.75" customHeight="1">
      <c r="E450" s="18"/>
      <c r="F450" s="12"/>
      <c r="G450" s="20"/>
      <c r="H450" s="20"/>
      <c r="I450" s="17"/>
      <c r="J450" s="188"/>
      <c r="K450" s="188"/>
      <c r="L450" s="188"/>
      <c r="M450" s="188"/>
      <c r="N450" s="188"/>
      <c r="O450" s="188"/>
    </row>
    <row r="451" spans="5:15" ht="15.75" customHeight="1">
      <c r="E451" s="21"/>
      <c r="F451" s="19"/>
      <c r="G451" s="20"/>
      <c r="H451" s="20"/>
      <c r="I451" s="16"/>
      <c r="J451" s="188"/>
      <c r="K451" s="188"/>
      <c r="L451" s="188"/>
      <c r="M451" s="188"/>
      <c r="N451" s="188"/>
      <c r="O451" s="188"/>
    </row>
    <row r="452" spans="5:15" ht="15.75" customHeight="1">
      <c r="E452" s="18"/>
      <c r="F452" s="19"/>
      <c r="G452" s="12"/>
      <c r="H452" s="12"/>
      <c r="I452" s="12"/>
      <c r="J452" s="188"/>
      <c r="K452" s="188"/>
      <c r="L452" s="188"/>
      <c r="M452" s="188"/>
      <c r="N452" s="188"/>
      <c r="O452" s="188"/>
    </row>
    <row r="453" spans="5:15" ht="15.75" customHeight="1">
      <c r="E453" s="18"/>
      <c r="F453" s="12"/>
      <c r="G453" s="19"/>
      <c r="H453" s="19"/>
      <c r="I453" s="12"/>
      <c r="J453" s="188"/>
      <c r="K453" s="188"/>
      <c r="L453" s="188"/>
      <c r="M453" s="188"/>
      <c r="N453" s="188"/>
      <c r="O453" s="188"/>
    </row>
    <row r="454" spans="5:15" ht="15.75" customHeight="1">
      <c r="E454" s="18"/>
      <c r="F454" s="19"/>
      <c r="G454" s="19"/>
      <c r="H454" s="19"/>
      <c r="I454" s="15"/>
      <c r="J454" s="188"/>
      <c r="K454" s="188"/>
      <c r="L454" s="188"/>
      <c r="M454" s="188"/>
      <c r="N454" s="188"/>
      <c r="O454" s="188"/>
    </row>
    <row r="455" spans="5:15" ht="15.75" customHeight="1">
      <c r="E455" s="18"/>
      <c r="F455" s="19"/>
      <c r="G455" s="12"/>
      <c r="H455" s="12"/>
      <c r="I455" s="12"/>
      <c r="J455" s="188"/>
      <c r="K455" s="188"/>
      <c r="L455" s="188"/>
      <c r="M455" s="188"/>
      <c r="N455" s="188"/>
      <c r="O455" s="188"/>
    </row>
    <row r="456" spans="5:15" ht="15.75" customHeight="1">
      <c r="E456" s="18"/>
      <c r="F456" s="19"/>
      <c r="G456" s="20"/>
      <c r="H456" s="20"/>
      <c r="I456" s="16"/>
      <c r="J456" s="188"/>
      <c r="K456" s="188"/>
      <c r="L456" s="188"/>
      <c r="M456" s="188"/>
      <c r="N456" s="188"/>
      <c r="O456" s="188"/>
    </row>
    <row r="457" spans="5:15" ht="15.75" customHeight="1">
      <c r="E457" s="18"/>
      <c r="F457" s="19"/>
      <c r="G457" s="20"/>
      <c r="H457" s="20"/>
      <c r="I457" s="16"/>
      <c r="J457" s="188"/>
      <c r="K457" s="188"/>
      <c r="L457" s="188"/>
      <c r="M457" s="188"/>
      <c r="N457" s="188"/>
      <c r="O457" s="188"/>
    </row>
    <row r="458" spans="5:15" ht="15.75" customHeight="1">
      <c r="E458" s="18"/>
      <c r="F458" s="19"/>
      <c r="G458" s="20"/>
      <c r="H458" s="20"/>
      <c r="I458" s="16"/>
      <c r="J458" s="188"/>
      <c r="K458" s="188"/>
      <c r="L458" s="188"/>
      <c r="M458" s="188"/>
      <c r="N458" s="188"/>
      <c r="O458" s="188"/>
    </row>
    <row r="459" spans="5:15" ht="15.75" customHeight="1">
      <c r="E459" s="18"/>
      <c r="F459" s="12"/>
      <c r="G459" s="20"/>
      <c r="H459" s="20"/>
      <c r="I459" s="17"/>
      <c r="J459" s="188"/>
      <c r="K459" s="188"/>
      <c r="L459" s="188"/>
      <c r="M459" s="188"/>
      <c r="N459" s="188"/>
      <c r="O459" s="188"/>
    </row>
    <row r="460" spans="5:15" ht="15.75" customHeight="1">
      <c r="E460" s="21"/>
      <c r="F460" s="19"/>
      <c r="G460" s="20"/>
      <c r="H460" s="20"/>
      <c r="I460" s="16"/>
      <c r="J460" s="188"/>
      <c r="K460" s="188"/>
      <c r="L460" s="188"/>
      <c r="M460" s="188"/>
      <c r="N460" s="188"/>
      <c r="O460" s="188"/>
    </row>
    <row r="461" spans="5:15" ht="15.75" customHeight="1">
      <c r="E461" s="18"/>
      <c r="F461" s="19"/>
      <c r="G461" s="12"/>
      <c r="H461" s="12"/>
      <c r="I461" s="12"/>
      <c r="J461" s="188"/>
      <c r="K461" s="188"/>
      <c r="L461" s="188"/>
      <c r="M461" s="188"/>
      <c r="N461" s="188"/>
      <c r="O461" s="188"/>
    </row>
    <row r="462" spans="5:15" ht="15.75" customHeight="1">
      <c r="E462" s="18"/>
      <c r="F462" s="12"/>
      <c r="G462" s="19"/>
      <c r="H462" s="19"/>
      <c r="I462" s="12"/>
      <c r="J462" s="188"/>
      <c r="K462" s="188"/>
      <c r="L462" s="188"/>
      <c r="M462" s="188"/>
      <c r="N462" s="188"/>
      <c r="O462" s="188"/>
    </row>
    <row r="463" spans="5:15" ht="15.75" customHeight="1">
      <c r="E463" s="18"/>
      <c r="F463" s="19"/>
      <c r="G463" s="19"/>
      <c r="H463" s="19"/>
      <c r="I463" s="15"/>
      <c r="J463" s="188"/>
      <c r="K463" s="188"/>
      <c r="L463" s="188"/>
      <c r="M463" s="188"/>
      <c r="N463" s="188"/>
      <c r="O463" s="188"/>
    </row>
    <row r="464" spans="5:15" ht="15.75" customHeight="1">
      <c r="E464" s="18"/>
      <c r="F464" s="19"/>
      <c r="G464" s="12"/>
      <c r="H464" s="12"/>
      <c r="I464" s="12"/>
      <c r="J464" s="188"/>
      <c r="K464" s="188"/>
      <c r="L464" s="188"/>
      <c r="M464" s="188"/>
      <c r="N464" s="188"/>
      <c r="O464" s="188"/>
    </row>
    <row r="465" spans="5:15" ht="15.75" customHeight="1">
      <c r="E465" s="18"/>
      <c r="F465" s="12"/>
      <c r="G465" s="20"/>
      <c r="H465" s="20"/>
      <c r="I465" s="17"/>
      <c r="J465" s="188"/>
      <c r="K465" s="188"/>
      <c r="L465" s="188"/>
      <c r="M465" s="188"/>
      <c r="N465" s="188"/>
      <c r="O465" s="188"/>
    </row>
    <row r="466" spans="5:15" ht="15.75" customHeight="1">
      <c r="E466" s="21"/>
      <c r="F466" s="19"/>
      <c r="G466" s="20"/>
      <c r="H466" s="20"/>
      <c r="I466" s="16"/>
      <c r="J466" s="188"/>
      <c r="K466" s="188"/>
      <c r="L466" s="188"/>
      <c r="M466" s="188"/>
      <c r="N466" s="188"/>
      <c r="O466" s="188"/>
    </row>
    <row r="467" spans="5:15" ht="15.75" customHeight="1">
      <c r="E467" s="18"/>
      <c r="F467" s="19"/>
      <c r="G467" s="12"/>
      <c r="H467" s="12"/>
      <c r="I467" s="12"/>
      <c r="J467" s="188"/>
      <c r="K467" s="188"/>
      <c r="L467" s="188"/>
      <c r="M467" s="188"/>
      <c r="N467" s="188"/>
      <c r="O467" s="188"/>
    </row>
    <row r="468" spans="5:15" ht="15.75" customHeight="1">
      <c r="E468" s="18"/>
      <c r="F468" s="12"/>
      <c r="G468" s="19"/>
      <c r="H468" s="19"/>
      <c r="I468" s="12"/>
      <c r="J468" s="188"/>
      <c r="K468" s="188"/>
      <c r="L468" s="188"/>
      <c r="M468" s="188"/>
      <c r="N468" s="188"/>
      <c r="O468" s="188"/>
    </row>
    <row r="469" spans="5:15" ht="15.75" customHeight="1">
      <c r="E469" s="18"/>
      <c r="F469" s="19"/>
      <c r="G469" s="12"/>
      <c r="H469" s="12"/>
      <c r="I469" s="12"/>
      <c r="J469" s="188"/>
      <c r="K469" s="188"/>
      <c r="L469" s="188"/>
      <c r="M469" s="188"/>
      <c r="N469" s="188"/>
      <c r="O469" s="188"/>
    </row>
    <row r="470" spans="5:15" ht="15.75" customHeight="1">
      <c r="E470" s="18"/>
      <c r="F470" s="12"/>
      <c r="G470" s="20"/>
      <c r="H470" s="20"/>
      <c r="I470" s="17"/>
      <c r="J470" s="188"/>
      <c r="K470" s="188"/>
      <c r="L470" s="188"/>
      <c r="M470" s="188"/>
      <c r="N470" s="188"/>
      <c r="O470" s="188"/>
    </row>
    <row r="471" spans="5:15" ht="15.75" customHeight="1">
      <c r="E471" s="21"/>
      <c r="F471" s="19"/>
      <c r="G471" s="20"/>
      <c r="H471" s="20"/>
      <c r="I471" s="16"/>
      <c r="J471" s="188"/>
      <c r="K471" s="188"/>
      <c r="L471" s="188"/>
      <c r="M471" s="188"/>
      <c r="N471" s="188"/>
      <c r="O471" s="188"/>
    </row>
    <row r="472" spans="5:15" ht="15.75" customHeight="1">
      <c r="E472" s="22"/>
      <c r="F472" s="188"/>
      <c r="G472" s="188"/>
      <c r="H472" s="188"/>
      <c r="I472" s="188"/>
      <c r="J472" s="188"/>
      <c r="K472" s="188"/>
      <c r="L472" s="188"/>
      <c r="M472" s="188"/>
      <c r="N472" s="188"/>
      <c r="O472" s="188"/>
    </row>
    <row r="473" spans="5:15" ht="15.75" customHeight="1">
      <c r="E473" s="22"/>
      <c r="F473" s="10"/>
      <c r="G473" s="10"/>
      <c r="H473" s="23"/>
      <c r="I473" s="25"/>
      <c r="J473" s="25"/>
      <c r="K473" s="188"/>
      <c r="L473" s="188"/>
      <c r="M473" s="188"/>
      <c r="N473" s="188"/>
      <c r="O473" s="188"/>
    </row>
    <row r="474" spans="5:15" ht="15.75" customHeight="1">
      <c r="E474" s="22"/>
      <c r="F474" s="10"/>
      <c r="G474" s="10"/>
      <c r="H474" s="23"/>
      <c r="I474" s="25"/>
      <c r="J474" s="25"/>
      <c r="K474" s="188"/>
      <c r="L474" s="188"/>
      <c r="M474" s="188"/>
      <c r="N474" s="188"/>
      <c r="O474" s="188"/>
    </row>
    <row r="475" spans="5:15" ht="15.75" customHeight="1">
      <c r="E475" s="22"/>
      <c r="F475" s="10"/>
      <c r="G475" s="10"/>
      <c r="H475" s="23"/>
      <c r="I475" s="25"/>
      <c r="J475" s="25"/>
      <c r="K475" s="188"/>
      <c r="L475" s="188"/>
      <c r="M475" s="188"/>
      <c r="N475" s="188"/>
      <c r="O475" s="188"/>
    </row>
    <row r="476" spans="5:15" ht="15.75" customHeight="1">
      <c r="E476" s="22"/>
      <c r="F476" s="10"/>
      <c r="G476" s="10"/>
      <c r="H476" s="23"/>
      <c r="I476" s="25"/>
      <c r="J476" s="25"/>
      <c r="K476" s="188"/>
      <c r="L476" s="188"/>
      <c r="M476" s="188"/>
      <c r="N476" s="188"/>
      <c r="O476" s="188"/>
    </row>
    <row r="477" spans="5:15" ht="15.75" customHeight="1">
      <c r="E477" s="22"/>
      <c r="F477" s="10"/>
      <c r="G477" s="10"/>
      <c r="H477" s="26"/>
      <c r="I477" s="26"/>
      <c r="J477" s="26"/>
      <c r="K477" s="188"/>
      <c r="L477" s="188"/>
      <c r="M477" s="188"/>
      <c r="N477" s="188"/>
      <c r="O477" s="188"/>
    </row>
    <row r="478" spans="5:15" ht="15.75" customHeight="1">
      <c r="E478" s="22"/>
      <c r="F478" s="10"/>
      <c r="G478" s="10"/>
      <c r="H478" s="23"/>
      <c r="I478" s="26"/>
      <c r="J478" s="26"/>
      <c r="K478" s="188"/>
      <c r="L478" s="188"/>
      <c r="M478" s="188"/>
      <c r="N478" s="188"/>
      <c r="O478" s="188"/>
    </row>
    <row r="479" spans="5:15" ht="15.75" customHeight="1">
      <c r="E479" s="22"/>
      <c r="F479" s="10"/>
      <c r="G479" s="188"/>
      <c r="H479" s="188"/>
      <c r="I479" s="188"/>
      <c r="J479" s="188"/>
      <c r="K479" s="188"/>
      <c r="L479" s="188"/>
      <c r="M479" s="188"/>
      <c r="N479" s="188"/>
      <c r="O479" s="188"/>
    </row>
    <row r="480" spans="5:15" ht="15.75" customHeight="1">
      <c r="E480" s="22"/>
      <c r="F480" s="10"/>
      <c r="G480" s="10"/>
      <c r="H480" s="23"/>
      <c r="I480" s="26"/>
      <c r="J480" s="26"/>
      <c r="K480" s="188"/>
      <c r="L480" s="188"/>
      <c r="M480" s="188"/>
      <c r="N480" s="188"/>
      <c r="O480" s="188"/>
    </row>
    <row r="481" spans="5:15" ht="15.75" customHeight="1">
      <c r="E481" s="22"/>
      <c r="F481" s="28"/>
      <c r="G481" s="10"/>
      <c r="H481" s="23"/>
      <c r="I481" s="26"/>
      <c r="J481" s="26"/>
      <c r="K481" s="188"/>
      <c r="L481" s="188"/>
      <c r="M481" s="188"/>
      <c r="N481" s="188"/>
      <c r="O481" s="188"/>
    </row>
    <row r="482" spans="5:15" ht="15.75" customHeight="1">
      <c r="E482" s="29"/>
      <c r="F482" s="10"/>
      <c r="G482" s="10"/>
      <c r="H482" s="23"/>
      <c r="I482" s="26"/>
      <c r="J482" s="26"/>
      <c r="K482" s="188"/>
      <c r="L482" s="188"/>
      <c r="M482" s="188"/>
      <c r="N482" s="188"/>
      <c r="O482" s="188"/>
    </row>
    <row r="483" spans="5:15" ht="15.75" customHeight="1">
      <c r="E483" s="30"/>
      <c r="F483" s="10"/>
      <c r="G483" s="10"/>
      <c r="H483" s="23"/>
      <c r="I483" s="25"/>
      <c r="J483" s="25"/>
      <c r="K483" s="188"/>
      <c r="L483" s="188"/>
      <c r="M483" s="188"/>
      <c r="N483" s="188"/>
      <c r="O483" s="188"/>
    </row>
    <row r="484" spans="5:15" ht="15.75" customHeight="1">
      <c r="E484" s="22"/>
      <c r="F484" s="31"/>
      <c r="G484" s="10"/>
      <c r="H484" s="26"/>
      <c r="I484" s="26"/>
      <c r="J484" s="26"/>
      <c r="K484" s="188"/>
      <c r="L484" s="188"/>
      <c r="M484" s="188"/>
      <c r="N484" s="188"/>
      <c r="O484" s="188"/>
    </row>
    <row r="485" spans="5:15" ht="15.75" customHeight="1">
      <c r="E485" s="22"/>
      <c r="F485" s="10"/>
      <c r="G485" s="10"/>
      <c r="H485" s="23"/>
      <c r="I485" s="26"/>
      <c r="J485" s="26"/>
      <c r="K485" s="188"/>
      <c r="L485" s="188"/>
      <c r="M485" s="188"/>
      <c r="N485" s="188"/>
      <c r="O485" s="188"/>
    </row>
    <row r="486" spans="5:15" ht="15.75" customHeight="1">
      <c r="E486" s="22"/>
      <c r="F486" s="10"/>
      <c r="G486" s="10"/>
      <c r="H486" s="23"/>
      <c r="I486" s="26"/>
      <c r="J486" s="26"/>
      <c r="K486" s="188"/>
      <c r="L486" s="188"/>
      <c r="M486" s="188"/>
      <c r="N486" s="188"/>
      <c r="O486" s="188"/>
    </row>
    <row r="487" spans="5:15" ht="15.75" customHeight="1">
      <c r="E487" s="22"/>
      <c r="F487" s="10"/>
      <c r="G487" s="10"/>
      <c r="H487" s="23"/>
      <c r="I487" s="26"/>
      <c r="J487" s="26"/>
      <c r="K487" s="188"/>
      <c r="L487" s="188"/>
      <c r="M487" s="188"/>
      <c r="N487" s="188"/>
      <c r="O487" s="188"/>
    </row>
    <row r="488" spans="5:15" ht="15.75" customHeight="1">
      <c r="E488" s="22"/>
      <c r="F488" s="10"/>
      <c r="G488" s="10"/>
      <c r="H488" s="23"/>
      <c r="I488" s="26"/>
      <c r="J488" s="26"/>
      <c r="K488" s="188"/>
      <c r="L488" s="188"/>
      <c r="M488" s="188"/>
      <c r="N488" s="188"/>
      <c r="O488" s="188"/>
    </row>
    <row r="489" spans="5:15" ht="15.75" customHeight="1">
      <c r="E489" s="22"/>
      <c r="F489" s="10"/>
      <c r="G489" s="10"/>
      <c r="H489" s="23"/>
      <c r="I489" s="25"/>
      <c r="J489" s="25"/>
      <c r="K489" s="188"/>
      <c r="L489" s="188"/>
      <c r="M489" s="188"/>
      <c r="N489" s="188"/>
      <c r="O489" s="188"/>
    </row>
    <row r="490" spans="5:15" ht="15.75" customHeight="1">
      <c r="E490" s="22"/>
      <c r="F490" s="10"/>
      <c r="G490" s="10"/>
      <c r="H490" s="23"/>
      <c r="I490" s="25"/>
      <c r="J490" s="25"/>
      <c r="K490" s="188"/>
      <c r="L490" s="188"/>
      <c r="M490" s="188"/>
      <c r="N490" s="188"/>
      <c r="O490" s="188"/>
    </row>
    <row r="491" spans="5:15" ht="15.75" customHeight="1">
      <c r="E491" s="22"/>
      <c r="F491" s="10"/>
      <c r="G491" s="10"/>
      <c r="H491" s="23"/>
      <c r="I491" s="25"/>
      <c r="J491" s="25"/>
      <c r="K491" s="188"/>
      <c r="L491" s="188"/>
      <c r="M491" s="188"/>
      <c r="N491" s="188"/>
      <c r="O491" s="188"/>
    </row>
    <row r="492" spans="5:15" ht="15.75" customHeight="1">
      <c r="E492" s="22"/>
      <c r="F492" s="10"/>
      <c r="G492" s="10"/>
      <c r="H492" s="23"/>
      <c r="I492" s="25"/>
      <c r="J492" s="25"/>
      <c r="K492" s="188"/>
      <c r="L492" s="188"/>
      <c r="M492" s="188"/>
      <c r="N492" s="188"/>
      <c r="O492" s="188"/>
    </row>
    <row r="493" spans="5:15" ht="15.75" customHeight="1">
      <c r="E493" s="22"/>
      <c r="F493" s="10"/>
      <c r="G493" s="10"/>
      <c r="H493" s="23"/>
      <c r="I493" s="25"/>
      <c r="J493" s="25"/>
      <c r="K493" s="188"/>
      <c r="L493" s="188"/>
      <c r="M493" s="188"/>
      <c r="N493" s="188"/>
      <c r="O493" s="188"/>
    </row>
    <row r="494" spans="5:15" ht="15.75" customHeight="1">
      <c r="E494" s="22"/>
      <c r="F494" s="10"/>
      <c r="G494" s="10"/>
      <c r="H494" s="26"/>
      <c r="I494" s="26"/>
      <c r="J494" s="26"/>
      <c r="K494" s="188"/>
      <c r="L494" s="188"/>
      <c r="M494" s="188"/>
      <c r="N494" s="188"/>
      <c r="O494" s="188"/>
    </row>
    <row r="495" spans="5:15" ht="15.75" customHeight="1">
      <c r="E495" s="22"/>
      <c r="F495" s="10"/>
      <c r="G495" s="10"/>
      <c r="H495" s="23"/>
      <c r="I495" s="26"/>
      <c r="J495" s="26"/>
      <c r="K495" s="188"/>
      <c r="L495" s="188"/>
      <c r="M495" s="188"/>
      <c r="N495" s="188"/>
      <c r="O495" s="188"/>
    </row>
    <row r="496" spans="5:15" ht="15.75" customHeight="1">
      <c r="E496" s="22"/>
      <c r="F496" s="10"/>
      <c r="G496" s="188"/>
      <c r="H496" s="188"/>
      <c r="I496" s="188"/>
      <c r="J496" s="188"/>
      <c r="K496" s="188"/>
      <c r="L496" s="188"/>
      <c r="M496" s="188"/>
      <c r="N496" s="188"/>
      <c r="O496" s="188"/>
    </row>
    <row r="497" spans="4:15" ht="15.75" customHeight="1">
      <c r="E497" s="22"/>
      <c r="F497" s="10"/>
      <c r="G497" s="10"/>
      <c r="H497" s="23"/>
      <c r="I497" s="26"/>
      <c r="J497" s="26"/>
      <c r="K497" s="188"/>
      <c r="L497" s="188"/>
      <c r="M497" s="188"/>
      <c r="N497" s="188"/>
      <c r="O497" s="188"/>
    </row>
    <row r="498" spans="4:15" ht="15.75" customHeight="1">
      <c r="E498" s="22"/>
      <c r="F498" s="28"/>
      <c r="G498" s="10"/>
      <c r="H498" s="23"/>
      <c r="I498" s="26"/>
      <c r="J498" s="26"/>
      <c r="K498" s="188"/>
      <c r="L498" s="188"/>
      <c r="M498" s="188"/>
      <c r="N498" s="188"/>
      <c r="O498" s="188"/>
    </row>
    <row r="499" spans="4:15" ht="15.75" customHeight="1">
      <c r="D499" s="32"/>
      <c r="E499" s="22"/>
      <c r="F499" s="10"/>
      <c r="G499" s="10"/>
      <c r="H499" s="23"/>
      <c r="I499" s="26"/>
      <c r="J499" s="26"/>
      <c r="K499" s="188"/>
      <c r="L499" s="188"/>
      <c r="M499" s="188"/>
      <c r="N499" s="188"/>
      <c r="O499" s="188"/>
    </row>
    <row r="500" spans="4:15" ht="15.75" customHeight="1">
      <c r="D500" s="32"/>
      <c r="E500" s="22"/>
      <c r="F500" s="31"/>
      <c r="G500" s="10"/>
      <c r="H500" s="26"/>
      <c r="I500" s="26"/>
      <c r="J500" s="26"/>
      <c r="K500" s="188"/>
      <c r="L500" s="188"/>
      <c r="M500" s="188"/>
      <c r="N500" s="188"/>
      <c r="O500" s="188"/>
    </row>
    <row r="501" spans="4:15" ht="15.75" customHeight="1">
      <c r="D501" s="188"/>
      <c r="E501" s="33"/>
      <c r="F501" s="188"/>
      <c r="G501" s="188"/>
      <c r="H501" s="188"/>
      <c r="I501" s="188"/>
      <c r="J501" s="188"/>
      <c r="K501" s="188"/>
      <c r="L501" s="188"/>
      <c r="M501" s="188"/>
      <c r="N501" s="188"/>
      <c r="O501" s="188"/>
    </row>
    <row r="502" spans="4:15" ht="15.75" customHeight="1">
      <c r="D502" s="188"/>
      <c r="E502" s="33"/>
      <c r="F502" s="188"/>
      <c r="G502" s="188"/>
      <c r="H502" s="188"/>
      <c r="I502" s="188"/>
      <c r="J502" s="188"/>
      <c r="K502" s="188"/>
      <c r="L502" s="188"/>
      <c r="M502" s="188"/>
      <c r="N502" s="188"/>
      <c r="O502" s="188"/>
    </row>
    <row r="503" spans="4:15" ht="15.75" customHeight="1">
      <c r="D503" s="188"/>
      <c r="E503" s="33"/>
      <c r="F503" s="188"/>
      <c r="G503" s="188"/>
      <c r="H503" s="188"/>
      <c r="I503" s="188"/>
      <c r="J503" s="188"/>
      <c r="K503" s="188"/>
      <c r="L503" s="188"/>
      <c r="M503" s="188"/>
      <c r="N503" s="188"/>
      <c r="O503" s="188"/>
    </row>
    <row r="504" spans="4:15" ht="15.75" customHeight="1">
      <c r="D504" s="188"/>
      <c r="E504" s="34"/>
      <c r="F504" s="35"/>
      <c r="G504" s="26"/>
      <c r="H504" s="26"/>
      <c r="I504" s="26"/>
      <c r="J504" s="188"/>
      <c r="K504" s="188"/>
      <c r="L504" s="188"/>
      <c r="M504" s="188"/>
      <c r="N504" s="188"/>
      <c r="O504" s="188"/>
    </row>
    <row r="505" spans="4:15" ht="15.75" customHeight="1">
      <c r="D505" s="188"/>
      <c r="E505" s="33"/>
      <c r="F505" s="35"/>
      <c r="G505" s="36"/>
      <c r="H505" s="36"/>
      <c r="I505" s="36"/>
      <c r="J505" s="188"/>
      <c r="K505" s="188"/>
      <c r="L505" s="188"/>
      <c r="M505" s="188"/>
      <c r="N505" s="188"/>
      <c r="O505" s="188"/>
    </row>
    <row r="506" spans="4:15" ht="15.75" customHeight="1">
      <c r="D506" s="188"/>
      <c r="E506" s="33"/>
      <c r="F506" s="35"/>
      <c r="G506" s="26"/>
      <c r="H506" s="26"/>
      <c r="I506" s="26"/>
      <c r="J506" s="188"/>
      <c r="K506" s="188"/>
      <c r="L506" s="188"/>
      <c r="M506" s="188"/>
      <c r="N506" s="188"/>
      <c r="O506" s="188"/>
    </row>
    <row r="507" spans="4:15" ht="15.75" customHeight="1">
      <c r="D507" s="188"/>
      <c r="E507" s="33"/>
      <c r="F507" s="35"/>
      <c r="G507" s="37"/>
      <c r="H507" s="37"/>
      <c r="I507" s="37"/>
      <c r="J507" s="188"/>
      <c r="K507" s="188"/>
      <c r="L507" s="188"/>
      <c r="M507" s="188"/>
      <c r="N507" s="188"/>
      <c r="O507" s="188"/>
    </row>
    <row r="508" spans="4:15" ht="15.75" customHeight="1">
      <c r="D508" s="188"/>
      <c r="E508" s="33"/>
      <c r="F508" s="35"/>
      <c r="G508" s="37"/>
      <c r="H508" s="37"/>
      <c r="I508" s="37"/>
      <c r="J508" s="188"/>
      <c r="K508" s="188"/>
      <c r="L508" s="188"/>
      <c r="M508" s="188"/>
      <c r="N508" s="188"/>
      <c r="O508" s="188"/>
    </row>
    <row r="509" spans="4:15" ht="15.75" customHeight="1">
      <c r="D509" s="188"/>
      <c r="E509" s="33"/>
      <c r="F509" s="35"/>
      <c r="G509" s="37"/>
      <c r="H509" s="37"/>
      <c r="I509" s="37"/>
      <c r="J509" s="188"/>
      <c r="K509" s="188"/>
      <c r="L509" s="188"/>
      <c r="M509" s="188"/>
      <c r="N509" s="188"/>
      <c r="O509" s="188"/>
    </row>
    <row r="510" spans="4:15" ht="15.75" customHeight="1">
      <c r="D510" s="188"/>
      <c r="E510" s="33"/>
      <c r="F510" s="35"/>
      <c r="G510" s="37"/>
      <c r="H510" s="37"/>
      <c r="I510" s="37"/>
      <c r="J510" s="188"/>
      <c r="K510" s="188"/>
      <c r="L510" s="188"/>
      <c r="M510" s="188"/>
      <c r="N510" s="188"/>
      <c r="O510" s="188"/>
    </row>
    <row r="511" spans="4:15" ht="15.75" customHeight="1">
      <c r="D511" s="188"/>
      <c r="E511" s="33"/>
      <c r="F511" s="35"/>
      <c r="G511" s="37"/>
      <c r="H511" s="37"/>
      <c r="I511" s="37"/>
      <c r="J511" s="188"/>
      <c r="K511" s="188"/>
      <c r="L511" s="188"/>
      <c r="M511" s="188"/>
      <c r="N511" s="188"/>
      <c r="O511" s="188"/>
    </row>
    <row r="512" spans="4:15" ht="15.75" customHeight="1">
      <c r="D512" s="188"/>
      <c r="E512" s="33"/>
      <c r="F512" s="35"/>
      <c r="G512" s="37"/>
      <c r="H512" s="37"/>
      <c r="I512" s="37"/>
      <c r="J512" s="188"/>
      <c r="K512" s="188"/>
      <c r="L512" s="188"/>
      <c r="M512" s="188"/>
      <c r="N512" s="188"/>
      <c r="O512" s="188"/>
    </row>
    <row r="513" spans="4:15" ht="15.75" customHeight="1">
      <c r="D513" s="188"/>
      <c r="E513" s="33"/>
      <c r="F513" s="38"/>
      <c r="G513" s="25"/>
      <c r="H513" s="25"/>
      <c r="I513" s="25"/>
      <c r="J513" s="188"/>
      <c r="K513" s="188"/>
      <c r="L513" s="188"/>
      <c r="M513" s="188"/>
      <c r="N513" s="188"/>
      <c r="O513" s="188"/>
    </row>
    <row r="514" spans="4:15" ht="15.75" customHeight="1">
      <c r="E514" s="33"/>
      <c r="F514" s="188"/>
      <c r="G514" s="188"/>
      <c r="H514" s="188"/>
      <c r="I514" s="188"/>
      <c r="J514" s="188"/>
      <c r="K514" s="188"/>
      <c r="L514" s="188"/>
      <c r="M514" s="188"/>
      <c r="N514" s="188"/>
      <c r="O514" s="188"/>
    </row>
    <row r="515" spans="4:15" ht="15.75" customHeight="1">
      <c r="E515" s="33"/>
      <c r="F515" s="188"/>
      <c r="G515" s="188"/>
      <c r="H515" s="188"/>
      <c r="I515" s="188"/>
      <c r="J515" s="188"/>
      <c r="K515" s="188"/>
      <c r="L515" s="188"/>
      <c r="M515" s="188"/>
      <c r="N515" s="188"/>
      <c r="O515" s="188"/>
    </row>
    <row r="516" spans="4:15" ht="15.75" customHeight="1">
      <c r="E516" s="33"/>
      <c r="F516" s="188"/>
      <c r="G516" s="188"/>
      <c r="H516" s="188"/>
      <c r="I516" s="188"/>
      <c r="J516" s="188"/>
      <c r="K516" s="188"/>
      <c r="L516" s="188"/>
      <c r="M516" s="188"/>
      <c r="N516" s="188"/>
      <c r="O516" s="188"/>
    </row>
    <row r="517" spans="4:15" ht="15.75" customHeight="1">
      <c r="E517" s="33"/>
      <c r="F517" s="188"/>
      <c r="G517" s="188"/>
      <c r="H517" s="188"/>
      <c r="I517" s="188"/>
      <c r="J517" s="188"/>
      <c r="K517" s="188"/>
      <c r="L517" s="188"/>
      <c r="M517" s="188"/>
      <c r="N517" s="188"/>
      <c r="O517" s="188"/>
    </row>
    <row r="518" spans="4:15" ht="15.75" customHeight="1">
      <c r="E518" s="34"/>
      <c r="F518" s="35"/>
      <c r="G518" s="26"/>
      <c r="H518" s="26"/>
      <c r="I518" s="26"/>
      <c r="J518" s="188"/>
      <c r="K518" s="188"/>
      <c r="L518" s="188"/>
      <c r="M518" s="188"/>
      <c r="N518" s="188"/>
      <c r="O518" s="188"/>
    </row>
    <row r="519" spans="4:15" ht="15.75" customHeight="1">
      <c r="E519" s="33"/>
      <c r="F519" s="35"/>
      <c r="G519" s="36"/>
      <c r="H519" s="36"/>
      <c r="I519" s="36"/>
      <c r="J519" s="188"/>
      <c r="K519" s="188"/>
      <c r="L519" s="188"/>
      <c r="M519" s="188"/>
      <c r="N519" s="188"/>
      <c r="O519" s="188"/>
    </row>
    <row r="520" spans="4:15" ht="15.75" customHeight="1">
      <c r="E520" s="33"/>
      <c r="F520" s="35"/>
      <c r="G520" s="26"/>
      <c r="H520" s="26"/>
      <c r="I520" s="26"/>
      <c r="J520" s="188"/>
      <c r="K520" s="188"/>
      <c r="L520" s="188"/>
      <c r="M520" s="188"/>
      <c r="N520" s="188"/>
      <c r="O520" s="188"/>
    </row>
    <row r="521" spans="4:15" ht="15.75" customHeight="1">
      <c r="E521" s="33"/>
      <c r="F521" s="35"/>
      <c r="G521" s="36"/>
      <c r="H521" s="36"/>
      <c r="I521" s="36"/>
      <c r="J521" s="188"/>
      <c r="K521" s="188"/>
      <c r="L521" s="188"/>
      <c r="M521" s="188"/>
      <c r="N521" s="188"/>
      <c r="O521" s="188"/>
    </row>
    <row r="522" spans="4:15" ht="15.75" customHeight="1">
      <c r="E522" s="33"/>
      <c r="F522" s="35"/>
      <c r="G522" s="36"/>
      <c r="H522" s="36"/>
      <c r="I522" s="36"/>
      <c r="J522" s="188"/>
      <c r="K522" s="188"/>
      <c r="L522" s="188"/>
      <c r="M522" s="188"/>
      <c r="N522" s="188"/>
      <c r="O522" s="188"/>
    </row>
    <row r="523" spans="4:15" ht="15.75" customHeight="1">
      <c r="E523" s="33"/>
      <c r="F523" s="35"/>
      <c r="G523" s="36"/>
      <c r="H523" s="36"/>
      <c r="I523" s="36"/>
      <c r="J523" s="188"/>
      <c r="K523" s="188"/>
      <c r="L523" s="188"/>
      <c r="M523" s="188"/>
      <c r="N523" s="188"/>
      <c r="O523" s="188"/>
    </row>
    <row r="524" spans="4:15" ht="15.75" customHeight="1">
      <c r="E524" s="33"/>
      <c r="F524" s="35"/>
      <c r="G524" s="36"/>
      <c r="H524" s="36"/>
      <c r="I524" s="36"/>
      <c r="J524" s="188"/>
      <c r="K524" s="188"/>
      <c r="L524" s="188"/>
      <c r="M524" s="188"/>
      <c r="N524" s="188"/>
      <c r="O524" s="188"/>
    </row>
    <row r="525" spans="4:15" ht="15.75" customHeight="1">
      <c r="E525" s="33"/>
      <c r="F525" s="35"/>
      <c r="G525" s="36"/>
      <c r="H525" s="36"/>
      <c r="I525" s="36"/>
      <c r="J525" s="188"/>
      <c r="K525" s="188"/>
      <c r="L525" s="188"/>
      <c r="M525" s="188"/>
      <c r="N525" s="188"/>
      <c r="O525" s="188"/>
    </row>
    <row r="526" spans="4:15" ht="15.75" customHeight="1">
      <c r="E526" s="33"/>
      <c r="F526" s="35"/>
      <c r="G526" s="36"/>
      <c r="H526" s="36"/>
      <c r="I526" s="36"/>
      <c r="J526" s="188"/>
      <c r="K526" s="188"/>
      <c r="L526" s="188"/>
      <c r="M526" s="188"/>
      <c r="N526" s="188"/>
      <c r="O526" s="188"/>
    </row>
    <row r="527" spans="4:15" ht="15.75" customHeight="1">
      <c r="E527" s="33"/>
      <c r="F527" s="38"/>
      <c r="G527" s="26"/>
      <c r="H527" s="26"/>
      <c r="I527" s="26"/>
      <c r="J527" s="188"/>
      <c r="K527" s="188"/>
      <c r="L527" s="188"/>
      <c r="M527" s="188"/>
      <c r="N527" s="188"/>
      <c r="O527" s="188"/>
    </row>
    <row r="528" spans="4:15" ht="15.75" customHeight="1">
      <c r="E528" s="33"/>
      <c r="F528" s="188"/>
      <c r="G528" s="188"/>
      <c r="H528" s="188"/>
      <c r="I528" s="188"/>
      <c r="J528" s="188"/>
      <c r="K528" s="188"/>
      <c r="L528" s="188"/>
      <c r="M528" s="188"/>
      <c r="N528" s="188"/>
      <c r="O528" s="188"/>
    </row>
    <row r="529" spans="5:15" ht="15.75" customHeight="1">
      <c r="E529" s="33"/>
      <c r="F529" s="188"/>
      <c r="G529" s="188"/>
      <c r="H529" s="188"/>
      <c r="I529" s="188"/>
      <c r="J529" s="188"/>
      <c r="K529" s="188"/>
      <c r="L529" s="188"/>
      <c r="M529" s="188"/>
      <c r="N529" s="188"/>
      <c r="O529" s="188"/>
    </row>
    <row r="530" spans="5:15" ht="15.75" customHeight="1">
      <c r="E530" s="33"/>
      <c r="F530" s="188"/>
      <c r="G530" s="188"/>
      <c r="H530" s="188"/>
      <c r="I530" s="188"/>
      <c r="J530" s="188"/>
      <c r="K530" s="188"/>
      <c r="L530" s="188"/>
      <c r="M530" s="188"/>
      <c r="N530" s="188"/>
      <c r="O530" s="188"/>
    </row>
    <row r="531" spans="5:15" ht="15.75" customHeight="1">
      <c r="E531" s="33"/>
      <c r="F531" s="188"/>
      <c r="G531" s="188"/>
      <c r="H531" s="188"/>
      <c r="I531" s="188"/>
      <c r="J531" s="188"/>
      <c r="K531" s="188"/>
      <c r="L531" s="188"/>
      <c r="M531" s="188"/>
      <c r="N531" s="188"/>
      <c r="O531" s="188"/>
    </row>
    <row r="532" spans="5:15" ht="15.75" customHeight="1">
      <c r="E532" s="34"/>
      <c r="F532" s="35"/>
      <c r="G532" s="26"/>
      <c r="H532" s="26"/>
      <c r="I532" s="26"/>
      <c r="J532" s="188"/>
      <c r="K532" s="188"/>
      <c r="L532" s="188"/>
      <c r="M532" s="188"/>
      <c r="N532" s="188"/>
      <c r="O532" s="188"/>
    </row>
    <row r="533" spans="5:15" ht="15.75" customHeight="1">
      <c r="E533" s="33"/>
      <c r="F533" s="35"/>
      <c r="G533" s="36"/>
      <c r="H533" s="36"/>
      <c r="I533" s="36"/>
      <c r="J533" s="188"/>
      <c r="K533" s="188"/>
      <c r="L533" s="188"/>
      <c r="M533" s="188"/>
      <c r="N533" s="188"/>
      <c r="O533" s="188"/>
    </row>
    <row r="534" spans="5:15" ht="15.75" customHeight="1">
      <c r="E534" s="33"/>
      <c r="F534" s="35"/>
      <c r="G534" s="26"/>
      <c r="H534" s="26"/>
      <c r="I534" s="26"/>
      <c r="J534" s="188"/>
      <c r="K534" s="188"/>
      <c r="L534" s="188"/>
      <c r="M534" s="188"/>
      <c r="N534" s="188"/>
      <c r="O534" s="188"/>
    </row>
    <row r="535" spans="5:15" ht="15.75" customHeight="1">
      <c r="E535" s="39"/>
      <c r="F535" s="40"/>
      <c r="G535" s="41"/>
      <c r="H535" s="41"/>
      <c r="I535" s="41"/>
      <c r="J535" s="188"/>
      <c r="K535" s="188"/>
      <c r="L535" s="188"/>
      <c r="M535" s="188"/>
      <c r="N535" s="188"/>
      <c r="O535" s="188"/>
    </row>
    <row r="536" spans="5:15" ht="15.75" customHeight="1">
      <c r="E536" s="3"/>
      <c r="F536" s="40"/>
      <c r="G536" s="41"/>
      <c r="H536" s="41"/>
      <c r="I536" s="41"/>
      <c r="J536" s="188"/>
      <c r="K536" s="188"/>
      <c r="L536" s="188"/>
      <c r="M536" s="188"/>
      <c r="N536" s="188"/>
      <c r="O536" s="188"/>
    </row>
    <row r="537" spans="5:15" ht="15.75" customHeight="1">
      <c r="E537" s="3"/>
      <c r="F537" s="40"/>
      <c r="G537" s="41"/>
      <c r="H537" s="41"/>
      <c r="I537" s="41"/>
      <c r="J537" s="188"/>
      <c r="K537" s="188"/>
      <c r="L537" s="188"/>
      <c r="M537" s="188"/>
      <c r="N537" s="188"/>
      <c r="O537" s="188"/>
    </row>
    <row r="538" spans="5:15" ht="15.75" customHeight="1">
      <c r="E538" s="3"/>
      <c r="F538" s="40"/>
      <c r="G538" s="41"/>
      <c r="H538" s="41"/>
      <c r="I538" s="41"/>
      <c r="J538" s="188"/>
      <c r="K538" s="188"/>
      <c r="L538" s="188"/>
      <c r="M538" s="188"/>
      <c r="N538" s="188"/>
      <c r="O538" s="188"/>
    </row>
    <row r="539" spans="5:15" ht="15.75" customHeight="1">
      <c r="E539" s="3"/>
      <c r="F539" s="40"/>
      <c r="G539" s="41"/>
      <c r="H539" s="41"/>
      <c r="I539" s="41"/>
      <c r="J539" s="188"/>
      <c r="K539" s="188"/>
      <c r="L539" s="188"/>
      <c r="M539" s="188"/>
      <c r="N539" s="188"/>
      <c r="O539" s="188"/>
    </row>
    <row r="540" spans="5:15" ht="15.75" customHeight="1">
      <c r="E540" s="3"/>
      <c r="F540" s="42"/>
      <c r="G540" s="43"/>
      <c r="H540" s="43"/>
      <c r="I540" s="43"/>
      <c r="J540" s="188"/>
      <c r="K540" s="188"/>
      <c r="L540" s="188"/>
      <c r="M540" s="188"/>
      <c r="N540" s="188"/>
      <c r="O540" s="188"/>
    </row>
    <row r="541" spans="5:15" ht="15.75" customHeight="1">
      <c r="E541" s="3"/>
      <c r="F541" s="44"/>
      <c r="G541" s="45"/>
      <c r="H541" s="45"/>
      <c r="I541" s="45"/>
      <c r="J541" s="188"/>
      <c r="K541" s="188"/>
      <c r="L541" s="188"/>
      <c r="M541" s="188"/>
      <c r="N541" s="188"/>
      <c r="O541" s="188"/>
    </row>
    <row r="542" spans="5:15" ht="15.75" customHeight="1">
      <c r="E542" s="3"/>
      <c r="F542" s="188"/>
      <c r="G542" s="188"/>
      <c r="H542" s="188"/>
      <c r="I542" s="188"/>
      <c r="J542" s="188"/>
      <c r="K542" s="188"/>
      <c r="L542" s="188"/>
      <c r="M542" s="188"/>
      <c r="N542" s="188"/>
      <c r="O542" s="188"/>
    </row>
    <row r="543" spans="5:15" ht="15.75" customHeight="1">
      <c r="E543" s="3"/>
      <c r="F543" s="188"/>
      <c r="G543" s="188"/>
      <c r="H543" s="188"/>
      <c r="I543" s="188"/>
      <c r="J543" s="188"/>
      <c r="K543" s="188"/>
      <c r="L543" s="188"/>
      <c r="M543" s="188"/>
      <c r="N543" s="188"/>
      <c r="O543" s="188"/>
    </row>
    <row r="544" spans="5:15" ht="15.75" customHeight="1">
      <c r="E544" s="3"/>
      <c r="F544" s="188"/>
      <c r="G544" s="188"/>
      <c r="H544" s="188"/>
      <c r="I544" s="188"/>
      <c r="J544" s="188"/>
      <c r="K544" s="188"/>
      <c r="L544" s="188"/>
      <c r="M544" s="188"/>
      <c r="N544" s="188"/>
      <c r="O544" s="188"/>
    </row>
    <row r="545" spans="5:15" ht="15.75" customHeight="1">
      <c r="E545" s="3"/>
      <c r="F545" s="188"/>
      <c r="G545" s="188"/>
      <c r="H545" s="188"/>
      <c r="I545" s="188"/>
      <c r="J545" s="188"/>
      <c r="K545" s="188"/>
      <c r="L545" s="188"/>
      <c r="M545" s="188"/>
      <c r="N545" s="188"/>
      <c r="O545" s="188"/>
    </row>
    <row r="546" spans="5:15" ht="15.75" customHeight="1">
      <c r="E546" s="188"/>
      <c r="F546" s="188"/>
      <c r="G546" s="188"/>
      <c r="H546" s="188"/>
      <c r="I546" s="188"/>
      <c r="J546" s="188"/>
      <c r="K546" s="188"/>
      <c r="L546" s="188"/>
      <c r="M546" s="188"/>
      <c r="N546" s="188"/>
      <c r="O546" s="188"/>
    </row>
    <row r="547" spans="5:15" ht="15.75" customHeight="1">
      <c r="E547" s="188"/>
      <c r="F547" s="188"/>
      <c r="G547" s="188"/>
      <c r="H547" s="188"/>
      <c r="I547" s="188"/>
      <c r="J547" s="188"/>
      <c r="K547" s="188"/>
      <c r="L547" s="188"/>
      <c r="M547" s="188"/>
      <c r="N547" s="188"/>
      <c r="O547" s="188"/>
    </row>
    <row r="548" spans="5:15" ht="15.75" customHeight="1">
      <c r="E548" s="188"/>
      <c r="F548" s="188"/>
      <c r="G548" s="188"/>
      <c r="H548" s="188"/>
      <c r="I548" s="188"/>
      <c r="J548" s="188"/>
      <c r="K548" s="188"/>
      <c r="L548" s="188"/>
      <c r="M548" s="188"/>
      <c r="N548" s="188"/>
      <c r="O548" s="188"/>
    </row>
    <row r="549" spans="5:15" ht="15.75" customHeight="1"/>
    <row r="550" spans="5:15" ht="15.75" customHeight="1"/>
    <row r="551" spans="5:15" ht="15.75" customHeight="1"/>
    <row r="552" spans="5:15" ht="15.75" customHeight="1"/>
    <row r="553" spans="5:15" ht="15.75" customHeight="1"/>
    <row r="554" spans="5:15" ht="15.75" customHeight="1"/>
    <row r="555" spans="5:15" ht="15.75" customHeight="1"/>
    <row r="556" spans="5:15" ht="15.75" customHeight="1"/>
    <row r="557" spans="5:15" ht="15.75" customHeight="1"/>
    <row r="558" spans="5:15" ht="15.75" customHeight="1"/>
    <row r="559" spans="5:15" ht="15.75" customHeight="1"/>
    <row r="560" spans="5:15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</sheetData>
  <sheetProtection algorithmName="SHA-512" hashValue="+CUlm3Qt+J8Cb8osiI5eDrd0RpwK8wKAWB4GsXd0y/wMpzkW8CIIrk/Aht019HXzoHw8Tk6DQKZllMMPX8d2Aw==" saltValue="cg4Rj99HDUXCLKn0E6vc6Q==" spinCount="100000" sheet="1" objects="1" scenarios="1" sort="0" autoFilter="0" pivotTables="0"/>
  <mergeCells count="8">
    <mergeCell ref="O416:O417"/>
    <mergeCell ref="I418:I419"/>
    <mergeCell ref="J418:J419"/>
    <mergeCell ref="K418:K419"/>
    <mergeCell ref="L418:L419"/>
    <mergeCell ref="M418:M419"/>
    <mergeCell ref="N418:N419"/>
    <mergeCell ref="O418:O419"/>
  </mergeCells>
  <conditionalFormatting sqref="CJ1:CK1048576">
    <cfRule type="cellIs" dxfId="0" priority="1" stopIfTrue="1" operator="equal">
      <formula>"SIM"</formula>
    </cfRule>
  </conditionalFormatting>
  <pageMargins left="0.51180555555555596" right="0.51180555555555596" top="0.78749999999999998" bottom="0.78749999999999998" header="0" footer="0"/>
  <pageSetup orientation="portrait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B349-B313-48A5-9034-70B9866EE1B6}">
  <dimension ref="A5:C83"/>
  <sheetViews>
    <sheetView workbookViewId="0">
      <selection activeCell="A9" sqref="A9"/>
    </sheetView>
  </sheetViews>
  <sheetFormatPr defaultRowHeight="15"/>
  <cols>
    <col min="1" max="1" width="24.140625" bestFit="1" customWidth="1"/>
    <col min="2" max="2" width="12.7109375" bestFit="1" customWidth="1"/>
    <col min="3" max="3" width="6.7109375" bestFit="1" customWidth="1"/>
    <col min="4" max="4" width="31.28515625" bestFit="1" customWidth="1"/>
  </cols>
  <sheetData>
    <row r="5" spans="1:3" ht="45">
      <c r="A5" s="218" t="s">
        <v>197</v>
      </c>
      <c r="B5" s="47" t="s">
        <v>200</v>
      </c>
      <c r="C5" s="47" t="s">
        <v>203</v>
      </c>
    </row>
    <row r="6" spans="1:3">
      <c r="A6" s="183">
        <v>2017</v>
      </c>
      <c r="B6">
        <v>82</v>
      </c>
      <c r="C6" s="48">
        <v>29.536585365853657</v>
      </c>
    </row>
    <row r="7" spans="1:3">
      <c r="A7" s="216" t="s">
        <v>187</v>
      </c>
      <c r="B7">
        <v>16</v>
      </c>
      <c r="C7" s="48">
        <v>30</v>
      </c>
    </row>
    <row r="8" spans="1:3">
      <c r="A8" s="217" t="s">
        <v>201</v>
      </c>
      <c r="B8">
        <v>12</v>
      </c>
      <c r="C8" s="48">
        <v>29.333333333333332</v>
      </c>
    </row>
    <row r="9" spans="1:3">
      <c r="A9" s="217" t="s">
        <v>202</v>
      </c>
      <c r="B9">
        <v>4</v>
      </c>
      <c r="C9" s="48">
        <v>32</v>
      </c>
    </row>
    <row r="10" spans="1:3">
      <c r="A10" s="216" t="s">
        <v>172</v>
      </c>
      <c r="B10">
        <v>12</v>
      </c>
      <c r="C10" s="48">
        <v>27.583333333333332</v>
      </c>
    </row>
    <row r="11" spans="1:3">
      <c r="A11" s="217" t="s">
        <v>201</v>
      </c>
      <c r="B11">
        <v>12</v>
      </c>
      <c r="C11" s="48">
        <v>27.583333333333332</v>
      </c>
    </row>
    <row r="12" spans="1:3">
      <c r="A12" s="216" t="s">
        <v>185</v>
      </c>
      <c r="B12">
        <v>19</v>
      </c>
      <c r="C12" s="48">
        <v>29.789473684210527</v>
      </c>
    </row>
    <row r="13" spans="1:3">
      <c r="A13" s="217" t="s">
        <v>201</v>
      </c>
      <c r="B13">
        <v>19</v>
      </c>
      <c r="C13" s="48">
        <v>29.789473684210527</v>
      </c>
    </row>
    <row r="14" spans="1:3">
      <c r="A14" s="216" t="s">
        <v>186</v>
      </c>
      <c r="B14">
        <v>17</v>
      </c>
      <c r="C14" s="48">
        <v>29.882352941176471</v>
      </c>
    </row>
    <row r="15" spans="1:3">
      <c r="A15" s="217" t="s">
        <v>201</v>
      </c>
      <c r="B15">
        <v>14</v>
      </c>
      <c r="C15" s="48">
        <v>30.357142857142858</v>
      </c>
    </row>
    <row r="16" spans="1:3">
      <c r="A16" s="217" t="s">
        <v>202</v>
      </c>
      <c r="B16">
        <v>3</v>
      </c>
      <c r="C16" s="48">
        <v>27.666666666666668</v>
      </c>
    </row>
    <row r="17" spans="1:3">
      <c r="A17" s="216" t="s">
        <v>184</v>
      </c>
      <c r="B17">
        <v>18</v>
      </c>
      <c r="C17" s="48">
        <v>29.833333333333332</v>
      </c>
    </row>
    <row r="18" spans="1:3">
      <c r="A18" s="217" t="s">
        <v>201</v>
      </c>
      <c r="B18">
        <v>17</v>
      </c>
      <c r="C18" s="48">
        <v>29.941176470588236</v>
      </c>
    </row>
    <row r="19" spans="1:3">
      <c r="A19" s="217" t="s">
        <v>202</v>
      </c>
      <c r="B19">
        <v>1</v>
      </c>
      <c r="C19" s="48">
        <v>28</v>
      </c>
    </row>
    <row r="20" spans="1:3">
      <c r="A20" s="183">
        <v>2018</v>
      </c>
      <c r="B20">
        <v>127</v>
      </c>
      <c r="C20" s="48">
        <v>27.968503937007874</v>
      </c>
    </row>
    <row r="21" spans="1:3">
      <c r="A21" s="216" t="s">
        <v>181</v>
      </c>
      <c r="B21">
        <v>14</v>
      </c>
      <c r="C21" s="48">
        <v>27.571428571428573</v>
      </c>
    </row>
    <row r="22" spans="1:3">
      <c r="A22" s="217" t="s">
        <v>198</v>
      </c>
      <c r="B22">
        <v>1</v>
      </c>
      <c r="C22" s="48">
        <v>26</v>
      </c>
    </row>
    <row r="23" spans="1:3">
      <c r="A23" s="217" t="s">
        <v>201</v>
      </c>
      <c r="B23">
        <v>13</v>
      </c>
      <c r="C23" s="48">
        <v>27.692307692307693</v>
      </c>
    </row>
    <row r="24" spans="1:3">
      <c r="A24" s="216" t="s">
        <v>187</v>
      </c>
      <c r="B24">
        <v>14</v>
      </c>
      <c r="C24" s="48">
        <v>27.571428571428573</v>
      </c>
    </row>
    <row r="25" spans="1:3">
      <c r="A25" s="217" t="s">
        <v>201</v>
      </c>
      <c r="B25">
        <v>14</v>
      </c>
      <c r="C25" s="48">
        <v>27.571428571428573</v>
      </c>
    </row>
    <row r="26" spans="1:3">
      <c r="A26" s="216" t="s">
        <v>172</v>
      </c>
      <c r="B26">
        <v>21</v>
      </c>
      <c r="C26" s="48">
        <v>28.333333333333332</v>
      </c>
    </row>
    <row r="27" spans="1:3">
      <c r="A27" s="217" t="s">
        <v>201</v>
      </c>
      <c r="B27">
        <v>21</v>
      </c>
      <c r="C27" s="48">
        <v>28.333333333333332</v>
      </c>
    </row>
    <row r="28" spans="1:3">
      <c r="A28" s="216" t="s">
        <v>185</v>
      </c>
      <c r="B28">
        <v>17</v>
      </c>
      <c r="C28" s="48">
        <v>28.117647058823529</v>
      </c>
    </row>
    <row r="29" spans="1:3">
      <c r="A29" s="217" t="s">
        <v>201</v>
      </c>
      <c r="B29">
        <v>17</v>
      </c>
      <c r="C29" s="48">
        <v>28.117647058823529</v>
      </c>
    </row>
    <row r="30" spans="1:3">
      <c r="A30" s="216" t="s">
        <v>183</v>
      </c>
      <c r="B30">
        <v>14</v>
      </c>
      <c r="C30" s="48">
        <v>27.714285714285715</v>
      </c>
    </row>
    <row r="31" spans="1:3">
      <c r="A31" s="217" t="s">
        <v>198</v>
      </c>
      <c r="B31">
        <v>4</v>
      </c>
      <c r="C31" s="48">
        <v>30.5</v>
      </c>
    </row>
    <row r="32" spans="1:3">
      <c r="A32" s="217" t="s">
        <v>201</v>
      </c>
      <c r="B32">
        <v>7</v>
      </c>
      <c r="C32" s="48">
        <v>26.428571428571427</v>
      </c>
    </row>
    <row r="33" spans="1:3">
      <c r="A33" s="217" t="s">
        <v>202</v>
      </c>
      <c r="B33">
        <v>3</v>
      </c>
      <c r="C33" s="48">
        <v>27</v>
      </c>
    </row>
    <row r="34" spans="1:3">
      <c r="A34" s="216" t="s">
        <v>186</v>
      </c>
      <c r="B34">
        <v>15</v>
      </c>
      <c r="C34" s="48">
        <v>27.933333333333334</v>
      </c>
    </row>
    <row r="35" spans="1:3">
      <c r="A35" s="217" t="s">
        <v>201</v>
      </c>
      <c r="B35">
        <v>15</v>
      </c>
      <c r="C35" s="48">
        <v>27.933333333333334</v>
      </c>
    </row>
    <row r="36" spans="1:3">
      <c r="A36" s="216" t="s">
        <v>184</v>
      </c>
      <c r="B36">
        <v>18</v>
      </c>
      <c r="C36" s="48">
        <v>28.555555555555557</v>
      </c>
    </row>
    <row r="37" spans="1:3">
      <c r="A37" s="217" t="s">
        <v>201</v>
      </c>
      <c r="B37">
        <v>13</v>
      </c>
      <c r="C37" s="48">
        <v>29</v>
      </c>
    </row>
    <row r="38" spans="1:3">
      <c r="A38" s="217" t="s">
        <v>202</v>
      </c>
      <c r="B38">
        <v>5</v>
      </c>
      <c r="C38" s="48">
        <v>27.4</v>
      </c>
    </row>
    <row r="39" spans="1:3">
      <c r="A39" s="216" t="s">
        <v>182</v>
      </c>
      <c r="B39">
        <v>14</v>
      </c>
      <c r="C39" s="48">
        <v>27.571428571428573</v>
      </c>
    </row>
    <row r="40" spans="1:3">
      <c r="A40" s="217" t="s">
        <v>201</v>
      </c>
      <c r="B40">
        <v>14</v>
      </c>
      <c r="C40" s="48">
        <v>27.571428571428573</v>
      </c>
    </row>
    <row r="41" spans="1:3">
      <c r="A41" s="183">
        <v>2019</v>
      </c>
      <c r="B41">
        <v>52</v>
      </c>
      <c r="C41" s="48">
        <v>28.346153846153847</v>
      </c>
    </row>
    <row r="42" spans="1:3">
      <c r="A42" s="216" t="s">
        <v>187</v>
      </c>
      <c r="B42">
        <v>5</v>
      </c>
      <c r="C42" s="48">
        <v>28</v>
      </c>
    </row>
    <row r="43" spans="1:3">
      <c r="A43" s="217" t="s">
        <v>201</v>
      </c>
      <c r="B43">
        <v>4</v>
      </c>
      <c r="C43" s="48">
        <v>28</v>
      </c>
    </row>
    <row r="44" spans="1:3">
      <c r="A44" s="217" t="s">
        <v>202</v>
      </c>
      <c r="B44">
        <v>1</v>
      </c>
      <c r="C44" s="48">
        <v>28</v>
      </c>
    </row>
    <row r="45" spans="1:3">
      <c r="A45" s="216" t="s">
        <v>172</v>
      </c>
      <c r="B45">
        <v>13</v>
      </c>
      <c r="C45" s="48">
        <v>26.846153846153847</v>
      </c>
    </row>
    <row r="46" spans="1:3">
      <c r="A46" s="217" t="s">
        <v>201</v>
      </c>
      <c r="B46">
        <v>13</v>
      </c>
      <c r="C46" s="48">
        <v>26.846153846153847</v>
      </c>
    </row>
    <row r="47" spans="1:3">
      <c r="A47" s="216" t="s">
        <v>185</v>
      </c>
      <c r="B47">
        <v>9</v>
      </c>
      <c r="C47" s="48">
        <v>29.222222222222221</v>
      </c>
    </row>
    <row r="48" spans="1:3">
      <c r="A48" s="217" t="s">
        <v>201</v>
      </c>
      <c r="B48">
        <v>9</v>
      </c>
      <c r="C48" s="48">
        <v>29.222222222222221</v>
      </c>
    </row>
    <row r="49" spans="1:3">
      <c r="A49" s="216" t="s">
        <v>186</v>
      </c>
      <c r="B49">
        <v>9</v>
      </c>
      <c r="C49" s="48">
        <v>29.555555555555557</v>
      </c>
    </row>
    <row r="50" spans="1:3">
      <c r="A50" s="217" t="s">
        <v>201</v>
      </c>
      <c r="B50">
        <v>8</v>
      </c>
      <c r="C50" s="48">
        <v>29.25</v>
      </c>
    </row>
    <row r="51" spans="1:3">
      <c r="A51" s="217" t="s">
        <v>202</v>
      </c>
      <c r="B51">
        <v>1</v>
      </c>
      <c r="C51" s="48">
        <v>32</v>
      </c>
    </row>
    <row r="52" spans="1:3">
      <c r="A52" s="216" t="s">
        <v>184</v>
      </c>
      <c r="B52">
        <v>10</v>
      </c>
      <c r="C52" s="48">
        <v>29</v>
      </c>
    </row>
    <row r="53" spans="1:3">
      <c r="A53" s="217" t="s">
        <v>198</v>
      </c>
      <c r="B53">
        <v>1</v>
      </c>
      <c r="C53" s="48">
        <v>32</v>
      </c>
    </row>
    <row r="54" spans="1:3">
      <c r="A54" s="217" t="s">
        <v>201</v>
      </c>
      <c r="B54">
        <v>9</v>
      </c>
      <c r="C54" s="48">
        <v>28.666666666666668</v>
      </c>
    </row>
    <row r="55" spans="1:3">
      <c r="A55" s="216" t="s">
        <v>182</v>
      </c>
      <c r="B55">
        <v>6</v>
      </c>
      <c r="C55" s="48">
        <v>27.666666666666668</v>
      </c>
    </row>
    <row r="56" spans="1:3">
      <c r="A56" s="217" t="s">
        <v>198</v>
      </c>
      <c r="B56">
        <v>1</v>
      </c>
      <c r="C56" s="48">
        <v>26</v>
      </c>
    </row>
    <row r="57" spans="1:3">
      <c r="A57" s="217" t="s">
        <v>201</v>
      </c>
      <c r="B57">
        <v>5</v>
      </c>
      <c r="C57" s="48">
        <v>28</v>
      </c>
    </row>
    <row r="58" spans="1:3">
      <c r="A58" s="183">
        <v>2022</v>
      </c>
      <c r="B58">
        <v>83</v>
      </c>
      <c r="C58" s="48">
        <v>28.493975903614459</v>
      </c>
    </row>
    <row r="59" spans="1:3">
      <c r="A59" s="216" t="s">
        <v>187</v>
      </c>
      <c r="B59">
        <v>19</v>
      </c>
      <c r="C59" s="48">
        <v>28.526315789473685</v>
      </c>
    </row>
    <row r="60" spans="1:3">
      <c r="A60" s="217" t="s">
        <v>201</v>
      </c>
      <c r="B60">
        <v>10</v>
      </c>
      <c r="C60" s="48">
        <v>28.7</v>
      </c>
    </row>
    <row r="61" spans="1:3">
      <c r="A61" s="217" t="s">
        <v>202</v>
      </c>
      <c r="B61">
        <v>9</v>
      </c>
      <c r="C61" s="48">
        <v>28.333333333333332</v>
      </c>
    </row>
    <row r="62" spans="1:3">
      <c r="A62" s="216" t="s">
        <v>183</v>
      </c>
      <c r="B62">
        <v>19</v>
      </c>
      <c r="C62" s="48">
        <v>28.578947368421051</v>
      </c>
    </row>
    <row r="63" spans="1:3">
      <c r="A63" s="217" t="s">
        <v>198</v>
      </c>
      <c r="B63">
        <v>1</v>
      </c>
      <c r="C63" s="48">
        <v>25</v>
      </c>
    </row>
    <row r="64" spans="1:3">
      <c r="A64" s="217" t="s">
        <v>201</v>
      </c>
      <c r="B64">
        <v>7</v>
      </c>
      <c r="C64" s="48">
        <v>28.142857142857142</v>
      </c>
    </row>
    <row r="65" spans="1:3">
      <c r="A65" s="217" t="s">
        <v>202</v>
      </c>
      <c r="B65">
        <v>11</v>
      </c>
      <c r="C65" s="48">
        <v>29.181818181818183</v>
      </c>
    </row>
    <row r="66" spans="1:3">
      <c r="A66" s="216" t="s">
        <v>184</v>
      </c>
      <c r="B66">
        <v>22</v>
      </c>
      <c r="C66" s="48">
        <v>29.09090909090909</v>
      </c>
    </row>
    <row r="67" spans="1:3">
      <c r="A67" s="217" t="s">
        <v>201</v>
      </c>
      <c r="B67">
        <v>12</v>
      </c>
      <c r="C67" s="48">
        <v>27.666666666666668</v>
      </c>
    </row>
    <row r="68" spans="1:3">
      <c r="A68" s="217" t="s">
        <v>202</v>
      </c>
      <c r="B68">
        <v>10</v>
      </c>
      <c r="C68" s="48">
        <v>30.8</v>
      </c>
    </row>
    <row r="69" spans="1:3">
      <c r="A69" s="216" t="s">
        <v>204</v>
      </c>
      <c r="B69">
        <v>23</v>
      </c>
      <c r="C69" s="48">
        <v>27.826086956521738</v>
      </c>
    </row>
    <row r="70" spans="1:3">
      <c r="A70" s="217" t="s">
        <v>201</v>
      </c>
      <c r="B70">
        <v>23</v>
      </c>
      <c r="C70" s="48">
        <v>27.826086956521738</v>
      </c>
    </row>
    <row r="71" spans="1:3">
      <c r="A71" s="183">
        <v>2023</v>
      </c>
      <c r="B71">
        <v>66</v>
      </c>
      <c r="C71" s="48">
        <v>30.311475409836067</v>
      </c>
    </row>
    <row r="72" spans="1:3">
      <c r="A72" s="216" t="s">
        <v>187</v>
      </c>
      <c r="B72">
        <v>19</v>
      </c>
      <c r="C72" s="48">
        <v>29.944444444444443</v>
      </c>
    </row>
    <row r="73" spans="1:3">
      <c r="A73" s="217" t="s">
        <v>201</v>
      </c>
      <c r="B73">
        <v>7</v>
      </c>
      <c r="C73" s="48">
        <v>29.571428571428573</v>
      </c>
    </row>
    <row r="74" spans="1:3">
      <c r="A74" s="217" t="s">
        <v>202</v>
      </c>
      <c r="B74">
        <v>12</v>
      </c>
      <c r="C74" s="48">
        <v>30.181818181818183</v>
      </c>
    </row>
    <row r="75" spans="1:3">
      <c r="A75" s="216" t="s">
        <v>172</v>
      </c>
      <c r="B75">
        <v>25</v>
      </c>
      <c r="C75" s="48">
        <v>30.521739130434781</v>
      </c>
    </row>
    <row r="76" spans="1:3">
      <c r="A76" s="217" t="s">
        <v>198</v>
      </c>
      <c r="B76">
        <v>7</v>
      </c>
      <c r="C76" s="48">
        <v>31</v>
      </c>
    </row>
    <row r="77" spans="1:3">
      <c r="A77" s="217" t="s">
        <v>201</v>
      </c>
      <c r="B77">
        <v>14</v>
      </c>
      <c r="C77" s="48">
        <v>30.692307692307693</v>
      </c>
    </row>
    <row r="78" spans="1:3">
      <c r="A78" s="217" t="s">
        <v>202</v>
      </c>
      <c r="B78">
        <v>4</v>
      </c>
      <c r="C78" s="48">
        <v>28.666666666666668</v>
      </c>
    </row>
    <row r="79" spans="1:3">
      <c r="A79" s="216" t="s">
        <v>184</v>
      </c>
      <c r="B79">
        <v>22</v>
      </c>
      <c r="C79" s="48">
        <v>30.4</v>
      </c>
    </row>
    <row r="80" spans="1:3">
      <c r="A80" s="217" t="s">
        <v>198</v>
      </c>
      <c r="B80">
        <v>1</v>
      </c>
      <c r="C80" s="48">
        <v>33</v>
      </c>
    </row>
    <row r="81" spans="1:3">
      <c r="A81" s="217" t="s">
        <v>201</v>
      </c>
      <c r="B81">
        <v>14</v>
      </c>
      <c r="C81" s="48">
        <v>29.923076923076923</v>
      </c>
    </row>
    <row r="82" spans="1:3">
      <c r="A82" s="217" t="s">
        <v>202</v>
      </c>
      <c r="B82">
        <v>7</v>
      </c>
      <c r="C82" s="48">
        <v>31</v>
      </c>
    </row>
    <row r="83" spans="1:3">
      <c r="A83" s="183" t="s">
        <v>199</v>
      </c>
      <c r="B83">
        <v>410</v>
      </c>
      <c r="C83" s="48">
        <v>28.795061728395062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base</vt:lpstr>
      <vt:lpstr>Consolidado</vt:lpstr>
      <vt:lpstr>Dinâmica e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THIAGO AZEVEDO DE ARRUDA</cp:lastModifiedBy>
  <dcterms:created xsi:type="dcterms:W3CDTF">2023-01-31T18:06:50Z</dcterms:created>
  <dcterms:modified xsi:type="dcterms:W3CDTF">2024-08-23T23:06:58Z</dcterms:modified>
</cp:coreProperties>
</file>