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ish raj\Downloads\AQUAINFRA\AIPL-20250620T112829Z-1-001\AIPL\"/>
    </mc:Choice>
  </mc:AlternateContent>
  <xr:revisionPtr revIDLastSave="0" documentId="13_ncr:1_{7C3298CD-0AC7-436A-98B4-AF481E5EC1AF}" xr6:coauthVersionLast="47" xr6:coauthVersionMax="47" xr10:uidLastSave="{00000000-0000-0000-0000-000000000000}"/>
  <bookViews>
    <workbookView xWindow="-108" yWindow="-108" windowWidth="23256" windowHeight="12456" activeTab="2" xr2:uid="{2FE61983-66BB-4ADA-8179-5F68F6BF8177}"/>
  </bookViews>
  <sheets>
    <sheet name="Project Details" sheetId="1" r:id="rId1"/>
    <sheet name="Inputs and Layout" sheetId="2" r:id="rId2"/>
    <sheet name="Design Calculations" sheetId="3" r:id="rId3"/>
    <sheet name="BOQ" sheetId="4" r:id="rId4"/>
    <sheet name="Report" sheetId="5" r:id="rId5"/>
    <sheet name="STANDARD DATA" sheetId="9" r:id="rId6"/>
  </sheets>
  <definedNames>
    <definedName name="COMBINED">'Design Calculations'!$A$2:$B$15,'Design Calculations'!$D$2:$E$7</definedName>
    <definedName name="FLOAT_SELECTION_TYPES">'STANDARD DATA'!$A$2:$A$5</definedName>
    <definedName name="FLOAT_STRUCTURE">'Design Calculations'!$A$2:$B$15,'Design Calculations'!$D$2:$E$7</definedName>
    <definedName name="FLOATING_HDPE">'STANDARD DATA'!$B$2:$E$2</definedName>
    <definedName name="FLOATING_SOLAR">'STANDARD DATA'!$B$5:$E$5</definedName>
    <definedName name="LOAD_DATA">'Inputs and Layout'!$A$53:$J$64</definedName>
    <definedName name="MODULAR_BARGE">'STANDARD DATA'!$B$4:$E$4</definedName>
    <definedName name="STEEL_INTEGERATED_FLOATING_JETTY__SIFJ">'STANDARD DATA'!$B$3:$E$3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5" i="3" l="1" a="1"/>
  <c r="D255" i="3" s="1"/>
  <c r="B179" i="3"/>
  <c r="K96" i="3" a="1"/>
  <c r="K96" i="3" s="1"/>
  <c r="B47" i="2"/>
  <c r="B41" i="2"/>
  <c r="B4" i="3"/>
  <c r="B159" i="3" l="1"/>
  <c r="A164" i="3" a="1"/>
  <c r="C169" i="3" s="1"/>
  <c r="A188" i="3" a="1"/>
  <c r="A188" i="3" s="1"/>
  <c r="A210" i="3" a="1"/>
  <c r="C211" i="3" s="1"/>
  <c r="D257" i="3"/>
  <c r="C168" i="3" l="1"/>
  <c r="C217" i="3"/>
  <c r="C174" i="3"/>
  <c r="C166" i="3"/>
  <c r="C218" i="3"/>
  <c r="A210" i="3"/>
  <c r="C176" i="3"/>
  <c r="C167" i="3"/>
  <c r="C216" i="3"/>
  <c r="C215" i="3"/>
  <c r="C173" i="3"/>
  <c r="C165" i="3"/>
  <c r="C175" i="3"/>
  <c r="C222" i="3"/>
  <c r="C214" i="3"/>
  <c r="C172" i="3"/>
  <c r="A164" i="3"/>
  <c r="C221" i="3"/>
  <c r="C213" i="3"/>
  <c r="C171" i="3"/>
  <c r="C220" i="3"/>
  <c r="C212" i="3"/>
  <c r="C170" i="3"/>
  <c r="C219" i="3"/>
  <c r="B226" i="3" l="1"/>
  <c r="D22" i="2" l="1"/>
  <c r="K22" i="2" s="1"/>
  <c r="E22" i="2"/>
  <c r="F22" i="2"/>
  <c r="G22" i="2"/>
  <c r="H22" i="2"/>
  <c r="I22" i="2"/>
  <c r="J22" i="2"/>
  <c r="D23" i="2"/>
  <c r="K23" i="2" s="1"/>
  <c r="E23" i="2"/>
  <c r="F23" i="2"/>
  <c r="G23" i="2"/>
  <c r="M23" i="2" s="1"/>
  <c r="H23" i="2"/>
  <c r="I23" i="2"/>
  <c r="J23" i="2"/>
  <c r="D24" i="2"/>
  <c r="E24" i="2"/>
  <c r="F24" i="2"/>
  <c r="G24" i="2"/>
  <c r="H24" i="2"/>
  <c r="I24" i="2"/>
  <c r="J24" i="2"/>
  <c r="K24" i="2"/>
  <c r="L24" i="2"/>
  <c r="M24" i="2"/>
  <c r="D25" i="2"/>
  <c r="E25" i="2"/>
  <c r="F25" i="2"/>
  <c r="G25" i="2"/>
  <c r="H25" i="2"/>
  <c r="I25" i="2"/>
  <c r="J25" i="2"/>
  <c r="D26" i="2"/>
  <c r="E26" i="2"/>
  <c r="F26" i="2"/>
  <c r="G26" i="2"/>
  <c r="H26" i="2"/>
  <c r="I26" i="2"/>
  <c r="J26" i="2"/>
  <c r="D27" i="2"/>
  <c r="E27" i="2"/>
  <c r="F27" i="2"/>
  <c r="G27" i="2"/>
  <c r="H27" i="2"/>
  <c r="I27" i="2"/>
  <c r="J27" i="2"/>
  <c r="D28" i="2"/>
  <c r="E28" i="2"/>
  <c r="F28" i="2"/>
  <c r="G28" i="2"/>
  <c r="H28" i="2"/>
  <c r="I28" i="2"/>
  <c r="J28" i="2"/>
  <c r="D29" i="2"/>
  <c r="E29" i="2"/>
  <c r="F29" i="2"/>
  <c r="G29" i="2"/>
  <c r="H29" i="2"/>
  <c r="I29" i="2"/>
  <c r="J29" i="2"/>
  <c r="D30" i="2"/>
  <c r="E30" i="2"/>
  <c r="F30" i="2"/>
  <c r="G30" i="2"/>
  <c r="H30" i="2"/>
  <c r="I30" i="2"/>
  <c r="J30" i="2"/>
  <c r="D31" i="2"/>
  <c r="E31" i="2"/>
  <c r="F31" i="2"/>
  <c r="G31" i="2"/>
  <c r="H31" i="2"/>
  <c r="I31" i="2"/>
  <c r="J31" i="2"/>
  <c r="D32" i="2"/>
  <c r="E32" i="2"/>
  <c r="F32" i="2"/>
  <c r="G32" i="2"/>
  <c r="H32" i="2"/>
  <c r="I32" i="2"/>
  <c r="J32" i="2"/>
  <c r="D33" i="2"/>
  <c r="E33" i="2"/>
  <c r="F33" i="2"/>
  <c r="G33" i="2"/>
  <c r="H33" i="2"/>
  <c r="I33" i="2"/>
  <c r="J33" i="2"/>
  <c r="B48" i="2"/>
  <c r="C69" i="2"/>
  <c r="D69" i="2" s="1"/>
  <c r="B40" i="5" a="1"/>
  <c r="B40" i="5" s="1"/>
  <c r="B22" i="5" a="1"/>
  <c r="B22" i="5" s="1"/>
  <c r="B12" i="5" a="1"/>
  <c r="B12" i="5" s="1"/>
  <c r="C70" i="2"/>
  <c r="D70" i="2" s="1"/>
  <c r="C71" i="2"/>
  <c r="D71" i="2" s="1"/>
  <c r="C72" i="2"/>
  <c r="D72" i="2" s="1"/>
  <c r="C73" i="2"/>
  <c r="D73" i="2" s="1"/>
  <c r="C74" i="2"/>
  <c r="D74" i="2" s="1"/>
  <c r="C75" i="2"/>
  <c r="E75" i="2" s="1"/>
  <c r="C76" i="2"/>
  <c r="E76" i="2" s="1"/>
  <c r="C77" i="2"/>
  <c r="D77" i="2" s="1"/>
  <c r="C78" i="2"/>
  <c r="D78" i="2" s="1"/>
  <c r="D76" i="2"/>
  <c r="E7" i="3"/>
  <c r="E104" i="3" s="1"/>
  <c r="F112" i="3" a="1"/>
  <c r="F112" i="3" s="1"/>
  <c r="E112" i="3" a="1"/>
  <c r="E112" i="3" s="1"/>
  <c r="E6" i="3"/>
  <c r="F103" i="3" s="1"/>
  <c r="F88" i="3"/>
  <c r="E88" i="3"/>
  <c r="F80" i="3"/>
  <c r="E80" i="3"/>
  <c r="D66" i="3"/>
  <c r="D67" i="3" s="1"/>
  <c r="F71" i="3" s="1"/>
  <c r="A24" i="3" a="1"/>
  <c r="A24" i="3" s="1"/>
  <c r="E5" i="3"/>
  <c r="F81" i="3" s="1"/>
  <c r="E4" i="3"/>
  <c r="E81" i="3" s="1"/>
  <c r="M22" i="2" l="1"/>
  <c r="B44" i="2"/>
  <c r="L22" i="2"/>
  <c r="L23" i="2"/>
  <c r="D75" i="2"/>
  <c r="E69" i="2"/>
  <c r="F104" i="3"/>
  <c r="F105" i="3" s="1"/>
  <c r="F106" i="3" s="1"/>
  <c r="B112" i="5" a="1"/>
  <c r="B112" i="5" s="1"/>
  <c r="E78" i="2"/>
  <c r="E112" i="5"/>
  <c r="E74" i="2"/>
  <c r="E71" i="2"/>
  <c r="E73" i="2"/>
  <c r="E70" i="2"/>
  <c r="E72" i="2"/>
  <c r="E77" i="2"/>
  <c r="E82" i="3"/>
  <c r="F82" i="3"/>
  <c r="E103" i="3"/>
  <c r="E73" i="3"/>
  <c r="F73" i="3"/>
  <c r="H36" i="3"/>
  <c r="I36" i="3"/>
  <c r="E71" i="3"/>
  <c r="B42" i="2" l="1"/>
  <c r="B43" i="2"/>
  <c r="N22" i="2" s="1"/>
  <c r="F74" i="3"/>
  <c r="F75" i="3"/>
  <c r="E74" i="3"/>
  <c r="E75" i="3"/>
  <c r="E101" i="3"/>
  <c r="J103" i="3" a="1"/>
  <c r="K97" i="3" a="1"/>
  <c r="K97" i="3" s="1"/>
  <c r="K98" i="3" a="1"/>
  <c r="K98" i="3" s="1"/>
  <c r="F101" i="3" s="1"/>
  <c r="O103" i="3" a="1"/>
  <c r="K99" i="3" a="1"/>
  <c r="K99" i="3" s="1"/>
  <c r="E105" i="3"/>
  <c r="E147" i="3" s="1"/>
  <c r="B123" i="5" s="1" a="1"/>
  <c r="B123" i="5" s="1"/>
  <c r="N24" i="2" l="1"/>
  <c r="N23" i="2"/>
  <c r="O23" i="2"/>
  <c r="O24" i="2"/>
  <c r="O22" i="2"/>
  <c r="B45" i="2"/>
  <c r="K108" i="3"/>
  <c r="L108" i="3"/>
  <c r="Q108" i="3"/>
  <c r="P108" i="3"/>
  <c r="J103" i="3"/>
  <c r="K109" i="3" s="1"/>
  <c r="E107" i="3" s="1"/>
  <c r="K107" i="3"/>
  <c r="L107" i="3"/>
  <c r="P104" i="3"/>
  <c r="P107" i="3"/>
  <c r="Q104" i="3"/>
  <c r="Q107" i="3"/>
  <c r="K104" i="3"/>
  <c r="L104" i="3"/>
  <c r="O103" i="3"/>
  <c r="P109" i="3" s="1"/>
  <c r="F107" i="3" s="1"/>
  <c r="E106" i="3"/>
  <c r="B46" i="2" l="1"/>
  <c r="P103" i="3"/>
  <c r="Q103" i="3"/>
  <c r="K103" i="3"/>
  <c r="L103" i="3"/>
  <c r="E3" i="3" l="1"/>
  <c r="E2" i="3"/>
  <c r="B14" i="3"/>
  <c r="B3" i="3"/>
  <c r="B205" i="3" s="1"/>
  <c r="A234" i="3" s="1" a="1"/>
  <c r="A234" i="3" s="1"/>
  <c r="B2" i="3"/>
  <c r="B7" i="3"/>
  <c r="B6" i="3"/>
  <c r="B5" i="3"/>
  <c r="B18" i="9"/>
  <c r="C18" i="9"/>
  <c r="D18" i="9"/>
  <c r="B17" i="9"/>
  <c r="C17" i="9"/>
  <c r="D17" i="9"/>
  <c r="B16" i="9"/>
  <c r="E19" i="9"/>
  <c r="E20" i="9"/>
  <c r="E21" i="9"/>
  <c r="D21" i="9"/>
  <c r="C21" i="9"/>
  <c r="B21" i="9"/>
  <c r="D20" i="9"/>
  <c r="C20" i="9"/>
  <c r="B20" i="9"/>
  <c r="D19" i="9"/>
  <c r="C19" i="9"/>
  <c r="B19" i="9"/>
  <c r="E18" i="9"/>
  <c r="E17" i="9"/>
  <c r="E16" i="9"/>
  <c r="D16" i="9"/>
  <c r="C16" i="9"/>
  <c r="E15" i="9"/>
  <c r="D15" i="9"/>
  <c r="C15" i="9"/>
  <c r="B15" i="9"/>
  <c r="D259" i="3" l="1"/>
  <c r="E89" i="3"/>
  <c r="F89" i="3"/>
  <c r="F98" i="3" s="1"/>
  <c r="B15" i="3"/>
  <c r="D41" i="3" s="1"/>
  <c r="D36" i="3"/>
  <c r="B166" i="5" l="1" a="1"/>
  <c r="B166" i="5" s="1"/>
  <c r="E98" i="3"/>
  <c r="B115" i="5" a="1"/>
  <c r="B115" i="5" s="1"/>
  <c r="B8" i="3"/>
  <c r="F36" i="3"/>
  <c r="G36" i="3"/>
  <c r="E36" i="3"/>
  <c r="B161" i="3" l="1"/>
  <c r="B207" i="3"/>
  <c r="D37" i="3"/>
  <c r="D43" i="3" s="1"/>
  <c r="B11" i="3"/>
  <c r="B229" i="3" l="1"/>
  <c r="B227" i="3"/>
  <c r="B228" i="3" s="1"/>
  <c r="B180" i="3"/>
  <c r="B181" i="3" s="1"/>
  <c r="B182" i="3"/>
  <c r="D42" i="3"/>
  <c r="G37" i="3"/>
  <c r="G49" i="3" s="1"/>
  <c r="E83" i="3"/>
  <c r="E84" i="3" s="1"/>
  <c r="F83" i="3"/>
  <c r="F84" i="3" s="1"/>
  <c r="F97" i="3" s="1"/>
  <c r="B12" i="3"/>
  <c r="D50" i="3" s="1"/>
  <c r="B10" i="3"/>
  <c r="F37" i="3" s="1"/>
  <c r="N30" i="3" s="1"/>
  <c r="B9" i="3"/>
  <c r="G48" i="3"/>
  <c r="D48" i="3"/>
  <c r="D44" i="3"/>
  <c r="B76" i="5" s="1" a="1"/>
  <c r="B76" i="5" s="1"/>
  <c r="B230" i="3" l="1"/>
  <c r="C246" i="3" s="1" a="1"/>
  <c r="C246" i="3" s="1"/>
  <c r="B183" i="3"/>
  <c r="B191" i="3" s="1"/>
  <c r="D49" i="3"/>
  <c r="D51" i="3" s="1"/>
  <c r="D52" i="3" s="1"/>
  <c r="E97" i="3"/>
  <c r="B114" i="5" a="1"/>
  <c r="B114" i="5" s="1"/>
  <c r="E37" i="3"/>
  <c r="O26" i="3" s="1"/>
  <c r="F72" i="3"/>
  <c r="F76" i="3" s="1"/>
  <c r="E72" i="3"/>
  <c r="E76" i="3" s="1"/>
  <c r="N28" i="3"/>
  <c r="N35" i="3"/>
  <c r="N32" i="3"/>
  <c r="N29" i="3"/>
  <c r="N27" i="3"/>
  <c r="B13" i="3"/>
  <c r="G50" i="3" s="1"/>
  <c r="N33" i="3"/>
  <c r="N31" i="3"/>
  <c r="N24" i="3"/>
  <c r="N34" i="3"/>
  <c r="N26" i="3"/>
  <c r="N25" i="3"/>
  <c r="D54" i="3"/>
  <c r="G54" i="3"/>
  <c r="G51" i="3"/>
  <c r="B235" i="3" l="1"/>
  <c r="B237" i="3"/>
  <c r="B236" i="3"/>
  <c r="C237" i="3" a="1"/>
  <c r="C237" i="3" s="1"/>
  <c r="B240" i="3"/>
  <c r="B238" i="3"/>
  <c r="C234" i="3" a="1"/>
  <c r="C234" i="3" s="1"/>
  <c r="C241" i="3" a="1"/>
  <c r="C241" i="3" s="1"/>
  <c r="B246" i="3"/>
  <c r="C239" i="3" a="1"/>
  <c r="C239" i="3" s="1"/>
  <c r="C240" i="3" a="1"/>
  <c r="C240" i="3" s="1"/>
  <c r="B234" i="3"/>
  <c r="C243" i="3" a="1"/>
  <c r="C243" i="3" s="1"/>
  <c r="B245" i="3"/>
  <c r="B239" i="3"/>
  <c r="C238" i="3" a="1"/>
  <c r="C238" i="3" s="1"/>
  <c r="B244" i="3"/>
  <c r="C245" i="3" a="1"/>
  <c r="C245" i="3" s="1"/>
  <c r="B242" i="3"/>
  <c r="C235" i="3" a="1"/>
  <c r="C235" i="3" s="1"/>
  <c r="C244" i="3" a="1"/>
  <c r="C244" i="3" s="1"/>
  <c r="B241" i="3"/>
  <c r="B243" i="3"/>
  <c r="C242" i="3" a="1"/>
  <c r="C242" i="3" s="1"/>
  <c r="C236" i="3" a="1"/>
  <c r="C236" i="3" s="1"/>
  <c r="C191" i="3" a="1"/>
  <c r="C191" i="3" s="1"/>
  <c r="C199" i="3" a="1"/>
  <c r="C199" i="3" s="1"/>
  <c r="B194" i="3"/>
  <c r="C193" i="3" a="1"/>
  <c r="C193" i="3" s="1"/>
  <c r="C201" i="3" a="1"/>
  <c r="C201" i="3" s="1"/>
  <c r="B201" i="3"/>
  <c r="C189" i="3" a="1"/>
  <c r="C189" i="3" s="1"/>
  <c r="B188" i="3"/>
  <c r="B200" i="3"/>
  <c r="B190" i="3"/>
  <c r="B196" i="3"/>
  <c r="C200" i="3" a="1"/>
  <c r="C200" i="3" s="1"/>
  <c r="B197" i="3"/>
  <c r="C202" i="3" a="1"/>
  <c r="C202" i="3" s="1"/>
  <c r="C197" i="3" a="1"/>
  <c r="C197" i="3" s="1"/>
  <c r="B192" i="3"/>
  <c r="C198" i="3" a="1"/>
  <c r="C198" i="3" s="1"/>
  <c r="B195" i="3"/>
  <c r="C194" i="3" a="1"/>
  <c r="C194" i="3" s="1"/>
  <c r="B199" i="3"/>
  <c r="C195" i="3" a="1"/>
  <c r="C195" i="3" s="1"/>
  <c r="C190" i="3" a="1"/>
  <c r="C190" i="3" s="1"/>
  <c r="C192" i="3" a="1"/>
  <c r="C192" i="3" s="1"/>
  <c r="B189" i="3"/>
  <c r="C196" i="3" a="1"/>
  <c r="C196" i="3" s="1"/>
  <c r="B198" i="3"/>
  <c r="B193" i="3"/>
  <c r="B202" i="3"/>
  <c r="C188" i="3" a="1"/>
  <c r="C188" i="3" s="1"/>
  <c r="O28" i="3"/>
  <c r="O34" i="3"/>
  <c r="O25" i="3"/>
  <c r="O30" i="3"/>
  <c r="O32" i="3"/>
  <c r="O29" i="3"/>
  <c r="O31" i="3"/>
  <c r="O35" i="3"/>
  <c r="O33" i="3"/>
  <c r="O24" i="3"/>
  <c r="O27" i="3"/>
  <c r="E96" i="3"/>
  <c r="E100" i="3" s="1"/>
  <c r="E102" i="3" s="1"/>
  <c r="E108" i="3" s="1"/>
  <c r="E110" i="3" s="1"/>
  <c r="E111" i="3" s="1"/>
  <c r="B113" i="5" a="1"/>
  <c r="B113" i="5" s="1"/>
  <c r="B58" i="5" a="1"/>
  <c r="B58" i="5" s="1"/>
  <c r="F96" i="3"/>
  <c r="F100" i="3" s="1"/>
  <c r="F102" i="3" s="1"/>
  <c r="F108" i="3" s="1"/>
  <c r="N36" i="3"/>
  <c r="D56" i="3" s="1"/>
  <c r="D57" i="3" s="1"/>
  <c r="D55" i="3"/>
  <c r="G52" i="3"/>
  <c r="G55" i="3" s="1"/>
  <c r="E255" i="3" l="1" a="1"/>
  <c r="E255" i="3" s="1"/>
  <c r="E261" i="3" s="1"/>
  <c r="B165" i="5" a="1"/>
  <c r="B165" i="5" s="1"/>
  <c r="B82" i="5" a="1"/>
  <c r="B82" i="5" s="1"/>
  <c r="O36" i="3"/>
  <c r="G56" i="3" s="1"/>
  <c r="G57" i="3" s="1"/>
  <c r="B95" i="5" s="1" a="1"/>
  <c r="B95" i="5" s="1"/>
  <c r="E109" i="3"/>
  <c r="E113" i="3" s="1"/>
  <c r="E114" i="3" s="1"/>
  <c r="E116" i="3" s="1"/>
  <c r="B116" i="5" a="1"/>
  <c r="B116" i="5" s="1"/>
  <c r="E128" i="3"/>
  <c r="E129" i="3" s="1"/>
  <c r="E139" i="3" s="1"/>
  <c r="E140" i="3" s="1"/>
  <c r="E142" i="3" s="1"/>
  <c r="D42" i="9"/>
  <c r="K147" i="3"/>
  <c r="F109" i="3"/>
  <c r="F110" i="3"/>
  <c r="F111" i="3" s="1"/>
  <c r="F128" i="3" s="1"/>
  <c r="F129" i="3" s="1"/>
  <c r="D261" i="3" l="1"/>
  <c r="E132" i="3"/>
  <c r="E133" i="3" s="1"/>
  <c r="E135" i="3" s="1"/>
  <c r="B117" i="5" a="1"/>
  <c r="B117" i="5" s="1"/>
  <c r="D35" i="9"/>
  <c r="D36" i="9"/>
  <c r="D37" i="9"/>
  <c r="D38" i="9"/>
  <c r="D34" i="9"/>
  <c r="F113" i="3"/>
  <c r="F114" i="3" s="1"/>
  <c r="F116" i="3" s="1"/>
  <c r="B118" i="5" s="1" a="1"/>
  <c r="B118" i="5" s="1"/>
  <c r="F132" i="3"/>
  <c r="F133" i="3" s="1"/>
  <c r="F135" i="3" s="1"/>
  <c r="F139" i="3"/>
  <c r="F140" i="3" s="1"/>
  <c r="F142" i="3" s="1"/>
  <c r="B120" i="5" s="1" a="1"/>
  <c r="B120" i="5" s="1"/>
  <c r="B119" i="5" l="1" a="1"/>
  <c r="B119" i="5" s="1"/>
  <c r="E150" i="3"/>
  <c r="B124" i="5" s="1" a="1"/>
  <c r="B1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<sst xmlns="http://schemas.openxmlformats.org/spreadsheetml/2006/main" count="600" uniqueCount="387">
  <si>
    <t>Project Name</t>
  </si>
  <si>
    <t>Client Name</t>
  </si>
  <si>
    <t>Moblie Number</t>
  </si>
  <si>
    <t>Company Name</t>
  </si>
  <si>
    <t>Domain</t>
  </si>
  <si>
    <t>Project Description</t>
  </si>
  <si>
    <t>Attach File</t>
  </si>
  <si>
    <t>Float Selection</t>
  </si>
  <si>
    <t>water body</t>
  </si>
  <si>
    <t>current speed</t>
  </si>
  <si>
    <t>wind velocity</t>
  </si>
  <si>
    <t>wave height</t>
  </si>
  <si>
    <t>max water depth</t>
  </si>
  <si>
    <t>min water depth</t>
  </si>
  <si>
    <t>Layout</t>
  </si>
  <si>
    <t>Load Data</t>
  </si>
  <si>
    <t>Load Name</t>
  </si>
  <si>
    <t>Load Type</t>
  </si>
  <si>
    <t>Item Number</t>
  </si>
  <si>
    <t>Load Value</t>
  </si>
  <si>
    <t>Location-x</t>
  </si>
  <si>
    <t>Location-y</t>
  </si>
  <si>
    <t>Location-z</t>
  </si>
  <si>
    <t>Area -x</t>
  </si>
  <si>
    <t>Area-y</t>
  </si>
  <si>
    <t>winch</t>
  </si>
  <si>
    <t>IL</t>
  </si>
  <si>
    <t>Pump</t>
  </si>
  <si>
    <t>Passengers</t>
  </si>
  <si>
    <t>LL</t>
  </si>
  <si>
    <t>figure for modules and load loaction</t>
  </si>
  <si>
    <t>Hydrostatics</t>
  </si>
  <si>
    <t>Moment-x</t>
  </si>
  <si>
    <t>Moment-y</t>
  </si>
  <si>
    <t xml:space="preserve">Moment-z </t>
  </si>
  <si>
    <t>Force-x</t>
  </si>
  <si>
    <t>Force-y</t>
  </si>
  <si>
    <t>Force-z</t>
  </si>
  <si>
    <t>MODULAR BARGE</t>
  </si>
  <si>
    <t>Parameters</t>
  </si>
  <si>
    <t>Length,x</t>
  </si>
  <si>
    <t>Width,y</t>
  </si>
  <si>
    <t>Height,z</t>
  </si>
  <si>
    <t>Weight (Tonns)</t>
  </si>
  <si>
    <t>COG -x</t>
  </si>
  <si>
    <t>COG-y</t>
  </si>
  <si>
    <t>COG-z</t>
  </si>
  <si>
    <t>Area</t>
  </si>
  <si>
    <t>MOI-x (Local Centroid)</t>
  </si>
  <si>
    <t>MOI-y (Local Centroid)</t>
  </si>
  <si>
    <t>MOI-z (Local Centroid)</t>
  </si>
  <si>
    <t>FLOAT SIZE</t>
  </si>
  <si>
    <t>X-COORDINATE</t>
  </si>
  <si>
    <t>Y-COORDINATE</t>
  </si>
  <si>
    <t>FLOATING_HDPE</t>
  </si>
  <si>
    <t>STEEL-INTEGERATED_FLOATING_JETTY_(SIFJ)</t>
  </si>
  <si>
    <t>MODULAR_BARGE</t>
  </si>
  <si>
    <t>FLOATING_SOLAR</t>
  </si>
  <si>
    <t>HDPE_3x3x1.2</t>
  </si>
  <si>
    <t>HDPE_6x3x1.2</t>
  </si>
  <si>
    <t>HDPE_9x3x1.2</t>
  </si>
  <si>
    <t>HDPE_12x3x1.2</t>
  </si>
  <si>
    <t>SIFJ_3x3x1.2</t>
  </si>
  <si>
    <t>SIFJ_6x3x1.2</t>
  </si>
  <si>
    <t>SIFJ_9x3x1.2</t>
  </si>
  <si>
    <t>SIFJ_12x3x1.2</t>
  </si>
  <si>
    <t>MB_3x3x1.2</t>
  </si>
  <si>
    <t>MB_6x3x1.2</t>
  </si>
  <si>
    <t>MB_9x3x1.2</t>
  </si>
  <si>
    <t>MB_12x3x1.2</t>
  </si>
  <si>
    <t>FS_3x3x1.2</t>
  </si>
  <si>
    <t>FS_6x3x1.2</t>
  </si>
  <si>
    <t>FS_9x3x1.2</t>
  </si>
  <si>
    <t>DL</t>
  </si>
  <si>
    <t>Local Values</t>
  </si>
  <si>
    <t>Gobal Calculations</t>
  </si>
  <si>
    <t>Weighed X</t>
  </si>
  <si>
    <t>Weighted Y</t>
  </si>
  <si>
    <t>OUTPUTS</t>
  </si>
  <si>
    <t>TOTAL WEIGHT</t>
  </si>
  <si>
    <t>GLOBAL CG-X</t>
  </si>
  <si>
    <t>GLOBAL CG-Y</t>
  </si>
  <si>
    <t>GLOBAL CG-Z</t>
  </si>
  <si>
    <t>Weighted Z</t>
  </si>
  <si>
    <t>MOI-x</t>
  </si>
  <si>
    <t>MOI-y</t>
  </si>
  <si>
    <t>GLOBAL M-x</t>
  </si>
  <si>
    <t>GLOBAL M-y</t>
  </si>
  <si>
    <t>TOTAL AREA</t>
  </si>
  <si>
    <t>VESSEL LENGTH</t>
  </si>
  <si>
    <t>VESSEL WIDTH</t>
  </si>
  <si>
    <t>MOORING</t>
  </si>
  <si>
    <t>PONTOON AND SITEDATA</t>
  </si>
  <si>
    <t>VESSEL DEPTH</t>
  </si>
  <si>
    <t>WIND SPEED</t>
  </si>
  <si>
    <t>CURRENT SPEED</t>
  </si>
  <si>
    <t>WAVE HEIGHT</t>
  </si>
  <si>
    <t>VESSEL WEIGHT</t>
  </si>
  <si>
    <t>TOTAL=</t>
  </si>
  <si>
    <t>INCLUDING VESSEL</t>
  </si>
  <si>
    <t>VESSEL COG-Y</t>
  </si>
  <si>
    <t>VESSEL COG-X</t>
  </si>
  <si>
    <t>VESSEL COG-Z</t>
  </si>
  <si>
    <t>MOI-X</t>
  </si>
  <si>
    <t>MOI-Y</t>
  </si>
  <si>
    <t>VESSEL BUOYANCY</t>
  </si>
  <si>
    <t>UNIT BUOYANCY CAPACITY</t>
  </si>
  <si>
    <t>Unit Buoyancy (Tonns/m^2)</t>
  </si>
  <si>
    <t>Total Buoyancy</t>
  </si>
  <si>
    <t>Reserved Buoyancy</t>
  </si>
  <si>
    <t>Draft</t>
  </si>
  <si>
    <t>Freeboard</t>
  </si>
  <si>
    <t>COB</t>
  </si>
  <si>
    <t>COG-Z</t>
  </si>
  <si>
    <t>BM, I/V, Y</t>
  </si>
  <si>
    <t>BM, I/V, X</t>
  </si>
  <si>
    <t>GM, X</t>
  </si>
  <si>
    <t>BG</t>
  </si>
  <si>
    <t>GM,Y</t>
  </si>
  <si>
    <t>Minimum Freeboard</t>
  </si>
  <si>
    <t>Maximum Draft</t>
  </si>
  <si>
    <t>Maximum Tilt Angle-x</t>
  </si>
  <si>
    <t>Maximum Tilt Angle-y</t>
  </si>
  <si>
    <t>Max Rightning Moment-x</t>
  </si>
  <si>
    <t>Max Rightning Moment-y</t>
  </si>
  <si>
    <t>Max Heeling Moment-x</t>
  </si>
  <si>
    <t>Max Heeling Moment-y</t>
  </si>
  <si>
    <t>Tilt Angle-x</t>
  </si>
  <si>
    <t>Tilt Angle-y</t>
  </si>
  <si>
    <t xml:space="preserve">Site Conditions </t>
  </si>
  <si>
    <t>LENGTH</t>
  </si>
  <si>
    <t>WIDTH</t>
  </si>
  <si>
    <t>Ocean</t>
  </si>
  <si>
    <t>Buoyancy Calculations</t>
  </si>
  <si>
    <t>NONE1</t>
  </si>
  <si>
    <t>NONE2</t>
  </si>
  <si>
    <t>NONE3</t>
  </si>
  <si>
    <t>NONE4</t>
  </si>
  <si>
    <t xml:space="preserve"> </t>
  </si>
  <si>
    <t>Drag Coefficient - X</t>
  </si>
  <si>
    <t>Drag Coefficient - Y</t>
  </si>
  <si>
    <t>additional Information</t>
  </si>
  <si>
    <t>Drag Coeffients</t>
  </si>
  <si>
    <t>drag coeffients</t>
  </si>
  <si>
    <t>Design wind speed, Vz</t>
  </si>
  <si>
    <t>m/s</t>
  </si>
  <si>
    <t>Wind pressure</t>
  </si>
  <si>
    <t>tonnes/sq.m</t>
  </si>
  <si>
    <t>Wind Load calculation</t>
  </si>
  <si>
    <t>Wind Pressure calculation</t>
  </si>
  <si>
    <t>S.No.</t>
  </si>
  <si>
    <t>Description</t>
  </si>
  <si>
    <t>Unit</t>
  </si>
  <si>
    <t>x</t>
  </si>
  <si>
    <t>y</t>
  </si>
  <si>
    <t xml:space="preserve">Wind pressure </t>
  </si>
  <si>
    <t>Exposed area (float)</t>
  </si>
  <si>
    <t>sq.m</t>
  </si>
  <si>
    <t>Drag coefficient (jetty)</t>
  </si>
  <si>
    <t>degree</t>
  </si>
  <si>
    <t>Exposed area ( pump)</t>
  </si>
  <si>
    <t>Drag coefficient (pump)</t>
  </si>
  <si>
    <t xml:space="preserve">Total wind load </t>
  </si>
  <si>
    <t>tonnes</t>
  </si>
  <si>
    <t>Current velocity</t>
  </si>
  <si>
    <t>Drag coefficient</t>
  </si>
  <si>
    <t>Drag force per unit area</t>
  </si>
  <si>
    <t>tonne/sq.m</t>
  </si>
  <si>
    <t>m</t>
  </si>
  <si>
    <t>Projected area</t>
  </si>
  <si>
    <t>Total drag force</t>
  </si>
  <si>
    <t>Drag Force Calculations</t>
  </si>
  <si>
    <t>Wave Force Calculations</t>
  </si>
  <si>
    <t>Wave Height</t>
  </si>
  <si>
    <t>tonns</t>
  </si>
  <si>
    <t>Total Wave Drift Load</t>
  </si>
  <si>
    <t>kg</t>
  </si>
  <si>
    <t>Load factor</t>
  </si>
  <si>
    <t>Angle one</t>
  </si>
  <si>
    <t>mm</t>
  </si>
  <si>
    <t>Value</t>
  </si>
  <si>
    <t xml:space="preserve">DEAD WEIGHT ANCHOR AND MOORING CALCULATION </t>
  </si>
  <si>
    <t>Wind load</t>
  </si>
  <si>
    <t>Drag load due to current</t>
  </si>
  <si>
    <t>Wave Drift Load</t>
  </si>
  <si>
    <t xml:space="preserve">Total design load </t>
  </si>
  <si>
    <t xml:space="preserve">No. of  load-bearing mooring line </t>
  </si>
  <si>
    <t>Design horizontal load on each mooring line</t>
  </si>
  <si>
    <t>Water depth</t>
  </si>
  <si>
    <t>Scope to water depth ratio</t>
  </si>
  <si>
    <t>Scope of anchor cable</t>
  </si>
  <si>
    <t>Angle two</t>
  </si>
  <si>
    <t xml:space="preserve">degree </t>
  </si>
  <si>
    <t>Tension in the mooring line</t>
  </si>
  <si>
    <t>Vertical pull of mooring line</t>
  </si>
  <si>
    <t>Horizontal pull of mooring line</t>
  </si>
  <si>
    <t>Holding capacity of anchor</t>
  </si>
  <si>
    <t>Coefficient b/w anchor and soil</t>
  </si>
  <si>
    <t>Weight of anchor in water</t>
  </si>
  <si>
    <t>Minimum dry weight of anchor</t>
  </si>
  <si>
    <t>Factor safety</t>
  </si>
  <si>
    <t>Dry weight of anchor</t>
  </si>
  <si>
    <t>Along X-direction</t>
  </si>
  <si>
    <t>Along Y-direction</t>
  </si>
  <si>
    <t>Note</t>
  </si>
  <si>
    <t>water depth</t>
  </si>
  <si>
    <t>Table 1: Coefficient between anchor and soil</t>
  </si>
  <si>
    <t>sand</t>
  </si>
  <si>
    <t>smooth steel</t>
  </si>
  <si>
    <t>Rough steel</t>
  </si>
  <si>
    <t>smooth concrete</t>
  </si>
  <si>
    <t>Rough concrete</t>
  </si>
  <si>
    <t>Trapped soil</t>
  </si>
  <si>
    <t>Quartz</t>
  </si>
  <si>
    <t xml:space="preserve">Coralline </t>
  </si>
  <si>
    <t xml:space="preserve">Oolitic </t>
  </si>
  <si>
    <t>Foram silt</t>
  </si>
  <si>
    <t>nil</t>
  </si>
  <si>
    <t>Type of Soil</t>
  </si>
  <si>
    <t>ANCHOR AND MOORING DESIGN USING DRAG-ANCHOR</t>
  </si>
  <si>
    <t>kips</t>
  </si>
  <si>
    <t>Coefficient m for stockless anchor</t>
  </si>
  <si>
    <t>Coefficient b for stockless anchor</t>
  </si>
  <si>
    <t>Dry weight of stockless anchor</t>
  </si>
  <si>
    <t>Weight of stockless anchor</t>
  </si>
  <si>
    <t>Coefficient m for danforth anchor</t>
  </si>
  <si>
    <t>Coefficient b for danforth anchor</t>
  </si>
  <si>
    <t>Dry weight of danforth anchor</t>
  </si>
  <si>
    <t>Weight of danforth anchor</t>
  </si>
  <si>
    <t>1 kips = 454 kg</t>
  </si>
  <si>
    <t>Mooring layout</t>
  </si>
  <si>
    <t>no of mooring line</t>
  </si>
  <si>
    <t xml:space="preserve">cos component </t>
  </si>
  <si>
    <t>sin component</t>
  </si>
  <si>
    <t>Angle in radians</t>
  </si>
  <si>
    <t>stability about x</t>
  </si>
  <si>
    <t>stability about y</t>
  </si>
  <si>
    <t>angle of mooring line with vertical</t>
  </si>
  <si>
    <t>angle of mooring line with x and y axis</t>
  </si>
  <si>
    <t>Material of Anchor</t>
  </si>
  <si>
    <t>Mooring Lines in X and Y</t>
  </si>
  <si>
    <t>no. of mooring line in x</t>
  </si>
  <si>
    <t>Angles</t>
  </si>
  <si>
    <t>Angles of mooring line in x</t>
  </si>
  <si>
    <t>no. of mooring line in y</t>
  </si>
  <si>
    <t>Angles of mooring line in y</t>
  </si>
  <si>
    <t>Calculation for angle 2-x</t>
  </si>
  <si>
    <t>cos</t>
  </si>
  <si>
    <t>sin</t>
  </si>
  <si>
    <t>Calculation for angle 2-y</t>
  </si>
  <si>
    <t>Angle 2-y</t>
  </si>
  <si>
    <t>Scope to Water Depth Ratio</t>
  </si>
  <si>
    <t>Angle (in degrees) with x axis</t>
  </si>
  <si>
    <t xml:space="preserve">  </t>
  </si>
  <si>
    <t>Longitudinal Strength Analysis</t>
  </si>
  <si>
    <t xml:space="preserve">Angle 2-x (force as per angle) </t>
  </si>
  <si>
    <t>RESULTS</t>
  </si>
  <si>
    <t>s.no</t>
  </si>
  <si>
    <t>unit</t>
  </si>
  <si>
    <t>Length of Mooring line</t>
  </si>
  <si>
    <t>Diameter of mooring line</t>
  </si>
  <si>
    <t>Diameter of Mooring Line</t>
  </si>
  <si>
    <t>Factor of Safety</t>
  </si>
  <si>
    <t>Chain Grade</t>
  </si>
  <si>
    <t>Notation</t>
  </si>
  <si>
    <t>R3</t>
  </si>
  <si>
    <t>R3S</t>
  </si>
  <si>
    <t>R4</t>
  </si>
  <si>
    <t>R4S</t>
  </si>
  <si>
    <t>R5</t>
  </si>
  <si>
    <t>Chain Constants</t>
  </si>
  <si>
    <t>Constant k (kN/mm²)</t>
  </si>
  <si>
    <t>value</t>
  </si>
  <si>
    <t>Minimum Breaking Load</t>
  </si>
  <si>
    <t>KN</t>
  </si>
  <si>
    <t>Chain Grade 1</t>
  </si>
  <si>
    <t>Chain Grade 2</t>
  </si>
  <si>
    <t>Chain Grade 3</t>
  </si>
  <si>
    <t>Chain Grade 4</t>
  </si>
  <si>
    <t>Chain Grade 5</t>
  </si>
  <si>
    <t>Types of Mooring Line</t>
  </si>
  <si>
    <t>Chain</t>
  </si>
  <si>
    <t>Rope</t>
  </si>
  <si>
    <t>Select Type</t>
  </si>
  <si>
    <t>Select Sub-type</t>
  </si>
  <si>
    <t>Fiber core</t>
  </si>
  <si>
    <t>Steel Core</t>
  </si>
  <si>
    <t>Rope Constants</t>
  </si>
  <si>
    <t>Rope Type (with Core)</t>
  </si>
  <si>
    <t>K′ Value</t>
  </si>
  <si>
    <t>Required Diameter (mm)</t>
  </si>
  <si>
    <t>6×7 FC</t>
  </si>
  <si>
    <t>6×7 IWRC</t>
  </si>
  <si>
    <t>35.63 mm</t>
  </si>
  <si>
    <t>6×19 Seale FC</t>
  </si>
  <si>
    <t>41.41 mm</t>
  </si>
  <si>
    <t>6×19 Seale IWRC</t>
  </si>
  <si>
    <t>35.32 mm</t>
  </si>
  <si>
    <t>6×36 WS FC</t>
  </si>
  <si>
    <t>41.20 mm</t>
  </si>
  <si>
    <t>6×36 WS IWRC</t>
  </si>
  <si>
    <t>34.61 mm</t>
  </si>
  <si>
    <t>8×19 Seale FC</t>
  </si>
  <si>
    <t>42.16 mm</t>
  </si>
  <si>
    <t>8×19 Seale IWRC</t>
  </si>
  <si>
    <t>36.23 mm</t>
  </si>
  <si>
    <t>8×36 WS FC</t>
  </si>
  <si>
    <t>41.92 mm</t>
  </si>
  <si>
    <t>8×36 WS IWRC</t>
  </si>
  <si>
    <t>35.88 mm</t>
  </si>
  <si>
    <t>35×7 Rotation‑resist IWRC</t>
  </si>
  <si>
    <t>34.90 mm</t>
  </si>
  <si>
    <t>Diameter(mm)</t>
  </si>
  <si>
    <t>Tensile strength</t>
  </si>
  <si>
    <t>Length of Pontoon (m)</t>
  </si>
  <si>
    <t>Interval (m)</t>
  </si>
  <si>
    <t>S.no</t>
  </si>
  <si>
    <t>Wave Water BM</t>
  </si>
  <si>
    <t>Still Water BM</t>
  </si>
  <si>
    <t>Zone</t>
  </si>
  <si>
    <t>Zone 1</t>
  </si>
  <si>
    <t>Zone 2</t>
  </si>
  <si>
    <t>Zone 3</t>
  </si>
  <si>
    <t>Zone Selection</t>
  </si>
  <si>
    <t>C values</t>
  </si>
  <si>
    <t>C Value</t>
  </si>
  <si>
    <t>0.30 for L ≤ 20 m 0.3 + 0.005 (L-20) for 20 &lt; L &lt; 60 0.5 for L ≥ 60 m</t>
  </si>
  <si>
    <t>KN.m</t>
  </si>
  <si>
    <t>Pontoon Weight (KN)</t>
  </si>
  <si>
    <t>Load value(KN)</t>
  </si>
  <si>
    <t>Pontoon Weight (N)</t>
  </si>
  <si>
    <t>Load value(N)</t>
  </si>
  <si>
    <t>Total Point Load (N)</t>
  </si>
  <si>
    <t>Total Weight (N)</t>
  </si>
  <si>
    <t>Uniform Buoyancy (N/m)</t>
  </si>
  <si>
    <t>Uniform Weight of Pontoon(N/m)</t>
  </si>
  <si>
    <t>Net Udl (N/m)</t>
  </si>
  <si>
    <t>BENDING MOMENT AND SHEAR FORCE IN X DIRECTION</t>
  </si>
  <si>
    <t>BENDING MOMENT AND SHEAR FORCE IN Y DIRECTION</t>
  </si>
  <si>
    <t>Width of Pontoon (m)</t>
  </si>
  <si>
    <t>SF-x</t>
  </si>
  <si>
    <t>BM-x</t>
  </si>
  <si>
    <t>SF-y</t>
  </si>
  <si>
    <t>BM-y</t>
  </si>
  <si>
    <t>Load Value(Tonnes)</t>
  </si>
  <si>
    <t>Total Point Load (KN)</t>
  </si>
  <si>
    <t>Total Weight (KN)</t>
  </si>
  <si>
    <t>Uniform Buoyancy (KN/m)</t>
  </si>
  <si>
    <t>Uniform Weight of Pontoon(KN/m)</t>
  </si>
  <si>
    <t>Net Udl (KN/m)</t>
  </si>
  <si>
    <t>ANGLE TWO CALCULATIONS</t>
  </si>
  <si>
    <t>DETAILED DESIGN REPORT</t>
  </si>
  <si>
    <t>PROJECT DETAILS</t>
  </si>
  <si>
    <t>xyz</t>
  </si>
  <si>
    <t>999XXXXX</t>
  </si>
  <si>
    <t>Email ID</t>
  </si>
  <si>
    <t>abc</t>
  </si>
  <si>
    <t>INPUTS</t>
  </si>
  <si>
    <t>OUTPUT</t>
  </si>
  <si>
    <t>SELECTED STRUCTURE CALCULATED DESIGN</t>
  </si>
  <si>
    <t>BUOYANCY CHECK</t>
  </si>
  <si>
    <t>STABILITY CHECK IN X</t>
  </si>
  <si>
    <t>STABILITY CHECK IN Y</t>
  </si>
  <si>
    <t>PASS/FAIL</t>
  </si>
  <si>
    <t>MOORING CALCULATION</t>
  </si>
  <si>
    <t>HYDROSTATIC CALCULATION</t>
  </si>
  <si>
    <t>Y Direction</t>
  </si>
  <si>
    <t>X-direction</t>
  </si>
  <si>
    <t>LONGITUDINAL STRENGTH CALCULATION</t>
  </si>
  <si>
    <t>X-Direction</t>
  </si>
  <si>
    <t>Y-Direction</t>
  </si>
  <si>
    <t>SCOPE OF WORK</t>
  </si>
  <si>
    <t>INTRODUCTION</t>
  </si>
  <si>
    <t>Permissible Stress</t>
  </si>
  <si>
    <t>N/mm^2</t>
  </si>
  <si>
    <t>cubic cm</t>
  </si>
  <si>
    <t>LAYOUT</t>
  </si>
  <si>
    <t>Distance</t>
  </si>
  <si>
    <t>Calculated Section Modulus</t>
  </si>
  <si>
    <t>CALCULATION</t>
  </si>
  <si>
    <t>C VALUE TABLE</t>
  </si>
  <si>
    <t>r</t>
  </si>
  <si>
    <t>Shipping</t>
  </si>
  <si>
    <t>s</t>
  </si>
  <si>
    <t xml:space="preserve"> pick it from SD from Height (Parameters: Minimum Freeboard)</t>
  </si>
  <si>
    <t xml:space="preserve"> pick it from SD from Height (Parameters: Maximum Draft)</t>
  </si>
  <si>
    <t xml:space="preserve"> pick First Value which is 1.2 it from SD from 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</si>
</sst>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/>
    <xf numFmtId="0" fontId="0" fillId="7" borderId="0" xfId="0" applyFill="1"/>
    <xf numFmtId="0" fontId="2" fillId="2" borderId="0" xfId="0" applyFont="1" applyFill="1"/>
    <xf numFmtId="0" fontId="0" fillId="1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0" xfId="0" applyFont="1" applyAlignment="1">
      <alignment horizontal="left"/>
    </xf>
    <xf numFmtId="2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17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14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0" fillId="20" borderId="0" xfId="0" applyFill="1"/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Calculations'!$C$187</c:f>
              <c:strCache>
                <c:ptCount val="1"/>
                <c:pt idx="0">
                  <c:v>BM-x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Calculations'!$A$188:$A$202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Calculations'!$C$188:$C$202</c:f>
              <c:numCache>
                <c:formatCode>General</c:formatCode>
                <c:ptCount val="15"/>
                <c:pt idx="0">
                  <c:v>0</c:v>
                </c:pt>
                <c:pt idx="1">
                  <c:v>2.8816875</c:v>
                </c:pt>
                <c:pt idx="2">
                  <c:v>11.52675</c:v>
                </c:pt>
                <c:pt idx="3">
                  <c:v>25.935187499999998</c:v>
                </c:pt>
                <c:pt idx="4">
                  <c:v>46.106999999999999</c:v>
                </c:pt>
                <c:pt idx="5">
                  <c:v>72.042187499999997</c:v>
                </c:pt>
                <c:pt idx="6">
                  <c:v>103.74074999999999</c:v>
                </c:pt>
                <c:pt idx="7">
                  <c:v>96.812437500000016</c:v>
                </c:pt>
                <c:pt idx="8">
                  <c:v>95.647499999999994</c:v>
                </c:pt>
                <c:pt idx="9">
                  <c:v>100.24593749999997</c:v>
                </c:pt>
                <c:pt idx="10">
                  <c:v>110.60774999999998</c:v>
                </c:pt>
                <c:pt idx="11">
                  <c:v>126.73293749999999</c:v>
                </c:pt>
                <c:pt idx="12">
                  <c:v>148.62149999999997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F-4D2C-9496-92253332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82080"/>
        <c:axId val="446181120"/>
      </c:scatterChart>
      <c:valAx>
        <c:axId val="4461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1120"/>
        <c:crosses val="autoZero"/>
        <c:crossBetween val="midCat"/>
      </c:valAx>
      <c:valAx>
        <c:axId val="4461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Calculations'!$B$187</c:f>
              <c:strCache>
                <c:ptCount val="1"/>
                <c:pt idx="0">
                  <c:v>SF-x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Calculations'!$A$188:$A$200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Calculations'!$B$188:$B$200</c:f>
              <c:numCache>
                <c:formatCode>General</c:formatCode>
                <c:ptCount val="13"/>
                <c:pt idx="0">
                  <c:v>0</c:v>
                </c:pt>
                <c:pt idx="1">
                  <c:v>11.52675</c:v>
                </c:pt>
                <c:pt idx="2">
                  <c:v>23.0535</c:v>
                </c:pt>
                <c:pt idx="3">
                  <c:v>34.580249999999999</c:v>
                </c:pt>
                <c:pt idx="4">
                  <c:v>46.106999999999999</c:v>
                </c:pt>
                <c:pt idx="5">
                  <c:v>57.633749999999999</c:v>
                </c:pt>
                <c:pt idx="6">
                  <c:v>69.160499999999999</c:v>
                </c:pt>
                <c:pt idx="7">
                  <c:v>-8.0932499999999976</c:v>
                </c:pt>
                <c:pt idx="8">
                  <c:v>3.4334999999999951</c:v>
                </c:pt>
                <c:pt idx="9">
                  <c:v>14.960249999999988</c:v>
                </c:pt>
                <c:pt idx="10">
                  <c:v>26.486999999999995</c:v>
                </c:pt>
                <c:pt idx="11">
                  <c:v>38.013750000000002</c:v>
                </c:pt>
                <c:pt idx="12">
                  <c:v>49.540499999999994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8-498F-968F-22C820DA5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81600"/>
        <c:axId val="446185920"/>
      </c:scatterChart>
      <c:valAx>
        <c:axId val="44618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5920"/>
        <c:crosses val="autoZero"/>
        <c:crossBetween val="midCat"/>
      </c:valAx>
      <c:valAx>
        <c:axId val="4461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Calculations'!$C$233</c:f>
              <c:strCache>
                <c:ptCount val="1"/>
                <c:pt idx="0">
                  <c:v>BM-y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Calculations'!$A$234:$A$246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Calculations'!$C$234:$C$246</c:f>
              <c:numCache>
                <c:formatCode>General</c:formatCode>
                <c:ptCount val="13"/>
                <c:pt idx="0">
                  <c:v>0</c:v>
                </c:pt>
                <c:pt idx="1">
                  <c:v>2.8816875</c:v>
                </c:pt>
                <c:pt idx="2">
                  <c:v>11.52675</c:v>
                </c:pt>
                <c:pt idx="3">
                  <c:v>25.935187499999998</c:v>
                </c:pt>
                <c:pt idx="4">
                  <c:v>46.106999999999999</c:v>
                </c:pt>
                <c:pt idx="5">
                  <c:v>72.042187499999997</c:v>
                </c:pt>
                <c:pt idx="6">
                  <c:v>103.74074999999999</c:v>
                </c:pt>
                <c:pt idx="7">
                  <c:v>96.812437500000016</c:v>
                </c:pt>
                <c:pt idx="8">
                  <c:v>95.647499999999994</c:v>
                </c:pt>
                <c:pt idx="9">
                  <c:v>100.24593749999997</c:v>
                </c:pt>
                <c:pt idx="10">
                  <c:v>110.60774999999998</c:v>
                </c:pt>
                <c:pt idx="11">
                  <c:v>126.73293749999999</c:v>
                </c:pt>
                <c:pt idx="12">
                  <c:v>148.62149999999997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E-484F-8566-8E0E7835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1151"/>
        <c:axId val="169990191"/>
      </c:scatterChart>
      <c:valAx>
        <c:axId val="1699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90191"/>
        <c:crosses val="autoZero"/>
        <c:crossBetween val="midCat"/>
      </c:valAx>
      <c:valAx>
        <c:axId val="1699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Calculations'!$B$233</c:f>
              <c:strCache>
                <c:ptCount val="1"/>
                <c:pt idx="0">
                  <c:v>SF-y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Calculations'!$A$234:$A$246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Calculations'!$B$234:$B$246</c:f>
              <c:numCache>
                <c:formatCode>General</c:formatCode>
                <c:ptCount val="13"/>
                <c:pt idx="0">
                  <c:v>0</c:v>
                </c:pt>
                <c:pt idx="1">
                  <c:v>11.52675</c:v>
                </c:pt>
                <c:pt idx="2">
                  <c:v>23.0535</c:v>
                </c:pt>
                <c:pt idx="3">
                  <c:v>34.580249999999999</c:v>
                </c:pt>
                <c:pt idx="4">
                  <c:v>46.106999999999999</c:v>
                </c:pt>
                <c:pt idx="5">
                  <c:v>57.633749999999999</c:v>
                </c:pt>
                <c:pt idx="6">
                  <c:v>69.160499999999999</c:v>
                </c:pt>
                <c:pt idx="7">
                  <c:v>-8.0932499999999976</c:v>
                </c:pt>
                <c:pt idx="8">
                  <c:v>3.4334999999999951</c:v>
                </c:pt>
                <c:pt idx="9">
                  <c:v>14.960249999999988</c:v>
                </c:pt>
                <c:pt idx="10">
                  <c:v>26.486999999999995</c:v>
                </c:pt>
                <c:pt idx="11">
                  <c:v>38.013750000000002</c:v>
                </c:pt>
                <c:pt idx="12">
                  <c:v>49.540499999999994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5-4D70-B51F-D44A41953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532592"/>
        <c:axId val="1474530672"/>
      </c:scatterChart>
      <c:valAx>
        <c:axId val="147453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30672"/>
        <c:crosses val="autoZero"/>
        <c:crossBetween val="midCat"/>
      </c:valAx>
      <c:valAx>
        <c:axId val="14745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3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Calculations'!$C$187</c:f>
              <c:strCache>
                <c:ptCount val="1"/>
                <c:pt idx="0">
                  <c:v>BM-x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Calculations'!$A$188:$A$202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Calculations'!$C$188:$C$202</c:f>
              <c:numCache>
                <c:formatCode>General</c:formatCode>
                <c:ptCount val="15"/>
                <c:pt idx="0">
                  <c:v>0</c:v>
                </c:pt>
                <c:pt idx="1">
                  <c:v>2.8816875</c:v>
                </c:pt>
                <c:pt idx="2">
                  <c:v>11.52675</c:v>
                </c:pt>
                <c:pt idx="3">
                  <c:v>25.935187499999998</c:v>
                </c:pt>
                <c:pt idx="4">
                  <c:v>46.106999999999999</c:v>
                </c:pt>
                <c:pt idx="5">
                  <c:v>72.042187499999997</c:v>
                </c:pt>
                <c:pt idx="6">
                  <c:v>103.74074999999999</c:v>
                </c:pt>
                <c:pt idx="7">
                  <c:v>96.812437500000016</c:v>
                </c:pt>
                <c:pt idx="8">
                  <c:v>95.647499999999994</c:v>
                </c:pt>
                <c:pt idx="9">
                  <c:v>100.24593749999997</c:v>
                </c:pt>
                <c:pt idx="10">
                  <c:v>110.60774999999998</c:v>
                </c:pt>
                <c:pt idx="11">
                  <c:v>126.73293749999999</c:v>
                </c:pt>
                <c:pt idx="12">
                  <c:v>148.62149999999997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7-432E-86DD-A39C51C03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82080"/>
        <c:axId val="446181120"/>
      </c:scatterChart>
      <c:valAx>
        <c:axId val="4461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1120"/>
        <c:crosses val="autoZero"/>
        <c:crossBetween val="midCat"/>
      </c:valAx>
      <c:valAx>
        <c:axId val="4461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Calculations'!$B$187</c:f>
              <c:strCache>
                <c:ptCount val="1"/>
                <c:pt idx="0">
                  <c:v>SF-x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Calculations'!$A$188:$A$200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Calculations'!$B$188:$B$200</c:f>
              <c:numCache>
                <c:formatCode>General</c:formatCode>
                <c:ptCount val="13"/>
                <c:pt idx="0">
                  <c:v>0</c:v>
                </c:pt>
                <c:pt idx="1">
                  <c:v>11.52675</c:v>
                </c:pt>
                <c:pt idx="2">
                  <c:v>23.0535</c:v>
                </c:pt>
                <c:pt idx="3">
                  <c:v>34.580249999999999</c:v>
                </c:pt>
                <c:pt idx="4">
                  <c:v>46.106999999999999</c:v>
                </c:pt>
                <c:pt idx="5">
                  <c:v>57.633749999999999</c:v>
                </c:pt>
                <c:pt idx="6">
                  <c:v>69.160499999999999</c:v>
                </c:pt>
                <c:pt idx="7">
                  <c:v>-8.0932499999999976</c:v>
                </c:pt>
                <c:pt idx="8">
                  <c:v>3.4334999999999951</c:v>
                </c:pt>
                <c:pt idx="9">
                  <c:v>14.960249999999988</c:v>
                </c:pt>
                <c:pt idx="10">
                  <c:v>26.486999999999995</c:v>
                </c:pt>
                <c:pt idx="11">
                  <c:v>38.013750000000002</c:v>
                </c:pt>
                <c:pt idx="12">
                  <c:v>49.540499999999994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0-46B8-A9EC-8DB399E9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81600"/>
        <c:axId val="446185920"/>
      </c:scatterChart>
      <c:valAx>
        <c:axId val="44618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5920"/>
        <c:crosses val="autoZero"/>
        <c:crossBetween val="midCat"/>
      </c:valAx>
      <c:valAx>
        <c:axId val="4461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8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Calculations'!$C$233</c:f>
              <c:strCache>
                <c:ptCount val="1"/>
                <c:pt idx="0">
                  <c:v>BM-y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Calculations'!$A$234:$A$246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Calculations'!$C$234:$C$246</c:f>
              <c:numCache>
                <c:formatCode>General</c:formatCode>
                <c:ptCount val="13"/>
                <c:pt idx="0">
                  <c:v>0</c:v>
                </c:pt>
                <c:pt idx="1">
                  <c:v>2.8816875</c:v>
                </c:pt>
                <c:pt idx="2">
                  <c:v>11.52675</c:v>
                </c:pt>
                <c:pt idx="3">
                  <c:v>25.935187499999998</c:v>
                </c:pt>
                <c:pt idx="4">
                  <c:v>46.106999999999999</c:v>
                </c:pt>
                <c:pt idx="5">
                  <c:v>72.042187499999997</c:v>
                </c:pt>
                <c:pt idx="6">
                  <c:v>103.74074999999999</c:v>
                </c:pt>
                <c:pt idx="7">
                  <c:v>96.812437500000016</c:v>
                </c:pt>
                <c:pt idx="8">
                  <c:v>95.647499999999994</c:v>
                </c:pt>
                <c:pt idx="9">
                  <c:v>100.24593749999997</c:v>
                </c:pt>
                <c:pt idx="10">
                  <c:v>110.60774999999998</c:v>
                </c:pt>
                <c:pt idx="11">
                  <c:v>126.73293749999999</c:v>
                </c:pt>
                <c:pt idx="12">
                  <c:v>148.62149999999997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7-47FB-9B1F-0D36F314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1151"/>
        <c:axId val="169990191"/>
      </c:scatterChart>
      <c:valAx>
        <c:axId val="1699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90191"/>
        <c:crosses val="autoZero"/>
        <c:crossBetween val="midCat"/>
      </c:valAx>
      <c:valAx>
        <c:axId val="1699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 Calculations'!$B$233</c:f>
              <c:strCache>
                <c:ptCount val="1"/>
                <c:pt idx="0">
                  <c:v>SF-y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'Design Calculations'!$A$234:$A$246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'Design Calculations'!$B$234:$B$246</c:f>
              <c:numCache>
                <c:formatCode>General</c:formatCode>
                <c:ptCount val="13"/>
                <c:pt idx="0">
                  <c:v>0</c:v>
                </c:pt>
                <c:pt idx="1">
                  <c:v>11.52675</c:v>
                </c:pt>
                <c:pt idx="2">
                  <c:v>23.0535</c:v>
                </c:pt>
                <c:pt idx="3">
                  <c:v>34.580249999999999</c:v>
                </c:pt>
                <c:pt idx="4">
                  <c:v>46.106999999999999</c:v>
                </c:pt>
                <c:pt idx="5">
                  <c:v>57.633749999999999</c:v>
                </c:pt>
                <c:pt idx="6">
                  <c:v>69.160499999999999</c:v>
                </c:pt>
                <c:pt idx="7">
                  <c:v>-8.0932499999999976</c:v>
                </c:pt>
                <c:pt idx="8">
                  <c:v>3.4334999999999951</c:v>
                </c:pt>
                <c:pt idx="9">
                  <c:v>14.960249999999988</c:v>
                </c:pt>
                <c:pt idx="10">
                  <c:v>26.486999999999995</c:v>
                </c:pt>
                <c:pt idx="11">
                  <c:v>38.013750000000002</c:v>
                </c:pt>
                <c:pt idx="12">
                  <c:v>49.540499999999994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9-42FD-85D5-72E237824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532592"/>
        <c:axId val="1474530672"/>
      </c:scatterChart>
      <c:valAx>
        <c:axId val="147453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30672"/>
        <c:crosses val="autoZero"/>
        <c:crossBetween val="midCat"/>
      </c:valAx>
      <c:valAx>
        <c:axId val="14745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3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27879</xdr:colOff>
      <xdr:row>182</xdr:row>
      <xdr:rowOff>101291</xdr:rowOff>
    </xdr:from>
    <xdr:to>
      <xdr:col>7</xdr:col>
      <xdr:colOff>722587</xdr:colOff>
      <xdr:row>196</xdr:row>
      <xdr:rowOff>0</xdr:rowOff>
    </xdr:to>
    <xdr:graphicFrame macro="">
      <xdr:nvGraphicFramePr>
        <xdr:cNvPr id="6" name="Chart_5">
          <a:extLst>
            <a:ext uri="{FF2B5EF4-FFF2-40B4-BE49-F238E27FC236}">
              <a16:creationId xmlns:a16="http://schemas.microsoft.com/office/drawing/2014/main" id="{B7AF903F-3F69-43F3-BDDD-925C47856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1103588</xdr:colOff>
      <xdr:row>182</xdr:row>
      <xdr:rowOff>118242</xdr:rowOff>
    </xdr:from>
    <xdr:to>
      <xdr:col>10</xdr:col>
      <xdr:colOff>512379</xdr:colOff>
      <xdr:row>196</xdr:row>
      <xdr:rowOff>52552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81CDB7-98D4-4B81-BB03-DE8535BA5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66990</xdr:colOff>
      <xdr:row>228</xdr:row>
      <xdr:rowOff>110532</xdr:rowOff>
    </xdr:from>
    <xdr:to>
      <xdr:col>6</xdr:col>
      <xdr:colOff>1747345</xdr:colOff>
      <xdr:row>243</xdr:row>
      <xdr:rowOff>157654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5E4F05-1565-4C0F-B75F-8912E4E3A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436872</xdr:colOff>
      <xdr:row>228</xdr:row>
      <xdr:rowOff>87864</xdr:rowOff>
    </xdr:from>
    <xdr:to>
      <xdr:col>10</xdr:col>
      <xdr:colOff>893378</xdr:colOff>
      <xdr:row>244</xdr:row>
      <xdr:rowOff>26275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7509DB-2551-4B75-84AF-8F0380B9B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130</xdr:row>
      <xdr:rowOff>0</xdr:rowOff>
    </xdr:from>
    <xdr:to>
      <xdr:col>3</xdr:col>
      <xdr:colOff>907132</xdr:colOff>
      <xdr:row>145</xdr:row>
      <xdr:rowOff>105383</xdr:rowOff>
    </xdr:to>
    <xdr:graphicFrame macro="">
      <xdr:nvGraphicFramePr>
        <xdr:cNvPr id="3" name="Chart_5">
          <a:extLst>
            <a:ext uri="{FF2B5EF4-FFF2-40B4-BE49-F238E27FC236}">
              <a16:creationId xmlns:a16="http://schemas.microsoft.com/office/drawing/2014/main" id="{0741E3B3-80C3-4F6E-83E7-82431F800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130</xdr:row>
      <xdr:rowOff>0</xdr:rowOff>
    </xdr:from>
    <xdr:to>
      <xdr:col>9</xdr:col>
      <xdr:colOff>348574</xdr:colOff>
      <xdr:row>145</xdr:row>
      <xdr:rowOff>81064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3A2C8-6DA5-490B-A424-10847E6A1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147</xdr:row>
      <xdr:rowOff>0</xdr:rowOff>
    </xdr:from>
    <xdr:to>
      <xdr:col>3</xdr:col>
      <xdr:colOff>1252006</xdr:colOff>
      <xdr:row>161</xdr:row>
      <xdr:rowOff>164481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B20CC3-3D33-4776-94E7-7AA556387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147</xdr:row>
      <xdr:rowOff>0</xdr:rowOff>
    </xdr:from>
    <xdr:to>
      <xdr:col>9</xdr:col>
      <xdr:colOff>413425</xdr:colOff>
      <xdr:row>162</xdr:row>
      <xdr:rowOff>16213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9C1B11-E18B-42B9-96D8-DF60D00C8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E594-291C-4404-89ED-984EF71CD5BB}">
  <dimension ref="A1:B9"/>
  <sheetViews>
    <sheetView workbookViewId="0">
      <selection activeCell="J14" sqref="J14"/>
    </sheetView>
  </sheetViews>
  <sheetFormatPr defaultRowHeight="14.4" x14ac:dyDescent="0.3"/>
  <cols>
    <col min="1" max="1" width="17.5546875" customWidth="1"/>
    <col min="2" max="2" width="11.6640625" customWidth="1"/>
  </cols>
  <sheetData>
    <row r="1" spans="1:2" x14ac:dyDescent="0.3">
      <c r="A1" t="s">
        <v>0</v>
      </c>
      <c r="B1" t="s">
        <v>353</v>
      </c>
    </row>
    <row r="2" spans="1:2" x14ac:dyDescent="0.3">
      <c r="A2" t="s">
        <v>3</v>
      </c>
      <c r="B2" t="s">
        <v>353</v>
      </c>
    </row>
    <row r="3" spans="1:2" x14ac:dyDescent="0.3">
      <c r="A3" t="s">
        <v>1</v>
      </c>
      <c r="B3" t="s">
        <v>353</v>
      </c>
    </row>
    <row r="4" spans="1:2" x14ac:dyDescent="0.3">
      <c r="A4" t="s">
        <v>2</v>
      </c>
      <c r="B4" t="s">
        <v>354</v>
      </c>
    </row>
    <row r="5" spans="1:2" x14ac:dyDescent="0.3">
      <c r="A5" t="s">
        <v>355</v>
      </c>
      <c r="B5" t="s">
        <v>353</v>
      </c>
    </row>
    <row r="7" spans="1:2" x14ac:dyDescent="0.3">
      <c r="A7" t="s">
        <v>4</v>
      </c>
      <c r="B7" t="s">
        <v>382</v>
      </c>
    </row>
    <row r="8" spans="1:2" x14ac:dyDescent="0.3">
      <c r="A8" t="s">
        <v>5</v>
      </c>
      <c r="B8" t="s">
        <v>356</v>
      </c>
    </row>
    <row r="9" spans="1:2" x14ac:dyDescent="0.3">
      <c r="A9" t="s">
        <v>6</v>
      </c>
      <c r="B9" t="s">
        <v>381</v>
      </c>
    </row>
  </sheetData>
  <dataValidations count="1">
    <dataValidation type="list" allowBlank="1" showInputMessage="1" showErrorMessage="1" sqref="B7" xr:uid="{EC4604BF-D309-47FC-9273-A8A3234B3C74}">
      <formula1>"Energy, Shipping, Water Pumping, Floating Events, Tourism, Construction"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7AE4-C519-4E86-9B3F-FCFB03ECCF23}">
  <dimension ref="A1:P78"/>
  <sheetViews>
    <sheetView zoomScale="85" zoomScaleNormal="85" workbookViewId="0">
      <selection activeCell="A48" sqref="A48:XFD48"/>
    </sheetView>
  </sheetViews>
  <sheetFormatPr defaultRowHeight="14.4" x14ac:dyDescent="0.3"/>
  <cols>
    <col min="1" max="1" width="24.21875" customWidth="1"/>
    <col min="2" max="2" width="28.44140625" customWidth="1"/>
    <col min="3" max="3" width="16.77734375" customWidth="1"/>
    <col min="4" max="4" width="22.33203125" customWidth="1"/>
    <col min="5" max="5" width="16.77734375" customWidth="1"/>
    <col min="6" max="6" width="13.5546875" customWidth="1"/>
    <col min="7" max="7" width="16.109375" customWidth="1"/>
    <col min="8" max="8" width="16.88671875" customWidth="1"/>
    <col min="10" max="10" width="14.44140625" customWidth="1"/>
  </cols>
  <sheetData>
    <row r="1" spans="1:2" x14ac:dyDescent="0.3">
      <c r="A1" t="s">
        <v>7</v>
      </c>
      <c r="B1" t="s">
        <v>56</v>
      </c>
    </row>
    <row r="2" spans="1:2" x14ac:dyDescent="0.3">
      <c r="A2" t="s">
        <v>129</v>
      </c>
    </row>
    <row r="3" spans="1:2" x14ac:dyDescent="0.3">
      <c r="A3" t="s">
        <v>130</v>
      </c>
      <c r="B3">
        <v>6</v>
      </c>
    </row>
    <row r="4" spans="1:2" x14ac:dyDescent="0.3">
      <c r="A4" t="s">
        <v>131</v>
      </c>
      <c r="B4">
        <v>6</v>
      </c>
    </row>
    <row r="5" spans="1:2" x14ac:dyDescent="0.3">
      <c r="A5" t="s">
        <v>8</v>
      </c>
      <c r="B5" t="s">
        <v>132</v>
      </c>
    </row>
    <row r="6" spans="1:2" x14ac:dyDescent="0.3">
      <c r="A6" t="s">
        <v>12</v>
      </c>
      <c r="B6">
        <v>10</v>
      </c>
    </row>
    <row r="7" spans="1:2" x14ac:dyDescent="0.3">
      <c r="A7" t="s">
        <v>13</v>
      </c>
      <c r="B7">
        <v>2</v>
      </c>
    </row>
    <row r="8" spans="1:2" x14ac:dyDescent="0.3">
      <c r="A8" t="s">
        <v>9</v>
      </c>
      <c r="B8">
        <v>1</v>
      </c>
    </row>
    <row r="9" spans="1:2" x14ac:dyDescent="0.3">
      <c r="A9" t="s">
        <v>10</v>
      </c>
      <c r="B9">
        <v>41.73</v>
      </c>
    </row>
    <row r="10" spans="1:2" x14ac:dyDescent="0.3">
      <c r="A10" t="s">
        <v>11</v>
      </c>
      <c r="B10">
        <v>0.6</v>
      </c>
    </row>
    <row r="11" spans="1:2" x14ac:dyDescent="0.3">
      <c r="A11" t="s">
        <v>139</v>
      </c>
      <c r="B11">
        <v>1</v>
      </c>
    </row>
    <row r="12" spans="1:2" x14ac:dyDescent="0.3">
      <c r="A12" t="s">
        <v>140</v>
      </c>
      <c r="B12">
        <v>2</v>
      </c>
    </row>
    <row r="13" spans="1:2" x14ac:dyDescent="0.3">
      <c r="A13" t="s">
        <v>251</v>
      </c>
      <c r="B13">
        <v>4</v>
      </c>
    </row>
    <row r="14" spans="1:2" x14ac:dyDescent="0.3">
      <c r="A14" t="s">
        <v>218</v>
      </c>
      <c r="B14" t="s">
        <v>213</v>
      </c>
    </row>
    <row r="15" spans="1:2" x14ac:dyDescent="0.3">
      <c r="A15" t="s">
        <v>239</v>
      </c>
      <c r="B15" t="s">
        <v>208</v>
      </c>
    </row>
    <row r="16" spans="1:2" x14ac:dyDescent="0.3">
      <c r="A16" t="s">
        <v>141</v>
      </c>
    </row>
    <row r="18" spans="1:16" x14ac:dyDescent="0.3">
      <c r="A18" s="34" t="s">
        <v>376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20" spans="1:16" x14ac:dyDescent="0.3">
      <c r="D20" s="31" t="s">
        <v>74</v>
      </c>
      <c r="E20" s="31"/>
      <c r="F20" s="31"/>
      <c r="G20" s="31"/>
      <c r="H20" s="31"/>
      <c r="I20" s="31"/>
      <c r="J20" s="31"/>
      <c r="K20" s="33" t="s">
        <v>75</v>
      </c>
      <c r="L20" s="33"/>
      <c r="M20" s="33"/>
      <c r="N20" s="33"/>
      <c r="O20" s="33"/>
    </row>
    <row r="21" spans="1:16" x14ac:dyDescent="0.3">
      <c r="A21" s="1" t="s">
        <v>51</v>
      </c>
      <c r="B21" s="1" t="s">
        <v>52</v>
      </c>
      <c r="C21" s="1" t="s">
        <v>53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76</v>
      </c>
      <c r="L21" t="s">
        <v>77</v>
      </c>
      <c r="M21" t="s">
        <v>83</v>
      </c>
      <c r="N21" t="s">
        <v>84</v>
      </c>
      <c r="O21" t="s">
        <v>85</v>
      </c>
    </row>
    <row r="22" spans="1:16" x14ac:dyDescent="0.3">
      <c r="A22" t="s">
        <v>66</v>
      </c>
      <c r="B22">
        <v>1.5</v>
      </c>
      <c r="C22">
        <v>1.5</v>
      </c>
      <c r="D22">
        <f>_xlfn.XLOOKUP(A22,'STANDARD DATA'!$B$11:$U$11,'STANDARD DATA'!$B$15:$U$15)</f>
        <v>1.8</v>
      </c>
      <c r="E22">
        <f>_xlfn.XLOOKUP('Inputs and Layout'!A22,'STANDARD DATA'!$B$11:$U$11,'STANDARD DATA'!$B$16:$U$16)</f>
        <v>1.5</v>
      </c>
      <c r="F22">
        <f>_xlfn.XLOOKUP(A22,'STANDARD DATA'!$B$11:$U$11,'STANDARD DATA'!$B$17:$U$17)</f>
        <v>1.5</v>
      </c>
      <c r="G22">
        <f>_xlfn.XLOOKUP(A22,'STANDARD DATA'!$B$11:$U$11,'STANDARD DATA'!$B$18:$U$18)</f>
        <v>0.6</v>
      </c>
      <c r="H22">
        <f>_xlfn.XLOOKUP(A22,'STANDARD DATA'!$B$11:$U$11,'STANDARD DATA'!$B$19:$U$19)</f>
        <v>9</v>
      </c>
      <c r="I22">
        <f>_xlfn.XLOOKUP('Inputs and Layout'!A22,'STANDARD DATA'!$B$11:$U$11,'STANDARD DATA'!$B$20:$U$20)</f>
        <v>6.75</v>
      </c>
      <c r="J22">
        <f>_xlfn.XLOOKUP(A22,'STANDARD DATA'!$B$11:$U$11,'STANDARD DATA'!$B$21:$U$21)</f>
        <v>6.75</v>
      </c>
      <c r="K22">
        <f>B22*D22</f>
        <v>2.7</v>
      </c>
      <c r="L22">
        <f>C22*D22</f>
        <v>2.7</v>
      </c>
      <c r="M22">
        <f>G22*D22</f>
        <v>1.08</v>
      </c>
      <c r="N22">
        <f>(I22+H22*($B$43-C22)^2)</f>
        <v>27</v>
      </c>
      <c r="O22">
        <f>(J22+H22*($B$42-B22)^2)</f>
        <v>27</v>
      </c>
    </row>
    <row r="23" spans="1:16" x14ac:dyDescent="0.3">
      <c r="A23" t="s">
        <v>66</v>
      </c>
      <c r="B23">
        <v>4.5</v>
      </c>
      <c r="C23">
        <v>1.5</v>
      </c>
      <c r="D23">
        <f>_xlfn.XLOOKUP(A23,'STANDARD DATA'!$B$11:$U$11,'STANDARD DATA'!$B$15:$U$15)</f>
        <v>1.8</v>
      </c>
      <c r="E23">
        <f>_xlfn.XLOOKUP('Inputs and Layout'!A23,'STANDARD DATA'!$B$11:$U$11,'STANDARD DATA'!$B$16:$U$16)</f>
        <v>1.5</v>
      </c>
      <c r="F23">
        <f>_xlfn.XLOOKUP(A23,'STANDARD DATA'!$B$11:$U$11,'STANDARD DATA'!$B$17:$U$17)</f>
        <v>1.5</v>
      </c>
      <c r="G23">
        <f>_xlfn.XLOOKUP(A23,'STANDARD DATA'!$B$11:$U$11,'STANDARD DATA'!$B$18:$U$18)</f>
        <v>0.6</v>
      </c>
      <c r="H23">
        <f>_xlfn.XLOOKUP(A23,'STANDARD DATA'!$B$11:$U$11,'STANDARD DATA'!$B$19:$U$19)</f>
        <v>9</v>
      </c>
      <c r="I23">
        <f>_xlfn.XLOOKUP('Inputs and Layout'!A23,'STANDARD DATA'!$B$11:$U$11,'STANDARD DATA'!$B$20:$U$20)</f>
        <v>6.75</v>
      </c>
      <c r="J23">
        <f>_xlfn.XLOOKUP(A23,'STANDARD DATA'!$B$11:$U$11,'STANDARD DATA'!$B$21:$U$21)</f>
        <v>6.75</v>
      </c>
      <c r="K23">
        <f>B23*D23</f>
        <v>8.1</v>
      </c>
      <c r="L23">
        <f>C23*D23</f>
        <v>2.7</v>
      </c>
      <c r="M23">
        <f>G23*D23</f>
        <v>1.08</v>
      </c>
      <c r="N23">
        <f>(I23+H23*($B$43-C23)^2)</f>
        <v>27</v>
      </c>
      <c r="O23">
        <f>(J23+H23*($B$42-B23)^2)</f>
        <v>27</v>
      </c>
    </row>
    <row r="24" spans="1:16" x14ac:dyDescent="0.3">
      <c r="A24" t="s">
        <v>67</v>
      </c>
      <c r="B24">
        <v>3</v>
      </c>
      <c r="C24">
        <v>4.5</v>
      </c>
      <c r="D24">
        <f>_xlfn.XLOOKUP(A24,'STANDARD DATA'!$B$11:$U$11,'STANDARD DATA'!$B$15:$U$15)</f>
        <v>3.6</v>
      </c>
      <c r="E24">
        <f>_xlfn.XLOOKUP('Inputs and Layout'!A24,'STANDARD DATA'!$B$11:$U$11,'STANDARD DATA'!$B$16:$U$16)</f>
        <v>3</v>
      </c>
      <c r="F24">
        <f>_xlfn.XLOOKUP(A24,'STANDARD DATA'!$B$11:$U$11,'STANDARD DATA'!$B$17:$U$17)</f>
        <v>1.5</v>
      </c>
      <c r="G24">
        <f>_xlfn.XLOOKUP(A24,'STANDARD DATA'!$B$11:$U$11,'STANDARD DATA'!$B$18:$U$18)</f>
        <v>0.6</v>
      </c>
      <c r="H24">
        <f>_xlfn.XLOOKUP(A24,'STANDARD DATA'!$B$11:$U$11,'STANDARD DATA'!$B$19:$U$19)</f>
        <v>18</v>
      </c>
      <c r="I24">
        <f>_xlfn.XLOOKUP('Inputs and Layout'!A24,'STANDARD DATA'!$B$11:$U$11,'STANDARD DATA'!$B$20:$U$20)</f>
        <v>13.5</v>
      </c>
      <c r="J24">
        <f>_xlfn.XLOOKUP(A24,'STANDARD DATA'!$B$11:$U$11,'STANDARD DATA'!$B$21:$U$21)</f>
        <v>54</v>
      </c>
      <c r="K24">
        <f>B24*D24</f>
        <v>10.8</v>
      </c>
      <c r="L24">
        <f>C24*D24</f>
        <v>16.2</v>
      </c>
      <c r="M24">
        <f>G24*D24</f>
        <v>2.16</v>
      </c>
      <c r="N24">
        <f>(I24+H24*($B$43-C24)^2)</f>
        <v>54</v>
      </c>
      <c r="O24">
        <f>(J24+H24*($B$42-B24)^2)</f>
        <v>54</v>
      </c>
    </row>
    <row r="25" spans="1:16" x14ac:dyDescent="0.3">
      <c r="A25" t="s">
        <v>136</v>
      </c>
      <c r="D25" t="str">
        <f>_xlfn.XLOOKUP(A25,'STANDARD DATA'!$B$11:$U$11,'STANDARD DATA'!$B$15:$U$15)</f>
        <v xml:space="preserve"> </v>
      </c>
      <c r="E25" t="str">
        <f>_xlfn.XLOOKUP('Inputs and Layout'!A25,'STANDARD DATA'!$B$11:$U$11,'STANDARD DATA'!$B$16:$U$16)</f>
        <v xml:space="preserve"> </v>
      </c>
      <c r="F25" t="str">
        <f>_xlfn.XLOOKUP(A25,'STANDARD DATA'!$B$11:$U$11,'STANDARD DATA'!$B$17:$U$17)</f>
        <v xml:space="preserve"> </v>
      </c>
      <c r="G25" t="str">
        <f>_xlfn.XLOOKUP(A25,'STANDARD DATA'!$B$11:$U$11,'STANDARD DATA'!$B$18:$U$18)</f>
        <v xml:space="preserve"> </v>
      </c>
      <c r="H25" t="str">
        <f>_xlfn.XLOOKUP(A25,'STANDARD DATA'!$B$11:$U$11,'STANDARD DATA'!$B$19:$U$19)</f>
        <v xml:space="preserve"> </v>
      </c>
      <c r="I25" t="str">
        <f>_xlfn.XLOOKUP('Inputs and Layout'!A25,'STANDARD DATA'!$B$11:$U$11,'STANDARD DATA'!$B$20:$U$20)</f>
        <v xml:space="preserve"> </v>
      </c>
      <c r="J25" t="str">
        <f>_xlfn.XLOOKUP(A25,'STANDARD DATA'!$B$11:$U$11,'STANDARD DATA'!$B$21:$U$21)</f>
        <v xml:space="preserve"> </v>
      </c>
    </row>
    <row r="26" spans="1:16" x14ac:dyDescent="0.3">
      <c r="A26" t="s">
        <v>136</v>
      </c>
      <c r="D26" t="str">
        <f>_xlfn.XLOOKUP(A26,'STANDARD DATA'!$B$11:$U$11,'STANDARD DATA'!$B$15:$U$15)</f>
        <v xml:space="preserve"> </v>
      </c>
      <c r="E26" t="str">
        <f>_xlfn.XLOOKUP('Inputs and Layout'!A26,'STANDARD DATA'!$B$11:$U$11,'STANDARD DATA'!$B$16:$U$16)</f>
        <v xml:space="preserve"> </v>
      </c>
      <c r="F26" t="str">
        <f>_xlfn.XLOOKUP(A26,'STANDARD DATA'!$B$11:$U$11,'STANDARD DATA'!$B$17:$U$17)</f>
        <v xml:space="preserve"> </v>
      </c>
      <c r="G26" t="str">
        <f>_xlfn.XLOOKUP(A26,'STANDARD DATA'!$B$11:$U$11,'STANDARD DATA'!$B$18:$U$18)</f>
        <v xml:space="preserve"> </v>
      </c>
      <c r="H26" t="str">
        <f>_xlfn.XLOOKUP(A26,'STANDARD DATA'!$B$11:$U$11,'STANDARD DATA'!$B$19:$U$19)</f>
        <v xml:space="preserve"> </v>
      </c>
      <c r="I26" t="str">
        <f>_xlfn.XLOOKUP('Inputs and Layout'!A26,'STANDARD DATA'!$B$11:$U$11,'STANDARD DATA'!$B$20:$U$20)</f>
        <v xml:space="preserve"> </v>
      </c>
      <c r="J26" t="str">
        <f>_xlfn.XLOOKUP(A26,'STANDARD DATA'!$B$11:$U$11,'STANDARD DATA'!$B$21:$U$21)</f>
        <v xml:space="preserve"> </v>
      </c>
    </row>
    <row r="27" spans="1:16" x14ac:dyDescent="0.3">
      <c r="A27" t="s">
        <v>136</v>
      </c>
      <c r="D27" t="str">
        <f>_xlfn.XLOOKUP(A27,'STANDARD DATA'!$B$11:$U$11,'STANDARD DATA'!$B$15:$U$15)</f>
        <v xml:space="preserve"> </v>
      </c>
      <c r="E27" t="str">
        <f>_xlfn.XLOOKUP('Inputs and Layout'!A27,'STANDARD DATA'!$B$11:$U$11,'STANDARD DATA'!$B$16:$U$16)</f>
        <v xml:space="preserve"> </v>
      </c>
      <c r="F27" t="str">
        <f>_xlfn.XLOOKUP(A27,'STANDARD DATA'!$B$11:$U$11,'STANDARD DATA'!$B$17:$U$17)</f>
        <v xml:space="preserve"> </v>
      </c>
      <c r="G27" t="str">
        <f>_xlfn.XLOOKUP(A27,'STANDARD DATA'!$B$11:$U$11,'STANDARD DATA'!$B$18:$U$18)</f>
        <v xml:space="preserve"> </v>
      </c>
      <c r="H27" t="str">
        <f>_xlfn.XLOOKUP(A27,'STANDARD DATA'!$B$11:$U$11,'STANDARD DATA'!$B$19:$U$19)</f>
        <v xml:space="preserve"> </v>
      </c>
      <c r="I27" t="str">
        <f>_xlfn.XLOOKUP('Inputs and Layout'!A27,'STANDARD DATA'!$B$11:$U$11,'STANDARD DATA'!$B$20:$U$20)</f>
        <v xml:space="preserve"> </v>
      </c>
      <c r="J27" t="str">
        <f>_xlfn.XLOOKUP(A27,'STANDARD DATA'!$B$11:$U$11,'STANDARD DATA'!$B$21:$U$21)</f>
        <v xml:space="preserve"> </v>
      </c>
    </row>
    <row r="28" spans="1:16" x14ac:dyDescent="0.3">
      <c r="A28" t="s">
        <v>136</v>
      </c>
      <c r="D28" t="str">
        <f>_xlfn.XLOOKUP(A28,'STANDARD DATA'!$B$11:$U$11,'STANDARD DATA'!$B$15:$U$15)</f>
        <v xml:space="preserve"> </v>
      </c>
      <c r="E28" t="str">
        <f>_xlfn.XLOOKUP('Inputs and Layout'!A28,'STANDARD DATA'!$B$11:$U$11,'STANDARD DATA'!$B$16:$U$16)</f>
        <v xml:space="preserve"> </v>
      </c>
      <c r="F28" t="str">
        <f>_xlfn.XLOOKUP(A28,'STANDARD DATA'!$B$11:$U$11,'STANDARD DATA'!$B$17:$U$17)</f>
        <v xml:space="preserve"> </v>
      </c>
      <c r="G28" t="str">
        <f>_xlfn.XLOOKUP(A28,'STANDARD DATA'!$B$11:$U$11,'STANDARD DATA'!$B$18:$U$18)</f>
        <v xml:space="preserve"> </v>
      </c>
      <c r="H28" t="str">
        <f>_xlfn.XLOOKUP(A28,'STANDARD DATA'!$B$11:$U$11,'STANDARD DATA'!$B$19:$U$19)</f>
        <v xml:space="preserve"> </v>
      </c>
      <c r="I28" t="str">
        <f>_xlfn.XLOOKUP('Inputs and Layout'!A28,'STANDARD DATA'!$B$11:$U$11,'STANDARD DATA'!$B$20:$U$20)</f>
        <v xml:space="preserve"> </v>
      </c>
      <c r="J28" t="str">
        <f>_xlfn.XLOOKUP(A28,'STANDARD DATA'!$B$11:$U$11,'STANDARD DATA'!$B$21:$U$21)</f>
        <v xml:space="preserve"> </v>
      </c>
    </row>
    <row r="29" spans="1:16" x14ac:dyDescent="0.3">
      <c r="A29" t="s">
        <v>136</v>
      </c>
      <c r="D29" t="str">
        <f>_xlfn.XLOOKUP(A29,'STANDARD DATA'!$B$11:$U$11,'STANDARD DATA'!$B$15:$U$15)</f>
        <v xml:space="preserve"> </v>
      </c>
      <c r="E29" t="str">
        <f>_xlfn.XLOOKUP('Inputs and Layout'!A29,'STANDARD DATA'!$B$11:$U$11,'STANDARD DATA'!$B$16:$U$16)</f>
        <v xml:space="preserve"> </v>
      </c>
      <c r="F29" t="str">
        <f>_xlfn.XLOOKUP(A29,'STANDARD DATA'!$B$11:$U$11,'STANDARD DATA'!$B$17:$U$17)</f>
        <v xml:space="preserve"> </v>
      </c>
      <c r="G29" t="str">
        <f>_xlfn.XLOOKUP(A29,'STANDARD DATA'!$B$11:$U$11,'STANDARD DATA'!$B$18:$U$18)</f>
        <v xml:space="preserve"> </v>
      </c>
      <c r="H29" t="str">
        <f>_xlfn.XLOOKUP(A29,'STANDARD DATA'!$B$11:$U$11,'STANDARD DATA'!$B$19:$U$19)</f>
        <v xml:space="preserve"> </v>
      </c>
      <c r="I29" t="str">
        <f>_xlfn.XLOOKUP('Inputs and Layout'!A29,'STANDARD DATA'!$B$11:$U$11,'STANDARD DATA'!$B$20:$U$20)</f>
        <v xml:space="preserve"> </v>
      </c>
      <c r="J29" t="str">
        <f>_xlfn.XLOOKUP(A29,'STANDARD DATA'!$B$11:$U$11,'STANDARD DATA'!$B$21:$U$21)</f>
        <v xml:space="preserve"> </v>
      </c>
    </row>
    <row r="30" spans="1:16" x14ac:dyDescent="0.3">
      <c r="A30" t="s">
        <v>136</v>
      </c>
      <c r="D30" t="str">
        <f>_xlfn.XLOOKUP(A30,'STANDARD DATA'!$B$11:$U$11,'STANDARD DATA'!$B$15:$U$15)</f>
        <v xml:space="preserve"> </v>
      </c>
      <c r="E30" t="str">
        <f>_xlfn.XLOOKUP('Inputs and Layout'!A30,'STANDARD DATA'!$B$11:$U$11,'STANDARD DATA'!$B$16:$U$16)</f>
        <v xml:space="preserve"> </v>
      </c>
      <c r="F30" t="str">
        <f>_xlfn.XLOOKUP(A30,'STANDARD DATA'!$B$11:$U$11,'STANDARD DATA'!$B$17:$U$17)</f>
        <v xml:space="preserve"> </v>
      </c>
      <c r="G30" t="str">
        <f>_xlfn.XLOOKUP(A30,'STANDARD DATA'!$B$11:$U$11,'STANDARD DATA'!$B$18:$U$18)</f>
        <v xml:space="preserve"> </v>
      </c>
      <c r="H30" t="str">
        <f>_xlfn.XLOOKUP(A30,'STANDARD DATA'!$B$11:$U$11,'STANDARD DATA'!$B$19:$U$19)</f>
        <v xml:space="preserve"> </v>
      </c>
      <c r="I30" t="str">
        <f>_xlfn.XLOOKUP('Inputs and Layout'!A30,'STANDARD DATA'!$B$11:$U$11,'STANDARD DATA'!$B$20:$U$20)</f>
        <v xml:space="preserve"> </v>
      </c>
      <c r="J30" t="str">
        <f>_xlfn.XLOOKUP(A30,'STANDARD DATA'!$B$11:$U$11,'STANDARD DATA'!$B$21:$U$21)</f>
        <v xml:space="preserve"> </v>
      </c>
    </row>
    <row r="31" spans="1:16" x14ac:dyDescent="0.3">
      <c r="A31" t="s">
        <v>136</v>
      </c>
      <c r="D31" t="str">
        <f>_xlfn.XLOOKUP(A31,'STANDARD DATA'!$B$11:$U$11,'STANDARD DATA'!$B$15:$U$15)</f>
        <v xml:space="preserve"> </v>
      </c>
      <c r="E31" t="str">
        <f>_xlfn.XLOOKUP('Inputs and Layout'!A31,'STANDARD DATA'!$B$11:$U$11,'STANDARD DATA'!$B$16:$U$16)</f>
        <v xml:space="preserve"> </v>
      </c>
      <c r="F31" t="str">
        <f>_xlfn.XLOOKUP(A31,'STANDARD DATA'!$B$11:$U$11,'STANDARD DATA'!$B$17:$U$17)</f>
        <v xml:space="preserve"> </v>
      </c>
      <c r="G31" t="str">
        <f>_xlfn.XLOOKUP(A31,'STANDARD DATA'!$B$11:$U$11,'STANDARD DATA'!$B$18:$U$18)</f>
        <v xml:space="preserve"> </v>
      </c>
      <c r="H31" t="str">
        <f>_xlfn.XLOOKUP(A31,'STANDARD DATA'!$B$11:$U$11,'STANDARD DATA'!$B$19:$U$19)</f>
        <v xml:space="preserve"> </v>
      </c>
      <c r="I31" t="str">
        <f>_xlfn.XLOOKUP('Inputs and Layout'!A31,'STANDARD DATA'!$B$11:$U$11,'STANDARD DATA'!$B$20:$U$20)</f>
        <v xml:space="preserve"> </v>
      </c>
      <c r="J31" t="str">
        <f>_xlfn.XLOOKUP(A31,'STANDARD DATA'!$B$11:$U$11,'STANDARD DATA'!$B$21:$U$21)</f>
        <v xml:space="preserve"> </v>
      </c>
    </row>
    <row r="32" spans="1:16" x14ac:dyDescent="0.3">
      <c r="A32" t="s">
        <v>136</v>
      </c>
      <c r="D32" t="str">
        <f>_xlfn.XLOOKUP(A32,'STANDARD DATA'!$B$11:$U$11,'STANDARD DATA'!$B$15:$U$15)</f>
        <v xml:space="preserve"> </v>
      </c>
      <c r="E32" t="str">
        <f>_xlfn.XLOOKUP('Inputs and Layout'!A32,'STANDARD DATA'!$B$11:$U$11,'STANDARD DATA'!$B$16:$U$16)</f>
        <v xml:space="preserve"> </v>
      </c>
      <c r="F32" t="str">
        <f>_xlfn.XLOOKUP(A32,'STANDARD DATA'!$B$11:$U$11,'STANDARD DATA'!$B$17:$U$17)</f>
        <v xml:space="preserve"> </v>
      </c>
      <c r="G32" t="str">
        <f>_xlfn.XLOOKUP(A32,'STANDARD DATA'!$B$11:$U$11,'STANDARD DATA'!$B$18:$U$18)</f>
        <v xml:space="preserve"> </v>
      </c>
      <c r="H32" t="str">
        <f>_xlfn.XLOOKUP(A32,'STANDARD DATA'!$B$11:$U$11,'STANDARD DATA'!$B$19:$U$19)</f>
        <v xml:space="preserve"> </v>
      </c>
      <c r="I32" t="str">
        <f>_xlfn.XLOOKUP('Inputs and Layout'!A32,'STANDARD DATA'!$B$11:$U$11,'STANDARD DATA'!$B$20:$U$20)</f>
        <v xml:space="preserve"> </v>
      </c>
      <c r="J32" t="str">
        <f>_xlfn.XLOOKUP(A32,'STANDARD DATA'!$B$11:$U$11,'STANDARD DATA'!$B$21:$U$21)</f>
        <v xml:space="preserve"> </v>
      </c>
    </row>
    <row r="33" spans="1:10" x14ac:dyDescent="0.3">
      <c r="A33" t="s">
        <v>136</v>
      </c>
      <c r="D33" t="str">
        <f>_xlfn.XLOOKUP(A33,'STANDARD DATA'!$B$11:$U$11,'STANDARD DATA'!$B$15:$U$15)</f>
        <v xml:space="preserve"> </v>
      </c>
      <c r="E33" t="str">
        <f>_xlfn.XLOOKUP('Inputs and Layout'!A33,'STANDARD DATA'!$B$11:$U$11,'STANDARD DATA'!$B$16:$U$16)</f>
        <v xml:space="preserve"> </v>
      </c>
      <c r="F33" t="str">
        <f>_xlfn.XLOOKUP(A33,'STANDARD DATA'!$B$11:$U$11,'STANDARD DATA'!$B$17:$U$17)</f>
        <v xml:space="preserve"> </v>
      </c>
      <c r="G33" t="str">
        <f>_xlfn.XLOOKUP(A33,'STANDARD DATA'!$B$11:$U$11,'STANDARD DATA'!$B$18:$U$18)</f>
        <v xml:space="preserve"> </v>
      </c>
      <c r="H33" t="str">
        <f>_xlfn.XLOOKUP(A33,'STANDARD DATA'!$B$11:$U$11,'STANDARD DATA'!$B$19:$U$19)</f>
        <v xml:space="preserve"> </v>
      </c>
      <c r="I33" t="str">
        <f>_xlfn.XLOOKUP('Inputs and Layout'!A33,'STANDARD DATA'!$B$11:$U$11,'STANDARD DATA'!$B$20:$U$20)</f>
        <v xml:space="preserve"> </v>
      </c>
      <c r="J33" t="str">
        <f>_xlfn.XLOOKUP(A33,'STANDARD DATA'!$B$11:$U$11,'STANDARD DATA'!$B$21:$U$21)</f>
        <v xml:space="preserve"> </v>
      </c>
    </row>
    <row r="40" spans="1:10" x14ac:dyDescent="0.3">
      <c r="A40" s="32" t="s">
        <v>78</v>
      </c>
      <c r="B40" s="32"/>
    </row>
    <row r="41" spans="1:10" x14ac:dyDescent="0.3">
      <c r="A41" t="s">
        <v>79</v>
      </c>
      <c r="B41">
        <f>SUM(D22:D32)</f>
        <v>7.2</v>
      </c>
    </row>
    <row r="42" spans="1:10" x14ac:dyDescent="0.3">
      <c r="A42" t="s">
        <v>80</v>
      </c>
      <c r="B42">
        <f>SUM(K22:K32)/B41</f>
        <v>3</v>
      </c>
    </row>
    <row r="43" spans="1:10" x14ac:dyDescent="0.3">
      <c r="A43" t="s">
        <v>81</v>
      </c>
      <c r="B43">
        <f>SUM(L22:L32)/B41</f>
        <v>3</v>
      </c>
    </row>
    <row r="44" spans="1:10" x14ac:dyDescent="0.3">
      <c r="A44" t="s">
        <v>82</v>
      </c>
      <c r="B44">
        <f>SUM(M22:M32)/B41</f>
        <v>0.6</v>
      </c>
    </row>
    <row r="45" spans="1:10" x14ac:dyDescent="0.3">
      <c r="A45" t="s">
        <v>86</v>
      </c>
      <c r="B45">
        <f>SUM(N22:N32)</f>
        <v>108</v>
      </c>
    </row>
    <row r="46" spans="1:10" x14ac:dyDescent="0.3">
      <c r="A46" t="s">
        <v>87</v>
      </c>
      <c r="B46">
        <f>SUM(O22:O32)</f>
        <v>108</v>
      </c>
    </row>
    <row r="47" spans="1:10" x14ac:dyDescent="0.3">
      <c r="A47" t="s">
        <v>88</v>
      </c>
      <c r="B47">
        <f>SUM(H22:H25)</f>
        <v>36</v>
      </c>
    </row>
    <row r="48" spans="1:10" s="58" customFormat="1" x14ac:dyDescent="0.3">
      <c r="A48" s="58" t="s">
        <v>106</v>
      </c>
      <c r="B48" s="58">
        <f>_xlfn.XLOOKUP(A22,'STANDARD DATA'!B11:U11,'STANDARD DATA'!B23:U23)</f>
        <v>1</v>
      </c>
    </row>
    <row r="51" spans="1:13" x14ac:dyDescent="0.3">
      <c r="A51" s="35" t="s">
        <v>15</v>
      </c>
      <c r="B51" s="35"/>
      <c r="C51" s="35"/>
      <c r="D51" s="35"/>
      <c r="E51" s="35"/>
      <c r="F51" s="35"/>
      <c r="G51" s="35"/>
      <c r="H51" s="35"/>
      <c r="I51" s="35"/>
      <c r="J51" s="35"/>
    </row>
    <row r="52" spans="1:13" x14ac:dyDescent="0.3">
      <c r="A52" t="s">
        <v>18</v>
      </c>
      <c r="B52" t="s">
        <v>16</v>
      </c>
      <c r="C52" t="s">
        <v>17</v>
      </c>
      <c r="D52" t="s">
        <v>344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142</v>
      </c>
    </row>
    <row r="53" spans="1:13" x14ac:dyDescent="0.3">
      <c r="A53">
        <v>1</v>
      </c>
      <c r="B53" t="s">
        <v>25</v>
      </c>
      <c r="C53" t="s">
        <v>73</v>
      </c>
      <c r="D53">
        <v>0.1</v>
      </c>
      <c r="E53">
        <v>3</v>
      </c>
      <c r="F53">
        <v>3</v>
      </c>
      <c r="G53">
        <v>1.2</v>
      </c>
      <c r="H53">
        <v>1</v>
      </c>
      <c r="I53">
        <v>2</v>
      </c>
      <c r="J53">
        <v>1</v>
      </c>
      <c r="M53" t="s">
        <v>30</v>
      </c>
    </row>
    <row r="54" spans="1:13" x14ac:dyDescent="0.3">
      <c r="A54">
        <v>2</v>
      </c>
      <c r="B54" t="s">
        <v>27</v>
      </c>
      <c r="C54" t="s">
        <v>26</v>
      </c>
      <c r="D54">
        <v>1</v>
      </c>
      <c r="E54">
        <v>3</v>
      </c>
      <c r="F54">
        <v>3</v>
      </c>
      <c r="G54">
        <v>1.2</v>
      </c>
      <c r="H54">
        <v>1</v>
      </c>
      <c r="I54">
        <v>2</v>
      </c>
      <c r="J54">
        <v>2</v>
      </c>
    </row>
    <row r="55" spans="1:13" x14ac:dyDescent="0.3">
      <c r="A55">
        <v>3</v>
      </c>
      <c r="B55" t="s">
        <v>28</v>
      </c>
      <c r="C55" t="s">
        <v>29</v>
      </c>
      <c r="D55">
        <v>0.4</v>
      </c>
      <c r="E55">
        <v>6</v>
      </c>
      <c r="F55">
        <v>6</v>
      </c>
      <c r="G55">
        <v>1.2</v>
      </c>
      <c r="H55">
        <v>1</v>
      </c>
      <c r="I55">
        <v>2</v>
      </c>
      <c r="J55">
        <v>3</v>
      </c>
    </row>
    <row r="56" spans="1:13" x14ac:dyDescent="0.3">
      <c r="A56">
        <v>4</v>
      </c>
      <c r="B56" t="s">
        <v>25</v>
      </c>
      <c r="C56" t="s">
        <v>73</v>
      </c>
      <c r="D56">
        <v>0.8</v>
      </c>
      <c r="E56">
        <v>3</v>
      </c>
      <c r="F56">
        <v>3</v>
      </c>
      <c r="G56">
        <v>1.2</v>
      </c>
      <c r="H56">
        <v>1</v>
      </c>
      <c r="I56">
        <v>2</v>
      </c>
      <c r="J56">
        <v>4</v>
      </c>
    </row>
    <row r="57" spans="1:13" x14ac:dyDescent="0.3">
      <c r="A57">
        <v>5</v>
      </c>
      <c r="B57" t="s">
        <v>27</v>
      </c>
      <c r="C57" t="s">
        <v>26</v>
      </c>
      <c r="D57">
        <v>0.95</v>
      </c>
      <c r="E57">
        <v>3</v>
      </c>
      <c r="F57">
        <v>3</v>
      </c>
      <c r="G57">
        <v>1.2</v>
      </c>
      <c r="H57">
        <v>1</v>
      </c>
      <c r="I57">
        <v>2</v>
      </c>
      <c r="J57">
        <v>5</v>
      </c>
    </row>
    <row r="58" spans="1:13" x14ac:dyDescent="0.3">
      <c r="A58">
        <v>6</v>
      </c>
      <c r="B58" t="s">
        <v>28</v>
      </c>
      <c r="C58" t="s">
        <v>29</v>
      </c>
      <c r="D58">
        <v>1.1000000000000001</v>
      </c>
      <c r="E58">
        <v>6</v>
      </c>
      <c r="F58">
        <v>6</v>
      </c>
      <c r="G58">
        <v>1.2</v>
      </c>
      <c r="H58">
        <v>1</v>
      </c>
      <c r="I58">
        <v>2</v>
      </c>
      <c r="J58">
        <v>6</v>
      </c>
    </row>
    <row r="59" spans="1:13" x14ac:dyDescent="0.3">
      <c r="A59">
        <v>7</v>
      </c>
      <c r="B59" t="s">
        <v>25</v>
      </c>
      <c r="C59" t="s">
        <v>73</v>
      </c>
      <c r="D59">
        <v>1.25</v>
      </c>
      <c r="E59">
        <v>3</v>
      </c>
      <c r="F59">
        <v>3</v>
      </c>
      <c r="G59">
        <v>1.2</v>
      </c>
      <c r="H59">
        <v>1</v>
      </c>
      <c r="I59">
        <v>2</v>
      </c>
      <c r="J59">
        <v>7</v>
      </c>
    </row>
    <row r="60" spans="1:13" x14ac:dyDescent="0.3">
      <c r="A60">
        <v>8</v>
      </c>
      <c r="B60" t="s">
        <v>27</v>
      </c>
      <c r="C60" t="s">
        <v>26</v>
      </c>
      <c r="D60">
        <v>1.4</v>
      </c>
      <c r="E60">
        <v>3</v>
      </c>
      <c r="F60">
        <v>3</v>
      </c>
      <c r="G60">
        <v>1.2</v>
      </c>
      <c r="H60">
        <v>1</v>
      </c>
      <c r="I60">
        <v>2</v>
      </c>
      <c r="J60">
        <v>8</v>
      </c>
    </row>
    <row r="61" spans="1:13" x14ac:dyDescent="0.3">
      <c r="A61">
        <v>9</v>
      </c>
      <c r="B61" t="s">
        <v>28</v>
      </c>
      <c r="C61" t="s">
        <v>73</v>
      </c>
      <c r="D61">
        <v>1.55</v>
      </c>
      <c r="E61">
        <v>6</v>
      </c>
      <c r="F61">
        <v>6</v>
      </c>
      <c r="G61">
        <v>1.2</v>
      </c>
      <c r="H61">
        <v>1</v>
      </c>
      <c r="I61">
        <v>2</v>
      </c>
      <c r="J61">
        <v>9</v>
      </c>
    </row>
    <row r="62" spans="1:13" x14ac:dyDescent="0.3">
      <c r="A62">
        <v>10</v>
      </c>
      <c r="B62" t="s">
        <v>25</v>
      </c>
      <c r="C62" t="s">
        <v>26</v>
      </c>
      <c r="D62">
        <v>1.7</v>
      </c>
      <c r="E62">
        <v>3</v>
      </c>
      <c r="F62">
        <v>3</v>
      </c>
      <c r="G62">
        <v>1.2</v>
      </c>
      <c r="H62">
        <v>1</v>
      </c>
      <c r="I62">
        <v>2</v>
      </c>
      <c r="J62">
        <v>10</v>
      </c>
    </row>
    <row r="63" spans="1:13" x14ac:dyDescent="0.3">
      <c r="A63">
        <v>11</v>
      </c>
      <c r="B63" t="s">
        <v>27</v>
      </c>
      <c r="C63" t="s">
        <v>29</v>
      </c>
      <c r="D63">
        <v>1.85</v>
      </c>
      <c r="E63">
        <v>3</v>
      </c>
      <c r="F63">
        <v>3</v>
      </c>
      <c r="G63">
        <v>1.2</v>
      </c>
      <c r="H63">
        <v>1</v>
      </c>
      <c r="I63">
        <v>2</v>
      </c>
      <c r="J63">
        <v>11</v>
      </c>
    </row>
    <row r="64" spans="1:13" x14ac:dyDescent="0.3">
      <c r="A64">
        <v>12</v>
      </c>
      <c r="B64" t="s">
        <v>28</v>
      </c>
      <c r="C64" t="s">
        <v>73</v>
      </c>
      <c r="D64">
        <v>2</v>
      </c>
      <c r="E64">
        <v>6</v>
      </c>
      <c r="F64">
        <v>6</v>
      </c>
      <c r="G64">
        <v>1.2</v>
      </c>
      <c r="H64">
        <v>1</v>
      </c>
      <c r="I64">
        <v>2</v>
      </c>
      <c r="J64">
        <v>12</v>
      </c>
    </row>
    <row r="67" spans="1:6" x14ac:dyDescent="0.3">
      <c r="A67" s="30" t="s">
        <v>230</v>
      </c>
      <c r="B67" s="30"/>
      <c r="C67" s="30"/>
      <c r="D67" s="30"/>
      <c r="E67" s="30"/>
      <c r="F67" s="30"/>
    </row>
    <row r="68" spans="1:6" x14ac:dyDescent="0.3">
      <c r="A68" t="s">
        <v>231</v>
      </c>
      <c r="B68" t="s">
        <v>252</v>
      </c>
      <c r="C68" t="s">
        <v>234</v>
      </c>
      <c r="D68" t="s">
        <v>232</v>
      </c>
      <c r="E68" t="s">
        <v>233</v>
      </c>
    </row>
    <row r="69" spans="1:6" x14ac:dyDescent="0.3">
      <c r="A69">
        <v>1</v>
      </c>
      <c r="B69">
        <v>60</v>
      </c>
      <c r="C69">
        <f>IF(B69="", "", RADIANS(B69))</f>
        <v>1.0471975511965976</v>
      </c>
      <c r="D69">
        <f>IF(C69="","",ROUND(COS(C69),10))</f>
        <v>0.5</v>
      </c>
      <c r="E69">
        <f>IF(C69="","",ROUND(SIN(C69), 10))</f>
        <v>0.86602540380000004</v>
      </c>
    </row>
    <row r="70" spans="1:6" x14ac:dyDescent="0.3">
      <c r="A70">
        <v>2</v>
      </c>
      <c r="B70">
        <v>30</v>
      </c>
      <c r="C70">
        <f t="shared" ref="C70:C78" si="0">IF(B70="", "", RADIANS(B70))</f>
        <v>0.52359877559829882</v>
      </c>
      <c r="D70">
        <f t="shared" ref="D70:D78" si="1">IF(C70="","",ROUND(COS(C70),10))</f>
        <v>0.86602540380000004</v>
      </c>
      <c r="E70">
        <f t="shared" ref="E70:E78" si="2">IF(C70="","",ROUND(SIN(C70), 10))</f>
        <v>0.5</v>
      </c>
    </row>
    <row r="71" spans="1:6" x14ac:dyDescent="0.3">
      <c r="A71">
        <v>3</v>
      </c>
      <c r="C71" t="str">
        <f t="shared" si="0"/>
        <v/>
      </c>
      <c r="D71" t="str">
        <f t="shared" si="1"/>
        <v/>
      </c>
      <c r="E71" t="str">
        <f t="shared" si="2"/>
        <v/>
      </c>
    </row>
    <row r="72" spans="1:6" x14ac:dyDescent="0.3">
      <c r="A72">
        <v>4</v>
      </c>
      <c r="C72" t="str">
        <f t="shared" si="0"/>
        <v/>
      </c>
      <c r="D72" t="str">
        <f t="shared" si="1"/>
        <v/>
      </c>
      <c r="E72" t="str">
        <f t="shared" si="2"/>
        <v/>
      </c>
    </row>
    <row r="73" spans="1:6" x14ac:dyDescent="0.3">
      <c r="A73">
        <v>5</v>
      </c>
      <c r="C73" t="str">
        <f t="shared" si="0"/>
        <v/>
      </c>
      <c r="D73" t="str">
        <f t="shared" si="1"/>
        <v/>
      </c>
      <c r="E73" t="str">
        <f t="shared" si="2"/>
        <v/>
      </c>
    </row>
    <row r="74" spans="1:6" x14ac:dyDescent="0.3">
      <c r="A74">
        <v>6</v>
      </c>
      <c r="C74" t="str">
        <f t="shared" si="0"/>
        <v/>
      </c>
      <c r="D74" t="str">
        <f t="shared" si="1"/>
        <v/>
      </c>
      <c r="E74" t="str">
        <f t="shared" si="2"/>
        <v/>
      </c>
    </row>
    <row r="75" spans="1:6" x14ac:dyDescent="0.3">
      <c r="A75">
        <v>7</v>
      </c>
      <c r="C75" t="str">
        <f t="shared" si="0"/>
        <v/>
      </c>
      <c r="D75" t="str">
        <f t="shared" si="1"/>
        <v/>
      </c>
      <c r="E75" t="str">
        <f t="shared" si="2"/>
        <v/>
      </c>
    </row>
    <row r="76" spans="1:6" x14ac:dyDescent="0.3">
      <c r="A76">
        <v>8</v>
      </c>
      <c r="C76" t="str">
        <f t="shared" si="0"/>
        <v/>
      </c>
      <c r="D76" t="str">
        <f t="shared" si="1"/>
        <v/>
      </c>
      <c r="E76" t="str">
        <f t="shared" si="2"/>
        <v/>
      </c>
    </row>
    <row r="77" spans="1:6" x14ac:dyDescent="0.3">
      <c r="A77">
        <v>9</v>
      </c>
      <c r="C77" t="str">
        <f t="shared" si="0"/>
        <v/>
      </c>
      <c r="D77" t="str">
        <f t="shared" si="1"/>
        <v/>
      </c>
      <c r="E77" t="str">
        <f t="shared" si="2"/>
        <v/>
      </c>
    </row>
    <row r="78" spans="1:6" x14ac:dyDescent="0.3">
      <c r="A78">
        <v>10</v>
      </c>
      <c r="C78" t="str">
        <f t="shared" si="0"/>
        <v/>
      </c>
      <c r="D78" t="str">
        <f t="shared" si="1"/>
        <v/>
      </c>
      <c r="E78" t="str">
        <f t="shared" si="2"/>
        <v/>
      </c>
    </row>
  </sheetData>
  <mergeCells count="6">
    <mergeCell ref="A67:F67"/>
    <mergeCell ref="D20:J20"/>
    <mergeCell ref="A40:B40"/>
    <mergeCell ref="K20:O20"/>
    <mergeCell ref="A18:P18"/>
    <mergeCell ref="A51:J51"/>
  </mergeCells>
  <dataValidations count="2">
    <dataValidation type="list" allowBlank="1" showInputMessage="1" showErrorMessage="1" sqref="B5" xr:uid="{791CBF35-A62E-485D-9364-A44EB582CC7B}">
      <formula1>"River, Reservoir, Lake, Ocean"</formula1>
    </dataValidation>
    <dataValidation type="list" allowBlank="1" showInputMessage="1" showErrorMessage="1" sqref="C53:C64" xr:uid="{674FA893-208E-4803-B09A-C0EBA8C9A4E1}">
      <formula1>"DL, IL, LL"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315FB1-3C17-43BA-A3D2-784E1C731C7A}">
          <x14:formula1>
            <xm:f>_xlfn.XLOOKUP($A$1,'STANDARD DATA'!$A$1,FLOAT_SELECTION_TYPES)</xm:f>
          </x14:formula1>
          <xm:sqref>B1</xm:sqref>
        </x14:dataValidation>
        <x14:dataValidation type="list" allowBlank="1" showInputMessage="1" showErrorMessage="1" xr:uid="{9BC70CB6-DAE2-4FF8-8675-98883A455563}">
          <x14:formula1>
            <xm:f>'Design Calculations'!$C$120:$C$123</xm:f>
          </x14:formula1>
          <xm:sqref>B14</xm:sqref>
        </x14:dataValidation>
        <x14:dataValidation type="list" allowBlank="1" showInputMessage="1" showErrorMessage="1" xr:uid="{1C2F1D59-7331-475E-8958-99985D521797}">
          <x14:formula1>
            <xm:f>'Design Calculations'!$D$119:$H$119</xm:f>
          </x14:formula1>
          <xm:sqref>B15</xm:sqref>
        </x14:dataValidation>
        <x14:dataValidation type="list" allowBlank="1" showInputMessage="1" showErrorMessage="1" xr:uid="{BC856882-F3A6-4C40-B792-393EFFEB5F16}">
          <x14:formula1>
            <xm:f>_xlfn.XLOOKUP($B$1,FLOAT_SELECTION_TYPES,'STANDARD DATA'!$B$2:$F$5)</xm:f>
          </x14:formula1>
          <xm:sqref>A22:A33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447-AB36-4804-8794-6B8CCE6AC3B9}">
  <dimension ref="A1:R262"/>
  <sheetViews>
    <sheetView tabSelected="1" topLeftCell="F89" zoomScale="90" zoomScaleNormal="83" workbookViewId="0">
      <selection activeCell="N106" sqref="N106"/>
    </sheetView>
  </sheetViews>
  <sheetFormatPr defaultRowHeight="14.4" x14ac:dyDescent="0.3"/>
  <cols>
    <col min="1" max="1" width="22.5546875" customWidth="1"/>
    <col min="2" max="2" width="26" customWidth="1"/>
    <col min="3" max="3" width="30.6640625" customWidth="1"/>
    <col min="4" max="4" width="23.33203125" customWidth="1"/>
    <col min="5" max="5" width="18.33203125" customWidth="1"/>
    <col min="6" max="6" width="28.33203125" customWidth="1"/>
    <col min="7" max="7" width="27.6640625" customWidth="1"/>
    <col min="8" max="8" width="27.77734375" customWidth="1"/>
    <col min="9" max="9" width="20.5546875" customWidth="1"/>
    <col min="10" max="10" width="25.33203125" customWidth="1"/>
    <col min="11" max="11" width="17.44140625" customWidth="1"/>
    <col min="12" max="12" width="11.5546875" customWidth="1"/>
    <col min="13" max="13" width="10.77734375" customWidth="1"/>
    <col min="14" max="14" width="10.88671875" customWidth="1"/>
    <col min="15" max="15" width="11" customWidth="1"/>
    <col min="16" max="16" width="8.88671875" customWidth="1"/>
  </cols>
  <sheetData>
    <row r="1" spans="1:6" ht="18" x14ac:dyDescent="0.35">
      <c r="A1" s="43" t="s">
        <v>92</v>
      </c>
      <c r="B1" s="43"/>
      <c r="C1" s="43"/>
      <c r="D1" s="43"/>
      <c r="E1" s="43"/>
    </row>
    <row r="2" spans="1:6" ht="43.2" x14ac:dyDescent="0.3">
      <c r="A2" t="s">
        <v>89</v>
      </c>
      <c r="B2">
        <f>'Inputs and Layout'!B3</f>
        <v>6</v>
      </c>
      <c r="C2" t="s">
        <v>138</v>
      </c>
      <c r="D2" s="58" t="s">
        <v>119</v>
      </c>
      <c r="E2" s="58">
        <f>_xlfn.XLOOKUP('Inputs and Layout'!A22,'STANDARD DATA'!B11:U11,'STANDARD DATA'!B24:U24)</f>
        <v>0.4</v>
      </c>
      <c r="F2" s="62" t="s">
        <v>384</v>
      </c>
    </row>
    <row r="3" spans="1:6" ht="28.8" x14ac:dyDescent="0.3">
      <c r="A3" t="s">
        <v>90</v>
      </c>
      <c r="B3">
        <f>'Inputs and Layout'!B4</f>
        <v>6</v>
      </c>
      <c r="C3" t="s">
        <v>253</v>
      </c>
      <c r="D3" s="58" t="s">
        <v>120</v>
      </c>
      <c r="E3" s="58">
        <f>_xlfn.XLOOKUP('Inputs and Layout'!A22,'STANDARD DATA'!B11:U11,'STANDARD DATA'!B25:U25)</f>
        <v>0.8</v>
      </c>
      <c r="F3" s="62" t="s">
        <v>385</v>
      </c>
    </row>
    <row r="4" spans="1:6" ht="28.8" x14ac:dyDescent="0.3">
      <c r="A4" s="58" t="s">
        <v>93</v>
      </c>
      <c r="B4" s="58">
        <f>_xlfn.XLOOKUP('Inputs and Layout'!A22,'STANDARD DATA'!B11:U11,'STANDARD DATA'!B14:U14)</f>
        <v>1.2</v>
      </c>
      <c r="C4" s="62" t="s">
        <v>386</v>
      </c>
      <c r="D4" t="s">
        <v>139</v>
      </c>
      <c r="E4">
        <f>'Inputs and Layout'!B11</f>
        <v>1</v>
      </c>
    </row>
    <row r="5" spans="1:6" x14ac:dyDescent="0.3">
      <c r="A5" t="s">
        <v>94</v>
      </c>
      <c r="B5">
        <f>'Inputs and Layout'!B9</f>
        <v>41.73</v>
      </c>
      <c r="C5" t="s">
        <v>138</v>
      </c>
      <c r="D5" t="s">
        <v>140</v>
      </c>
      <c r="E5">
        <f>'Inputs and Layout'!B12</f>
        <v>2</v>
      </c>
    </row>
    <row r="6" spans="1:6" x14ac:dyDescent="0.3">
      <c r="A6" t="s">
        <v>95</v>
      </c>
      <c r="B6">
        <f>'Inputs and Layout'!B8</f>
        <v>1</v>
      </c>
      <c r="C6" t="s">
        <v>253</v>
      </c>
      <c r="D6" t="s">
        <v>205</v>
      </c>
      <c r="E6">
        <f>'Inputs and Layout'!B6</f>
        <v>10</v>
      </c>
    </row>
    <row r="7" spans="1:6" x14ac:dyDescent="0.3">
      <c r="A7" t="s">
        <v>96</v>
      </c>
      <c r="B7">
        <f>'Inputs and Layout'!B10</f>
        <v>0.6</v>
      </c>
      <c r="C7" t="s">
        <v>253</v>
      </c>
      <c r="D7" t="s">
        <v>251</v>
      </c>
      <c r="E7">
        <f>'Inputs and Layout'!B13</f>
        <v>4</v>
      </c>
    </row>
    <row r="8" spans="1:6" x14ac:dyDescent="0.3">
      <c r="A8" t="s">
        <v>97</v>
      </c>
      <c r="B8">
        <f>'Inputs and Layout'!B41</f>
        <v>7.2</v>
      </c>
      <c r="C8" t="s">
        <v>253</v>
      </c>
      <c r="D8" t="s">
        <v>138</v>
      </c>
      <c r="E8" t="s">
        <v>138</v>
      </c>
    </row>
    <row r="9" spans="1:6" x14ac:dyDescent="0.3">
      <c r="A9" t="s">
        <v>101</v>
      </c>
      <c r="B9">
        <f>'Inputs and Layout'!B42</f>
        <v>3</v>
      </c>
      <c r="C9" t="s">
        <v>138</v>
      </c>
      <c r="D9" t="s">
        <v>138</v>
      </c>
      <c r="E9" t="s">
        <v>138</v>
      </c>
    </row>
    <row r="10" spans="1:6" x14ac:dyDescent="0.3">
      <c r="A10" t="s">
        <v>100</v>
      </c>
      <c r="B10">
        <f>'Inputs and Layout'!B43</f>
        <v>3</v>
      </c>
      <c r="C10" t="s">
        <v>138</v>
      </c>
      <c r="D10" t="s">
        <v>138</v>
      </c>
      <c r="E10" t="s">
        <v>138</v>
      </c>
    </row>
    <row r="11" spans="1:6" x14ac:dyDescent="0.3">
      <c r="A11" t="s">
        <v>102</v>
      </c>
      <c r="B11">
        <f>'Inputs and Layout'!B44</f>
        <v>0.6</v>
      </c>
      <c r="C11" t="s">
        <v>138</v>
      </c>
      <c r="D11" t="s">
        <v>138</v>
      </c>
      <c r="E11" t="s">
        <v>138</v>
      </c>
    </row>
    <row r="12" spans="1:6" x14ac:dyDescent="0.3">
      <c r="A12" t="s">
        <v>103</v>
      </c>
      <c r="B12">
        <f>'Inputs and Layout'!B45</f>
        <v>108</v>
      </c>
      <c r="C12" t="s">
        <v>138</v>
      </c>
      <c r="D12" t="s">
        <v>138</v>
      </c>
      <c r="E12" t="s">
        <v>138</v>
      </c>
    </row>
    <row r="13" spans="1:6" x14ac:dyDescent="0.3">
      <c r="A13" t="s">
        <v>104</v>
      </c>
      <c r="B13">
        <f>'Inputs and Layout'!B46</f>
        <v>108</v>
      </c>
      <c r="C13" t="s">
        <v>138</v>
      </c>
      <c r="D13" t="s">
        <v>138</v>
      </c>
      <c r="E13" t="s">
        <v>138</v>
      </c>
    </row>
    <row r="14" spans="1:6" x14ac:dyDescent="0.3">
      <c r="A14" t="s">
        <v>105</v>
      </c>
      <c r="B14">
        <f>'Inputs and Layout'!B48</f>
        <v>1</v>
      </c>
      <c r="C14" t="s">
        <v>138</v>
      </c>
      <c r="D14" t="s">
        <v>138</v>
      </c>
      <c r="E14" t="s">
        <v>138</v>
      </c>
    </row>
    <row r="15" spans="1:6" x14ac:dyDescent="0.3">
      <c r="A15" t="s">
        <v>88</v>
      </c>
      <c r="B15">
        <f>'Inputs and Layout'!B47</f>
        <v>36</v>
      </c>
      <c r="C15" t="s">
        <v>138</v>
      </c>
      <c r="D15" t="s">
        <v>138</v>
      </c>
      <c r="E15" t="s">
        <v>138</v>
      </c>
    </row>
    <row r="21" spans="1:17" ht="23.4" x14ac:dyDescent="0.45">
      <c r="A21" s="48" t="s">
        <v>31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</row>
    <row r="23" spans="1:17" x14ac:dyDescent="0.3">
      <c r="A23" t="s">
        <v>18</v>
      </c>
      <c r="B23" t="s">
        <v>16</v>
      </c>
      <c r="C23" t="s">
        <v>17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143</v>
      </c>
      <c r="K23" t="s">
        <v>35</v>
      </c>
      <c r="L23" t="s">
        <v>36</v>
      </c>
      <c r="M23" t="s">
        <v>37</v>
      </c>
      <c r="N23" t="s">
        <v>32</v>
      </c>
      <c r="O23" t="s">
        <v>33</v>
      </c>
      <c r="P23" t="s">
        <v>34</v>
      </c>
    </row>
    <row r="24" spans="1:17" x14ac:dyDescent="0.3">
      <c r="A24" cm="1">
        <f t="array" ref="A24:J35">LOAD_DATA</f>
        <v>1</v>
      </c>
      <c r="B24" t="str">
        <v>winch</v>
      </c>
      <c r="C24" t="str">
        <v>DL</v>
      </c>
      <c r="D24">
        <v>0.1</v>
      </c>
      <c r="E24">
        <v>3</v>
      </c>
      <c r="F24">
        <v>3</v>
      </c>
      <c r="G24">
        <v>1.2</v>
      </c>
      <c r="H24">
        <v>1</v>
      </c>
      <c r="I24">
        <v>2</v>
      </c>
      <c r="J24">
        <v>1</v>
      </c>
      <c r="N24">
        <f t="shared" ref="N24:N35" si="0">D24*(F24-$F$37)</f>
        <v>-7.112676056338034E-2</v>
      </c>
      <c r="O24">
        <f t="shared" ref="O24:O35" si="1">D24*(E24-$E$37)</f>
        <v>-7.112676056338034E-2</v>
      </c>
    </row>
    <row r="25" spans="1:17" x14ac:dyDescent="0.3">
      <c r="A25">
        <v>2</v>
      </c>
      <c r="B25" t="str">
        <v>Pump</v>
      </c>
      <c r="C25" t="str">
        <v>IL</v>
      </c>
      <c r="D25">
        <v>1</v>
      </c>
      <c r="E25">
        <v>3</v>
      </c>
      <c r="F25">
        <v>3</v>
      </c>
      <c r="G25">
        <v>1.2</v>
      </c>
      <c r="H25">
        <v>1</v>
      </c>
      <c r="I25">
        <v>2</v>
      </c>
      <c r="J25">
        <v>2</v>
      </c>
      <c r="N25">
        <f t="shared" si="0"/>
        <v>-0.71126760563380342</v>
      </c>
      <c r="O25">
        <f t="shared" si="1"/>
        <v>-0.71126760563380342</v>
      </c>
    </row>
    <row r="26" spans="1:17" x14ac:dyDescent="0.3">
      <c r="A26">
        <v>3</v>
      </c>
      <c r="B26" t="str">
        <v>Passengers</v>
      </c>
      <c r="C26" t="str">
        <v>LL</v>
      </c>
      <c r="D26">
        <v>0.4</v>
      </c>
      <c r="E26">
        <v>6</v>
      </c>
      <c r="F26">
        <v>6</v>
      </c>
      <c r="G26">
        <v>1.2</v>
      </c>
      <c r="H26">
        <v>1</v>
      </c>
      <c r="I26">
        <v>2</v>
      </c>
      <c r="J26">
        <v>3</v>
      </c>
      <c r="N26">
        <f t="shared" si="0"/>
        <v>0.91549295774647865</v>
      </c>
      <c r="O26">
        <f t="shared" si="1"/>
        <v>0.91549295774647865</v>
      </c>
    </row>
    <row r="27" spans="1:17" x14ac:dyDescent="0.3">
      <c r="A27">
        <v>4</v>
      </c>
      <c r="B27" t="str">
        <v>winch</v>
      </c>
      <c r="C27" t="str">
        <v>DL</v>
      </c>
      <c r="D27">
        <v>0.8</v>
      </c>
      <c r="E27">
        <v>3</v>
      </c>
      <c r="F27">
        <v>3</v>
      </c>
      <c r="G27">
        <v>1.2</v>
      </c>
      <c r="H27">
        <v>1</v>
      </c>
      <c r="I27">
        <v>2</v>
      </c>
      <c r="J27">
        <v>4</v>
      </c>
      <c r="N27">
        <f t="shared" si="0"/>
        <v>-0.56901408450704272</v>
      </c>
      <c r="O27">
        <f t="shared" si="1"/>
        <v>-0.56901408450704272</v>
      </c>
    </row>
    <row r="28" spans="1:17" x14ac:dyDescent="0.3">
      <c r="A28">
        <v>5</v>
      </c>
      <c r="B28" t="str">
        <v>Pump</v>
      </c>
      <c r="C28" t="str">
        <v>IL</v>
      </c>
      <c r="D28">
        <v>0.95</v>
      </c>
      <c r="E28">
        <v>3</v>
      </c>
      <c r="F28">
        <v>3</v>
      </c>
      <c r="G28">
        <v>1.2</v>
      </c>
      <c r="H28">
        <v>1</v>
      </c>
      <c r="I28">
        <v>2</v>
      </c>
      <c r="J28">
        <v>5</v>
      </c>
      <c r="N28">
        <f t="shared" si="0"/>
        <v>-0.67570422535211327</v>
      </c>
      <c r="O28">
        <f t="shared" si="1"/>
        <v>-0.67570422535211327</v>
      </c>
    </row>
    <row r="29" spans="1:17" x14ac:dyDescent="0.3">
      <c r="A29">
        <v>6</v>
      </c>
      <c r="B29" t="str">
        <v>Passengers</v>
      </c>
      <c r="C29" t="str">
        <v>LL</v>
      </c>
      <c r="D29">
        <v>1.1000000000000001</v>
      </c>
      <c r="E29">
        <v>6</v>
      </c>
      <c r="F29">
        <v>6</v>
      </c>
      <c r="G29">
        <v>1.2</v>
      </c>
      <c r="H29">
        <v>1</v>
      </c>
      <c r="I29">
        <v>2</v>
      </c>
      <c r="J29">
        <v>6</v>
      </c>
      <c r="N29">
        <f t="shared" si="0"/>
        <v>2.5176056338028165</v>
      </c>
      <c r="O29">
        <f t="shared" si="1"/>
        <v>2.5176056338028165</v>
      </c>
    </row>
    <row r="30" spans="1:17" x14ac:dyDescent="0.3">
      <c r="A30">
        <v>7</v>
      </c>
      <c r="B30" t="str">
        <v>winch</v>
      </c>
      <c r="C30" t="str">
        <v>DL</v>
      </c>
      <c r="D30">
        <v>1.25</v>
      </c>
      <c r="E30">
        <v>3</v>
      </c>
      <c r="F30">
        <v>3</v>
      </c>
      <c r="G30">
        <v>1.2</v>
      </c>
      <c r="H30">
        <v>1</v>
      </c>
      <c r="I30">
        <v>2</v>
      </c>
      <c r="J30">
        <v>7</v>
      </c>
      <c r="N30">
        <f t="shared" si="0"/>
        <v>-0.88908450704225428</v>
      </c>
      <c r="O30">
        <f t="shared" si="1"/>
        <v>-0.88908450704225428</v>
      </c>
    </row>
    <row r="31" spans="1:17" x14ac:dyDescent="0.3">
      <c r="A31">
        <v>8</v>
      </c>
      <c r="B31" t="str">
        <v>Pump</v>
      </c>
      <c r="C31" t="str">
        <v>IL</v>
      </c>
      <c r="D31">
        <v>1.4</v>
      </c>
      <c r="E31">
        <v>3</v>
      </c>
      <c r="F31">
        <v>3</v>
      </c>
      <c r="G31">
        <v>1.2</v>
      </c>
      <c r="H31">
        <v>1</v>
      </c>
      <c r="I31">
        <v>2</v>
      </c>
      <c r="J31">
        <v>8</v>
      </c>
      <c r="N31">
        <f t="shared" si="0"/>
        <v>-0.99577464788732473</v>
      </c>
      <c r="O31">
        <f t="shared" si="1"/>
        <v>-0.99577464788732473</v>
      </c>
    </row>
    <row r="32" spans="1:17" x14ac:dyDescent="0.3">
      <c r="A32">
        <v>9</v>
      </c>
      <c r="B32" t="str">
        <v>Passengers</v>
      </c>
      <c r="C32" t="str">
        <v>DL</v>
      </c>
      <c r="D32">
        <v>1.55</v>
      </c>
      <c r="E32">
        <v>6</v>
      </c>
      <c r="F32">
        <v>6</v>
      </c>
      <c r="G32">
        <v>1.2</v>
      </c>
      <c r="H32">
        <v>1</v>
      </c>
      <c r="I32">
        <v>2</v>
      </c>
      <c r="J32">
        <v>9</v>
      </c>
      <c r="N32">
        <f t="shared" si="0"/>
        <v>3.5475352112676046</v>
      </c>
      <c r="O32">
        <f t="shared" si="1"/>
        <v>3.5475352112676046</v>
      </c>
    </row>
    <row r="33" spans="1:16" x14ac:dyDescent="0.3">
      <c r="A33">
        <v>10</v>
      </c>
      <c r="B33" t="str">
        <v>winch</v>
      </c>
      <c r="C33" t="str">
        <v>IL</v>
      </c>
      <c r="D33">
        <v>1.7</v>
      </c>
      <c r="E33">
        <v>3</v>
      </c>
      <c r="F33">
        <v>3</v>
      </c>
      <c r="G33">
        <v>1.2</v>
      </c>
      <c r="H33">
        <v>1</v>
      </c>
      <c r="I33">
        <v>2</v>
      </c>
      <c r="J33">
        <v>10</v>
      </c>
      <c r="N33">
        <f t="shared" si="0"/>
        <v>-1.2091549295774657</v>
      </c>
      <c r="O33">
        <f t="shared" si="1"/>
        <v>-1.2091549295774657</v>
      </c>
    </row>
    <row r="34" spans="1:16" x14ac:dyDescent="0.3">
      <c r="A34">
        <v>11</v>
      </c>
      <c r="B34" t="str">
        <v>Pump</v>
      </c>
      <c r="C34" t="str">
        <v>LL</v>
      </c>
      <c r="D34">
        <v>1.85</v>
      </c>
      <c r="E34">
        <v>3</v>
      </c>
      <c r="F34">
        <v>3</v>
      </c>
      <c r="G34">
        <v>1.2</v>
      </c>
      <c r="H34">
        <v>1</v>
      </c>
      <c r="I34">
        <v>2</v>
      </c>
      <c r="J34">
        <v>11</v>
      </c>
      <c r="N34">
        <f t="shared" si="0"/>
        <v>-1.3158450704225364</v>
      </c>
      <c r="O34">
        <f t="shared" si="1"/>
        <v>-1.3158450704225364</v>
      </c>
    </row>
    <row r="35" spans="1:16" x14ac:dyDescent="0.3">
      <c r="A35">
        <v>12</v>
      </c>
      <c r="B35" t="str">
        <v>Passengers</v>
      </c>
      <c r="C35" t="str">
        <v>DL</v>
      </c>
      <c r="D35">
        <v>2</v>
      </c>
      <c r="E35">
        <v>6</v>
      </c>
      <c r="F35">
        <v>6</v>
      </c>
      <c r="G35">
        <v>1.2</v>
      </c>
      <c r="H35">
        <v>1</v>
      </c>
      <c r="I35">
        <v>2</v>
      </c>
      <c r="J35">
        <v>12</v>
      </c>
      <c r="N35">
        <f t="shared" si="0"/>
        <v>4.5774647887323932</v>
      </c>
      <c r="O35">
        <f t="shared" si="1"/>
        <v>4.5774647887323932</v>
      </c>
    </row>
    <row r="36" spans="1:16" x14ac:dyDescent="0.3">
      <c r="C36" s="7" t="s">
        <v>98</v>
      </c>
      <c r="D36" s="7">
        <f>SUM(D24:D35)</f>
        <v>14.1</v>
      </c>
      <c r="E36" s="7">
        <f>SUM($D$24*E24,$D$25*E25,$D$26*E26,$D$27*E27,$D$28*E28,$D$29*E29,$D$30*E30,$D$31*E31,$D$32*E32,$D$33*E33,$D$34*E34,$D$35*E35)/$D$36</f>
        <v>4.0744680851063837</v>
      </c>
      <c r="F36" s="7">
        <f>SUM($D$24*F24,$D$25*F25,$D$26*F26,$D$27*F27,$D$28*F28,$D$29*F29,$D$30*F30,$D$31*F31,$D$32*F32,$D$33*F33,$D$34*F34,$D$35*F35)/$D$36</f>
        <v>4.0744680851063837</v>
      </c>
      <c r="G36" s="7">
        <f>SUM($D$24*G24,$D$25*G25,$D$26*G26,$D$27*G27,$D$28*G28,$D$29*G29,$D$30*G30,$D$31*G31,$D$32*G32,$D$33*G33,$D$34*G34,$D$35*G35)/$D$36</f>
        <v>1.2000000000000002</v>
      </c>
      <c r="H36" s="7">
        <f>SUM(H24:H35)</f>
        <v>12</v>
      </c>
      <c r="I36" s="7">
        <f>SUM(I24:I35)</f>
        <v>24</v>
      </c>
      <c r="J36" s="7"/>
      <c r="K36" s="7"/>
      <c r="L36" s="7"/>
      <c r="M36" s="7"/>
      <c r="N36" s="7">
        <f>SUM(N24:N35)</f>
        <v>5.1211267605633726</v>
      </c>
      <c r="O36" s="7">
        <f>SUM(O24:O35)</f>
        <v>5.1211267605633726</v>
      </c>
      <c r="P36" s="7"/>
    </row>
    <row r="37" spans="1:16" x14ac:dyDescent="0.3">
      <c r="C37" s="7" t="s">
        <v>99</v>
      </c>
      <c r="D37" s="7">
        <f>D36+B8</f>
        <v>21.3</v>
      </c>
      <c r="E37" s="7">
        <f>SUM(E36*D36+B8*B9)/D37</f>
        <v>3.7112676056338034</v>
      </c>
      <c r="F37" s="7">
        <f>SUM(F36*D36+B8*B10)/D37</f>
        <v>3.7112676056338034</v>
      </c>
      <c r="G37" s="7">
        <f>SUM(G36*D36+B8*B11)/D37</f>
        <v>0.99718309859154941</v>
      </c>
      <c r="H37" s="7"/>
      <c r="I37" s="7"/>
      <c r="J37" s="7"/>
      <c r="K37" s="7"/>
      <c r="L37" s="7"/>
      <c r="M37" s="7"/>
      <c r="N37" s="7"/>
      <c r="O37" s="7"/>
      <c r="P37" s="7"/>
    </row>
    <row r="40" spans="1:16" x14ac:dyDescent="0.3">
      <c r="C40" s="47" t="s">
        <v>133</v>
      </c>
      <c r="D40" s="47"/>
    </row>
    <row r="41" spans="1:16" x14ac:dyDescent="0.3">
      <c r="C41" t="s">
        <v>108</v>
      </c>
      <c r="D41">
        <f>B14*B4*B15</f>
        <v>43.199999999999996</v>
      </c>
    </row>
    <row r="42" spans="1:16" x14ac:dyDescent="0.3">
      <c r="C42" t="s">
        <v>109</v>
      </c>
      <c r="D42">
        <f>(D41-D37)</f>
        <v>21.899999999999995</v>
      </c>
    </row>
    <row r="43" spans="1:16" x14ac:dyDescent="0.3">
      <c r="C43" t="s">
        <v>110</v>
      </c>
      <c r="D43">
        <f>(D37/D41)*B4</f>
        <v>0.59166666666666679</v>
      </c>
    </row>
    <row r="44" spans="1:16" x14ac:dyDescent="0.3">
      <c r="C44" t="s">
        <v>111</v>
      </c>
      <c r="D44">
        <f>B4-D43</f>
        <v>0.60833333333333317</v>
      </c>
    </row>
    <row r="47" spans="1:16" x14ac:dyDescent="0.3">
      <c r="C47" s="47" t="s">
        <v>235</v>
      </c>
      <c r="D47" s="47"/>
      <c r="F47" s="47" t="s">
        <v>236</v>
      </c>
      <c r="G47" s="47"/>
    </row>
    <row r="48" spans="1:16" x14ac:dyDescent="0.3">
      <c r="C48" t="s">
        <v>112</v>
      </c>
      <c r="D48">
        <f>D43/2</f>
        <v>0.29583333333333339</v>
      </c>
      <c r="F48" t="s">
        <v>112</v>
      </c>
      <c r="G48">
        <f>D43/2</f>
        <v>0.29583333333333339</v>
      </c>
    </row>
    <row r="49" spans="1:17" x14ac:dyDescent="0.3">
      <c r="C49" t="s">
        <v>113</v>
      </c>
      <c r="D49">
        <f>G37</f>
        <v>0.99718309859154941</v>
      </c>
      <c r="F49" t="s">
        <v>113</v>
      </c>
      <c r="G49">
        <f>G37</f>
        <v>0.99718309859154941</v>
      </c>
    </row>
    <row r="50" spans="1:17" x14ac:dyDescent="0.3">
      <c r="C50" t="s">
        <v>115</v>
      </c>
      <c r="D50">
        <f>B12/D37</f>
        <v>5.0704225352112671</v>
      </c>
      <c r="F50" t="s">
        <v>114</v>
      </c>
      <c r="G50">
        <f>B13/D37</f>
        <v>5.0704225352112671</v>
      </c>
    </row>
    <row r="51" spans="1:17" x14ac:dyDescent="0.3">
      <c r="C51" t="s">
        <v>117</v>
      </c>
      <c r="D51">
        <f>D49-D48</f>
        <v>0.70134976525821602</v>
      </c>
      <c r="F51" t="s">
        <v>117</v>
      </c>
      <c r="G51">
        <f>G49-G48</f>
        <v>0.70134976525821602</v>
      </c>
    </row>
    <row r="52" spans="1:17" x14ac:dyDescent="0.3">
      <c r="C52" t="s">
        <v>116</v>
      </c>
      <c r="D52">
        <f>D50-D51</f>
        <v>4.3690727699530507</v>
      </c>
      <c r="F52" t="s">
        <v>118</v>
      </c>
      <c r="G52">
        <f>G50-D51</f>
        <v>4.3690727699530507</v>
      </c>
    </row>
    <row r="53" spans="1:17" x14ac:dyDescent="0.3">
      <c r="C53" t="s">
        <v>138</v>
      </c>
      <c r="D53" t="s">
        <v>138</v>
      </c>
      <c r="F53" t="s">
        <v>138</v>
      </c>
      <c r="G53" t="s">
        <v>138</v>
      </c>
    </row>
    <row r="54" spans="1:17" x14ac:dyDescent="0.3">
      <c r="C54" t="s">
        <v>121</v>
      </c>
      <c r="D54">
        <f>DEGREES(ATAN((D44-E2)/(B3/2)))</f>
        <v>3.9724959407506559</v>
      </c>
      <c r="F54" t="s">
        <v>122</v>
      </c>
      <c r="G54">
        <f>DEGREES(ATAN((D44-E2)/(B2/2)))</f>
        <v>3.9724959407506559</v>
      </c>
    </row>
    <row r="55" spans="1:17" x14ac:dyDescent="0.3">
      <c r="A55" s="4"/>
      <c r="C55" t="s">
        <v>123</v>
      </c>
      <c r="D55">
        <f>D37*D52*SIN(RADIANS(D54))</f>
        <v>6.4470599300019735</v>
      </c>
      <c r="F55" t="s">
        <v>124</v>
      </c>
      <c r="G55">
        <f>D37*G52*SIN(RADIANS(G54))</f>
        <v>6.4470599300019735</v>
      </c>
    </row>
    <row r="56" spans="1:17" x14ac:dyDescent="0.3">
      <c r="C56" t="s">
        <v>125</v>
      </c>
      <c r="D56">
        <f>N36</f>
        <v>5.1211267605633726</v>
      </c>
      <c r="F56" t="s">
        <v>126</v>
      </c>
      <c r="G56">
        <f>O36</f>
        <v>5.1211267605633726</v>
      </c>
    </row>
    <row r="57" spans="1:17" x14ac:dyDescent="0.3">
      <c r="C57" t="s">
        <v>127</v>
      </c>
      <c r="D57">
        <f>DEGREES(ASIN(D56/(D37*D52)))</f>
        <v>3.1545594264535177</v>
      </c>
      <c r="F57" t="s">
        <v>128</v>
      </c>
      <c r="G57">
        <f>DEGREES(ASIN(G56/(D37*G52)))</f>
        <v>3.1545594264535177</v>
      </c>
    </row>
    <row r="63" spans="1:17" ht="23.4" x14ac:dyDescent="0.45">
      <c r="A63" s="48" t="s">
        <v>91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</row>
    <row r="65" spans="2:6" x14ac:dyDescent="0.3">
      <c r="B65" s="36" t="s">
        <v>149</v>
      </c>
      <c r="C65" s="36"/>
      <c r="D65" s="36"/>
    </row>
    <row r="66" spans="2:6" x14ac:dyDescent="0.3">
      <c r="B66" s="5" t="s">
        <v>144</v>
      </c>
      <c r="C66" s="5" t="s">
        <v>145</v>
      </c>
      <c r="D66">
        <f>'Inputs and Layout'!B9</f>
        <v>41.73</v>
      </c>
    </row>
    <row r="67" spans="2:6" x14ac:dyDescent="0.3">
      <c r="B67" s="5" t="s">
        <v>146</v>
      </c>
      <c r="C67" s="5" t="s">
        <v>147</v>
      </c>
      <c r="D67">
        <f>0.6*D66*D66/10000</f>
        <v>0.10448357399999998</v>
      </c>
    </row>
    <row r="69" spans="2:6" x14ac:dyDescent="0.3">
      <c r="B69" s="36" t="s">
        <v>148</v>
      </c>
      <c r="C69" s="36"/>
      <c r="D69" s="36"/>
      <c r="E69" s="36"/>
      <c r="F69" s="36"/>
    </row>
    <row r="70" spans="2:6" x14ac:dyDescent="0.3">
      <c r="B70" s="6" t="s">
        <v>150</v>
      </c>
      <c r="C70" s="6" t="s">
        <v>151</v>
      </c>
      <c r="D70" s="6" t="s">
        <v>152</v>
      </c>
      <c r="E70" s="6" t="s">
        <v>153</v>
      </c>
      <c r="F70" s="6" t="s">
        <v>154</v>
      </c>
    </row>
    <row r="71" spans="2:6" x14ac:dyDescent="0.3">
      <c r="B71">
        <v>1</v>
      </c>
      <c r="C71" s="5" t="s">
        <v>155</v>
      </c>
      <c r="D71" s="5" t="s">
        <v>147</v>
      </c>
      <c r="E71">
        <f>D67</f>
        <v>0.10448357399999998</v>
      </c>
      <c r="F71">
        <f>D67</f>
        <v>0.10448357399999998</v>
      </c>
    </row>
    <row r="72" spans="2:6" x14ac:dyDescent="0.3">
      <c r="B72">
        <v>2</v>
      </c>
      <c r="C72" s="5" t="s">
        <v>156</v>
      </c>
      <c r="D72" s="5" t="s">
        <v>157</v>
      </c>
      <c r="E72">
        <f>D44*B3</f>
        <v>3.649999999999999</v>
      </c>
      <c r="F72">
        <f>D44*B2</f>
        <v>3.649999999999999</v>
      </c>
    </row>
    <row r="73" spans="2:6" x14ac:dyDescent="0.3">
      <c r="B73">
        <v>3</v>
      </c>
      <c r="C73" s="5" t="s">
        <v>158</v>
      </c>
      <c r="D73" s="5"/>
      <c r="E73">
        <f>E4</f>
        <v>1</v>
      </c>
      <c r="F73">
        <f>E5</f>
        <v>2</v>
      </c>
    </row>
    <row r="74" spans="2:6" x14ac:dyDescent="0.3">
      <c r="B74">
        <v>4</v>
      </c>
      <c r="C74" s="5" t="s">
        <v>160</v>
      </c>
      <c r="D74" s="5" t="s">
        <v>157</v>
      </c>
      <c r="E74">
        <f>H36</f>
        <v>12</v>
      </c>
      <c r="F74">
        <f>I36</f>
        <v>24</v>
      </c>
    </row>
    <row r="75" spans="2:6" x14ac:dyDescent="0.3">
      <c r="B75">
        <v>5</v>
      </c>
      <c r="C75" s="5" t="s">
        <v>161</v>
      </c>
      <c r="D75" s="5"/>
      <c r="E75">
        <f>SUMPRODUCT(J24:J35,H24:H35)/H36</f>
        <v>6.5</v>
      </c>
      <c r="F75">
        <f>SUMPRODUCT(J24:J35,I24:I35)/I36</f>
        <v>6.5</v>
      </c>
    </row>
    <row r="76" spans="2:6" x14ac:dyDescent="0.3">
      <c r="B76">
        <v>6</v>
      </c>
      <c r="C76" s="5" t="s">
        <v>162</v>
      </c>
      <c r="D76" s="5" t="s">
        <v>163</v>
      </c>
      <c r="E76">
        <f>E71*(E72*E73+E74*E75)</f>
        <v>8.531083817099999</v>
      </c>
      <c r="F76">
        <f>F71*(F72*F73+F74*F75)</f>
        <v>17.062167634199998</v>
      </c>
    </row>
    <row r="78" spans="2:6" x14ac:dyDescent="0.3">
      <c r="B78" s="36" t="s">
        <v>171</v>
      </c>
      <c r="C78" s="36"/>
      <c r="D78" s="36"/>
      <c r="E78" s="36"/>
      <c r="F78" s="36"/>
    </row>
    <row r="79" spans="2:6" x14ac:dyDescent="0.3">
      <c r="B79" s="6" t="s">
        <v>150</v>
      </c>
      <c r="C79" s="6" t="s">
        <v>151</v>
      </c>
      <c r="D79" s="6" t="s">
        <v>152</v>
      </c>
      <c r="E79" s="6" t="s">
        <v>153</v>
      </c>
      <c r="F79" s="6" t="s">
        <v>154</v>
      </c>
    </row>
    <row r="80" spans="2:6" x14ac:dyDescent="0.3">
      <c r="B80">
        <v>1</v>
      </c>
      <c r="C80" t="s">
        <v>164</v>
      </c>
      <c r="D80" t="s">
        <v>145</v>
      </c>
      <c r="E80">
        <f>'Inputs and Layout'!B8</f>
        <v>1</v>
      </c>
      <c r="F80">
        <f>'Inputs and Layout'!B8</f>
        <v>1</v>
      </c>
    </row>
    <row r="81" spans="2:18" x14ac:dyDescent="0.3">
      <c r="B81">
        <v>2</v>
      </c>
      <c r="C81" t="s">
        <v>165</v>
      </c>
      <c r="E81">
        <f>E4</f>
        <v>1</v>
      </c>
      <c r="F81">
        <f>E5</f>
        <v>2</v>
      </c>
    </row>
    <row r="82" spans="2:18" x14ac:dyDescent="0.3">
      <c r="B82">
        <v>3</v>
      </c>
      <c r="C82" t="s">
        <v>166</v>
      </c>
      <c r="D82" t="s">
        <v>167</v>
      </c>
      <c r="E82">
        <f>52*E81*E80^2/1000</f>
        <v>5.1999999999999998E-2</v>
      </c>
      <c r="F82">
        <f>52*F81*F80^2/1000</f>
        <v>0.104</v>
      </c>
    </row>
    <row r="83" spans="2:18" x14ac:dyDescent="0.3">
      <c r="B83">
        <v>4</v>
      </c>
      <c r="C83" t="s">
        <v>169</v>
      </c>
      <c r="D83" t="s">
        <v>157</v>
      </c>
      <c r="E83">
        <f>D43*B3</f>
        <v>3.5500000000000007</v>
      </c>
      <c r="F83">
        <f>D43*B2</f>
        <v>3.5500000000000007</v>
      </c>
    </row>
    <row r="84" spans="2:18" x14ac:dyDescent="0.3">
      <c r="B84">
        <v>5</v>
      </c>
      <c r="C84" t="s">
        <v>170</v>
      </c>
      <c r="D84" t="s">
        <v>163</v>
      </c>
      <c r="E84">
        <f>E82*E83</f>
        <v>0.18460000000000004</v>
      </c>
      <c r="F84">
        <f>F82*F83</f>
        <v>0.36920000000000008</v>
      </c>
    </row>
    <row r="86" spans="2:18" x14ac:dyDescent="0.3">
      <c r="B86" s="36" t="s">
        <v>172</v>
      </c>
      <c r="C86" s="36"/>
      <c r="D86" s="36"/>
      <c r="E86" s="36"/>
      <c r="F86" s="36"/>
    </row>
    <row r="87" spans="2:18" x14ac:dyDescent="0.3">
      <c r="B87" s="6" t="s">
        <v>150</v>
      </c>
      <c r="C87" s="6" t="s">
        <v>151</v>
      </c>
      <c r="D87" s="6" t="s">
        <v>152</v>
      </c>
      <c r="E87" s="6" t="s">
        <v>153</v>
      </c>
      <c r="F87" s="6" t="s">
        <v>154</v>
      </c>
    </row>
    <row r="88" spans="2:18" x14ac:dyDescent="0.3">
      <c r="B88">
        <v>1</v>
      </c>
      <c r="C88" t="s">
        <v>173</v>
      </c>
      <c r="D88" t="s">
        <v>168</v>
      </c>
      <c r="E88">
        <f>'Inputs and Layout'!B10</f>
        <v>0.6</v>
      </c>
      <c r="F88">
        <f>'Inputs and Layout'!B10</f>
        <v>0.6</v>
      </c>
    </row>
    <row r="89" spans="2:18" x14ac:dyDescent="0.3">
      <c r="B89">
        <v>2</v>
      </c>
      <c r="C89" t="s">
        <v>175</v>
      </c>
      <c r="D89" t="s">
        <v>174</v>
      </c>
      <c r="E89">
        <f>(0.5*1000*9.81*B3*E88*E88)/(9.81*1000)</f>
        <v>1.0799999999999998</v>
      </c>
      <c r="F89">
        <f>0.5*1000*9.81*B2*F88^2/(9.81*1000)</f>
        <v>1.0799999999999998</v>
      </c>
    </row>
    <row r="91" spans="2:18" x14ac:dyDescent="0.3">
      <c r="B91" s="9"/>
      <c r="C91" s="9"/>
    </row>
    <row r="94" spans="2:18" x14ac:dyDescent="0.3">
      <c r="B94" s="36" t="s">
        <v>181</v>
      </c>
      <c r="C94" s="36"/>
      <c r="D94" s="36"/>
      <c r="E94" s="36"/>
      <c r="F94" s="36"/>
      <c r="J94" s="42" t="s">
        <v>350</v>
      </c>
      <c r="K94" s="42"/>
      <c r="L94" s="42"/>
      <c r="M94" s="42"/>
      <c r="N94" s="42"/>
      <c r="O94" s="42"/>
      <c r="P94" s="42"/>
      <c r="Q94" s="42"/>
    </row>
    <row r="95" spans="2:18" x14ac:dyDescent="0.3">
      <c r="B95" s="8" t="s">
        <v>150</v>
      </c>
      <c r="C95" s="8" t="s">
        <v>151</v>
      </c>
      <c r="D95" s="8" t="s">
        <v>152</v>
      </c>
      <c r="E95" s="8" t="s">
        <v>202</v>
      </c>
      <c r="F95" s="8" t="s">
        <v>203</v>
      </c>
      <c r="G95" s="8" t="s">
        <v>204</v>
      </c>
      <c r="J95" s="63" t="s">
        <v>240</v>
      </c>
      <c r="K95" s="63"/>
      <c r="L95" s="63"/>
      <c r="M95" s="63"/>
      <c r="N95" s="64"/>
      <c r="O95" s="64"/>
      <c r="P95" s="64"/>
      <c r="Q95" s="64"/>
      <c r="R95" s="58"/>
    </row>
    <row r="96" spans="2:18" x14ac:dyDescent="0.3">
      <c r="B96" s="9">
        <v>1</v>
      </c>
      <c r="C96" s="9" t="s">
        <v>182</v>
      </c>
      <c r="D96" s="9" t="s">
        <v>176</v>
      </c>
      <c r="E96">
        <f>E76*1000</f>
        <v>8531.0838170999996</v>
      </c>
      <c r="F96">
        <f>F76*1000</f>
        <v>17062.167634199999</v>
      </c>
      <c r="J96" s="64" t="s">
        <v>241</v>
      </c>
      <c r="K96" s="64" cm="1">
        <f t="array" ref="K96">SUMPRODUCT(--ISNUMBER('Inputs and Layout'!D69:D78), --('Inputs and Layout'!D69:D78&lt;&gt;0))</f>
        <v>2</v>
      </c>
      <c r="L96" s="64"/>
      <c r="M96" s="64"/>
      <c r="N96" s="64"/>
      <c r="O96" s="64"/>
      <c r="P96" s="64"/>
      <c r="Q96" s="64"/>
      <c r="R96" s="58"/>
    </row>
    <row r="97" spans="2:18" x14ac:dyDescent="0.3">
      <c r="B97" s="9">
        <v>2</v>
      </c>
      <c r="C97" s="9" t="s">
        <v>183</v>
      </c>
      <c r="D97" s="9" t="s">
        <v>176</v>
      </c>
      <c r="E97">
        <f>E84*1000</f>
        <v>184.60000000000005</v>
      </c>
      <c r="F97">
        <f>F84*1000</f>
        <v>369.2000000000001</v>
      </c>
      <c r="J97" s="64" t="s">
        <v>243</v>
      </c>
      <c r="K97" s="64" cm="1">
        <f t="array" ref="K97:L97">TRANSPOSE(_xlfn._xlws.FILTER('Inputs and Layout'!B69:B76, ('Inputs and Layout'!D69:D76&lt;&gt;0)*('Inputs and Layout'!E69:E76&lt;&gt;"")))</f>
        <v>60</v>
      </c>
      <c r="L97" s="64">
        <v>30</v>
      </c>
      <c r="M97" s="64"/>
      <c r="N97" s="64"/>
      <c r="O97" s="64"/>
      <c r="P97" s="64"/>
      <c r="Q97" s="64"/>
      <c r="R97" s="58"/>
    </row>
    <row r="98" spans="2:18" x14ac:dyDescent="0.3">
      <c r="B98">
        <v>3</v>
      </c>
      <c r="C98" t="s">
        <v>184</v>
      </c>
      <c r="D98" t="s">
        <v>176</v>
      </c>
      <c r="E98">
        <f>E89*1000</f>
        <v>1079.9999999999998</v>
      </c>
      <c r="F98">
        <f>F89*1000</f>
        <v>1079.9999999999998</v>
      </c>
      <c r="J98" s="64" t="s">
        <v>244</v>
      </c>
      <c r="K98" s="64" cm="1">
        <f t="array" ref="K98">SUMPRODUCT(--ISNUMBER('Inputs and Layout'!E69:E78), --('Inputs and Layout'!E69:E78&lt;&gt;0))</f>
        <v>2</v>
      </c>
      <c r="L98" s="64"/>
      <c r="M98" s="64"/>
      <c r="N98" s="64"/>
      <c r="O98" s="64"/>
      <c r="P98" s="64"/>
      <c r="Q98" s="64"/>
      <c r="R98" s="58"/>
    </row>
    <row r="99" spans="2:18" x14ac:dyDescent="0.3">
      <c r="B99" s="9"/>
      <c r="C99" s="9" t="s">
        <v>177</v>
      </c>
      <c r="E99">
        <v>1</v>
      </c>
      <c r="F99">
        <v>1</v>
      </c>
      <c r="J99" s="64" t="s">
        <v>245</v>
      </c>
      <c r="K99" s="64" cm="1">
        <f t="array" ref="K99:L99">TRANSPOSE(_xlfn._xlws.FILTER('Inputs and Layout'!B69:B76, ('Inputs and Layout'!E69:E76&lt;&gt;0)*('Inputs and Layout'!E69:E76&lt;&gt;"")))</f>
        <v>60</v>
      </c>
      <c r="L99" s="64">
        <v>30</v>
      </c>
      <c r="M99" s="64"/>
      <c r="N99" s="64"/>
      <c r="O99" s="64"/>
      <c r="P99" s="64"/>
      <c r="Q99" s="64"/>
      <c r="R99" s="58"/>
    </row>
    <row r="100" spans="2:18" x14ac:dyDescent="0.3">
      <c r="B100" s="9">
        <v>4</v>
      </c>
      <c r="C100" s="9" t="s">
        <v>185</v>
      </c>
      <c r="D100" s="9" t="s">
        <v>176</v>
      </c>
      <c r="E100">
        <f>(E96+E97+E98)*E99</f>
        <v>9795.6838170999999</v>
      </c>
      <c r="F100">
        <f>(F96+F97+F98)*F99</f>
        <v>18511.3676342</v>
      </c>
      <c r="J100" s="64"/>
      <c r="K100" s="64"/>
      <c r="L100" s="64"/>
      <c r="M100" s="64"/>
      <c r="N100" s="64"/>
      <c r="O100" s="64"/>
      <c r="P100" s="64"/>
      <c r="Q100" s="64"/>
      <c r="R100" s="58"/>
    </row>
    <row r="101" spans="2:18" x14ac:dyDescent="0.3">
      <c r="B101" s="10">
        <v>5</v>
      </c>
      <c r="C101" s="10" t="s">
        <v>186</v>
      </c>
      <c r="D101" s="11"/>
      <c r="E101">
        <f>K96</f>
        <v>2</v>
      </c>
      <c r="F101">
        <f>K98</f>
        <v>2</v>
      </c>
      <c r="J101" s="29" t="s">
        <v>246</v>
      </c>
      <c r="K101" s="29"/>
      <c r="L101" s="29"/>
      <c r="M101" s="29"/>
      <c r="N101" s="64"/>
      <c r="O101" s="29" t="s">
        <v>249</v>
      </c>
      <c r="P101" s="29"/>
      <c r="Q101" s="29"/>
      <c r="R101" s="59"/>
    </row>
    <row r="102" spans="2:18" ht="28.8" x14ac:dyDescent="0.3">
      <c r="B102" s="10">
        <v>6</v>
      </c>
      <c r="C102" s="12" t="s">
        <v>187</v>
      </c>
      <c r="D102" s="9" t="s">
        <v>176</v>
      </c>
      <c r="E102">
        <f>E100/E101</f>
        <v>4897.84190855</v>
      </c>
      <c r="F102">
        <f>F100/F101</f>
        <v>9255.6838170999999</v>
      </c>
      <c r="J102" s="64" t="s">
        <v>242</v>
      </c>
      <c r="K102" s="64" t="s">
        <v>247</v>
      </c>
      <c r="L102" s="64" t="s">
        <v>248</v>
      </c>
      <c r="M102" s="64"/>
      <c r="N102" s="64"/>
      <c r="O102" s="64" t="s">
        <v>242</v>
      </c>
      <c r="P102" s="64" t="s">
        <v>247</v>
      </c>
      <c r="Q102" s="64" t="s">
        <v>248</v>
      </c>
      <c r="R102" s="58"/>
    </row>
    <row r="103" spans="2:18" x14ac:dyDescent="0.3">
      <c r="B103" s="9">
        <v>7</v>
      </c>
      <c r="C103" s="9" t="s">
        <v>188</v>
      </c>
      <c r="E103">
        <f>E6</f>
        <v>10</v>
      </c>
      <c r="F103">
        <f>E6</f>
        <v>10</v>
      </c>
      <c r="J103" s="64" cm="1">
        <f t="array" ref="J103:J104">_xlfn._xlws.FILTER('Inputs and Layout'!B69:B76, ('Inputs and Layout'!D69:D76&lt;&gt;0)*('Inputs and Layout'!E69:E76&lt;&gt;""))</f>
        <v>60</v>
      </c>
      <c r="K103" s="64">
        <f>IF(J103="", "", ROUND(COS(RADIANS(J103)), 10))</f>
        <v>0.5</v>
      </c>
      <c r="L103" s="64">
        <f>IF(J103="", "", ROUND(SIN(RADIANS(J103)), 10))</f>
        <v>0.86602540380000004</v>
      </c>
      <c r="M103" s="64"/>
      <c r="N103" s="64"/>
      <c r="O103" s="64" cm="1">
        <f t="array" ref="O103:O104">_xlfn._xlws.FILTER('Inputs and Layout'!B69:B76, ('Inputs and Layout'!E69:E76&lt;&gt;0)*('Inputs and Layout'!E69:E76&lt;&gt;""))</f>
        <v>60</v>
      </c>
      <c r="P103" s="64">
        <f>IF(O103="", "", ROUND(COS(RADIANS(O103)), 10))</f>
        <v>0.5</v>
      </c>
      <c r="Q103" s="64">
        <f>IF(O103="", "", ROUND(SIN(RADIANS(O103)), 10))</f>
        <v>0.86602540380000004</v>
      </c>
      <c r="R103" s="58"/>
    </row>
    <row r="104" spans="2:18" x14ac:dyDescent="0.3">
      <c r="B104" s="9">
        <v>8</v>
      </c>
      <c r="C104" s="9" t="s">
        <v>189</v>
      </c>
      <c r="D104" s="9" t="s">
        <v>168</v>
      </c>
      <c r="E104">
        <f>E7</f>
        <v>4</v>
      </c>
      <c r="F104">
        <f>E7</f>
        <v>4</v>
      </c>
      <c r="J104" s="64">
        <v>30</v>
      </c>
      <c r="K104" s="64">
        <f>IF(J104="", "", ROUND(COS(RADIANS(J104)), 10))</f>
        <v>0.86602540380000004</v>
      </c>
      <c r="L104" s="64">
        <f>IF(J104="", "", ROUND(SIN(RADIANS(J104)), 10))</f>
        <v>0.5</v>
      </c>
      <c r="M104" s="64"/>
      <c r="N104" s="64"/>
      <c r="O104" s="64">
        <v>30</v>
      </c>
      <c r="P104" s="64">
        <f>IF(O104="", "", ROUND(COS(RADIANS(O104)), 10))</f>
        <v>0.86602540380000004</v>
      </c>
      <c r="Q104" s="64">
        <f>IF(O104="", "", ROUND(SIN(RADIANS(O104)), 10))</f>
        <v>0.5</v>
      </c>
      <c r="R104" s="58"/>
    </row>
    <row r="105" spans="2:18" x14ac:dyDescent="0.3">
      <c r="B105" s="9">
        <v>9</v>
      </c>
      <c r="C105" s="9" t="s">
        <v>190</v>
      </c>
      <c r="D105" s="9" t="s">
        <v>168</v>
      </c>
      <c r="E105">
        <f>E103*E104</f>
        <v>40</v>
      </c>
      <c r="F105">
        <f>F103*F104</f>
        <v>40</v>
      </c>
      <c r="J105" s="64"/>
      <c r="K105" s="64"/>
      <c r="L105" s="64"/>
      <c r="M105" s="64"/>
      <c r="N105" s="64"/>
      <c r="O105" s="64"/>
      <c r="P105" s="64"/>
      <c r="Q105" s="64"/>
      <c r="R105" s="58"/>
    </row>
    <row r="106" spans="2:18" x14ac:dyDescent="0.3">
      <c r="B106" s="9">
        <v>10</v>
      </c>
      <c r="C106" s="60" t="s">
        <v>178</v>
      </c>
      <c r="D106" s="60" t="s">
        <v>159</v>
      </c>
      <c r="E106" s="58">
        <f>DEGREES(ASIN(E103/E105))</f>
        <v>14.477512185929925</v>
      </c>
      <c r="F106" s="58">
        <f>DEGREES(ASIN(F103/F105))</f>
        <v>14.477512185929925</v>
      </c>
      <c r="G106" t="s">
        <v>237</v>
      </c>
      <c r="J106" s="64"/>
      <c r="K106" s="64"/>
      <c r="L106" s="64"/>
      <c r="M106" s="64"/>
      <c r="N106" s="64"/>
      <c r="O106" s="64"/>
      <c r="P106" s="64"/>
      <c r="Q106" s="64"/>
      <c r="R106" s="58"/>
    </row>
    <row r="107" spans="2:18" x14ac:dyDescent="0.3">
      <c r="B107" s="9">
        <v>11</v>
      </c>
      <c r="C107" s="60" t="s">
        <v>191</v>
      </c>
      <c r="D107" s="60" t="s">
        <v>192</v>
      </c>
      <c r="E107" s="58">
        <f>K109</f>
        <v>60</v>
      </c>
      <c r="F107" s="58">
        <f>P109</f>
        <v>60</v>
      </c>
      <c r="G107" t="s">
        <v>238</v>
      </c>
      <c r="J107" s="64"/>
      <c r="K107" s="64" t="str">
        <f t="shared" ref="K107:K108" si="2">IF(J107="", "", ROUND(COS(RADIANS(J107)), 10))</f>
        <v/>
      </c>
      <c r="L107" s="64" t="str">
        <f t="shared" ref="L107:L108" si="3">IF(J107="", "", ROUND(SIN(RADIANS(J107)), 10))</f>
        <v/>
      </c>
      <c r="M107" s="64"/>
      <c r="N107" s="64"/>
      <c r="O107" s="64"/>
      <c r="P107" s="64" t="str">
        <f t="shared" ref="P107:P108" si="4">IF(O107="", "", ROUND(COS(RADIANS(O107)), 10))</f>
        <v/>
      </c>
      <c r="Q107" s="64" t="str">
        <f t="shared" ref="Q107:Q108" si="5">IF(O107="", "", ROUND(SIN(RADIANS(O107)), 10))</f>
        <v/>
      </c>
      <c r="R107" s="58"/>
    </row>
    <row r="108" spans="2:18" x14ac:dyDescent="0.3">
      <c r="B108" s="9">
        <v>12</v>
      </c>
      <c r="C108" s="9" t="s">
        <v>193</v>
      </c>
      <c r="D108" s="9" t="s">
        <v>176</v>
      </c>
      <c r="E108" s="7">
        <f>E102/(COS(RADIANS(E106))*COS(RADIANS(E107)))</f>
        <v>10116.93874355781</v>
      </c>
      <c r="F108" s="7">
        <f>F102/(COS(RADIANS(F106))*COS(RADIANS(F107)))</f>
        <v>19118.458283407886</v>
      </c>
      <c r="J108" s="64"/>
      <c r="K108" s="64" t="str">
        <f t="shared" si="2"/>
        <v/>
      </c>
      <c r="L108" s="64" t="str">
        <f t="shared" si="3"/>
        <v/>
      </c>
      <c r="M108" s="64"/>
      <c r="N108" s="64"/>
      <c r="O108" s="64"/>
      <c r="P108" s="64" t="str">
        <f t="shared" si="4"/>
        <v/>
      </c>
      <c r="Q108" s="64" t="str">
        <f t="shared" si="5"/>
        <v/>
      </c>
      <c r="R108" s="58"/>
    </row>
    <row r="109" spans="2:18" x14ac:dyDescent="0.3">
      <c r="B109" s="9">
        <v>13</v>
      </c>
      <c r="C109" s="9" t="s">
        <v>194</v>
      </c>
      <c r="D109" s="9" t="s">
        <v>176</v>
      </c>
      <c r="E109">
        <f>E108*SIN(RADIANS(E106))</f>
        <v>2529.2346858894525</v>
      </c>
      <c r="F109">
        <f>F108*SIN(RADIANS(F106))</f>
        <v>4779.6145708519716</v>
      </c>
      <c r="J109" s="64" t="s">
        <v>255</v>
      </c>
      <c r="K109" s="64">
        <f>IF(MAX(J103:J111)&gt;90, 180-MAX(J103:J111), MAX(J103:J111))</f>
        <v>60</v>
      </c>
      <c r="L109" s="64"/>
      <c r="M109" s="64"/>
      <c r="N109" s="64"/>
      <c r="O109" s="64" t="s">
        <v>250</v>
      </c>
      <c r="P109" s="64">
        <f>ABS(IF(MIN(O103:O111)&gt;90, 180-MIN(O103:O111), MIN(O103:O111))-90)</f>
        <v>60</v>
      </c>
      <c r="Q109" s="64"/>
      <c r="R109" s="58"/>
    </row>
    <row r="110" spans="2:18" x14ac:dyDescent="0.3">
      <c r="B110" s="9">
        <v>14</v>
      </c>
      <c r="C110" s="9" t="s">
        <v>195</v>
      </c>
      <c r="D110" s="9" t="s">
        <v>176</v>
      </c>
      <c r="E110">
        <f>E108*COS(RADIANS(E106))</f>
        <v>9795.6838170999963</v>
      </c>
      <c r="F110">
        <f>F108*COS(RADIANS(F106))</f>
        <v>18511.367634199996</v>
      </c>
    </row>
    <row r="111" spans="2:18" x14ac:dyDescent="0.3">
      <c r="B111" s="13">
        <v>15</v>
      </c>
      <c r="C111" s="13" t="s">
        <v>196</v>
      </c>
      <c r="D111" s="9" t="s">
        <v>176</v>
      </c>
      <c r="E111">
        <f>E110</f>
        <v>9795.6838170999963</v>
      </c>
      <c r="F111">
        <f>F110</f>
        <v>18511.367634199996</v>
      </c>
    </row>
    <row r="112" spans="2:18" x14ac:dyDescent="0.3">
      <c r="B112" s="9">
        <v>16</v>
      </c>
      <c r="C112" s="12" t="s">
        <v>197</v>
      </c>
      <c r="D112" s="12"/>
      <c r="E112" cm="1">
        <f t="array" ref="E112">_xlfn.XLOOKUP('Inputs and Layout'!$B$14,'Design Calculations'!$C$120:$C$123,_xlfn.XLOOKUP('Inputs and Layout'!$B$15,'Design Calculations'!$D$119:$H$119,'Design Calculations'!$D$120:$H$123))</f>
        <v>0.27</v>
      </c>
      <c r="F112" cm="1">
        <f t="array" ref="F112">_xlfn.XLOOKUP('Inputs and Layout'!$B$14,'Design Calculations'!$C$120:$C$123,_xlfn.XLOOKUP('Inputs and Layout'!$B$15,'Design Calculations'!$D$119:$H$119,'Design Calculations'!$D$120:$H$123))</f>
        <v>0.27</v>
      </c>
    </row>
    <row r="113" spans="2:8" x14ac:dyDescent="0.3">
      <c r="B113" s="9">
        <v>17</v>
      </c>
      <c r="C113" s="12" t="s">
        <v>198</v>
      </c>
      <c r="D113" s="9" t="s">
        <v>176</v>
      </c>
      <c r="E113">
        <f>(E110/E112)+E109</f>
        <v>38809.545119593138</v>
      </c>
      <c r="F113">
        <f>(F110/F112)+F109</f>
        <v>73340.235438259362</v>
      </c>
    </row>
    <row r="114" spans="2:8" x14ac:dyDescent="0.3">
      <c r="B114" s="9">
        <v>19</v>
      </c>
      <c r="C114" s="12" t="s">
        <v>199</v>
      </c>
      <c r="D114" s="9" t="s">
        <v>176</v>
      </c>
      <c r="E114">
        <f>E113/(1-(1/2.4))</f>
        <v>66530.648776445392</v>
      </c>
      <c r="F114">
        <f>F113/(1-(1/2.4))</f>
        <v>125726.11789415892</v>
      </c>
    </row>
    <row r="115" spans="2:8" x14ac:dyDescent="0.3">
      <c r="B115" s="9"/>
      <c r="C115" s="9" t="s">
        <v>200</v>
      </c>
      <c r="E115">
        <v>1.2</v>
      </c>
      <c r="F115">
        <v>1.2</v>
      </c>
    </row>
    <row r="116" spans="2:8" x14ac:dyDescent="0.3">
      <c r="B116" s="13">
        <v>20</v>
      </c>
      <c r="C116" s="14" t="s">
        <v>201</v>
      </c>
      <c r="D116" s="9" t="s">
        <v>176</v>
      </c>
      <c r="E116">
        <f>E114*E115</f>
        <v>79836.778531734468</v>
      </c>
      <c r="F116">
        <f>F114*F115</f>
        <v>150871.34147299069</v>
      </c>
    </row>
    <row r="118" spans="2:8" x14ac:dyDescent="0.3">
      <c r="B118" s="44" t="s">
        <v>206</v>
      </c>
      <c r="C118" s="45"/>
      <c r="D118" s="45"/>
      <c r="E118" s="45"/>
      <c r="F118" s="45"/>
      <c r="G118" s="45"/>
      <c r="H118" s="46"/>
    </row>
    <row r="119" spans="2:8" x14ac:dyDescent="0.3">
      <c r="B119" s="15" t="s">
        <v>150</v>
      </c>
      <c r="C119" s="9" t="s">
        <v>207</v>
      </c>
      <c r="D119" s="9" t="s">
        <v>208</v>
      </c>
      <c r="E119" s="9" t="s">
        <v>209</v>
      </c>
      <c r="F119" s="9" t="s">
        <v>210</v>
      </c>
      <c r="G119" s="9" t="s">
        <v>211</v>
      </c>
      <c r="H119" s="16" t="s">
        <v>212</v>
      </c>
    </row>
    <row r="120" spans="2:8" x14ac:dyDescent="0.3">
      <c r="B120" s="15">
        <v>1</v>
      </c>
      <c r="C120" s="9" t="s">
        <v>213</v>
      </c>
      <c r="D120" s="9">
        <v>0.27</v>
      </c>
      <c r="E120" s="9">
        <v>0.6</v>
      </c>
      <c r="F120" s="9">
        <v>0.6</v>
      </c>
      <c r="G120" s="9">
        <v>0.69</v>
      </c>
      <c r="H120" s="16">
        <v>0.67</v>
      </c>
    </row>
    <row r="121" spans="2:8" x14ac:dyDescent="0.3">
      <c r="B121" s="15">
        <v>2</v>
      </c>
      <c r="C121" s="9" t="s">
        <v>214</v>
      </c>
      <c r="D121" s="9">
        <v>0.2</v>
      </c>
      <c r="E121" s="9">
        <v>0.63</v>
      </c>
      <c r="F121" s="9">
        <v>0.63</v>
      </c>
      <c r="G121" s="9">
        <v>0.66</v>
      </c>
      <c r="H121" s="16">
        <v>0.67</v>
      </c>
    </row>
    <row r="122" spans="2:8" x14ac:dyDescent="0.3">
      <c r="B122" s="15">
        <v>3</v>
      </c>
      <c r="C122" s="9" t="s">
        <v>215</v>
      </c>
      <c r="D122" s="9">
        <v>0.23</v>
      </c>
      <c r="E122" s="9">
        <v>0.56000000000000005</v>
      </c>
      <c r="F122" s="9">
        <v>0.57999999999999996</v>
      </c>
      <c r="G122" s="9">
        <v>0.74</v>
      </c>
      <c r="H122" s="16">
        <v>0.79</v>
      </c>
    </row>
    <row r="123" spans="2:8" x14ac:dyDescent="0.3">
      <c r="B123" s="17">
        <v>4</v>
      </c>
      <c r="C123" s="18" t="s">
        <v>216</v>
      </c>
      <c r="D123" s="18">
        <v>0.4</v>
      </c>
      <c r="E123" s="18">
        <v>0.66</v>
      </c>
      <c r="F123" s="18">
        <v>0.67</v>
      </c>
      <c r="G123" s="19" t="s">
        <v>217</v>
      </c>
      <c r="H123" s="20">
        <v>0.64</v>
      </c>
    </row>
    <row r="124" spans="2:8" x14ac:dyDescent="0.3">
      <c r="D124" s="9">
        <v>140</v>
      </c>
      <c r="E124" s="9">
        <v>140</v>
      </c>
    </row>
    <row r="126" spans="2:8" x14ac:dyDescent="0.3">
      <c r="B126" s="36" t="s">
        <v>219</v>
      </c>
      <c r="C126" s="36"/>
      <c r="D126" s="36"/>
      <c r="E126" s="36"/>
      <c r="F126" s="36"/>
    </row>
    <row r="127" spans="2:8" x14ac:dyDescent="0.3">
      <c r="B127" s="8" t="s">
        <v>150</v>
      </c>
      <c r="C127" s="8" t="s">
        <v>151</v>
      </c>
      <c r="D127" s="8" t="s">
        <v>152</v>
      </c>
      <c r="E127" s="8" t="s">
        <v>202</v>
      </c>
      <c r="F127" s="8" t="s">
        <v>203</v>
      </c>
      <c r="G127" s="8" t="s">
        <v>204</v>
      </c>
    </row>
    <row r="128" spans="2:8" x14ac:dyDescent="0.3">
      <c r="B128" s="9">
        <v>1</v>
      </c>
      <c r="C128" s="12" t="s">
        <v>196</v>
      </c>
      <c r="D128" s="9" t="s">
        <v>176</v>
      </c>
      <c r="E128">
        <f>E111</f>
        <v>9795.6838170999963</v>
      </c>
      <c r="F128">
        <f>F111</f>
        <v>18511.367634199996</v>
      </c>
      <c r="G128" s="9" t="s">
        <v>229</v>
      </c>
    </row>
    <row r="129" spans="2:11" x14ac:dyDescent="0.3">
      <c r="C129" s="12"/>
      <c r="D129" s="12" t="s">
        <v>220</v>
      </c>
      <c r="E129">
        <f>E128/454</f>
        <v>21.576396072907482</v>
      </c>
      <c r="F129">
        <f>F128/454</f>
        <v>40.773937520264312</v>
      </c>
      <c r="G129" s="10"/>
    </row>
    <row r="130" spans="2:11" x14ac:dyDescent="0.3">
      <c r="B130" s="10">
        <v>2</v>
      </c>
      <c r="C130" s="12" t="s">
        <v>221</v>
      </c>
      <c r="D130" s="12"/>
      <c r="E130" s="22">
        <v>5.5</v>
      </c>
      <c r="F130" s="22">
        <v>5.5</v>
      </c>
      <c r="G130" s="10"/>
    </row>
    <row r="131" spans="2:11" x14ac:dyDescent="0.3">
      <c r="B131" s="10">
        <v>3</v>
      </c>
      <c r="C131" s="12" t="s">
        <v>222</v>
      </c>
      <c r="D131" s="12"/>
      <c r="E131" s="22">
        <v>0.92</v>
      </c>
      <c r="F131" s="22">
        <v>0.92</v>
      </c>
      <c r="G131" s="21"/>
      <c r="H131" s="21"/>
    </row>
    <row r="132" spans="2:11" x14ac:dyDescent="0.3">
      <c r="B132" s="9">
        <v>4</v>
      </c>
      <c r="C132" s="12" t="s">
        <v>223</v>
      </c>
      <c r="D132" s="12" t="s">
        <v>220</v>
      </c>
      <c r="E132">
        <f>(E129/E130)^(1/E131)</f>
        <v>4.4180946707725477</v>
      </c>
      <c r="F132">
        <f>(F129/F130)^(1/F131)</f>
        <v>8.8241701456024497</v>
      </c>
      <c r="G132" s="21"/>
      <c r="H132" s="21"/>
    </row>
    <row r="133" spans="2:11" x14ac:dyDescent="0.3">
      <c r="C133" s="12"/>
      <c r="D133" s="9" t="s">
        <v>176</v>
      </c>
      <c r="E133">
        <f>E132*454</f>
        <v>2005.8149805307366</v>
      </c>
      <c r="F133">
        <f>F132*454</f>
        <v>4006.1732461035122</v>
      </c>
      <c r="G133" s="10"/>
    </row>
    <row r="134" spans="2:11" x14ac:dyDescent="0.3">
      <c r="B134" s="9">
        <v>5</v>
      </c>
      <c r="C134" s="9" t="s">
        <v>200</v>
      </c>
      <c r="E134">
        <v>1.1000000000000001</v>
      </c>
      <c r="F134">
        <v>1.1000000000000001</v>
      </c>
      <c r="G134" s="10"/>
    </row>
    <row r="135" spans="2:11" x14ac:dyDescent="0.3">
      <c r="B135" s="9">
        <v>6</v>
      </c>
      <c r="C135" s="12" t="s">
        <v>224</v>
      </c>
      <c r="D135" s="9" t="s">
        <v>176</v>
      </c>
      <c r="E135">
        <f>E133*E134</f>
        <v>2206.3964785838107</v>
      </c>
      <c r="F135">
        <f>F133*F134</f>
        <v>4406.7905707138634</v>
      </c>
    </row>
    <row r="136" spans="2:11" x14ac:dyDescent="0.3">
      <c r="C136" s="12"/>
      <c r="D136" s="12"/>
    </row>
    <row r="137" spans="2:11" x14ac:dyDescent="0.3">
      <c r="B137" s="10">
        <v>7</v>
      </c>
      <c r="C137" s="12" t="s">
        <v>225</v>
      </c>
      <c r="D137" s="12"/>
      <c r="E137" s="22">
        <v>10.5</v>
      </c>
      <c r="F137" s="22">
        <v>10.5</v>
      </c>
    </row>
    <row r="138" spans="2:11" x14ac:dyDescent="0.3">
      <c r="B138" s="10">
        <v>8</v>
      </c>
      <c r="C138" s="12" t="s">
        <v>226</v>
      </c>
      <c r="D138" s="12"/>
      <c r="E138" s="22">
        <v>0.92</v>
      </c>
      <c r="F138" s="22">
        <v>0.92</v>
      </c>
    </row>
    <row r="139" spans="2:11" x14ac:dyDescent="0.3">
      <c r="B139" s="10">
        <v>9</v>
      </c>
      <c r="C139" s="12" t="s">
        <v>227</v>
      </c>
      <c r="D139" s="12" t="s">
        <v>220</v>
      </c>
      <c r="E139">
        <f>(E129/E137)^(1/E138)</f>
        <v>2.1877047155937142</v>
      </c>
      <c r="F139">
        <f>(F129/F137)^(1/F138)</f>
        <v>4.3694578946992406</v>
      </c>
    </row>
    <row r="140" spans="2:11" x14ac:dyDescent="0.3">
      <c r="C140" s="12"/>
      <c r="D140" s="9" t="s">
        <v>176</v>
      </c>
      <c r="E140">
        <f>E139*454</f>
        <v>993.21794087954618</v>
      </c>
      <c r="F140">
        <f>F139*454</f>
        <v>1983.7338841934552</v>
      </c>
    </row>
    <row r="141" spans="2:11" x14ac:dyDescent="0.3">
      <c r="B141" s="10">
        <v>10</v>
      </c>
      <c r="C141" s="9" t="s">
        <v>200</v>
      </c>
      <c r="E141">
        <v>1.1000000000000001</v>
      </c>
      <c r="F141">
        <v>1.1000000000000001</v>
      </c>
    </row>
    <row r="142" spans="2:11" x14ac:dyDescent="0.3">
      <c r="B142" s="10">
        <v>11</v>
      </c>
      <c r="C142" s="12" t="s">
        <v>228</v>
      </c>
      <c r="D142" s="9" t="s">
        <v>176</v>
      </c>
      <c r="E142">
        <f>E140*E141</f>
        <v>1092.5397349675009</v>
      </c>
      <c r="F142">
        <f>F140*F141</f>
        <v>2182.1072726128009</v>
      </c>
    </row>
    <row r="144" spans="2:11" x14ac:dyDescent="0.3">
      <c r="I144" s="41" t="s">
        <v>261</v>
      </c>
      <c r="J144" s="41"/>
      <c r="K144" s="41"/>
    </row>
    <row r="145" spans="1:17" x14ac:dyDescent="0.3">
      <c r="C145" s="40" t="s">
        <v>256</v>
      </c>
      <c r="D145" s="40"/>
      <c r="E145" s="40"/>
      <c r="F145" s="40"/>
      <c r="H145" t="s">
        <v>257</v>
      </c>
      <c r="I145" t="s">
        <v>151</v>
      </c>
      <c r="J145" t="s">
        <v>258</v>
      </c>
      <c r="K145" t="s">
        <v>272</v>
      </c>
    </row>
    <row r="146" spans="1:17" x14ac:dyDescent="0.3">
      <c r="B146" t="s">
        <v>257</v>
      </c>
      <c r="C146" t="s">
        <v>151</v>
      </c>
      <c r="D146" t="s">
        <v>258</v>
      </c>
      <c r="H146">
        <v>1</v>
      </c>
      <c r="I146" t="s">
        <v>262</v>
      </c>
      <c r="K146">
        <v>3</v>
      </c>
    </row>
    <row r="147" spans="1:17" x14ac:dyDescent="0.3">
      <c r="B147">
        <v>1</v>
      </c>
      <c r="C147" t="s">
        <v>259</v>
      </c>
      <c r="D147" t="s">
        <v>168</v>
      </c>
      <c r="E147">
        <f>E105</f>
        <v>40</v>
      </c>
      <c r="H147">
        <v>2</v>
      </c>
      <c r="I147" t="s">
        <v>273</v>
      </c>
      <c r="J147" s="25" t="s">
        <v>274</v>
      </c>
      <c r="K147">
        <f>(MAX(E108:F108)*K146)*9.81/1000</f>
        <v>562.65622728069411</v>
      </c>
    </row>
    <row r="148" spans="1:17" x14ac:dyDescent="0.3">
      <c r="B148">
        <v>2</v>
      </c>
      <c r="C148" t="s">
        <v>260</v>
      </c>
      <c r="D148" t="s">
        <v>138</v>
      </c>
      <c r="E148" t="s">
        <v>138</v>
      </c>
    </row>
    <row r="149" spans="1:17" x14ac:dyDescent="0.3">
      <c r="B149" t="s">
        <v>283</v>
      </c>
      <c r="C149" t="s">
        <v>281</v>
      </c>
      <c r="D149" t="s">
        <v>253</v>
      </c>
      <c r="E149" t="s">
        <v>253</v>
      </c>
    </row>
    <row r="150" spans="1:17" x14ac:dyDescent="0.3">
      <c r="B150" t="s">
        <v>284</v>
      </c>
      <c r="C150" t="s">
        <v>276</v>
      </c>
      <c r="D150" t="s">
        <v>179</v>
      </c>
      <c r="E150">
        <f>_xlfn.XLOOKUP(C150,'STANDARD DATA'!A34:A38,'STANDARD DATA'!D34:D38)</f>
        <v>158.84338498751282</v>
      </c>
    </row>
    <row r="155" spans="1:17" x14ac:dyDescent="0.3">
      <c r="A155" s="38" t="s">
        <v>254</v>
      </c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</row>
    <row r="156" spans="1:17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</row>
    <row r="158" spans="1:17" ht="18" x14ac:dyDescent="0.35">
      <c r="A158" s="39" t="s">
        <v>337</v>
      </c>
      <c r="B158" s="39"/>
      <c r="C158" s="39"/>
      <c r="D158" s="39"/>
      <c r="E158" s="39"/>
      <c r="F158" s="39"/>
      <c r="G158" s="39"/>
      <c r="H158" s="39"/>
      <c r="I158" s="39"/>
      <c r="J158" s="39"/>
    </row>
    <row r="159" spans="1:17" ht="14.4" customHeight="1" x14ac:dyDescent="0.3">
      <c r="A159" t="s">
        <v>314</v>
      </c>
      <c r="B159">
        <f>'Inputs and Layout'!B3</f>
        <v>6</v>
      </c>
    </row>
    <row r="160" spans="1:17" ht="18" customHeight="1" x14ac:dyDescent="0.3">
      <c r="A160" t="s">
        <v>315</v>
      </c>
      <c r="B160">
        <v>0.5</v>
      </c>
    </row>
    <row r="161" spans="1:3" x14ac:dyDescent="0.3">
      <c r="A161" t="s">
        <v>328</v>
      </c>
      <c r="B161">
        <f>'Design Calculations'!B8*9.81</f>
        <v>70.632000000000005</v>
      </c>
    </row>
    <row r="164" spans="1:3" x14ac:dyDescent="0.3">
      <c r="A164" t="str" cm="1">
        <f t="array" ref="A164:B176">INDEX('Inputs and Layout'!D52:E64, _xlfn.SEQUENCE(ROWS('Inputs and Layout'!D52:D64)), {2,1})</f>
        <v>Location-x</v>
      </c>
      <c r="B164" t="str">
        <v>Load Value(Tonnes)</v>
      </c>
      <c r="C164" t="s">
        <v>329</v>
      </c>
    </row>
    <row r="165" spans="1:3" x14ac:dyDescent="0.3">
      <c r="A165">
        <v>3</v>
      </c>
      <c r="B165">
        <v>0.1</v>
      </c>
      <c r="C165">
        <f t="shared" ref="C165:C176" si="6">B165*9.81</f>
        <v>0.98100000000000009</v>
      </c>
    </row>
    <row r="166" spans="1:3" x14ac:dyDescent="0.3">
      <c r="A166">
        <v>3</v>
      </c>
      <c r="B166">
        <v>1</v>
      </c>
      <c r="C166">
        <f t="shared" si="6"/>
        <v>9.81</v>
      </c>
    </row>
    <row r="167" spans="1:3" x14ac:dyDescent="0.3">
      <c r="A167">
        <v>6</v>
      </c>
      <c r="B167">
        <v>0.4</v>
      </c>
      <c r="C167">
        <f t="shared" si="6"/>
        <v>3.9240000000000004</v>
      </c>
    </row>
    <row r="168" spans="1:3" x14ac:dyDescent="0.3">
      <c r="A168">
        <v>3</v>
      </c>
      <c r="B168">
        <v>0.8</v>
      </c>
      <c r="C168">
        <f t="shared" si="6"/>
        <v>7.8480000000000008</v>
      </c>
    </row>
    <row r="169" spans="1:3" x14ac:dyDescent="0.3">
      <c r="A169">
        <v>3</v>
      </c>
      <c r="B169">
        <v>0.95</v>
      </c>
      <c r="C169">
        <f t="shared" si="6"/>
        <v>9.3194999999999997</v>
      </c>
    </row>
    <row r="170" spans="1:3" x14ac:dyDescent="0.3">
      <c r="A170">
        <v>6</v>
      </c>
      <c r="B170">
        <v>1.1000000000000001</v>
      </c>
      <c r="C170">
        <f t="shared" si="6"/>
        <v>10.791000000000002</v>
      </c>
    </row>
    <row r="171" spans="1:3" x14ac:dyDescent="0.3">
      <c r="A171">
        <v>3</v>
      </c>
      <c r="B171">
        <v>1.25</v>
      </c>
      <c r="C171">
        <f t="shared" si="6"/>
        <v>12.262500000000001</v>
      </c>
    </row>
    <row r="172" spans="1:3" x14ac:dyDescent="0.3">
      <c r="A172">
        <v>3</v>
      </c>
      <c r="B172">
        <v>1.4</v>
      </c>
      <c r="C172">
        <f t="shared" si="6"/>
        <v>13.734</v>
      </c>
    </row>
    <row r="173" spans="1:3" x14ac:dyDescent="0.3">
      <c r="A173">
        <v>6</v>
      </c>
      <c r="B173">
        <v>1.55</v>
      </c>
      <c r="C173">
        <f t="shared" si="6"/>
        <v>15.205500000000001</v>
      </c>
    </row>
    <row r="174" spans="1:3" x14ac:dyDescent="0.3">
      <c r="A174">
        <v>3</v>
      </c>
      <c r="B174">
        <v>1.7</v>
      </c>
      <c r="C174">
        <f t="shared" si="6"/>
        <v>16.677</v>
      </c>
    </row>
    <row r="175" spans="1:3" x14ac:dyDescent="0.3">
      <c r="A175">
        <v>3</v>
      </c>
      <c r="B175">
        <v>1.85</v>
      </c>
      <c r="C175">
        <f t="shared" si="6"/>
        <v>18.148500000000002</v>
      </c>
    </row>
    <row r="176" spans="1:3" x14ac:dyDescent="0.3">
      <c r="A176">
        <v>6</v>
      </c>
      <c r="B176">
        <v>2</v>
      </c>
      <c r="C176">
        <f t="shared" si="6"/>
        <v>19.62</v>
      </c>
    </row>
    <row r="179" spans="1:3" x14ac:dyDescent="0.3">
      <c r="A179" t="s">
        <v>345</v>
      </c>
      <c r="B179">
        <f>SUM(C165:C176)</f>
        <v>138.321</v>
      </c>
    </row>
    <row r="180" spans="1:3" x14ac:dyDescent="0.3">
      <c r="A180" t="s">
        <v>346</v>
      </c>
      <c r="B180">
        <f>B161+B179</f>
        <v>208.953</v>
      </c>
    </row>
    <row r="181" spans="1:3" x14ac:dyDescent="0.3">
      <c r="A181" t="s">
        <v>347</v>
      </c>
      <c r="B181">
        <f>B180/B159</f>
        <v>34.825499999999998</v>
      </c>
    </row>
    <row r="182" spans="1:3" x14ac:dyDescent="0.3">
      <c r="A182" t="s">
        <v>348</v>
      </c>
      <c r="B182">
        <f>B161/B159</f>
        <v>11.772</v>
      </c>
    </row>
    <row r="183" spans="1:3" x14ac:dyDescent="0.3">
      <c r="A183" t="s">
        <v>349</v>
      </c>
      <c r="B183">
        <f>B181-B182</f>
        <v>23.0535</v>
      </c>
    </row>
    <row r="187" spans="1:3" x14ac:dyDescent="0.3">
      <c r="A187" s="28" t="s">
        <v>377</v>
      </c>
      <c r="B187" s="28" t="s">
        <v>340</v>
      </c>
      <c r="C187" s="28" t="s">
        <v>341</v>
      </c>
    </row>
    <row r="188" spans="1:3" x14ac:dyDescent="0.3">
      <c r="A188" cm="1">
        <f t="array" ref="A188:A200">_xlfn.SEQUENCE(ROUND((B159/B160+1),0),1,0,B160)</f>
        <v>0</v>
      </c>
      <c r="B188">
        <f t="shared" ref="B188:B202" si="7">$B$183*A188 - SUMIFS($C$165:$C$176, $A$165:$A$176, "&lt;" &amp; A188)</f>
        <v>0</v>
      </c>
      <c r="C188" cm="1">
        <f t="array" ref="C188" xml:space="preserve"> ($B$183 * A188 * A188 / 2) - SUMPRODUCT( ($A$165:$A$176 &lt;= A188) * $C$165:$C$176 * (A188 - $A$165:$A$176) )</f>
        <v>0</v>
      </c>
    </row>
    <row r="189" spans="1:3" x14ac:dyDescent="0.3">
      <c r="A189">
        <v>0.5</v>
      </c>
      <c r="B189">
        <f t="shared" si="7"/>
        <v>11.52675</v>
      </c>
      <c r="C189" cm="1">
        <f t="array" ref="C189" xml:space="preserve"> ($B$183 * A189 * A189 / 2) - SUMPRODUCT( ($A$165:$A$176 &lt;= A189) * $C$165:$C$176 * (A189 - $A$165:$A$176) )</f>
        <v>2.8816875</v>
      </c>
    </row>
    <row r="190" spans="1:3" x14ac:dyDescent="0.3">
      <c r="A190">
        <v>1</v>
      </c>
      <c r="B190">
        <f t="shared" si="7"/>
        <v>23.0535</v>
      </c>
      <c r="C190" cm="1">
        <f t="array" ref="C190" xml:space="preserve"> ($B$183 * A190 * A190 / 2) - SUMPRODUCT( ($A$165:$A$176 &lt;= A190) * $C$165:$C$176 * (A190 - $A$165:$A$176) )</f>
        <v>11.52675</v>
      </c>
    </row>
    <row r="191" spans="1:3" x14ac:dyDescent="0.3">
      <c r="A191">
        <v>1.5</v>
      </c>
      <c r="B191">
        <f t="shared" si="7"/>
        <v>34.580249999999999</v>
      </c>
      <c r="C191" cm="1">
        <f t="array" ref="C191" xml:space="preserve"> ($B$183 * A191 * A191 / 2) - SUMPRODUCT( ($A$165:$A$176 &lt;= A191) * $C$165:$C$176 * (A191 - $A$165:$A$176) )</f>
        <v>25.935187499999998</v>
      </c>
    </row>
    <row r="192" spans="1:3" x14ac:dyDescent="0.3">
      <c r="A192">
        <v>2</v>
      </c>
      <c r="B192">
        <f t="shared" si="7"/>
        <v>46.106999999999999</v>
      </c>
      <c r="C192" cm="1">
        <f t="array" ref="C192" xml:space="preserve"> ($B$183 * A192 * A192 / 2) - SUMPRODUCT( ($A$165:$A$176 &lt;= A192) * $C$165:$C$176 * (A192 - $A$165:$A$176) )</f>
        <v>46.106999999999999</v>
      </c>
    </row>
    <row r="193" spans="1:10" x14ac:dyDescent="0.3">
      <c r="A193">
        <v>2.5</v>
      </c>
      <c r="B193">
        <f t="shared" si="7"/>
        <v>57.633749999999999</v>
      </c>
      <c r="C193" cm="1">
        <f t="array" ref="C193" xml:space="preserve"> ($B$183 * A193 * A193 / 2) - SUMPRODUCT( ($A$165:$A$176 &lt;= A193) * $C$165:$C$176 * (A193 - $A$165:$A$176) )</f>
        <v>72.042187499999997</v>
      </c>
    </row>
    <row r="194" spans="1:10" x14ac:dyDescent="0.3">
      <c r="A194">
        <v>3</v>
      </c>
      <c r="B194">
        <f t="shared" si="7"/>
        <v>69.160499999999999</v>
      </c>
      <c r="C194" cm="1">
        <f t="array" ref="C194" xml:space="preserve"> ($B$183 * A194 * A194 / 2) - SUMPRODUCT( ($A$165:$A$176 &lt;= A194) * $C$165:$C$176 * (A194 - $A$165:$A$176) )</f>
        <v>103.74074999999999</v>
      </c>
    </row>
    <row r="195" spans="1:10" x14ac:dyDescent="0.3">
      <c r="A195">
        <v>3.5</v>
      </c>
      <c r="B195">
        <f t="shared" si="7"/>
        <v>-8.0932499999999976</v>
      </c>
      <c r="C195" cm="1">
        <f t="array" ref="C195" xml:space="preserve"> ($B$183 * A195 * A195 / 2) - SUMPRODUCT( ($A$165:$A$176 &lt;= A195) * $C$165:$C$176 * (A195 - $A$165:$A$176) )</f>
        <v>96.812437500000016</v>
      </c>
    </row>
    <row r="196" spans="1:10" x14ac:dyDescent="0.3">
      <c r="A196">
        <v>4</v>
      </c>
      <c r="B196">
        <f t="shared" si="7"/>
        <v>3.4334999999999951</v>
      </c>
      <c r="C196" cm="1">
        <f t="array" ref="C196" xml:space="preserve"> ($B$183 * A196 * A196 / 2) - SUMPRODUCT( ($A$165:$A$176 &lt;= A196) * $C$165:$C$176 * (A196 - $A$165:$A$176) )</f>
        <v>95.647499999999994</v>
      </c>
    </row>
    <row r="197" spans="1:10" x14ac:dyDescent="0.3">
      <c r="A197">
        <v>4.5</v>
      </c>
      <c r="B197">
        <f t="shared" si="7"/>
        <v>14.960249999999988</v>
      </c>
      <c r="C197" cm="1">
        <f t="array" ref="C197" xml:space="preserve"> ($B$183 * A197 * A197 / 2) - SUMPRODUCT( ($A$165:$A$176 &lt;= A197) * $C$165:$C$176 * (A197 - $A$165:$A$176) )</f>
        <v>100.24593749999997</v>
      </c>
    </row>
    <row r="198" spans="1:10" x14ac:dyDescent="0.3">
      <c r="A198">
        <v>5</v>
      </c>
      <c r="B198">
        <f t="shared" si="7"/>
        <v>26.486999999999995</v>
      </c>
      <c r="C198" cm="1">
        <f t="array" ref="C198" xml:space="preserve"> ($B$183 * A198 * A198 / 2) - SUMPRODUCT( ($A$165:$A$176 &lt;= A198) * $C$165:$C$176 * (A198 - $A$165:$A$176) )</f>
        <v>110.60774999999998</v>
      </c>
    </row>
    <row r="199" spans="1:10" x14ac:dyDescent="0.3">
      <c r="A199">
        <v>5.5</v>
      </c>
      <c r="B199">
        <f t="shared" si="7"/>
        <v>38.013750000000002</v>
      </c>
      <c r="C199" cm="1">
        <f t="array" ref="C199" xml:space="preserve"> ($B$183 * A199 * A199 / 2) - SUMPRODUCT( ($A$165:$A$176 &lt;= A199) * $C$165:$C$176 * (A199 - $A$165:$A$176) )</f>
        <v>126.73293749999999</v>
      </c>
    </row>
    <row r="200" spans="1:10" x14ac:dyDescent="0.3">
      <c r="A200">
        <v>6</v>
      </c>
      <c r="B200">
        <f t="shared" si="7"/>
        <v>49.540499999999994</v>
      </c>
      <c r="C200" cm="1">
        <f t="array" ref="C200" xml:space="preserve"> ($B$183 * A200 * A200 / 2) - SUMPRODUCT( ($A$165:$A$176 &lt; A200) * $C$165:$C$176 * (A200 - $A$165:$A$176) )</f>
        <v>148.62149999999997</v>
      </c>
    </row>
    <row r="201" spans="1:10" x14ac:dyDescent="0.3">
      <c r="B201">
        <f t="shared" si="7"/>
        <v>0</v>
      </c>
      <c r="C201" cm="1">
        <f t="array" ref="C201" xml:space="preserve"> ($B$183 * A201 * A201 / 2) - SUMPRODUCT( ($A$165:$A$176 &lt;= A201) * $C$165:$C$176 * (A201 - $A$165:$A$176) )</f>
        <v>0</v>
      </c>
    </row>
    <row r="202" spans="1:10" x14ac:dyDescent="0.3">
      <c r="B202">
        <f t="shared" si="7"/>
        <v>0</v>
      </c>
      <c r="C202" cm="1">
        <f t="array" ref="C202" xml:space="preserve"> ($B$183 * A202 * A202 / 2) - SUMPRODUCT( ($A$165:$A$176 &lt;= A202) * $C$165:$C$176 * (A202 - $A$165:$A$176) )</f>
        <v>0</v>
      </c>
    </row>
    <row r="204" spans="1:10" ht="18" x14ac:dyDescent="0.35">
      <c r="A204" s="39" t="s">
        <v>338</v>
      </c>
      <c r="B204" s="39"/>
      <c r="C204" s="39"/>
      <c r="D204" s="39"/>
      <c r="E204" s="39"/>
      <c r="F204" s="39"/>
      <c r="G204" s="39"/>
      <c r="H204" s="39"/>
      <c r="I204" s="39"/>
      <c r="J204" s="39"/>
    </row>
    <row r="205" spans="1:10" x14ac:dyDescent="0.3">
      <c r="A205" t="s">
        <v>339</v>
      </c>
      <c r="B205">
        <f>'Design Calculations'!B3</f>
        <v>6</v>
      </c>
    </row>
    <row r="206" spans="1:10" x14ac:dyDescent="0.3">
      <c r="A206" t="s">
        <v>315</v>
      </c>
      <c r="B206">
        <v>0.5</v>
      </c>
    </row>
    <row r="207" spans="1:10" x14ac:dyDescent="0.3">
      <c r="A207" t="s">
        <v>330</v>
      </c>
      <c r="B207">
        <f>'Design Calculations'!B8*9.81</f>
        <v>70.632000000000005</v>
      </c>
    </row>
    <row r="210" spans="1:3" x14ac:dyDescent="0.3">
      <c r="A210" t="str" cm="1">
        <f t="array" ref="A210:B222">INDEX(CHOOSE({1,2},'Inputs and Layout'!D52:D64,'Inputs and Layout'!F52:F64),_xlfn.SEQUENCE(ROWS('Inputs and Layout'!D52:D64)),{2,1})</f>
        <v>Location-y</v>
      </c>
      <c r="B210" t="str">
        <v>Load Value(Tonnes)</v>
      </c>
      <c r="C210" t="s">
        <v>331</v>
      </c>
    </row>
    <row r="211" spans="1:3" x14ac:dyDescent="0.3">
      <c r="A211">
        <v>3</v>
      </c>
      <c r="B211">
        <v>0.1</v>
      </c>
      <c r="C211">
        <f t="shared" ref="C211:C222" si="8">B211*9.81</f>
        <v>0.98100000000000009</v>
      </c>
    </row>
    <row r="212" spans="1:3" x14ac:dyDescent="0.3">
      <c r="A212">
        <v>3</v>
      </c>
      <c r="B212">
        <v>1</v>
      </c>
      <c r="C212">
        <f t="shared" si="8"/>
        <v>9.81</v>
      </c>
    </row>
    <row r="213" spans="1:3" x14ac:dyDescent="0.3">
      <c r="A213">
        <v>6</v>
      </c>
      <c r="B213">
        <v>0.4</v>
      </c>
      <c r="C213">
        <f t="shared" si="8"/>
        <v>3.9240000000000004</v>
      </c>
    </row>
    <row r="214" spans="1:3" x14ac:dyDescent="0.3">
      <c r="A214">
        <v>3</v>
      </c>
      <c r="B214">
        <v>0.8</v>
      </c>
      <c r="C214">
        <f t="shared" si="8"/>
        <v>7.8480000000000008</v>
      </c>
    </row>
    <row r="215" spans="1:3" x14ac:dyDescent="0.3">
      <c r="A215">
        <v>3</v>
      </c>
      <c r="B215">
        <v>0.95</v>
      </c>
      <c r="C215">
        <f t="shared" si="8"/>
        <v>9.3194999999999997</v>
      </c>
    </row>
    <row r="216" spans="1:3" x14ac:dyDescent="0.3">
      <c r="A216">
        <v>6</v>
      </c>
      <c r="B216">
        <v>1.1000000000000001</v>
      </c>
      <c r="C216">
        <f t="shared" si="8"/>
        <v>10.791000000000002</v>
      </c>
    </row>
    <row r="217" spans="1:3" x14ac:dyDescent="0.3">
      <c r="A217">
        <v>3</v>
      </c>
      <c r="B217">
        <v>1.25</v>
      </c>
      <c r="C217">
        <f t="shared" si="8"/>
        <v>12.262500000000001</v>
      </c>
    </row>
    <row r="218" spans="1:3" x14ac:dyDescent="0.3">
      <c r="A218">
        <v>3</v>
      </c>
      <c r="B218">
        <v>1.4</v>
      </c>
      <c r="C218">
        <f t="shared" si="8"/>
        <v>13.734</v>
      </c>
    </row>
    <row r="219" spans="1:3" x14ac:dyDescent="0.3">
      <c r="A219">
        <v>6</v>
      </c>
      <c r="B219">
        <v>1.55</v>
      </c>
      <c r="C219">
        <f t="shared" si="8"/>
        <v>15.205500000000001</v>
      </c>
    </row>
    <row r="220" spans="1:3" x14ac:dyDescent="0.3">
      <c r="A220">
        <v>3</v>
      </c>
      <c r="B220">
        <v>1.7</v>
      </c>
      <c r="C220">
        <f t="shared" si="8"/>
        <v>16.677</v>
      </c>
    </row>
    <row r="221" spans="1:3" x14ac:dyDescent="0.3">
      <c r="A221">
        <v>3</v>
      </c>
      <c r="B221">
        <v>1.85</v>
      </c>
      <c r="C221">
        <f t="shared" si="8"/>
        <v>18.148500000000002</v>
      </c>
    </row>
    <row r="222" spans="1:3" x14ac:dyDescent="0.3">
      <c r="A222">
        <v>6</v>
      </c>
      <c r="B222">
        <v>2</v>
      </c>
      <c r="C222">
        <f t="shared" si="8"/>
        <v>19.62</v>
      </c>
    </row>
    <row r="226" spans="1:3" x14ac:dyDescent="0.3">
      <c r="A226" t="s">
        <v>332</v>
      </c>
      <c r="B226">
        <f>SUM(C211:C222)</f>
        <v>138.321</v>
      </c>
    </row>
    <row r="227" spans="1:3" x14ac:dyDescent="0.3">
      <c r="A227" t="s">
        <v>333</v>
      </c>
      <c r="B227">
        <f>B226+B207</f>
        <v>208.953</v>
      </c>
    </row>
    <row r="228" spans="1:3" x14ac:dyDescent="0.3">
      <c r="A228" t="s">
        <v>334</v>
      </c>
      <c r="B228">
        <f>B227/B205</f>
        <v>34.825499999999998</v>
      </c>
    </row>
    <row r="229" spans="1:3" x14ac:dyDescent="0.3">
      <c r="A229" t="s">
        <v>335</v>
      </c>
      <c r="B229">
        <f>B207/B205</f>
        <v>11.772</v>
      </c>
    </row>
    <row r="230" spans="1:3" x14ac:dyDescent="0.3">
      <c r="A230" t="s">
        <v>336</v>
      </c>
      <c r="B230">
        <f>B228-B229</f>
        <v>23.0535</v>
      </c>
    </row>
    <row r="233" spans="1:3" x14ac:dyDescent="0.3">
      <c r="A233" s="28" t="s">
        <v>377</v>
      </c>
      <c r="B233" s="28" t="s">
        <v>342</v>
      </c>
      <c r="C233" s="28" t="s">
        <v>343</v>
      </c>
    </row>
    <row r="234" spans="1:3" x14ac:dyDescent="0.3">
      <c r="A234" cm="1">
        <f t="array" ref="A234:A246">_xlfn.SEQUENCE(ROUND((B205/B206+1),0),1,0,B206)</f>
        <v>0</v>
      </c>
      <c r="B234">
        <f t="shared" ref="B234:B246" si="9">$B$230*A234 - SUMIFS($C$211:$C$222, $A$211:$A$222, "&lt;" &amp; A234)</f>
        <v>0</v>
      </c>
      <c r="C234" cm="1">
        <f t="array" ref="C234" xml:space="preserve"> ($B$230 * A234 * A234 / 2) - SUMPRODUCT( ($A$211:$A$222 &lt; A234) * $C$211:$C$222 * (A234 - $A$211:$A$222) )</f>
        <v>0</v>
      </c>
    </row>
    <row r="235" spans="1:3" x14ac:dyDescent="0.3">
      <c r="A235">
        <v>0.5</v>
      </c>
      <c r="B235">
        <f t="shared" si="9"/>
        <v>11.52675</v>
      </c>
      <c r="C235" cm="1">
        <f t="array" ref="C235" xml:space="preserve"> ($B$230 * A235 * A235 / 2) - SUMPRODUCT( ($A$211:$A$222 &lt; A235) * $C$211:$C$222 * (A235 - $A$211:$A$222) )</f>
        <v>2.8816875</v>
      </c>
    </row>
    <row r="236" spans="1:3" x14ac:dyDescent="0.3">
      <c r="A236">
        <v>1</v>
      </c>
      <c r="B236">
        <f t="shared" si="9"/>
        <v>23.0535</v>
      </c>
      <c r="C236" cm="1">
        <f t="array" ref="C236" xml:space="preserve"> ($B$230 * A236 * A236 / 2) - SUMPRODUCT( ($A$211:$A$222 &lt; A236) * $C$211:$C$222 * (A236 - $A$211:$A$222) )</f>
        <v>11.52675</v>
      </c>
    </row>
    <row r="237" spans="1:3" x14ac:dyDescent="0.3">
      <c r="A237">
        <v>1.5</v>
      </c>
      <c r="B237">
        <f t="shared" si="9"/>
        <v>34.580249999999999</v>
      </c>
      <c r="C237" cm="1">
        <f t="array" ref="C237" xml:space="preserve"> ($B$230 * A237 * A237 / 2) - SUMPRODUCT( ($A$211:$A$222 &lt; A237) * $C$211:$C$222 * (A237 - $A$211:$A$222) )</f>
        <v>25.935187499999998</v>
      </c>
    </row>
    <row r="238" spans="1:3" x14ac:dyDescent="0.3">
      <c r="A238">
        <v>2</v>
      </c>
      <c r="B238">
        <f t="shared" si="9"/>
        <v>46.106999999999999</v>
      </c>
      <c r="C238" cm="1">
        <f t="array" ref="C238" xml:space="preserve"> ($B$230 * A238 * A238 / 2) - SUMPRODUCT( ($A$211:$A$222 &lt; A238) * $C$211:$C$222 * (A238 - $A$211:$A$222) )</f>
        <v>46.106999999999999</v>
      </c>
    </row>
    <row r="239" spans="1:3" x14ac:dyDescent="0.3">
      <c r="A239">
        <v>2.5</v>
      </c>
      <c r="B239">
        <f t="shared" si="9"/>
        <v>57.633749999999999</v>
      </c>
      <c r="C239" cm="1">
        <f t="array" ref="C239" xml:space="preserve"> ($B$230 * A239 * A239 / 2) - SUMPRODUCT( ($A$211:$A$222 &lt; A239) * $C$211:$C$222 * (A239 - $A$211:$A$222) )</f>
        <v>72.042187499999997</v>
      </c>
    </row>
    <row r="240" spans="1:3" x14ac:dyDescent="0.3">
      <c r="A240">
        <v>3</v>
      </c>
      <c r="B240">
        <f t="shared" si="9"/>
        <v>69.160499999999999</v>
      </c>
      <c r="C240" cm="1">
        <f t="array" ref="C240" xml:space="preserve"> ($B$230 * A240 * A240 / 2) - SUMPRODUCT( ($A$211:$A$222 &lt; A240) * $C$211:$C$222 * (A240 - $A$211:$A$222) )</f>
        <v>103.74074999999999</v>
      </c>
    </row>
    <row r="241" spans="1:10" x14ac:dyDescent="0.3">
      <c r="A241">
        <v>3.5</v>
      </c>
      <c r="B241">
        <f t="shared" si="9"/>
        <v>-8.0932499999999976</v>
      </c>
      <c r="C241" cm="1">
        <f t="array" ref="C241" xml:space="preserve"> ($B$230 * A241 * A241 / 2) - SUMPRODUCT( ($A$211:$A$222 &lt; A241) * $C$211:$C$222 * (A241 - $A$211:$A$222) )</f>
        <v>96.812437500000016</v>
      </c>
    </row>
    <row r="242" spans="1:10" x14ac:dyDescent="0.3">
      <c r="A242">
        <v>4</v>
      </c>
      <c r="B242">
        <f t="shared" si="9"/>
        <v>3.4334999999999951</v>
      </c>
      <c r="C242" cm="1">
        <f t="array" ref="C242" xml:space="preserve"> ($B$230 * A242 * A242 / 2) - SUMPRODUCT( ($A$211:$A$222 &lt; A242) * $C$211:$C$222 * (A242 - $A$211:$A$222) )</f>
        <v>95.647499999999994</v>
      </c>
    </row>
    <row r="243" spans="1:10" x14ac:dyDescent="0.3">
      <c r="A243">
        <v>4.5</v>
      </c>
      <c r="B243">
        <f t="shared" si="9"/>
        <v>14.960249999999988</v>
      </c>
      <c r="C243" cm="1">
        <f t="array" ref="C243" xml:space="preserve"> ($B$230 * A243 * A243 / 2) - SUMPRODUCT( ($A$211:$A$222 &lt; A243) * $C$211:$C$222 * (A243 - $A$211:$A$222) )</f>
        <v>100.24593749999997</v>
      </c>
    </row>
    <row r="244" spans="1:10" x14ac:dyDescent="0.3">
      <c r="A244">
        <v>5</v>
      </c>
      <c r="B244">
        <f t="shared" si="9"/>
        <v>26.486999999999995</v>
      </c>
      <c r="C244" cm="1">
        <f t="array" ref="C244" xml:space="preserve"> ($B$230 * A244 * A244 / 2) - SUMPRODUCT( ($A$211:$A$222 &lt; A244) * $C$211:$C$222 * (A244 - $A$211:$A$222) )</f>
        <v>110.60774999999998</v>
      </c>
    </row>
    <row r="245" spans="1:10" x14ac:dyDescent="0.3">
      <c r="A245">
        <v>5.5</v>
      </c>
      <c r="B245">
        <f t="shared" si="9"/>
        <v>38.013750000000002</v>
      </c>
      <c r="C245" cm="1">
        <f t="array" ref="C245" xml:space="preserve"> ($B$230 * A245 * A245 / 2) - SUMPRODUCT( ($A$211:$A$222 &lt; A245) * $C$211:$C$222 * (A245 - $A$211:$A$222) )</f>
        <v>126.73293749999999</v>
      </c>
    </row>
    <row r="246" spans="1:10" x14ac:dyDescent="0.3">
      <c r="A246">
        <v>6</v>
      </c>
      <c r="B246">
        <f t="shared" si="9"/>
        <v>49.540499999999994</v>
      </c>
      <c r="C246" cm="1">
        <f t="array" ref="C246" xml:space="preserve"> ($B$230 * A246 * A246 / 2) - SUMPRODUCT( ($A$211:$A$222 &lt; A246) * $C$211:$C$222 * (A246 - $A$211:$A$222) )</f>
        <v>148.62149999999997</v>
      </c>
    </row>
    <row r="253" spans="1:10" x14ac:dyDescent="0.3">
      <c r="A253" s="36" t="s">
        <v>379</v>
      </c>
      <c r="B253" s="36"/>
      <c r="C253" s="36"/>
      <c r="D253" s="36"/>
      <c r="E253" s="36"/>
    </row>
    <row r="254" spans="1:10" x14ac:dyDescent="0.3">
      <c r="A254" s="7" t="s">
        <v>316</v>
      </c>
      <c r="B254" s="7" t="s">
        <v>151</v>
      </c>
      <c r="C254" s="7" t="s">
        <v>152</v>
      </c>
      <c r="D254" s="7" t="s">
        <v>369</v>
      </c>
      <c r="E254" s="7" t="s">
        <v>370</v>
      </c>
    </row>
    <row r="255" spans="1:10" x14ac:dyDescent="0.3">
      <c r="A255" s="25">
        <v>1</v>
      </c>
      <c r="B255" t="s">
        <v>318</v>
      </c>
      <c r="C255" t="s">
        <v>327</v>
      </c>
      <c r="D255" cm="1">
        <f t="array" ref="D255">MAX(ABS('Design Calculations'!C188:C202))</f>
        <v>148.62149999999997</v>
      </c>
      <c r="E255" cm="1">
        <f t="array" ref="E255">MAX(ABS('Design Calculations'!C234:C246))</f>
        <v>148.62149999999997</v>
      </c>
      <c r="G255" s="37" t="s">
        <v>380</v>
      </c>
      <c r="H255" s="37"/>
      <c r="I255" s="37"/>
    </row>
    <row r="256" spans="1:10" x14ac:dyDescent="0.3">
      <c r="B256" t="s">
        <v>323</v>
      </c>
      <c r="D256" t="s">
        <v>321</v>
      </c>
      <c r="G256" s="23" t="s">
        <v>319</v>
      </c>
      <c r="H256" s="23" t="s">
        <v>324</v>
      </c>
      <c r="I256" s="23"/>
      <c r="J256" s="23"/>
    </row>
    <row r="257" spans="1:10" x14ac:dyDescent="0.3">
      <c r="B257" t="s">
        <v>325</v>
      </c>
      <c r="D257">
        <f>_xlfn.XLOOKUP(D256,G257:G259,H257:H259)</f>
        <v>0.3</v>
      </c>
      <c r="G257" s="24" t="s">
        <v>320</v>
      </c>
      <c r="H257" t="s">
        <v>326</v>
      </c>
      <c r="I257" s="24"/>
      <c r="J257" s="24"/>
    </row>
    <row r="258" spans="1:10" x14ac:dyDescent="0.3">
      <c r="G258" s="24" t="s">
        <v>321</v>
      </c>
      <c r="H258">
        <v>0.3</v>
      </c>
      <c r="I258" s="24"/>
      <c r="J258" s="24"/>
    </row>
    <row r="259" spans="1:10" x14ac:dyDescent="0.3">
      <c r="A259">
        <v>2</v>
      </c>
      <c r="B259" t="s">
        <v>317</v>
      </c>
      <c r="C259" t="s">
        <v>327</v>
      </c>
      <c r="D259">
        <f>D257*B3*B2^2</f>
        <v>64.8</v>
      </c>
      <c r="G259" s="24" t="s">
        <v>322</v>
      </c>
      <c r="H259" s="24">
        <v>0.15</v>
      </c>
      <c r="I259" s="24"/>
      <c r="J259" s="24"/>
    </row>
    <row r="260" spans="1:10" x14ac:dyDescent="0.3">
      <c r="A260">
        <v>3</v>
      </c>
      <c r="B260" t="s">
        <v>373</v>
      </c>
      <c r="C260" t="s">
        <v>374</v>
      </c>
      <c r="D260">
        <v>175</v>
      </c>
      <c r="E260">
        <v>175</v>
      </c>
    </row>
    <row r="261" spans="1:10" x14ac:dyDescent="0.3">
      <c r="A261">
        <v>4</v>
      </c>
      <c r="B261" t="s">
        <v>378</v>
      </c>
      <c r="C261" t="s">
        <v>375</v>
      </c>
      <c r="D261">
        <f>(D259+D255)*1000/D260</f>
        <v>1219.5514285714285</v>
      </c>
      <c r="E261">
        <f>(E259+E255)*1000/E260</f>
        <v>849.26571428571413</v>
      </c>
    </row>
    <row r="262" spans="1:10" x14ac:dyDescent="0.3">
      <c r="A262">
        <v>5</v>
      </c>
    </row>
  </sheetData>
  <mergeCells count="22">
    <mergeCell ref="A1:E1"/>
    <mergeCell ref="J95:M95"/>
    <mergeCell ref="B94:F94"/>
    <mergeCell ref="B118:H118"/>
    <mergeCell ref="C40:D40"/>
    <mergeCell ref="C47:D47"/>
    <mergeCell ref="F47:G47"/>
    <mergeCell ref="A21:Q21"/>
    <mergeCell ref="A63:Q63"/>
    <mergeCell ref="A253:E253"/>
    <mergeCell ref="G255:I255"/>
    <mergeCell ref="B126:F126"/>
    <mergeCell ref="B86:F86"/>
    <mergeCell ref="B65:D65"/>
    <mergeCell ref="B69:F69"/>
    <mergeCell ref="B78:F78"/>
    <mergeCell ref="A155:Q156"/>
    <mergeCell ref="A158:J158"/>
    <mergeCell ref="A204:J204"/>
    <mergeCell ref="C145:F145"/>
    <mergeCell ref="I144:K144"/>
    <mergeCell ref="J94:Q94"/>
  </mergeCells>
  <dataValidations count="1">
    <dataValidation type="list" allowBlank="1" showInputMessage="1" showErrorMessage="1" sqref="D256" xr:uid="{FBC027AB-437E-4D37-9249-FE107D17D3EE}">
      <formula1>$G$257:$G$259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BFEE2B-7912-45FE-B351-52F5EFD41151}">
          <x14:formula1>
            <xm:f>'STANDARD DATA'!$A$29:$A$30</xm:f>
          </x14:formula1>
          <xm:sqref>C149</xm:sqref>
        </x14:dataValidation>
        <x14:dataValidation type="list" allowBlank="1" showInputMessage="1" showErrorMessage="1" xr:uid="{FBCD29AC-01FA-4193-852B-F1E798BE6719}">
          <x14:formula1>
            <xm:f>_xlfn.XLOOKUP($C$149,'STANDARD DATA'!$A$29:$A$30,'STANDARD DATA'!$B$29:$F$30)</xm:f>
          </x14:formula1>
          <xm:sqref>C150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07C-7A3C-447C-862B-217BBB409DE5}">
  <dimension ref="A1"/>
  <sheetViews>
    <sheetView zoomScale="72" workbookViewId="0">
      <selection activeCell="N33" sqref="N3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9A49-F633-4E0B-9F77-00815A8BAD01}">
  <dimension ref="A3:M166"/>
  <sheetViews>
    <sheetView topLeftCell="A19" zoomScale="72" workbookViewId="0">
      <selection activeCell="M30" sqref="M30"/>
    </sheetView>
  </sheetViews>
  <sheetFormatPr defaultRowHeight="14.4" x14ac:dyDescent="0.3"/>
  <cols>
    <col min="2" max="2" width="24" customWidth="1"/>
    <col min="3" max="3" width="28.88671875" customWidth="1"/>
    <col min="4" max="4" width="25.88671875" customWidth="1"/>
    <col min="5" max="5" width="22.33203125" customWidth="1"/>
    <col min="6" max="6" width="14.6640625" customWidth="1"/>
    <col min="7" max="7" width="8.88671875" customWidth="1"/>
  </cols>
  <sheetData>
    <row r="3" spans="1:12" x14ac:dyDescent="0.3">
      <c r="A3" s="49" t="s">
        <v>351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5" spans="1:12" x14ac:dyDescent="0.3">
      <c r="B5" s="51" t="s">
        <v>372</v>
      </c>
      <c r="C5" s="51"/>
    </row>
    <row r="7" spans="1:12" x14ac:dyDescent="0.3">
      <c r="B7" s="51" t="s">
        <v>371</v>
      </c>
      <c r="C7" s="51"/>
    </row>
    <row r="11" spans="1:12" x14ac:dyDescent="0.3">
      <c r="B11" s="50" t="s">
        <v>352</v>
      </c>
      <c r="C11" s="50"/>
    </row>
    <row r="12" spans="1:12" x14ac:dyDescent="0.3">
      <c r="B12" t="str" cm="1">
        <f t="array" ref="B12:C19">'Project Details'!A1:B8</f>
        <v>Project Name</v>
      </c>
      <c r="C12" t="str">
        <v>xyz</v>
      </c>
    </row>
    <row r="13" spans="1:12" x14ac:dyDescent="0.3">
      <c r="B13" t="str">
        <v>Company Name</v>
      </c>
      <c r="C13" t="str">
        <v>xyz</v>
      </c>
    </row>
    <row r="14" spans="1:12" x14ac:dyDescent="0.3">
      <c r="B14" t="str">
        <v>Client Name</v>
      </c>
      <c r="C14" t="str">
        <v>xyz</v>
      </c>
    </row>
    <row r="15" spans="1:12" x14ac:dyDescent="0.3">
      <c r="B15" t="str">
        <v>Moblie Number</v>
      </c>
      <c r="C15" t="str">
        <v>999XXXXX</v>
      </c>
    </row>
    <row r="16" spans="1:12" x14ac:dyDescent="0.3">
      <c r="B16" t="str">
        <v>Email ID</v>
      </c>
      <c r="C16" t="str">
        <v>xyz</v>
      </c>
    </row>
    <row r="17" spans="2:13" x14ac:dyDescent="0.3">
      <c r="B17">
        <v>0</v>
      </c>
      <c r="C17">
        <v>0</v>
      </c>
    </row>
    <row r="18" spans="2:13" x14ac:dyDescent="0.3">
      <c r="B18" t="str">
        <v>Domain</v>
      </c>
      <c r="C18" t="str">
        <v>Shipping</v>
      </c>
    </row>
    <row r="19" spans="2:13" x14ac:dyDescent="0.3">
      <c r="B19" t="str">
        <v>Project Description</v>
      </c>
      <c r="C19" t="str">
        <v>abc</v>
      </c>
    </row>
    <row r="21" spans="2:13" x14ac:dyDescent="0.3">
      <c r="B21" s="51" t="s">
        <v>357</v>
      </c>
      <c r="C21" s="51"/>
    </row>
    <row r="22" spans="2:13" x14ac:dyDescent="0.3">
      <c r="B22" t="str" cm="1">
        <f t="array" ref="B22:C37">'Inputs and Layout'!A1:B16</f>
        <v>Float Selection</v>
      </c>
      <c r="C22" t="str">
        <v>MODULAR_BARGE</v>
      </c>
    </row>
    <row r="23" spans="2:13" x14ac:dyDescent="0.3">
      <c r="B23" t="str">
        <v xml:space="preserve">Site Conditions </v>
      </c>
      <c r="C23">
        <v>0</v>
      </c>
    </row>
    <row r="24" spans="2:13" x14ac:dyDescent="0.3">
      <c r="B24" t="str">
        <v>LENGTH</v>
      </c>
      <c r="C24">
        <v>6</v>
      </c>
    </row>
    <row r="25" spans="2:13" x14ac:dyDescent="0.3">
      <c r="B25" t="str">
        <v>WIDTH</v>
      </c>
      <c r="C25">
        <v>6</v>
      </c>
    </row>
    <row r="26" spans="2:13" x14ac:dyDescent="0.3">
      <c r="B26" t="str">
        <v>water body</v>
      </c>
      <c r="C26" t="str">
        <v>Ocean</v>
      </c>
    </row>
    <row r="27" spans="2:13" x14ac:dyDescent="0.3">
      <c r="B27" t="str">
        <v>max water depth</v>
      </c>
      <c r="C27">
        <v>10</v>
      </c>
    </row>
    <row r="28" spans="2:13" x14ac:dyDescent="0.3">
      <c r="B28" t="str">
        <v>min water depth</v>
      </c>
      <c r="C28">
        <v>2</v>
      </c>
    </row>
    <row r="29" spans="2:13" x14ac:dyDescent="0.3">
      <c r="B29" t="str">
        <v>current speed</v>
      </c>
      <c r="C29">
        <v>1</v>
      </c>
    </row>
    <row r="30" spans="2:13" x14ac:dyDescent="0.3">
      <c r="B30" t="str">
        <v>wind velocity</v>
      </c>
      <c r="C30">
        <v>41.73</v>
      </c>
      <c r="M30" t="s">
        <v>383</v>
      </c>
    </row>
    <row r="31" spans="2:13" x14ac:dyDescent="0.3">
      <c r="B31" t="str">
        <v>wave height</v>
      </c>
      <c r="C31">
        <v>0.6</v>
      </c>
    </row>
    <row r="32" spans="2:13" x14ac:dyDescent="0.3">
      <c r="B32" t="str">
        <v>Drag Coefficient - X</v>
      </c>
      <c r="C32">
        <v>1</v>
      </c>
    </row>
    <row r="33" spans="2:4" x14ac:dyDescent="0.3">
      <c r="B33" t="str">
        <v>Drag Coefficient - Y</v>
      </c>
      <c r="C33">
        <v>2</v>
      </c>
    </row>
    <row r="34" spans="2:4" x14ac:dyDescent="0.3">
      <c r="B34" t="str">
        <v>Scope to Water Depth Ratio</v>
      </c>
      <c r="C34">
        <v>4</v>
      </c>
    </row>
    <row r="35" spans="2:4" x14ac:dyDescent="0.3">
      <c r="B35" t="str">
        <v>Type of Soil</v>
      </c>
      <c r="C35" t="str">
        <v>Quartz</v>
      </c>
    </row>
    <row r="36" spans="2:4" x14ac:dyDescent="0.3">
      <c r="B36" t="str">
        <v>Material of Anchor</v>
      </c>
      <c r="C36" t="str">
        <v>smooth steel</v>
      </c>
    </row>
    <row r="37" spans="2:4" x14ac:dyDescent="0.3">
      <c r="B37" t="str">
        <v>additional Information</v>
      </c>
      <c r="C37">
        <v>0</v>
      </c>
    </row>
    <row r="39" spans="2:4" x14ac:dyDescent="0.3">
      <c r="B39" s="51" t="s">
        <v>14</v>
      </c>
      <c r="C39" s="51"/>
      <c r="D39" s="51"/>
    </row>
    <row r="40" spans="2:4" x14ac:dyDescent="0.3">
      <c r="B40" t="str" cm="1">
        <f t="array" ref="B40:D52">'Inputs and Layout'!A21:C33</f>
        <v>FLOAT SIZE</v>
      </c>
      <c r="C40" t="str">
        <v>X-COORDINATE</v>
      </c>
      <c r="D40" t="str">
        <v>Y-COORDINATE</v>
      </c>
    </row>
    <row r="41" spans="2:4" x14ac:dyDescent="0.3">
      <c r="B41" t="str">
        <v>MB_3x3x1.2</v>
      </c>
      <c r="C41">
        <v>1.5</v>
      </c>
      <c r="D41">
        <v>1.5</v>
      </c>
    </row>
    <row r="42" spans="2:4" x14ac:dyDescent="0.3">
      <c r="B42" t="str">
        <v>MB_3x3x1.2</v>
      </c>
      <c r="C42">
        <v>4.5</v>
      </c>
      <c r="D42">
        <v>1.5</v>
      </c>
    </row>
    <row r="43" spans="2:4" x14ac:dyDescent="0.3">
      <c r="B43" t="str">
        <v>MB_6x3x1.2</v>
      </c>
      <c r="C43">
        <v>3</v>
      </c>
      <c r="D43">
        <v>4.5</v>
      </c>
    </row>
    <row r="44" spans="2:4" x14ac:dyDescent="0.3">
      <c r="B44" t="str">
        <v>NONE3</v>
      </c>
      <c r="C44">
        <v>0</v>
      </c>
      <c r="D44">
        <v>0</v>
      </c>
    </row>
    <row r="45" spans="2:4" x14ac:dyDescent="0.3">
      <c r="B45" t="str">
        <v>NONE3</v>
      </c>
      <c r="C45">
        <v>0</v>
      </c>
      <c r="D45">
        <v>0</v>
      </c>
    </row>
    <row r="46" spans="2:4" x14ac:dyDescent="0.3">
      <c r="B46" t="str">
        <v>NONE3</v>
      </c>
      <c r="C46">
        <v>0</v>
      </c>
      <c r="D46">
        <v>0</v>
      </c>
    </row>
    <row r="47" spans="2:4" x14ac:dyDescent="0.3">
      <c r="B47" t="str">
        <v>NONE3</v>
      </c>
      <c r="C47">
        <v>0</v>
      </c>
      <c r="D47">
        <v>0</v>
      </c>
    </row>
    <row r="48" spans="2:4" x14ac:dyDescent="0.3">
      <c r="B48" t="str">
        <v>NONE3</v>
      </c>
      <c r="C48">
        <v>0</v>
      </c>
      <c r="D48">
        <v>0</v>
      </c>
    </row>
    <row r="49" spans="2:9" x14ac:dyDescent="0.3">
      <c r="B49" t="str">
        <v>NONE3</v>
      </c>
      <c r="C49">
        <v>0</v>
      </c>
      <c r="D49">
        <v>0</v>
      </c>
    </row>
    <row r="50" spans="2:9" x14ac:dyDescent="0.3">
      <c r="B50" t="str">
        <v>NONE3</v>
      </c>
      <c r="C50">
        <v>0</v>
      </c>
      <c r="D50">
        <v>0</v>
      </c>
    </row>
    <row r="51" spans="2:9" x14ac:dyDescent="0.3">
      <c r="B51" t="str">
        <v>NONE3</v>
      </c>
      <c r="C51">
        <v>0</v>
      </c>
      <c r="D51">
        <v>0</v>
      </c>
    </row>
    <row r="52" spans="2:9" x14ac:dyDescent="0.3">
      <c r="B52" t="str">
        <v>NONE3</v>
      </c>
      <c r="C52">
        <v>0</v>
      </c>
      <c r="D52">
        <v>0</v>
      </c>
    </row>
    <row r="54" spans="2:9" x14ac:dyDescent="0.3">
      <c r="B54" s="51" t="s">
        <v>358</v>
      </c>
      <c r="C54" s="51"/>
      <c r="D54" s="51"/>
      <c r="E54" s="51"/>
      <c r="F54" s="51"/>
      <c r="G54" s="51"/>
      <c r="H54" s="51"/>
      <c r="I54" s="51"/>
    </row>
    <row r="57" spans="2:9" x14ac:dyDescent="0.3">
      <c r="B57" s="52" t="s">
        <v>359</v>
      </c>
      <c r="C57" s="52"/>
      <c r="D57" s="52"/>
      <c r="E57" s="52"/>
      <c r="F57" s="52"/>
    </row>
    <row r="58" spans="2:9" x14ac:dyDescent="0.3">
      <c r="B58" t="str" cm="1">
        <f t="array" ref="B58:F71">'Design Calculations'!A2:E15</f>
        <v>VESSEL LENGTH</v>
      </c>
      <c r="C58">
        <v>6</v>
      </c>
      <c r="D58" t="str">
        <v xml:space="preserve"> </v>
      </c>
      <c r="E58" t="str">
        <v>Minimum Freeboard</v>
      </c>
      <c r="F58">
        <v>0.4</v>
      </c>
    </row>
    <row r="59" spans="2:9" x14ac:dyDescent="0.3">
      <c r="B59" t="str">
        <v>VESSEL WIDTH</v>
      </c>
      <c r="C59">
        <v>6</v>
      </c>
      <c r="D59" t="str">
        <v xml:space="preserve">  </v>
      </c>
      <c r="E59" t="str">
        <v>Maximum Draft</v>
      </c>
      <c r="F59">
        <v>0.8</v>
      </c>
    </row>
    <row r="60" spans="2:9" x14ac:dyDescent="0.3">
      <c r="B60" t="str">
        <v>VESSEL DEPTH</v>
      </c>
      <c r="C60">
        <v>1.2</v>
      </c>
      <c r="D60" t="str">
        <v xml:space="preserve"> pick First Value which is 1.2 it from SD from Height </v>
      </c>
      <c r="E60" t="str">
        <v>Drag Coefficient - X</v>
      </c>
      <c r="F60">
        <v>1</v>
      </c>
    </row>
    <row r="61" spans="2:9" x14ac:dyDescent="0.3">
      <c r="B61" t="str">
        <v>WIND SPEED</v>
      </c>
      <c r="C61">
        <v>41.73</v>
      </c>
      <c r="D61" t="str">
        <v xml:space="preserve"> </v>
      </c>
      <c r="E61" t="str">
        <v>Drag Coefficient - Y</v>
      </c>
      <c r="F61">
        <v>2</v>
      </c>
    </row>
    <row r="62" spans="2:9" x14ac:dyDescent="0.3">
      <c r="B62" t="str">
        <v>CURRENT SPEED</v>
      </c>
      <c r="C62">
        <v>1</v>
      </c>
      <c r="D62" t="str">
        <v xml:space="preserve">  </v>
      </c>
      <c r="E62" t="str">
        <v>water depth</v>
      </c>
      <c r="F62">
        <v>10</v>
      </c>
    </row>
    <row r="63" spans="2:9" x14ac:dyDescent="0.3">
      <c r="B63" t="str">
        <v>WAVE HEIGHT</v>
      </c>
      <c r="C63">
        <v>0.6</v>
      </c>
      <c r="D63" t="str">
        <v xml:space="preserve">  </v>
      </c>
      <c r="E63" t="str">
        <v>Scope to Water Depth Ratio</v>
      </c>
      <c r="F63">
        <v>4</v>
      </c>
    </row>
    <row r="64" spans="2:9" x14ac:dyDescent="0.3">
      <c r="B64" t="str">
        <v>VESSEL WEIGHT</v>
      </c>
      <c r="C64">
        <v>7.2</v>
      </c>
      <c r="D64" t="str">
        <v xml:space="preserve">  </v>
      </c>
      <c r="E64" t="str">
        <v xml:space="preserve"> </v>
      </c>
      <c r="F64" t="str">
        <v xml:space="preserve"> </v>
      </c>
    </row>
    <row r="65" spans="2:6" x14ac:dyDescent="0.3">
      <c r="B65" t="str">
        <v>VESSEL COG-X</v>
      </c>
      <c r="C65">
        <v>3</v>
      </c>
      <c r="D65" t="str">
        <v xml:space="preserve"> </v>
      </c>
      <c r="E65" t="str">
        <v xml:space="preserve"> </v>
      </c>
      <c r="F65" t="str">
        <v xml:space="preserve"> </v>
      </c>
    </row>
    <row r="66" spans="2:6" x14ac:dyDescent="0.3">
      <c r="B66" t="str">
        <v>VESSEL COG-Y</v>
      </c>
      <c r="C66">
        <v>3</v>
      </c>
      <c r="D66" t="str">
        <v xml:space="preserve"> </v>
      </c>
      <c r="E66" t="str">
        <v xml:space="preserve"> </v>
      </c>
      <c r="F66" t="str">
        <v xml:space="preserve"> </v>
      </c>
    </row>
    <row r="67" spans="2:6" x14ac:dyDescent="0.3">
      <c r="B67" t="str">
        <v>VESSEL COG-Z</v>
      </c>
      <c r="C67">
        <v>0.6</v>
      </c>
      <c r="D67" t="str">
        <v xml:space="preserve"> </v>
      </c>
      <c r="E67" t="str">
        <v xml:space="preserve"> </v>
      </c>
      <c r="F67" t="str">
        <v xml:space="preserve"> </v>
      </c>
    </row>
    <row r="68" spans="2:6" x14ac:dyDescent="0.3">
      <c r="B68" t="str">
        <v>MOI-X</v>
      </c>
      <c r="C68">
        <v>108</v>
      </c>
      <c r="D68" t="str">
        <v xml:space="preserve"> </v>
      </c>
      <c r="E68" t="str">
        <v xml:space="preserve"> </v>
      </c>
      <c r="F68" t="str">
        <v xml:space="preserve"> </v>
      </c>
    </row>
    <row r="69" spans="2:6" x14ac:dyDescent="0.3">
      <c r="B69" t="str">
        <v>MOI-Y</v>
      </c>
      <c r="C69">
        <v>108</v>
      </c>
      <c r="D69" t="str">
        <v xml:space="preserve"> </v>
      </c>
      <c r="E69" t="str">
        <v xml:space="preserve"> </v>
      </c>
      <c r="F69" t="str">
        <v xml:space="preserve"> </v>
      </c>
    </row>
    <row r="70" spans="2:6" x14ac:dyDescent="0.3">
      <c r="B70" t="str">
        <v>VESSEL BUOYANCY</v>
      </c>
      <c r="C70">
        <v>1</v>
      </c>
      <c r="D70" t="str">
        <v xml:space="preserve"> </v>
      </c>
      <c r="E70" t="str">
        <v xml:space="preserve"> </v>
      </c>
      <c r="F70" t="str">
        <v xml:space="preserve"> </v>
      </c>
    </row>
    <row r="71" spans="2:6" x14ac:dyDescent="0.3">
      <c r="B71" t="str">
        <v>TOTAL AREA</v>
      </c>
      <c r="C71">
        <v>36</v>
      </c>
      <c r="D71" t="str">
        <v xml:space="preserve"> </v>
      </c>
      <c r="E71" t="str">
        <v xml:space="preserve"> </v>
      </c>
      <c r="F71" t="str">
        <v xml:space="preserve"> </v>
      </c>
    </row>
    <row r="73" spans="2:6" x14ac:dyDescent="0.3">
      <c r="B73" s="52" t="s">
        <v>365</v>
      </c>
      <c r="C73" s="52"/>
      <c r="D73" s="52"/>
      <c r="E73" s="52"/>
      <c r="F73" s="52"/>
    </row>
    <row r="75" spans="2:6" x14ac:dyDescent="0.3">
      <c r="B75" s="53" t="s">
        <v>360</v>
      </c>
      <c r="C75" s="53"/>
    </row>
    <row r="76" spans="2:6" x14ac:dyDescent="0.3">
      <c r="B76" t="str" cm="1">
        <f t="array" ref="B76:C79">'Design Calculations'!C41:D44</f>
        <v>Total Buoyancy</v>
      </c>
      <c r="C76">
        <v>43.199999999999996</v>
      </c>
    </row>
    <row r="77" spans="2:6" x14ac:dyDescent="0.3">
      <c r="B77" t="str">
        <v>Reserved Buoyancy</v>
      </c>
      <c r="C77">
        <v>21.899999999999995</v>
      </c>
    </row>
    <row r="78" spans="2:6" x14ac:dyDescent="0.3">
      <c r="B78" t="str">
        <v>Draft</v>
      </c>
      <c r="C78">
        <v>0.59166666666666679</v>
      </c>
    </row>
    <row r="79" spans="2:6" x14ac:dyDescent="0.3">
      <c r="B79" t="str">
        <v>Freeboard</v>
      </c>
      <c r="C79">
        <v>0.60833333333333317</v>
      </c>
    </row>
    <row r="81" spans="2:3" x14ac:dyDescent="0.3">
      <c r="B81" s="53" t="s">
        <v>361</v>
      </c>
      <c r="C81" s="53"/>
    </row>
    <row r="82" spans="2:3" x14ac:dyDescent="0.3">
      <c r="B82" t="str" cm="1">
        <f t="array" ref="B82:C91">'Design Calculations'!C48:D57</f>
        <v>COB</v>
      </c>
      <c r="C82">
        <v>0.29583333333333339</v>
      </c>
    </row>
    <row r="83" spans="2:3" x14ac:dyDescent="0.3">
      <c r="B83" t="str">
        <v>COG-Z</v>
      </c>
      <c r="C83">
        <v>0.99718309859154941</v>
      </c>
    </row>
    <row r="84" spans="2:3" x14ac:dyDescent="0.3">
      <c r="B84" t="str">
        <v>BM, I/V, X</v>
      </c>
      <c r="C84">
        <v>5.0704225352112671</v>
      </c>
    </row>
    <row r="85" spans="2:3" x14ac:dyDescent="0.3">
      <c r="B85" t="str">
        <v>BG</v>
      </c>
      <c r="C85">
        <v>0.70134976525821602</v>
      </c>
    </row>
    <row r="86" spans="2:3" x14ac:dyDescent="0.3">
      <c r="B86" t="str">
        <v>GM, X</v>
      </c>
      <c r="C86">
        <v>4.3690727699530507</v>
      </c>
    </row>
    <row r="87" spans="2:3" x14ac:dyDescent="0.3">
      <c r="B87" t="str">
        <v xml:space="preserve"> </v>
      </c>
      <c r="C87" t="str">
        <v xml:space="preserve"> </v>
      </c>
    </row>
    <row r="88" spans="2:3" x14ac:dyDescent="0.3">
      <c r="B88" t="str">
        <v>Maximum Tilt Angle-x</v>
      </c>
      <c r="C88">
        <v>3.9724959407506559</v>
      </c>
    </row>
    <row r="89" spans="2:3" x14ac:dyDescent="0.3">
      <c r="B89" t="str">
        <v>Max Rightning Moment-x</v>
      </c>
      <c r="C89">
        <v>6.4470599300019735</v>
      </c>
    </row>
    <row r="90" spans="2:3" x14ac:dyDescent="0.3">
      <c r="B90" t="str">
        <v>Max Heeling Moment-x</v>
      </c>
      <c r="C90">
        <v>5.1211267605633726</v>
      </c>
    </row>
    <row r="91" spans="2:3" x14ac:dyDescent="0.3">
      <c r="B91" t="str">
        <v>Tilt Angle-x</v>
      </c>
      <c r="C91">
        <v>3.1545594264535177</v>
      </c>
    </row>
    <row r="92" spans="2:3" x14ac:dyDescent="0.3">
      <c r="B92" s="50" t="s">
        <v>363</v>
      </c>
      <c r="C92" s="50"/>
    </row>
    <row r="94" spans="2:3" x14ac:dyDescent="0.3">
      <c r="B94" s="53" t="s">
        <v>362</v>
      </c>
      <c r="C94" s="53"/>
    </row>
    <row r="95" spans="2:3" x14ac:dyDescent="0.3">
      <c r="B95" t="str" cm="1">
        <f t="array" ref="B95:C104">'Design Calculations'!F48:G57</f>
        <v>COB</v>
      </c>
      <c r="C95">
        <v>0.29583333333333339</v>
      </c>
    </row>
    <row r="96" spans="2:3" x14ac:dyDescent="0.3">
      <c r="B96" t="str">
        <v>COG-Z</v>
      </c>
      <c r="C96">
        <v>0.99718309859154941</v>
      </c>
    </row>
    <row r="97" spans="2:7" x14ac:dyDescent="0.3">
      <c r="B97" t="str">
        <v>BM, I/V, Y</v>
      </c>
      <c r="C97">
        <v>5.0704225352112671</v>
      </c>
    </row>
    <row r="98" spans="2:7" x14ac:dyDescent="0.3">
      <c r="B98" t="str">
        <v>BG</v>
      </c>
      <c r="C98">
        <v>0.70134976525821602</v>
      </c>
    </row>
    <row r="99" spans="2:7" x14ac:dyDescent="0.3">
      <c r="B99" t="str">
        <v>GM,Y</v>
      </c>
      <c r="C99">
        <v>4.3690727699530507</v>
      </c>
    </row>
    <row r="100" spans="2:7" x14ac:dyDescent="0.3">
      <c r="B100" t="str">
        <v xml:space="preserve"> </v>
      </c>
      <c r="C100" t="str">
        <v xml:space="preserve"> </v>
      </c>
    </row>
    <row r="101" spans="2:7" x14ac:dyDescent="0.3">
      <c r="B101" t="str">
        <v>Maximum Tilt Angle-y</v>
      </c>
      <c r="C101">
        <v>3.9724959407506559</v>
      </c>
    </row>
    <row r="102" spans="2:7" x14ac:dyDescent="0.3">
      <c r="B102" t="str">
        <v>Max Rightning Moment-y</v>
      </c>
      <c r="C102">
        <v>6.4470599300019735</v>
      </c>
    </row>
    <row r="103" spans="2:7" x14ac:dyDescent="0.3">
      <c r="B103" t="str">
        <v>Max Heeling Moment-y</v>
      </c>
      <c r="C103">
        <v>5.1211267605633726</v>
      </c>
    </row>
    <row r="104" spans="2:7" x14ac:dyDescent="0.3">
      <c r="B104" t="str">
        <v>Tilt Angle-y</v>
      </c>
      <c r="C104">
        <v>3.1545594264535177</v>
      </c>
    </row>
    <row r="105" spans="2:7" x14ac:dyDescent="0.3">
      <c r="B105" s="50" t="s">
        <v>363</v>
      </c>
      <c r="C105" s="50"/>
    </row>
    <row r="108" spans="2:7" x14ac:dyDescent="0.3">
      <c r="B108" s="49" t="s">
        <v>364</v>
      </c>
      <c r="C108" s="49"/>
      <c r="D108" s="49"/>
      <c r="E108" s="49"/>
      <c r="F108" s="49"/>
      <c r="G108" s="49"/>
    </row>
    <row r="110" spans="2:7" x14ac:dyDescent="0.3">
      <c r="B110" s="51" t="s">
        <v>256</v>
      </c>
      <c r="C110" s="51"/>
      <c r="D110" s="51"/>
      <c r="E110" s="51"/>
    </row>
    <row r="111" spans="2:7" x14ac:dyDescent="0.3">
      <c r="B111" s="7" t="s">
        <v>151</v>
      </c>
      <c r="C111" s="7" t="s">
        <v>152</v>
      </c>
      <c r="D111" s="7" t="s">
        <v>367</v>
      </c>
      <c r="E111" s="7" t="s">
        <v>366</v>
      </c>
    </row>
    <row r="112" spans="2:7" x14ac:dyDescent="0.3">
      <c r="B112" t="str" cm="1">
        <f t="array" ref="B112:D112">'Design Calculations'!B67:D67</f>
        <v>Wind pressure</v>
      </c>
      <c r="C112" t="str">
        <v>tonnes/sq.m</v>
      </c>
      <c r="D112">
        <v>0.10448357399999998</v>
      </c>
      <c r="E112">
        <f>'Design Calculations'!D67</f>
        <v>0.10448357399999998</v>
      </c>
    </row>
    <row r="113" spans="2:5" x14ac:dyDescent="0.3">
      <c r="B113" t="str" cm="1">
        <f t="array" ref="B113:E113">'Design Calculations'!C76:F76</f>
        <v xml:space="preserve">Total wind load </v>
      </c>
      <c r="C113" t="str">
        <v>tonnes</v>
      </c>
      <c r="D113">
        <v>8.531083817099999</v>
      </c>
      <c r="E113">
        <v>17.062167634199998</v>
      </c>
    </row>
    <row r="114" spans="2:5" x14ac:dyDescent="0.3">
      <c r="B114" t="str" cm="1">
        <f t="array" ref="B114:E114">'Design Calculations'!C84:F84</f>
        <v>Total drag force</v>
      </c>
      <c r="C114" t="str">
        <v>tonnes</v>
      </c>
      <c r="D114">
        <v>0.18460000000000004</v>
      </c>
      <c r="E114">
        <v>0.36920000000000008</v>
      </c>
    </row>
    <row r="115" spans="2:5" x14ac:dyDescent="0.3">
      <c r="B115" t="str" cm="1">
        <f t="array" ref="B115:E115">'Design Calculations'!C89:F89</f>
        <v>Total Wave Drift Load</v>
      </c>
      <c r="C115" t="str">
        <v>tonns</v>
      </c>
      <c r="D115">
        <v>1.0799999999999998</v>
      </c>
      <c r="E115">
        <v>1.0799999999999998</v>
      </c>
    </row>
    <row r="116" spans="2:5" x14ac:dyDescent="0.3">
      <c r="B116" t="str" cm="1">
        <f t="array" ref="B116:E116">'Design Calculations'!C108:F108</f>
        <v>Tension in the mooring line</v>
      </c>
      <c r="C116" t="str">
        <v>kg</v>
      </c>
      <c r="D116">
        <v>10116.93874355781</v>
      </c>
      <c r="E116">
        <v>19118.458283407886</v>
      </c>
    </row>
    <row r="117" spans="2:5" x14ac:dyDescent="0.3">
      <c r="B117" t="str" cm="1">
        <f t="array" ref="B117:E117">'Design Calculations'!C111:F111</f>
        <v>Holding capacity of anchor</v>
      </c>
      <c r="C117" t="str">
        <v>kg</v>
      </c>
      <c r="D117">
        <v>9795.6838170999963</v>
      </c>
      <c r="E117">
        <v>18511.367634199996</v>
      </c>
    </row>
    <row r="118" spans="2:5" x14ac:dyDescent="0.3">
      <c r="B118" t="str" cm="1">
        <f t="array" ref="B118:E118">'Design Calculations'!C116:F116</f>
        <v>Dry weight of anchor</v>
      </c>
      <c r="C118" t="str">
        <v>kg</v>
      </c>
      <c r="D118">
        <v>79836.778531734468</v>
      </c>
      <c r="E118">
        <v>150871.34147299069</v>
      </c>
    </row>
    <row r="119" spans="2:5" x14ac:dyDescent="0.3">
      <c r="B119" t="str" cm="1">
        <f t="array" ref="B119:E119">'Design Calculations'!C135:F135</f>
        <v>Weight of stockless anchor</v>
      </c>
      <c r="C119" t="str">
        <v>kg</v>
      </c>
      <c r="D119">
        <v>2206.3964785838107</v>
      </c>
      <c r="E119">
        <v>4406.7905707138634</v>
      </c>
    </row>
    <row r="120" spans="2:5" x14ac:dyDescent="0.3">
      <c r="B120" t="str" cm="1">
        <f t="array" ref="B120:E120">'Design Calculations'!C142:F142</f>
        <v>Weight of danforth anchor</v>
      </c>
      <c r="C120" t="str">
        <v>kg</v>
      </c>
      <c r="D120">
        <v>1092.5397349675009</v>
      </c>
      <c r="E120">
        <v>2182.1072726128009</v>
      </c>
    </row>
    <row r="122" spans="2:5" x14ac:dyDescent="0.3">
      <c r="B122" s="7" t="s">
        <v>151</v>
      </c>
      <c r="C122" s="7" t="s">
        <v>258</v>
      </c>
      <c r="D122" s="7" t="s">
        <v>180</v>
      </c>
    </row>
    <row r="123" spans="2:5" x14ac:dyDescent="0.3">
      <c r="B123" t="str" cm="1">
        <f t="array" ref="B123:D123">'Design Calculations'!C147:E147</f>
        <v>Length of Mooring line</v>
      </c>
      <c r="C123" t="str">
        <v>m</v>
      </c>
      <c r="D123">
        <v>40</v>
      </c>
    </row>
    <row r="124" spans="2:5" x14ac:dyDescent="0.3">
      <c r="B124" t="str" cm="1">
        <f t="array" ref="B124:D126">'Design Calculations'!C148:E150</f>
        <v>Diameter of mooring line</v>
      </c>
      <c r="C124" t="str">
        <v xml:space="preserve"> </v>
      </c>
      <c r="D124" t="str">
        <v xml:space="preserve"> </v>
      </c>
    </row>
    <row r="125" spans="2:5" x14ac:dyDescent="0.3">
      <c r="B125" t="str">
        <v>Chain</v>
      </c>
      <c r="C125" t="str">
        <v xml:space="preserve">  </v>
      </c>
      <c r="D125" t="str">
        <v xml:space="preserve">  </v>
      </c>
    </row>
    <row r="126" spans="2:5" x14ac:dyDescent="0.3">
      <c r="B126" t="str">
        <v>Chain Grade 2</v>
      </c>
      <c r="C126" t="str">
        <v>mm</v>
      </c>
      <c r="D126">
        <v>158.84338498751282</v>
      </c>
    </row>
    <row r="129" spans="2:7" x14ac:dyDescent="0.3">
      <c r="B129" s="49" t="s">
        <v>368</v>
      </c>
      <c r="C129" s="49"/>
      <c r="D129" s="49"/>
      <c r="E129" s="49"/>
      <c r="F129" s="49"/>
      <c r="G129" s="49"/>
    </row>
    <row r="164" spans="2:5" x14ac:dyDescent="0.3">
      <c r="B164" t="s">
        <v>151</v>
      </c>
      <c r="C164" t="s">
        <v>152</v>
      </c>
      <c r="D164" t="s">
        <v>369</v>
      </c>
      <c r="E164" t="s">
        <v>370</v>
      </c>
    </row>
    <row r="165" spans="2:5" x14ac:dyDescent="0.3">
      <c r="B165" t="str" cm="1">
        <f t="array" ref="B165:E165">'Design Calculations'!B255:E255</f>
        <v>Still Water BM</v>
      </c>
      <c r="C165" t="str">
        <v>KN.m</v>
      </c>
      <c r="D165">
        <v>148.62149999999997</v>
      </c>
      <c r="E165">
        <v>148.62149999999997</v>
      </c>
    </row>
    <row r="166" spans="2:5" x14ac:dyDescent="0.3">
      <c r="B166" t="str" cm="1">
        <f t="array" ref="B166:E166">'Design Calculations'!B259:E259</f>
        <v>Wave Water BM</v>
      </c>
      <c r="C166" t="str">
        <v>KN.m</v>
      </c>
      <c r="D166">
        <v>64.8</v>
      </c>
      <c r="E166">
        <v>0</v>
      </c>
    </row>
  </sheetData>
  <mergeCells count="17">
    <mergeCell ref="B129:G129"/>
    <mergeCell ref="B5:C5"/>
    <mergeCell ref="B7:C7"/>
    <mergeCell ref="B105:C105"/>
    <mergeCell ref="B108:G108"/>
    <mergeCell ref="B110:E110"/>
    <mergeCell ref="B57:F57"/>
    <mergeCell ref="B73:F73"/>
    <mergeCell ref="B75:C75"/>
    <mergeCell ref="B81:C81"/>
    <mergeCell ref="B94:C94"/>
    <mergeCell ref="B92:C92"/>
    <mergeCell ref="A3:L3"/>
    <mergeCell ref="B11:C11"/>
    <mergeCell ref="B21:C21"/>
    <mergeCell ref="B39:D39"/>
    <mergeCell ref="B54:I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8865-AC2F-40DC-A3F4-57CE2E3829A9}">
  <dimension ref="A1:U52"/>
  <sheetViews>
    <sheetView zoomScale="88" workbookViewId="0">
      <selection activeCell="A25" sqref="A25"/>
    </sheetView>
  </sheetViews>
  <sheetFormatPr defaultRowHeight="14.4" x14ac:dyDescent="0.3"/>
  <cols>
    <col min="1" max="1" width="32.33203125" customWidth="1"/>
    <col min="2" max="2" width="13.88671875" customWidth="1"/>
    <col min="3" max="3" width="18.77734375" customWidth="1"/>
    <col min="4" max="4" width="20.44140625" customWidth="1"/>
    <col min="5" max="5" width="15.21875" customWidth="1"/>
    <col min="6" max="6" width="15.33203125" customWidth="1"/>
    <col min="7" max="7" width="13.6640625" customWidth="1"/>
    <col min="8" max="8" width="16.44140625" customWidth="1"/>
    <col min="9" max="9" width="20.109375" customWidth="1"/>
    <col min="10" max="10" width="15.109375" customWidth="1"/>
    <col min="11" max="11" width="14.44140625" customWidth="1"/>
    <col min="12" max="12" width="16.5546875" customWidth="1"/>
    <col min="13" max="13" width="14.109375" customWidth="1"/>
    <col min="14" max="14" width="13.33203125" customWidth="1"/>
    <col min="15" max="15" width="14.6640625" customWidth="1"/>
    <col min="16" max="16" width="12.44140625" customWidth="1"/>
    <col min="17" max="17" width="14" customWidth="1"/>
    <col min="18" max="18" width="12.6640625" customWidth="1"/>
    <col min="19" max="19" width="12.77734375" customWidth="1"/>
    <col min="20" max="20" width="10.77734375" customWidth="1"/>
    <col min="21" max="21" width="11.44140625" customWidth="1"/>
  </cols>
  <sheetData>
    <row r="1" spans="1:21" ht="15.6" x14ac:dyDescent="0.3">
      <c r="A1" s="3" t="s">
        <v>7</v>
      </c>
    </row>
    <row r="2" spans="1:21" x14ac:dyDescent="0.3">
      <c r="A2" t="s">
        <v>54</v>
      </c>
      <c r="B2" t="s">
        <v>58</v>
      </c>
      <c r="C2" t="s">
        <v>59</v>
      </c>
      <c r="D2" t="s">
        <v>60</v>
      </c>
      <c r="E2" t="s">
        <v>61</v>
      </c>
      <c r="F2" t="s">
        <v>134</v>
      </c>
    </row>
    <row r="3" spans="1:21" x14ac:dyDescent="0.3">
      <c r="A3" t="s">
        <v>55</v>
      </c>
      <c r="B3" t="s">
        <v>62</v>
      </c>
      <c r="C3" t="s">
        <v>63</v>
      </c>
      <c r="D3" t="s">
        <v>64</v>
      </c>
      <c r="E3" t="s">
        <v>65</v>
      </c>
      <c r="F3" t="s">
        <v>135</v>
      </c>
    </row>
    <row r="4" spans="1:21" x14ac:dyDescent="0.3">
      <c r="A4" t="s">
        <v>56</v>
      </c>
      <c r="B4" t="s">
        <v>66</v>
      </c>
      <c r="C4" t="s">
        <v>67</v>
      </c>
      <c r="D4" t="s">
        <v>68</v>
      </c>
      <c r="E4" t="s">
        <v>69</v>
      </c>
      <c r="F4" t="s">
        <v>136</v>
      </c>
    </row>
    <row r="5" spans="1:21" x14ac:dyDescent="0.3">
      <c r="A5" t="s">
        <v>57</v>
      </c>
      <c r="B5" t="s">
        <v>70</v>
      </c>
      <c r="C5" t="s">
        <v>71</v>
      </c>
      <c r="D5" t="s">
        <v>72</v>
      </c>
      <c r="E5" t="s">
        <v>70</v>
      </c>
      <c r="F5" t="s">
        <v>137</v>
      </c>
    </row>
    <row r="10" spans="1:21" x14ac:dyDescent="0.3">
      <c r="B10" s="57" t="s">
        <v>38</v>
      </c>
      <c r="C10" s="57"/>
      <c r="D10" s="57"/>
      <c r="E10" s="57"/>
      <c r="F10" s="57"/>
      <c r="G10" s="56" t="s">
        <v>55</v>
      </c>
      <c r="H10" s="56"/>
      <c r="I10" s="56"/>
      <c r="J10" s="56"/>
      <c r="K10" s="56"/>
      <c r="L10" s="55" t="s">
        <v>54</v>
      </c>
      <c r="M10" s="55"/>
      <c r="N10" s="55"/>
      <c r="O10" s="55"/>
      <c r="P10" s="55"/>
      <c r="Q10" s="40" t="s">
        <v>57</v>
      </c>
      <c r="R10" s="40"/>
      <c r="S10" s="40"/>
      <c r="T10" s="40"/>
      <c r="U10" s="40"/>
    </row>
    <row r="11" spans="1:21" x14ac:dyDescent="0.3">
      <c r="A11" s="2" t="s">
        <v>39</v>
      </c>
      <c r="B11" t="s">
        <v>66</v>
      </c>
      <c r="C11" t="s">
        <v>67</v>
      </c>
      <c r="D11" t="s">
        <v>68</v>
      </c>
      <c r="E11" t="s">
        <v>69</v>
      </c>
      <c r="F11" t="s">
        <v>136</v>
      </c>
      <c r="G11" t="s">
        <v>62</v>
      </c>
      <c r="H11" t="s">
        <v>63</v>
      </c>
      <c r="I11" t="s">
        <v>64</v>
      </c>
      <c r="J11" t="s">
        <v>65</v>
      </c>
      <c r="K11" t="s">
        <v>135</v>
      </c>
      <c r="L11" t="s">
        <v>58</v>
      </c>
      <c r="M11" t="s">
        <v>59</v>
      </c>
      <c r="N11" t="s">
        <v>60</v>
      </c>
      <c r="O11" t="s">
        <v>61</v>
      </c>
      <c r="P11" t="s">
        <v>134</v>
      </c>
      <c r="Q11" t="s">
        <v>70</v>
      </c>
      <c r="R11" t="s">
        <v>71</v>
      </c>
      <c r="S11" t="s">
        <v>72</v>
      </c>
      <c r="T11" t="s">
        <v>70</v>
      </c>
      <c r="U11" t="s">
        <v>137</v>
      </c>
    </row>
    <row r="12" spans="1:21" x14ac:dyDescent="0.3">
      <c r="A12" t="s">
        <v>40</v>
      </c>
      <c r="B12">
        <v>3</v>
      </c>
      <c r="C12">
        <v>6</v>
      </c>
      <c r="D12">
        <v>9</v>
      </c>
      <c r="E12">
        <v>12</v>
      </c>
      <c r="F12" t="s">
        <v>138</v>
      </c>
    </row>
    <row r="13" spans="1:21" x14ac:dyDescent="0.3">
      <c r="A13" t="s">
        <v>41</v>
      </c>
      <c r="B13">
        <v>3</v>
      </c>
      <c r="C13">
        <v>3</v>
      </c>
      <c r="D13">
        <v>3</v>
      </c>
      <c r="E13">
        <v>3</v>
      </c>
      <c r="F13" t="s">
        <v>138</v>
      </c>
    </row>
    <row r="14" spans="1:21" x14ac:dyDescent="0.3">
      <c r="A14" t="s">
        <v>42</v>
      </c>
      <c r="B14" s="61">
        <v>1.2</v>
      </c>
      <c r="C14">
        <v>1.2</v>
      </c>
      <c r="D14">
        <v>1.2</v>
      </c>
      <c r="E14">
        <v>1.2</v>
      </c>
      <c r="F14" t="s">
        <v>138</v>
      </c>
    </row>
    <row r="15" spans="1:21" x14ac:dyDescent="0.3">
      <c r="A15" t="s">
        <v>43</v>
      </c>
      <c r="B15">
        <f>B12*B13*0.2</f>
        <v>1.8</v>
      </c>
      <c r="C15">
        <f>C12*C13*0.2</f>
        <v>3.6</v>
      </c>
      <c r="D15">
        <f t="shared" ref="D15:E15" si="0">D12*D13*0.2</f>
        <v>5.4</v>
      </c>
      <c r="E15">
        <f t="shared" si="0"/>
        <v>7.2</v>
      </c>
      <c r="F15" t="s">
        <v>138</v>
      </c>
    </row>
    <row r="16" spans="1:21" x14ac:dyDescent="0.3">
      <c r="A16" t="s">
        <v>44</v>
      </c>
      <c r="B16">
        <f>B12/2</f>
        <v>1.5</v>
      </c>
      <c r="C16">
        <f>C12/2</f>
        <v>3</v>
      </c>
      <c r="D16">
        <f t="shared" ref="B16:E18" si="1">D12/2</f>
        <v>4.5</v>
      </c>
      <c r="E16">
        <f t="shared" si="1"/>
        <v>6</v>
      </c>
      <c r="F16" t="s">
        <v>138</v>
      </c>
    </row>
    <row r="17" spans="1:8" x14ac:dyDescent="0.3">
      <c r="A17" t="s">
        <v>45</v>
      </c>
      <c r="B17">
        <f t="shared" si="1"/>
        <v>1.5</v>
      </c>
      <c r="C17">
        <f t="shared" si="1"/>
        <v>1.5</v>
      </c>
      <c r="D17">
        <f t="shared" si="1"/>
        <v>1.5</v>
      </c>
      <c r="E17">
        <f t="shared" si="1"/>
        <v>1.5</v>
      </c>
      <c r="F17" t="s">
        <v>138</v>
      </c>
    </row>
    <row r="18" spans="1:8" x14ac:dyDescent="0.3">
      <c r="A18" t="s">
        <v>46</v>
      </c>
      <c r="B18">
        <f t="shared" si="1"/>
        <v>0.6</v>
      </c>
      <c r="C18">
        <f t="shared" si="1"/>
        <v>0.6</v>
      </c>
      <c r="D18">
        <f t="shared" si="1"/>
        <v>0.6</v>
      </c>
      <c r="E18">
        <f t="shared" si="1"/>
        <v>0.6</v>
      </c>
      <c r="F18" t="s">
        <v>138</v>
      </c>
    </row>
    <row r="19" spans="1:8" x14ac:dyDescent="0.3">
      <c r="A19" t="s">
        <v>47</v>
      </c>
      <c r="B19">
        <f>B12*B13</f>
        <v>9</v>
      </c>
      <c r="C19">
        <f t="shared" ref="C19:D19" si="2">C12*C13</f>
        <v>18</v>
      </c>
      <c r="D19">
        <f t="shared" si="2"/>
        <v>27</v>
      </c>
      <c r="E19">
        <f>E12*E13</f>
        <v>36</v>
      </c>
      <c r="F19" t="s">
        <v>138</v>
      </c>
    </row>
    <row r="20" spans="1:8" x14ac:dyDescent="0.3">
      <c r="A20" t="s">
        <v>48</v>
      </c>
      <c r="B20">
        <f>(B12*B13^3)/12</f>
        <v>6.75</v>
      </c>
      <c r="C20">
        <f>(C12*C13^3)/12</f>
        <v>13.5</v>
      </c>
      <c r="D20">
        <f t="shared" ref="D20" si="3">(D12*D13^3)/12</f>
        <v>20.25</v>
      </c>
      <c r="E20">
        <f>(E12*E13^3)/12</f>
        <v>27</v>
      </c>
      <c r="F20" t="s">
        <v>138</v>
      </c>
    </row>
    <row r="21" spans="1:8" x14ac:dyDescent="0.3">
      <c r="A21" t="s">
        <v>49</v>
      </c>
      <c r="B21">
        <f>(B13*B12^3)/12</f>
        <v>6.75</v>
      </c>
      <c r="C21">
        <f>(C13*C12^3)/12</f>
        <v>54</v>
      </c>
      <c r="D21">
        <f t="shared" ref="D21:E21" si="4">(D13*D12^3)/12</f>
        <v>182.25</v>
      </c>
      <c r="E21">
        <f t="shared" si="4"/>
        <v>432</v>
      </c>
      <c r="F21" t="s">
        <v>138</v>
      </c>
    </row>
    <row r="22" spans="1:8" x14ac:dyDescent="0.3">
      <c r="A22" t="s">
        <v>50</v>
      </c>
      <c r="F22" t="s">
        <v>138</v>
      </c>
    </row>
    <row r="23" spans="1:8" x14ac:dyDescent="0.3">
      <c r="A23" t="s">
        <v>107</v>
      </c>
      <c r="B23">
        <v>1</v>
      </c>
      <c r="C23">
        <v>1</v>
      </c>
      <c r="D23">
        <v>1</v>
      </c>
      <c r="E23">
        <v>1</v>
      </c>
      <c r="F23" t="s">
        <v>138</v>
      </c>
    </row>
    <row r="24" spans="1:8" x14ac:dyDescent="0.3">
      <c r="A24" t="s">
        <v>119</v>
      </c>
      <c r="B24" s="61">
        <v>0.4</v>
      </c>
      <c r="C24">
        <v>0.4</v>
      </c>
      <c r="D24">
        <v>0.4</v>
      </c>
      <c r="E24">
        <v>0.4</v>
      </c>
      <c r="F24" t="s">
        <v>138</v>
      </c>
    </row>
    <row r="25" spans="1:8" x14ac:dyDescent="0.3">
      <c r="A25" t="s">
        <v>120</v>
      </c>
      <c r="B25" s="61">
        <v>0.8</v>
      </c>
      <c r="C25">
        <v>0.8</v>
      </c>
      <c r="D25">
        <v>0.8</v>
      </c>
      <c r="E25">
        <v>0.8</v>
      </c>
      <c r="F25" t="s">
        <v>138</v>
      </c>
    </row>
    <row r="28" spans="1:8" x14ac:dyDescent="0.3">
      <c r="A28" s="27" t="s">
        <v>280</v>
      </c>
    </row>
    <row r="29" spans="1:8" x14ac:dyDescent="0.3">
      <c r="A29" s="7" t="s">
        <v>281</v>
      </c>
      <c r="B29" s="24" t="s">
        <v>275</v>
      </c>
      <c r="C29" s="24" t="s">
        <v>276</v>
      </c>
      <c r="D29" s="24" t="s">
        <v>277</v>
      </c>
      <c r="E29" s="24" t="s">
        <v>278</v>
      </c>
      <c r="F29" s="24" t="s">
        <v>279</v>
      </c>
    </row>
    <row r="30" spans="1:8" x14ac:dyDescent="0.3">
      <c r="A30" s="7" t="s">
        <v>282</v>
      </c>
      <c r="B30" t="s">
        <v>285</v>
      </c>
      <c r="C30" t="s">
        <v>286</v>
      </c>
      <c r="D30" s="23"/>
      <c r="E30" s="23"/>
      <c r="G30" s="23"/>
      <c r="H30" s="23"/>
    </row>
    <row r="31" spans="1:8" x14ac:dyDescent="0.3">
      <c r="D31" s="23"/>
      <c r="E31" s="24"/>
      <c r="G31" s="24"/>
      <c r="H31" s="24"/>
    </row>
    <row r="32" spans="1:8" x14ac:dyDescent="0.3">
      <c r="A32" s="54" t="s">
        <v>270</v>
      </c>
      <c r="B32" s="54"/>
      <c r="C32" s="54"/>
      <c r="D32" s="24"/>
      <c r="E32" s="24"/>
    </row>
    <row r="33" spans="1:8" x14ac:dyDescent="0.3">
      <c r="A33" s="23" t="s">
        <v>263</v>
      </c>
      <c r="B33" s="23" t="s">
        <v>264</v>
      </c>
      <c r="C33" s="23" t="s">
        <v>271</v>
      </c>
      <c r="D33" s="26" t="s">
        <v>312</v>
      </c>
      <c r="E33" s="24"/>
    </row>
    <row r="34" spans="1:8" x14ac:dyDescent="0.3">
      <c r="A34" s="24" t="s">
        <v>275</v>
      </c>
      <c r="B34" s="24" t="s">
        <v>265</v>
      </c>
      <c r="C34" s="24">
        <v>1.9599999999999999E-2</v>
      </c>
      <c r="D34" s="24">
        <f>SQRT('Design Calculations'!$K$147/'STANDARD DATA'!C34)</f>
        <v>169.43125559194792</v>
      </c>
      <c r="E34" s="24"/>
    </row>
    <row r="35" spans="1:8" x14ac:dyDescent="0.3">
      <c r="A35" s="24" t="s">
        <v>276</v>
      </c>
      <c r="B35" s="24" t="s">
        <v>266</v>
      </c>
      <c r="C35" s="24">
        <v>2.23E-2</v>
      </c>
      <c r="D35" s="24">
        <f>SQRT('Design Calculations'!$K$147/'STANDARD DATA'!C35)</f>
        <v>158.84338498751282</v>
      </c>
      <c r="E35" s="24"/>
    </row>
    <row r="36" spans="1:8" x14ac:dyDescent="0.3">
      <c r="A36" s="24" t="s">
        <v>277</v>
      </c>
      <c r="B36" s="24" t="s">
        <v>267</v>
      </c>
      <c r="C36" s="24">
        <v>2.4799999999999999E-2</v>
      </c>
      <c r="D36" s="24">
        <f>SQRT('Design Calculations'!$K$147/'STANDARD DATA'!C36)</f>
        <v>150.62453684585387</v>
      </c>
      <c r="E36" s="24"/>
    </row>
    <row r="37" spans="1:8" x14ac:dyDescent="0.3">
      <c r="A37" s="24" t="s">
        <v>278</v>
      </c>
      <c r="B37" s="24" t="s">
        <v>268</v>
      </c>
      <c r="C37" s="24">
        <v>2.7199999999999998E-2</v>
      </c>
      <c r="D37" s="24">
        <f>SQRT('Design Calculations'!$K$147/'STANDARD DATA'!C37)</f>
        <v>143.82590416489322</v>
      </c>
      <c r="E37" s="24"/>
    </row>
    <row r="38" spans="1:8" x14ac:dyDescent="0.3">
      <c r="A38" s="24" t="s">
        <v>279</v>
      </c>
      <c r="B38" s="24" t="s">
        <v>269</v>
      </c>
      <c r="C38" s="24">
        <v>0.03</v>
      </c>
      <c r="D38" s="24">
        <f>SQRT('Design Calculations'!$K$147/'STANDARD DATA'!C38)</f>
        <v>136.94965343520639</v>
      </c>
      <c r="E38" s="24"/>
      <c r="G38" s="24"/>
      <c r="H38" s="24"/>
    </row>
    <row r="39" spans="1:8" x14ac:dyDescent="0.3">
      <c r="A39" s="24"/>
      <c r="B39" s="24"/>
      <c r="C39" s="24"/>
      <c r="D39" s="24"/>
      <c r="E39" s="24"/>
      <c r="G39" s="24"/>
      <c r="H39" s="24"/>
    </row>
    <row r="40" spans="1:8" x14ac:dyDescent="0.3">
      <c r="A40" s="54" t="s">
        <v>287</v>
      </c>
      <c r="B40" s="54"/>
      <c r="C40" s="54"/>
      <c r="D40" s="54"/>
      <c r="E40" s="24"/>
      <c r="G40" s="24"/>
      <c r="H40" s="24"/>
    </row>
    <row r="41" spans="1:8" ht="28.8" x14ac:dyDescent="0.3">
      <c r="A41" s="23" t="s">
        <v>288</v>
      </c>
      <c r="B41" s="24" t="s">
        <v>313</v>
      </c>
      <c r="C41" s="23" t="s">
        <v>289</v>
      </c>
      <c r="D41" s="23" t="s">
        <v>290</v>
      </c>
      <c r="E41" s="24"/>
    </row>
    <row r="42" spans="1:8" x14ac:dyDescent="0.3">
      <c r="A42" s="24" t="s">
        <v>291</v>
      </c>
      <c r="B42">
        <v>1770</v>
      </c>
      <c r="C42" s="24">
        <v>0.34499999999999997</v>
      </c>
      <c r="D42" s="24">
        <f>SQRT((100*MAX('Design Calculations'!E108:F108)*9.81/1000)/'STANDARD DATA'!C42*'STANDARD DATA'!B42)</f>
        <v>9809.3001433881727</v>
      </c>
      <c r="E42" s="24"/>
    </row>
    <row r="43" spans="1:8" x14ac:dyDescent="0.3">
      <c r="A43" s="24" t="s">
        <v>292</v>
      </c>
      <c r="C43" s="24">
        <v>0.45</v>
      </c>
      <c r="D43" s="24" t="s">
        <v>293</v>
      </c>
      <c r="E43" s="24"/>
    </row>
    <row r="44" spans="1:8" x14ac:dyDescent="0.3">
      <c r="A44" s="24" t="s">
        <v>294</v>
      </c>
      <c r="C44" s="24">
        <v>0.34200000000000003</v>
      </c>
      <c r="D44" s="24" t="s">
        <v>295</v>
      </c>
      <c r="E44" s="24"/>
    </row>
    <row r="45" spans="1:8" x14ac:dyDescent="0.3">
      <c r="A45" s="24" t="s">
        <v>296</v>
      </c>
      <c r="C45" s="24">
        <v>0.46200000000000002</v>
      </c>
      <c r="D45" s="24" t="s">
        <v>297</v>
      </c>
      <c r="E45" s="24"/>
    </row>
    <row r="46" spans="1:8" x14ac:dyDescent="0.3">
      <c r="A46" s="24" t="s">
        <v>298</v>
      </c>
      <c r="C46" s="24">
        <v>0.34599999999999997</v>
      </c>
      <c r="D46" s="24" t="s">
        <v>299</v>
      </c>
      <c r="E46" s="24"/>
    </row>
    <row r="47" spans="1:8" x14ac:dyDescent="0.3">
      <c r="A47" s="24" t="s">
        <v>300</v>
      </c>
      <c r="C47" s="24">
        <v>0.47</v>
      </c>
      <c r="D47" s="24" t="s">
        <v>301</v>
      </c>
      <c r="E47" s="24"/>
    </row>
    <row r="48" spans="1:8" x14ac:dyDescent="0.3">
      <c r="A48" s="24" t="s">
        <v>302</v>
      </c>
      <c r="C48" s="24">
        <v>0.32</v>
      </c>
      <c r="D48" s="24" t="s">
        <v>303</v>
      </c>
      <c r="E48" s="24"/>
    </row>
    <row r="49" spans="1:5" x14ac:dyDescent="0.3">
      <c r="A49" s="24" t="s">
        <v>304</v>
      </c>
      <c r="C49" s="24">
        <v>0.43</v>
      </c>
      <c r="D49" s="24" t="s">
        <v>305</v>
      </c>
      <c r="E49" s="24"/>
    </row>
    <row r="50" spans="1:5" x14ac:dyDescent="0.3">
      <c r="A50" s="24" t="s">
        <v>306</v>
      </c>
      <c r="C50" s="24">
        <v>0.32500000000000001</v>
      </c>
      <c r="D50" s="24" t="s">
        <v>307</v>
      </c>
    </row>
    <row r="51" spans="1:5" x14ac:dyDescent="0.3">
      <c r="A51" s="24" t="s">
        <v>308</v>
      </c>
      <c r="C51" s="24">
        <v>0.44</v>
      </c>
      <c r="D51" s="24" t="s">
        <v>309</v>
      </c>
    </row>
    <row r="52" spans="1:5" x14ac:dyDescent="0.3">
      <c r="A52" s="24" t="s">
        <v>310</v>
      </c>
      <c r="C52" s="24">
        <v>0.46</v>
      </c>
      <c r="D52" s="24" t="s">
        <v>311</v>
      </c>
    </row>
  </sheetData>
  <mergeCells count="6">
    <mergeCell ref="A32:C32"/>
    <mergeCell ref="A40:D40"/>
    <mergeCell ref="L10:P10"/>
    <mergeCell ref="Q10:U10"/>
    <mergeCell ref="G10:K10"/>
    <mergeCell ref="B10:F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64334-0F13-42E2-BD7A-9C66DC2D5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Project Details</vt:lpstr>
      <vt:lpstr>Inputs and Layout</vt:lpstr>
      <vt:lpstr>Design Calculations</vt:lpstr>
      <vt:lpstr>BOQ</vt:lpstr>
      <vt:lpstr>Report</vt:lpstr>
      <vt:lpstr>STANDARD DATA</vt:lpstr>
      <vt:lpstr>COMBINED</vt:lpstr>
      <vt:lpstr>FLOAT_SELECTION_TYPES</vt:lpstr>
      <vt:lpstr>FLOAT_STRUCTURE</vt:lpstr>
      <vt:lpstr>FLOATING_HDPE</vt:lpstr>
      <vt:lpstr>FLOATING_SOLAR</vt:lpstr>
      <vt:lpstr>LOAD_DATA</vt:lpstr>
      <vt:lpstr>MODULAR_BARGE</vt:lpstr>
      <vt:lpstr>STEEL_INTEGERATED_FLOATING_JETTY__SIFJ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Abhyudaya sharma</dc:creator>
  <cp:lastModifiedBy>manishmanjrekar627@outlook.com</cp:lastModifiedBy>
  <dcterms:created xsi:type="dcterms:W3CDTF">2025-06-12T13:04:22Z</dcterms:created>
  <dcterms:modified xsi:type="dcterms:W3CDTF">2025-06-28T13:22:21Z</dcterms:modified>
</cp:coreProperties>
</file>