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 KUMAR\Downloads\Telegram Desktop\"/>
    </mc:Choice>
  </mc:AlternateContent>
  <xr:revisionPtr revIDLastSave="0" documentId="8_{EA87A2AE-A406-4FF4-A1C2-2ECF0E5F1851}" xr6:coauthVersionLast="47" xr6:coauthVersionMax="47" xr10:uidLastSave="{00000000-0000-0000-0000-000000000000}"/>
  <bookViews>
    <workbookView xWindow="-108" yWindow="-108" windowWidth="23256" windowHeight="12456" xr2:uid="{5F4999EC-9F44-462E-AFFB-362680B3C6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F124" i="1"/>
  <c r="F125" i="1"/>
  <c r="F126" i="1"/>
  <c r="F127" i="1"/>
  <c r="F128" i="1"/>
  <c r="F129" i="1"/>
  <c r="F130" i="1"/>
  <c r="F131" i="1"/>
  <c r="F123" i="1"/>
  <c r="H69" i="1"/>
  <c r="J3" i="1"/>
  <c r="K3" i="1"/>
  <c r="I3" i="1"/>
  <c r="L3" i="1" s="1"/>
  <c r="E104" i="1" s="1"/>
  <c r="B123" i="1" s="1"/>
  <c r="D123" i="1" s="1"/>
  <c r="H105" i="1"/>
  <c r="H106" i="1"/>
  <c r="H107" i="1"/>
  <c r="H108" i="1"/>
  <c r="H109" i="1"/>
  <c r="H110" i="1"/>
  <c r="H111" i="1"/>
  <c r="H112" i="1"/>
  <c r="G105" i="1"/>
  <c r="G106" i="1"/>
  <c r="G107" i="1"/>
  <c r="G108" i="1"/>
  <c r="G109" i="1"/>
  <c r="G110" i="1"/>
  <c r="G111" i="1"/>
  <c r="G112" i="1"/>
  <c r="F105" i="1"/>
  <c r="F106" i="1"/>
  <c r="F107" i="1"/>
  <c r="F108" i="1"/>
  <c r="F109" i="1"/>
  <c r="F110" i="1"/>
  <c r="F111" i="1"/>
  <c r="F112" i="1"/>
  <c r="H104" i="1"/>
  <c r="G104" i="1"/>
  <c r="F104" i="1"/>
  <c r="D105" i="1"/>
  <c r="D106" i="1"/>
  <c r="D107" i="1"/>
  <c r="D108" i="1"/>
  <c r="D109" i="1"/>
  <c r="D110" i="1"/>
  <c r="D111" i="1"/>
  <c r="D112" i="1"/>
  <c r="C105" i="1"/>
  <c r="C106" i="1"/>
  <c r="C107" i="1"/>
  <c r="C108" i="1"/>
  <c r="C109" i="1"/>
  <c r="C110" i="1"/>
  <c r="C111" i="1"/>
  <c r="C112" i="1"/>
  <c r="B105" i="1"/>
  <c r="B106" i="1"/>
  <c r="B107" i="1"/>
  <c r="B108" i="1"/>
  <c r="B109" i="1"/>
  <c r="B110" i="1"/>
  <c r="B111" i="1"/>
  <c r="B112" i="1"/>
  <c r="D104" i="1"/>
  <c r="C104" i="1"/>
  <c r="B104" i="1"/>
  <c r="E57" i="1"/>
  <c r="I70" i="1" s="1"/>
  <c r="E58" i="1"/>
  <c r="I71" i="1" s="1"/>
  <c r="E59" i="1"/>
  <c r="I72" i="1" s="1"/>
  <c r="E60" i="1"/>
  <c r="I73" i="1" s="1"/>
  <c r="E61" i="1"/>
  <c r="I74" i="1" s="1"/>
  <c r="E62" i="1"/>
  <c r="I75" i="1" s="1"/>
  <c r="E63" i="1"/>
  <c r="I76" i="1" s="1"/>
  <c r="E56" i="1"/>
  <c r="I69" i="1" s="1"/>
  <c r="C57" i="1"/>
  <c r="H70" i="1" s="1"/>
  <c r="C58" i="1"/>
  <c r="H71" i="1" s="1"/>
  <c r="C59" i="1"/>
  <c r="H72" i="1" s="1"/>
  <c r="C60" i="1"/>
  <c r="H73" i="1" s="1"/>
  <c r="C61" i="1"/>
  <c r="H74" i="1" s="1"/>
  <c r="C62" i="1"/>
  <c r="H75" i="1" s="1"/>
  <c r="C63" i="1"/>
  <c r="H76" i="1" s="1"/>
  <c r="E46" i="1"/>
  <c r="F70" i="1" s="1"/>
  <c r="E47" i="1"/>
  <c r="F71" i="1" s="1"/>
  <c r="E48" i="1"/>
  <c r="F72" i="1" s="1"/>
  <c r="E49" i="1"/>
  <c r="F73" i="1" s="1"/>
  <c r="E50" i="1"/>
  <c r="F74" i="1" s="1"/>
  <c r="E51" i="1"/>
  <c r="F75" i="1" s="1"/>
  <c r="E52" i="1"/>
  <c r="F76" i="1" s="1"/>
  <c r="E45" i="1"/>
  <c r="F69" i="1" s="1"/>
  <c r="C46" i="1"/>
  <c r="E70" i="1" s="1"/>
  <c r="C47" i="1"/>
  <c r="E71" i="1" s="1"/>
  <c r="C48" i="1"/>
  <c r="E72" i="1" s="1"/>
  <c r="C49" i="1"/>
  <c r="E73" i="1" s="1"/>
  <c r="C50" i="1"/>
  <c r="E74" i="1" s="1"/>
  <c r="C51" i="1"/>
  <c r="E75" i="1" s="1"/>
  <c r="C52" i="1"/>
  <c r="E76" i="1" s="1"/>
  <c r="C45" i="1"/>
  <c r="E69" i="1" s="1"/>
  <c r="E35" i="1"/>
  <c r="C70" i="1" s="1"/>
  <c r="E36" i="1"/>
  <c r="C71" i="1" s="1"/>
  <c r="E37" i="1"/>
  <c r="C72" i="1" s="1"/>
  <c r="E38" i="1"/>
  <c r="C73" i="1" s="1"/>
  <c r="E39" i="1"/>
  <c r="C74" i="1" s="1"/>
  <c r="E40" i="1"/>
  <c r="C75" i="1" s="1"/>
  <c r="E41" i="1"/>
  <c r="C76" i="1" s="1"/>
  <c r="E34" i="1"/>
  <c r="C69" i="1" s="1"/>
  <c r="C34" i="1"/>
  <c r="B69" i="1" s="1"/>
  <c r="C41" i="1"/>
  <c r="B76" i="1" s="1"/>
  <c r="C36" i="1"/>
  <c r="B71" i="1" s="1"/>
  <c r="C37" i="1"/>
  <c r="B72" i="1" s="1"/>
  <c r="C38" i="1"/>
  <c r="B73" i="1" s="1"/>
  <c r="C39" i="1"/>
  <c r="B74" i="1" s="1"/>
  <c r="C40" i="1"/>
  <c r="B75" i="1" s="1"/>
  <c r="C35" i="1"/>
  <c r="B70" i="1" s="1"/>
  <c r="C29" i="1"/>
  <c r="C28" i="1"/>
  <c r="B20" i="1"/>
  <c r="C20" i="1"/>
  <c r="D76" i="1" s="1"/>
  <c r="D20" i="1"/>
  <c r="B19" i="1"/>
  <c r="A75" i="1" s="1"/>
  <c r="C19" i="1"/>
  <c r="D75" i="1" s="1"/>
  <c r="D19" i="1"/>
  <c r="G75" i="1" s="1"/>
  <c r="B18" i="1"/>
  <c r="A74" i="1" s="1"/>
  <c r="C18" i="1"/>
  <c r="D74" i="1" s="1"/>
  <c r="D18" i="1"/>
  <c r="G74" i="1" s="1"/>
  <c r="D14" i="1"/>
  <c r="G70" i="1" s="1"/>
  <c r="D15" i="1"/>
  <c r="G71" i="1" s="1"/>
  <c r="D16" i="1"/>
  <c r="G72" i="1" s="1"/>
  <c r="D17" i="1"/>
  <c r="G73" i="1" s="1"/>
  <c r="D13" i="1"/>
  <c r="G69" i="1" s="1"/>
  <c r="C14" i="1"/>
  <c r="C15" i="1"/>
  <c r="D71" i="1" s="1"/>
  <c r="C16" i="1"/>
  <c r="D72" i="1" s="1"/>
  <c r="C17" i="1"/>
  <c r="D73" i="1" s="1"/>
  <c r="C13" i="1"/>
  <c r="B17" i="1"/>
  <c r="A73" i="1" s="1"/>
  <c r="B14" i="1"/>
  <c r="A70" i="1" s="1"/>
  <c r="B15" i="1"/>
  <c r="A71" i="1" s="1"/>
  <c r="B16" i="1"/>
  <c r="A72" i="1" s="1"/>
  <c r="E106" i="1" l="1"/>
  <c r="B125" i="1" s="1"/>
  <c r="D125" i="1" s="1"/>
  <c r="I109" i="1"/>
  <c r="C128" i="1" s="1"/>
  <c r="E128" i="1" s="1"/>
  <c r="E105" i="1"/>
  <c r="B124" i="1" s="1"/>
  <c r="D124" i="1" s="1"/>
  <c r="I108" i="1"/>
  <c r="C127" i="1" s="1"/>
  <c r="E127" i="1" s="1"/>
  <c r="I112" i="1"/>
  <c r="C131" i="1" s="1"/>
  <c r="E131" i="1" s="1"/>
  <c r="I107" i="1"/>
  <c r="C126" i="1" s="1"/>
  <c r="E126" i="1" s="1"/>
  <c r="I111" i="1"/>
  <c r="C130" i="1" s="1"/>
  <c r="E130" i="1" s="1"/>
  <c r="I106" i="1"/>
  <c r="C125" i="1" s="1"/>
  <c r="E125" i="1" s="1"/>
  <c r="I110" i="1"/>
  <c r="C129" i="1" s="1"/>
  <c r="E129" i="1" s="1"/>
  <c r="I105" i="1"/>
  <c r="C124" i="1" s="1"/>
  <c r="E124" i="1" s="1"/>
  <c r="E112" i="1"/>
  <c r="B131" i="1" s="1"/>
  <c r="D131" i="1" s="1"/>
  <c r="I104" i="1"/>
  <c r="C123" i="1" s="1"/>
  <c r="E123" i="1" s="1"/>
  <c r="E111" i="1"/>
  <c r="B130" i="1" s="1"/>
  <c r="D130" i="1" s="1"/>
  <c r="E110" i="1"/>
  <c r="B129" i="1" s="1"/>
  <c r="D129" i="1" s="1"/>
  <c r="E109" i="1"/>
  <c r="B128" i="1" s="1"/>
  <c r="D128" i="1" s="1"/>
  <c r="E108" i="1"/>
  <c r="B127" i="1" s="1"/>
  <c r="D127" i="1" s="1"/>
  <c r="E107" i="1"/>
  <c r="B126" i="1" s="1"/>
  <c r="D1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MANISH KUMAR</author>
  </authors>
  <commentList>
    <comment ref="A7" authorId="0" shapeId="0" xr:uid="{CF42D52E-FF78-4E74-8815-C103EF4C01FE}">
      <text>
        <r>
          <rPr>
            <b/>
            <sz val="9"/>
            <color indexed="81"/>
            <rFont val="Tahoma"/>
            <charset val="1"/>
          </rPr>
          <t>MANISH KUMAR:</t>
        </r>
        <r>
          <rPr>
            <sz val="9"/>
            <color indexed="81"/>
            <rFont val="Tahoma"/>
            <charset val="1"/>
          </rPr>
          <t xml:space="preserve">
at critical condition i.e at Swc</t>
        </r>
      </text>
    </comment>
    <comment ref="A8" authorId="0" shapeId="0" xr:uid="{FFB0D820-8240-4B35-BE1A-EB6FACF54387}">
      <text>
        <r>
          <rPr>
            <b/>
            <sz val="9"/>
            <color indexed="81"/>
            <rFont val="Tahoma"/>
            <charset val="1"/>
          </rPr>
          <t>MANISH KUMAR:</t>
        </r>
        <r>
          <rPr>
            <sz val="9"/>
            <color indexed="81"/>
            <rFont val="Tahoma"/>
            <charset val="1"/>
          </rPr>
          <t xml:space="preserve">
at critical condition i.e at Soc</t>
        </r>
      </text>
    </comment>
    <comment ref="B13" authorId="0" shapeId="0" xr:uid="{8C5C4A1F-A7CB-44DA-AE99-68868DDD7057}">
      <text>
        <r>
          <rPr>
            <b/>
            <sz val="9"/>
            <color indexed="81"/>
            <rFont val="Tahoma"/>
            <family val="2"/>
          </rPr>
          <t>MANISH KUMAR:</t>
        </r>
        <r>
          <rPr>
            <sz val="9"/>
            <color indexed="81"/>
            <rFont val="Tahoma"/>
            <family val="2"/>
          </rPr>
          <t xml:space="preserve">
ignore the red box because water saturation cannot be negative and greater than 1
</t>
        </r>
      </text>
    </comment>
    <comment ref="B28" authorId="0" shapeId="0" xr:uid="{E754E967-F4F1-4C1F-A9A3-329F863F7EE1}">
      <text>
        <r>
          <rPr>
            <b/>
            <sz val="9"/>
            <color indexed="81"/>
            <rFont val="Tahoma"/>
            <family val="2"/>
          </rPr>
          <t>MANISH KUMAR:</t>
        </r>
        <r>
          <rPr>
            <sz val="9"/>
            <color indexed="81"/>
            <rFont val="Tahoma"/>
            <family val="2"/>
          </rPr>
          <t xml:space="preserve">
 relative permeability of oil at connate-water
saturation</t>
        </r>
      </text>
    </comment>
    <comment ref="B29" authorId="0" shapeId="0" xr:uid="{54100004-B32F-42E2-827A-B0942FF61C2A}">
      <text>
        <r>
          <rPr>
            <b/>
            <sz val="9"/>
            <color indexed="81"/>
            <rFont val="Tahoma"/>
            <family val="2"/>
          </rPr>
          <t>MANISH KUMAR:</t>
        </r>
        <r>
          <rPr>
            <sz val="9"/>
            <color indexed="81"/>
            <rFont val="Tahoma"/>
            <family val="2"/>
          </rPr>
          <t xml:space="preserve">
 the relative permeability of water at the critical
oil saturation.</t>
        </r>
      </text>
    </comment>
  </commentList>
</comments>
</file>

<file path=xl/sharedStrings.xml><?xml version="1.0" encoding="utf-8"?>
<sst xmlns="http://schemas.openxmlformats.org/spreadsheetml/2006/main" count="88" uniqueCount="37">
  <si>
    <t>core sample#1</t>
  </si>
  <si>
    <t>core sample#2</t>
  </si>
  <si>
    <t>core sample#3</t>
  </si>
  <si>
    <t>h(ft)</t>
  </si>
  <si>
    <t>Soc</t>
  </si>
  <si>
    <t>Swc</t>
  </si>
  <si>
    <t>Kro_c</t>
  </si>
  <si>
    <t>Krw_c</t>
  </si>
  <si>
    <t>NORMALIZED WATER SATURATION</t>
  </si>
  <si>
    <t>Sw</t>
  </si>
  <si>
    <t>Sw*</t>
  </si>
  <si>
    <t>Kro_Swc*=</t>
  </si>
  <si>
    <t>Krw_Soc* =</t>
  </si>
  <si>
    <t>NORMALIZED Kro and Krw</t>
  </si>
  <si>
    <t>Kro</t>
  </si>
  <si>
    <t>Kro*</t>
  </si>
  <si>
    <t>Krw</t>
  </si>
  <si>
    <t>Krw*</t>
  </si>
  <si>
    <t xml:space="preserve"> NA</t>
  </si>
  <si>
    <t>NA</t>
  </si>
  <si>
    <t>CORE#1</t>
  </si>
  <si>
    <t>CORE#2</t>
  </si>
  <si>
    <t>CORE#3</t>
  </si>
  <si>
    <t>Column1</t>
  </si>
  <si>
    <t>core#1</t>
  </si>
  <si>
    <t>core#2</t>
  </si>
  <si>
    <t>core#3</t>
  </si>
  <si>
    <t>Kro*_avg</t>
  </si>
  <si>
    <t>Krw*_avg</t>
  </si>
  <si>
    <t>sum(h*k)</t>
  </si>
  <si>
    <t>h*k_1</t>
  </si>
  <si>
    <t>h*k_2</t>
  </si>
  <si>
    <t>h*k_3</t>
  </si>
  <si>
    <r>
      <t xml:space="preserve">USING THE DESIRED FORMATION i.e. </t>
    </r>
    <r>
      <rPr>
        <b/>
        <sz val="11"/>
        <color rgb="FFFF0000"/>
        <rFont val="Calibri"/>
        <family val="2"/>
        <scheme val="minor"/>
      </rPr>
      <t>Soc=0.3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Swc=0.27</t>
    </r>
  </si>
  <si>
    <t>DENORMALIZING THE DATA</t>
  </si>
  <si>
    <t>DATA REQUIRED</t>
  </si>
  <si>
    <t>K(md)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</si>
</sst>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Sheet1!$B$69:$B$76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0.88700000000000001</c:v>
                </c:pt>
                <c:pt idx="3">
                  <c:v>0.65500000000000003</c:v>
                </c:pt>
                <c:pt idx="4">
                  <c:v>0.41399999999999998</c:v>
                </c:pt>
                <c:pt idx="5">
                  <c:v>0.154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A-4F0F-B2CF-0CBE296B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328815"/>
        <c:axId val="1941327855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0253718285214348E-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Sheet1!$C$69:$C$76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4.4999999999999998E-2</c:v>
                </c:pt>
                <c:pt idx="3">
                  <c:v>0.23</c:v>
                </c:pt>
                <c:pt idx="4">
                  <c:v>0.495</c:v>
                </c:pt>
                <c:pt idx="5">
                  <c:v>0.81799999999999995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A-4F0F-B2CF-0CBE296B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752767"/>
        <c:axId val="2029754207"/>
      </c:scatterChart>
      <c:valAx>
        <c:axId val="19413288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7855"/>
        <c:crosses val="autoZero"/>
        <c:crossBetween val="midCat"/>
        <c:majorUnit val="0.1"/>
      </c:valAx>
      <c:valAx>
        <c:axId val="1941327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8815"/>
        <c:crosses val="autoZero"/>
        <c:crossBetween val="midCat"/>
      </c:valAx>
      <c:valAx>
        <c:axId val="202975420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52767"/>
        <c:crosses val="max"/>
        <c:crossBetween val="midCat"/>
      </c:valAx>
      <c:valAx>
        <c:axId val="2029752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7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Sheet1!$E$68</c:f>
              <c:strCache>
                <c:ptCount val="1"/>
                <c:pt idx="0">
                  <c:v>Kro*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7524059492563431E-3"/>
                  <c:y val="-6.9243584135316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Sheet1!$E$69:$E$76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0.74099999999999999</c:v>
                </c:pt>
                <c:pt idx="4">
                  <c:v>0.49099999999999999</c:v>
                </c:pt>
                <c:pt idx="5">
                  <c:v>0.253</c:v>
                </c:pt>
                <c:pt idx="6">
                  <c:v>0.13900000000000001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A-4F1C-92E9-C10F3EFB7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1471"/>
        <c:axId val="2020782431"/>
      </c:scatterChart>
      <c:scatterChart>
        <c:scatterStyle val="lineMarker"/>
        <c:varyColors val="0"/>
        <c:ser>
          <c:idx val="1"/>
          <c:order val="1"/>
          <c:tx>
            <c:strRef>
              <c:f>Sheet1!$F$68</c:f>
              <c:strCache>
                <c:ptCount val="1"/>
                <c:pt idx="0">
                  <c:v>Krw*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Sheet1!$F$69:$F$76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</c:v>
                </c:pt>
                <c:pt idx="4">
                  <c:v>0.38200000000000001</c:v>
                </c:pt>
                <c:pt idx="5">
                  <c:v>0.64600000000000002</c:v>
                </c:pt>
                <c:pt idx="6">
                  <c:v>0.78800000000000003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A-4F1C-92E9-C10F3EFB7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1472"/>
        <c:axId val="1941325455"/>
      </c:scatterChart>
      <c:valAx>
        <c:axId val="20207814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2431"/>
        <c:crosses val="autoZero"/>
        <c:crossBetween val="midCat"/>
        <c:majorUnit val="0.1"/>
      </c:valAx>
      <c:valAx>
        <c:axId val="202078243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1471"/>
        <c:crosses val="autoZero"/>
        <c:crossBetween val="midCat"/>
      </c:valAx>
      <c:valAx>
        <c:axId val="1941325455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1472"/>
        <c:crosses val="max"/>
        <c:crossBetween val="midCat"/>
      </c:valAx>
      <c:valAx>
        <c:axId val="20207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3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3780183727034127E-2"/>
                  <c:y val="4.83048993875765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Sheet1!$H$69:$H$76</c:f>
              <c:numCache>
                <c:formatCode>General</c:formatCode>
                <c:ptCount val="8"/>
                <c:pt idx="0">
                  <c:v>1</c:v>
                </c:pt>
                <c:pt idx="1">
                  <c:v>0.872</c:v>
                </c:pt>
                <c:pt idx="2">
                  <c:v>0.83899999999999997</c:v>
                </c:pt>
                <c:pt idx="3">
                  <c:v>0.66300000000000003</c:v>
                </c:pt>
                <c:pt idx="4">
                  <c:v>0.46300000000000002</c:v>
                </c:pt>
                <c:pt idx="5">
                  <c:v>0.215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4-4F9C-AB5E-40936880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6271"/>
        <c:axId val="2030245791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Sheet1!$I$69:$I$76</c:f>
              <c:numCache>
                <c:formatCode>General</c:formatCode>
                <c:ptCount val="8"/>
                <c:pt idx="0">
                  <c:v>0</c:v>
                </c:pt>
                <c:pt idx="1">
                  <c:v>2.3E-2</c:v>
                </c:pt>
                <c:pt idx="2">
                  <c:v>7.6999999999999999E-2</c:v>
                </c:pt>
                <c:pt idx="3">
                  <c:v>0.251</c:v>
                </c:pt>
                <c:pt idx="4">
                  <c:v>0.503</c:v>
                </c:pt>
                <c:pt idx="5">
                  <c:v>0.81699999999999995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4-4F9C-AB5E-40936880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7231"/>
        <c:axId val="2030248191"/>
      </c:scatterChart>
      <c:valAx>
        <c:axId val="203024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5791"/>
        <c:crosses val="autoZero"/>
        <c:crossBetween val="midCat"/>
        <c:majorUnit val="0.1"/>
      </c:valAx>
      <c:valAx>
        <c:axId val="203024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6271"/>
        <c:crosses val="autoZero"/>
        <c:crossBetween val="midCat"/>
      </c:valAx>
      <c:valAx>
        <c:axId val="203024819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7231"/>
        <c:crosses val="max"/>
        <c:crossBetween val="midCat"/>
      </c:valAx>
      <c:valAx>
        <c:axId val="2030247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24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Averaging relative permeability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Sheet1!$B$69:$B$76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0.88700000000000001</c:v>
                </c:pt>
                <c:pt idx="3">
                  <c:v>0.65500000000000003</c:v>
                </c:pt>
                <c:pt idx="4">
                  <c:v>0.41399999999999998</c:v>
                </c:pt>
                <c:pt idx="5">
                  <c:v>0.154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59E-4067-BCF9-B7EC4CE98E33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Sheet1!$C$69:$C$76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4.4999999999999998E-2</c:v>
                </c:pt>
                <c:pt idx="3">
                  <c:v>0.23</c:v>
                </c:pt>
                <c:pt idx="4">
                  <c:v>0.495</c:v>
                </c:pt>
                <c:pt idx="5">
                  <c:v>0.81799999999999995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59E-4067-BCF9-B7EC4CE98E33}"/>
            </c:ext>
          </c:extLst>
        </c:ser>
        <c:ser>
          <c:idx val="4"/>
          <c:order val="2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Sheet1!$E$69:$E$76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0.74099999999999999</c:v>
                </c:pt>
                <c:pt idx="4">
                  <c:v>0.49099999999999999</c:v>
                </c:pt>
                <c:pt idx="5">
                  <c:v>0.253</c:v>
                </c:pt>
                <c:pt idx="6">
                  <c:v>0.13900000000000001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C-B59E-4067-BCF9-B7EC4CE98E33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Sheet1!$F$69:$F$76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</c:v>
                </c:pt>
                <c:pt idx="4">
                  <c:v>0.38200000000000001</c:v>
                </c:pt>
                <c:pt idx="5">
                  <c:v>0.64600000000000002</c:v>
                </c:pt>
                <c:pt idx="6">
                  <c:v>0.78800000000000003</c:v>
                </c:pt>
                <c:pt idx="7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D-B59E-4067-BCF9-B7EC4CE98E33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Sheet1!$H$69:$H$76</c:f>
              <c:numCache>
                <c:formatCode>General</c:formatCode>
                <c:ptCount val="8"/>
                <c:pt idx="0">
                  <c:v>1</c:v>
                </c:pt>
                <c:pt idx="1">
                  <c:v>0.872</c:v>
                </c:pt>
                <c:pt idx="2">
                  <c:v>0.83899999999999997</c:v>
                </c:pt>
                <c:pt idx="3">
                  <c:v>0.66300000000000003</c:v>
                </c:pt>
                <c:pt idx="4">
                  <c:v>0.46300000000000002</c:v>
                </c:pt>
                <c:pt idx="5">
                  <c:v>0.215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59E-4067-BCF9-B7EC4CE9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6271"/>
        <c:axId val="2030245791"/>
      </c:scatterChart>
      <c:scatterChart>
        <c:scatterStyle val="lineMarker"/>
        <c:varyColors val="0"/>
        <c:ser>
          <c:idx val="1"/>
          <c:order val="5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Sheet1!$I$69:$I$76</c:f>
              <c:numCache>
                <c:formatCode>General</c:formatCode>
                <c:ptCount val="8"/>
                <c:pt idx="0">
                  <c:v>0</c:v>
                </c:pt>
                <c:pt idx="1">
                  <c:v>2.3E-2</c:v>
                </c:pt>
                <c:pt idx="2">
                  <c:v>7.6999999999999999E-2</c:v>
                </c:pt>
                <c:pt idx="3">
                  <c:v>0.251</c:v>
                </c:pt>
                <c:pt idx="4">
                  <c:v>0.503</c:v>
                </c:pt>
                <c:pt idx="5">
                  <c:v>0.81699999999999995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59E-4067-BCF9-B7EC4CE9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7231"/>
        <c:axId val="2030248191"/>
      </c:scatterChart>
      <c:valAx>
        <c:axId val="203024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Sw*</a:t>
                </a:r>
              </a:p>
            </c:rich>
          </c:tx>
          <c:layout>
            <c:manualLayout>
              <c:xMode val="edge"/>
              <c:yMode val="edge"/>
              <c:x val="0.47370844269466317"/>
              <c:y val="0.6420515734502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5791"/>
        <c:crosses val="autoZero"/>
        <c:crossBetween val="midCat"/>
        <c:majorUnit val="0.1"/>
      </c:valAx>
      <c:valAx>
        <c:axId val="203024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Kro*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6271"/>
        <c:crosses val="autoZero"/>
        <c:crossBetween val="midCat"/>
      </c:valAx>
      <c:valAx>
        <c:axId val="2030248191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Krw*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7231"/>
        <c:crosses val="max"/>
        <c:crossBetween val="midCat"/>
      </c:valAx>
      <c:valAx>
        <c:axId val="2030247231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819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76200</xdr:rowOff>
    </xdr:from>
    <xdr:to>
      <xdr:col>5</xdr:col>
      <xdr:colOff>304800</xdr:colOff>
      <xdr:row>96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C6967-7A52-1BFB-9049-466B5DE0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81</xdr:row>
      <xdr:rowOff>106680</xdr:rowOff>
    </xdr:from>
    <xdr:to>
      <xdr:col>12</xdr:col>
      <xdr:colOff>281940</xdr:colOff>
      <xdr:row>96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D5859-FA60-D62B-EE28-F3E949571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358140</xdr:colOff>
      <xdr:row>81</xdr:row>
      <xdr:rowOff>152400</xdr:rowOff>
    </xdr:from>
    <xdr:to>
      <xdr:col>20</xdr:col>
      <xdr:colOff>53340</xdr:colOff>
      <xdr:row>96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035F4-068A-7333-6551-9568FB1CF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480060</xdr:colOff>
      <xdr:row>60</xdr:row>
      <xdr:rowOff>160020</xdr:rowOff>
    </xdr:from>
    <xdr:to>
      <xdr:col>19</xdr:col>
      <xdr:colOff>30480</xdr:colOff>
      <xdr:row>81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010E6-F1FA-10DB-BA2C-456A29AEF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BF2F7-CEF8-47AD-9F72-48462DFF50BA}" name="Table1" displayName="Table1" ref="A68:C76" totalsRowShown="0">
  <autoFilter ref="A68:C76" xr:uid="{1AABF2F7-CEF8-47AD-9F72-48462DFF50BA}"/>
  <tableColumns count="3">
    <tableColumn id="1" xr3:uid="{AFC0D0B7-8529-4C07-BC23-FF0C63AE6B40}" name="Sw*">
      <calculatedColumnFormula>B13</calculatedColumnFormula>
    </tableColumn>
    <tableColumn id="2" xr3:uid="{16B712FE-2B02-4D1B-A429-79671974E844}" name="Kro*">
      <calculatedColumnFormula>ROUND(C34,3)</calculatedColumnFormula>
    </tableColumn>
    <tableColumn id="3" xr3:uid="{BC8E55B9-5038-45AE-B024-F16A3F114695}" name="Krw*">
      <calculatedColumnFormula>ROUND(E34,3)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6B2093-E881-4F04-BF42-F4249F6C5BB6}" name="Table10" displayName="Table10" ref="A2:D8" totalsRowShown="0">
  <autoFilter ref="A2:D8" xr:uid="{0B6B2093-E881-4F04-BF42-F4249F6C5BB6}"/>
  <tableColumns count="4">
    <tableColumn id="1" xr3:uid="{3D8AAD4D-9F14-4C50-BE8D-2DC7FF37C702}" name="Column1"/>
    <tableColumn id="2" xr3:uid="{3027306F-EA58-4FA1-9390-E14B71D59763}" name="core sample#1"/>
    <tableColumn id="3" xr3:uid="{70FE3A60-8F7F-469A-BF22-09C768C75DD6}" name="core sample#2"/>
    <tableColumn id="4" xr3:uid="{B73E621E-113A-4B3D-890A-3E8A74A30C41}" name="core sample#3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E68271-A9DE-4115-AB8B-BD022FEFB1B5}" name="Table11" displayName="Table11" ref="A11:D20" totalsRowShown="0">
  <autoFilter ref="A11:D20" xr:uid="{D0E68271-A9DE-4115-AB8B-BD022FEFB1B5}"/>
  <tableColumns count="4">
    <tableColumn id="1" xr3:uid="{9E7C8AD3-37A8-40A1-B71E-1B02C198245F}" name="Column1"/>
    <tableColumn id="2" xr3:uid="{BBD03E1F-4F1D-406C-A20A-C9A0A42E7D94}" name="core sample#1">
      <calculatedColumnFormula>(A12-$B$6)/(1-$B$5-$B$6)</calculatedColumnFormula>
    </tableColumn>
    <tableColumn id="3" xr3:uid="{43681ACC-8A15-47E4-9ED0-A7C9D04C5354}" name="core sample#2">
      <calculatedColumnFormula>(A12-$C$6)/(1-$C$5-$C$6)</calculatedColumnFormula>
    </tableColumn>
    <tableColumn id="4" xr3:uid="{F6728D6D-7A4D-4F22-924A-ABF03E9BE4AA}" name="core sample#3">
      <calculatedColumnFormula>(A12-$D$6)/(1-$D$5-$D$6)</calculatedColumn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CBD9A9-F829-4FA5-AE4B-EF24E7027F34}" name="Table12" displayName="Table12" ref="I2:L3" totalsRowShown="0">
  <autoFilter ref="I2:L3" xr:uid="{E3CBD9A9-F829-4FA5-AE4B-EF24E7027F34}"/>
  <tableColumns count="4">
    <tableColumn id="1" xr3:uid="{608DCB98-9871-4840-BF48-FB48D4B0A533}" name="h*k_1">
      <calculatedColumnFormula>B3*B4</calculatedColumnFormula>
    </tableColumn>
    <tableColumn id="2" xr3:uid="{4DB34003-AEC0-4DEC-9BF1-ADD5D11DE976}" name="h*k_2">
      <calculatedColumnFormula>C3*C4</calculatedColumnFormula>
    </tableColumn>
    <tableColumn id="3" xr3:uid="{1E41878B-EF2A-4671-9F77-4CF4743AD86D}" name="h*k_3">
      <calculatedColumnFormula>D3*D4</calculatedColumnFormula>
    </tableColumn>
    <tableColumn id="4" xr3:uid="{247B77B0-A8A8-4315-8ABB-B36F3BA7020E}" name="sum(h*k)">
      <calculatedColumnFormula>SUM(I3,J3,K3)</calculatedColumnFormula>
    </tableColumn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98795B1-2DF7-44C1-9146-E38C215486C7}" name="Table14" displayName="Table14" ref="B28:C29" headerRowCount="0" totalsRowShown="0">
  <tableColumns count="2">
    <tableColumn id="1" xr3:uid="{4B61E86A-F9DC-4208-9F26-2600FA06D24A}" name="Column1" headerRowDxfId="7" dataDxfId="6"/>
    <tableColumn id="2" xr3:uid="{0C863C06-BBE8-4F1C-A8AD-6A82541D1C6B}" name="Column2">
      <calculatedColumnFormula>(B3*B2*B7+C3*C2*C7+D3*D2*D7)/(B3*B2+C3*C2+D3*D2)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0EA28F-8569-443F-8504-5B86880B3227}" name="Table15" displayName="Table15" ref="A33:E41" totalsRowShown="0">
  <autoFilter ref="A33:E41" xr:uid="{5D0EA28F-8569-443F-8504-5B86880B3227}"/>
  <tableColumns count="5">
    <tableColumn id="1" xr3:uid="{D25DBD1E-3A49-439D-A19A-9A5B574FFB2B}" name="Sw"/>
    <tableColumn id="2" xr3:uid="{0E77928A-106B-457B-867F-CA58F65D6185}" name="Kro"/>
    <tableColumn id="3" xr3:uid="{1F6DEC4D-0185-4FAD-A33D-AA5F16CFE775}" name="Kro*">
      <calculatedColumnFormula>B34/$B$7</calculatedColumnFormula>
    </tableColumn>
    <tableColumn id="4" xr3:uid="{DCA450D6-E0CA-4843-9427-73B270190094}" name="Krw"/>
    <tableColumn id="5" xr3:uid="{7BBB991E-30B4-4DD9-9F40-7A7DDB188905}" name="Krw*">
      <calculatedColumnFormula>D34/$B$8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8624066-7FF7-499A-B779-41DFF3ACD6A2}" name="Table16" displayName="Table16" ref="A44:E52" totalsRowShown="0">
  <autoFilter ref="A44:E52" xr:uid="{38624066-7FF7-499A-B779-41DFF3ACD6A2}"/>
  <tableColumns count="5">
    <tableColumn id="1" xr3:uid="{FFCC99C1-F0DF-4482-91C5-33936EE05FA9}" name="Sw"/>
    <tableColumn id="2" xr3:uid="{753608DD-297E-4E44-A069-2F13C676CAC2}" name="Kro"/>
    <tableColumn id="3" xr3:uid="{E396E57B-E2EA-447B-8301-6A352121B5E4}" name="Kro*">
      <calculatedColumnFormula>B45/$C$7</calculatedColumnFormula>
    </tableColumn>
    <tableColumn id="4" xr3:uid="{0445B3A1-6072-4486-8888-B19E435177DB}" name="Krw"/>
    <tableColumn id="5" xr3:uid="{3F351FF6-8D60-4F2A-98D2-87FB1A2F93BA}" name="Krw*">
      <calculatedColumnFormula>D45/$C$8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4B57923-7982-47A5-BFA7-E27B2FFC5EAA}" name="Table17" displayName="Table17" ref="A55:E63" totalsRowShown="0">
  <autoFilter ref="A55:E63" xr:uid="{24B57923-7982-47A5-BFA7-E27B2FFC5EAA}"/>
  <tableColumns count="5">
    <tableColumn id="1" xr3:uid="{9212138D-2DD7-4C6D-B130-7021163E9AF5}" name="Sw"/>
    <tableColumn id="2" xr3:uid="{1D4C3965-1F57-4739-B02F-890859877B2C}" name="Kro"/>
    <tableColumn id="3" xr3:uid="{24ED7157-1A51-4806-8516-69C6BECCC80D}" name="Kro*">
      <calculatedColumnFormula>B56/$D$7</calculatedColumnFormula>
    </tableColumn>
    <tableColumn id="4" xr3:uid="{44713217-E00A-4799-AF0C-73C48A289377}" name="Krw"/>
    <tableColumn id="5" xr3:uid="{70934C72-2054-49F5-B2E2-E4F7BD940FD4}" name="Krw*">
      <calculatedColumnFormula>D56/$D$8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FF438BD-9656-4C28-97AD-46CF9BB3D1AD}" name="Table19" displayName="Table19" ref="A122:F131" totalsRowShown="0">
  <autoFilter ref="A122:F131" xr:uid="{AFF438BD-9656-4C28-97AD-46CF9BB3D1AD}"/>
  <tableColumns count="6">
    <tableColumn id="1" xr3:uid="{E37FEC34-8994-4E16-BF1F-1F95D54D7DAE}" name="Sw*" dataDxfId="5"/>
    <tableColumn id="2" xr3:uid="{AD226EF3-4142-4A32-9353-3283185C37AE}" name="Kro*_avg">
      <calculatedColumnFormula>E104</calculatedColumnFormula>
    </tableColumn>
    <tableColumn id="3" xr3:uid="{F9A0E153-45B6-4CDE-80A0-0EB648E02666}" name="Krw*_avg">
      <calculatedColumnFormula>I104</calculatedColumnFormula>
    </tableColumn>
    <tableColumn id="4" xr3:uid="{2CFE15B6-DEAE-4663-9388-081A2A9FE302}" name="Kro">
      <calculatedColumnFormula>ROUND(B123*$C$28,3)</calculatedColumnFormula>
    </tableColumn>
    <tableColumn id="5" xr3:uid="{CEC48764-2B3C-4EDE-973A-314C9A94E069}" name="Krw">
      <calculatedColumnFormula>ROUND(C123*$C$29,3)</calculatedColumnFormula>
    </tableColumn>
    <tableColumn id="6" xr3:uid="{2DD81713-E293-45B2-8228-09EE944565B2}" name="Sw">
      <calculatedColumnFormula>A123*(1-Table9[Soc]-Table9[Swc])+Table9[Swc]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A59236-B27D-4B53-B9DB-E7F8B41D96BE}" name="Table2" displayName="Table2" ref="D68:F76" totalsRowShown="0">
  <autoFilter ref="D68:F76" xr:uid="{D0A59236-B27D-4B53-B9DB-E7F8B41D96BE}"/>
  <tableColumns count="3">
    <tableColumn id="1" xr3:uid="{8C117065-6E5D-4384-9442-B82668627756}" name="Sw*">
      <calculatedColumnFormula>ROUND(C13,3)</calculatedColumnFormula>
    </tableColumn>
    <tableColumn id="2" xr3:uid="{A61EFE2D-7C3C-4A58-8F5A-43A0491C58E9}" name="Kro*">
      <calculatedColumnFormula>ROUND(C45,3)</calculatedColumnFormula>
    </tableColumn>
    <tableColumn id="3" xr3:uid="{14E125FE-81E4-423D-96D3-7AA43366A6F7}" name="Krw*">
      <calculatedColumnFormula>ROUND(E45,3)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1F28E6-639B-403D-B0EB-A88D765A0D02}" name="Table3" displayName="Table3" ref="G68:I76" totalsRowShown="0">
  <autoFilter ref="G68:I76" xr:uid="{591F28E6-639B-403D-B0EB-A88D765A0D02}"/>
  <tableColumns count="3">
    <tableColumn id="1" xr3:uid="{06AED1D8-6B09-4E94-92DF-1FD95225A7E1}" name="Sw*">
      <calculatedColumnFormula>ROUND(D13,3)</calculatedColumnFormula>
    </tableColumn>
    <tableColumn id="2" xr3:uid="{76295E37-CF36-4D5A-B2D6-D83605F20A83}" name="Kro*">
      <calculatedColumnFormula>ROUND(C56,3)</calculatedColumnFormula>
    </tableColumn>
    <tableColumn id="3" xr3:uid="{B266787C-87FB-44DA-BA95-5449D42C7A2F}" name="Krw*">
      <calculatedColumnFormula>ROUND(E56,3)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F88A7B-28F9-4294-9824-AFAFC270DCAA}" name="Table4" displayName="Table4" ref="A67:C67" headerRowCount="0" totalsRowShown="0">
  <tableColumns count="3">
    <tableColumn id="1" xr3:uid="{14FC1708-525D-424A-A0FC-E0475B200424}" name="Column1"/>
    <tableColumn id="2" xr3:uid="{D4C8363A-B784-476B-8413-0D31D3D1AA79}" name="Column2" headerRowDxfId="15" dataDxfId="14"/>
    <tableColumn id="3" xr3:uid="{8CA32021-88DC-4176-92D5-EF909430C413}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F3E3C7-2B6F-4D3F-A2AC-89CD38F5F060}" name="Table5" displayName="Table5" ref="D67:F67" headerRowCount="0" totalsRowShown="0">
  <tableColumns count="3">
    <tableColumn id="1" xr3:uid="{AB307DD9-441B-46E6-8835-7DDDABCA2661}" name="Column1"/>
    <tableColumn id="2" xr3:uid="{4BE2617C-32D6-410A-ADBE-185196FF7554}" name="Column2" headerRowDxfId="13" dataDxfId="12"/>
    <tableColumn id="3" xr3:uid="{4B9DF614-DD23-463D-B2EC-6B9159F02153}" name="Column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37CBE7-86BB-40F4-9848-69C47754B561}" name="Table6" displayName="Table6" ref="G67:I67" headerRowCount="0" totalsRowShown="0">
  <tableColumns count="3">
    <tableColumn id="1" xr3:uid="{93193547-2BB9-458C-ABF7-F3C323C270FF}" name="Column1"/>
    <tableColumn id="2" xr3:uid="{44B76581-C3C5-47AE-8E9A-ABDBA96D3612}" name="Column2" headerRowDxfId="11" dataDxfId="10"/>
    <tableColumn id="3" xr3:uid="{86D126A5-0DB7-43E5-8910-A35565855DBD}" name="Column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572F83-F765-4F0C-9292-351E524EA008}" name="Table7" displayName="Table7" ref="B103:E113" headerRowCount="0">
  <tableColumns count="4">
    <tableColumn id="1" xr3:uid="{DD62CA00-01D8-41C0-B9D0-2672D20C4F10}" name="Column1" totalsRowLabel="Total"/>
    <tableColumn id="2" xr3:uid="{7C3D5B5C-CB0D-45E4-AA2D-C0D270ECEE0E}" name="Kro*"/>
    <tableColumn id="3" xr3:uid="{3A32F170-EFFA-48E9-96B3-1DB4E5C17A63}" name="Column2" totalsRowFunction="count"/>
    <tableColumn id="4" xr3:uid="{A3627A77-AB16-4159-9668-C9DB289FA3A1}" name="Column3" dataDxfId="9">
      <calculatedColumnFormula>ROUND((Table7[[#This Row],[Column1]]*$I$3+Table7[[#This Row],[Kro*]]*$J$3+Table7[[#This Row],[Column2]]*$K$3)/$L$3,3)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9F7B64-8D58-4002-A0DC-3AFB88FEF274}" name="Table8" displayName="Table8" ref="F103:I113" headerRowCount="0" totalsRowShown="0">
  <tableColumns count="4">
    <tableColumn id="1" xr3:uid="{6ADD1C7D-C778-47BC-A500-C509FABE5DD3}" name="Column1"/>
    <tableColumn id="2" xr3:uid="{8F5C8E8B-F445-4A84-A08E-74ADBB1F5E78}" name="Column2"/>
    <tableColumn id="3" xr3:uid="{72671578-77E7-444D-9D2A-78AE13030556}" name="Column3"/>
    <tableColumn id="4" xr3:uid="{62F4CD31-43A0-4A82-BC66-D0F73F01A097}" name="Column4" dataDxfId="8">
      <calculatedColumnFormula>ROUND((Table8[[#This Row],[Column1]]*$I$3+Table8[[#This Row],[Column2]]*$J$3+Table8[[#This Row],[Column3]]*$K$3)/$L$3,3)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F58BF9-5E96-437A-A6A9-A7C3BC3D215F}" name="Table9" displayName="Table9" ref="G119:H120" totalsRowShown="0">
  <autoFilter ref="G119:H120" xr:uid="{EBF58BF9-5E96-437A-A6A9-A7C3BC3D215F}"/>
  <tableColumns count="2">
    <tableColumn id="1" xr3:uid="{DEC567E6-9CE7-47D7-B67C-485471F441D3}" name="Soc"/>
    <tableColumn id="2" xr3:uid="{206CBA1C-E514-40A8-A466-01DF201DB127}" name="Sw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1.vml"/><Relationship Id="rId21" Type="http://schemas.openxmlformats.org/officeDocument/2006/relationships/comments" Target="../comments1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20" Type="http://schemas.openxmlformats.org/officeDocument/2006/relationships/table" Target="../tables/table1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3432-FD48-4D98-8FED-DD1BA6F08F43}">
  <dimension ref="A1:L131"/>
  <sheetViews>
    <sheetView tabSelected="1" topLeftCell="A111" workbookViewId="0">
      <selection activeCell="E17" sqref="E17"/>
    </sheetView>
  </sheetViews>
  <sheetFormatPr defaultRowHeight="14.4" x14ac:dyDescent="0.3"/>
  <cols>
    <col min="1" max="1" width="10.44140625" customWidth="1"/>
    <col min="2" max="4" width="15" customWidth="1"/>
    <col min="5" max="9" width="10.44140625" customWidth="1"/>
    <col min="12" max="12" width="10.88671875" customWidth="1"/>
  </cols>
  <sheetData>
    <row r="1" spans="1:12" x14ac:dyDescent="0.3">
      <c r="B1" s="3" t="s">
        <v>35</v>
      </c>
    </row>
    <row r="2" spans="1:12" x14ac:dyDescent="0.3">
      <c r="A2" t="s">
        <v>23</v>
      </c>
      <c r="B2" t="s">
        <v>0</v>
      </c>
      <c r="C2" t="s">
        <v>1</v>
      </c>
      <c r="D2" t="s">
        <v>2</v>
      </c>
      <c r="I2" t="s">
        <v>30</v>
      </c>
      <c r="J2" t="s">
        <v>31</v>
      </c>
      <c r="K2" t="s">
        <v>32</v>
      </c>
      <c r="L2" t="s">
        <v>29</v>
      </c>
    </row>
    <row r="3" spans="1:12" x14ac:dyDescent="0.3">
      <c r="A3" t="s">
        <v>3</v>
      </c>
      <c r="B3">
        <v>1</v>
      </c>
      <c r="C3">
        <v>1</v>
      </c>
      <c r="D3">
        <v>1</v>
      </c>
      <c r="I3">
        <f>B3*B4</f>
        <v>100</v>
      </c>
      <c r="J3">
        <f t="shared" ref="J3:K3" si="0">C3*C4</f>
        <v>80</v>
      </c>
      <c r="K3">
        <f t="shared" si="0"/>
        <v>150</v>
      </c>
      <c r="L3">
        <f>SUM(I3,J3,K3)</f>
        <v>330</v>
      </c>
    </row>
    <row r="4" spans="1:12" x14ac:dyDescent="0.3">
      <c r="A4" t="s">
        <v>36</v>
      </c>
      <c r="B4">
        <v>100</v>
      </c>
      <c r="C4">
        <v>80</v>
      </c>
      <c r="D4">
        <v>150</v>
      </c>
    </row>
    <row r="5" spans="1:12" x14ac:dyDescent="0.3">
      <c r="A5" t="s">
        <v>4</v>
      </c>
      <c r="B5">
        <v>0.35</v>
      </c>
      <c r="C5">
        <v>0.28000000000000003</v>
      </c>
      <c r="D5">
        <v>0.35</v>
      </c>
    </row>
    <row r="6" spans="1:12" x14ac:dyDescent="0.3">
      <c r="A6" t="s">
        <v>5</v>
      </c>
      <c r="B6">
        <v>0.25</v>
      </c>
      <c r="C6">
        <v>0.3</v>
      </c>
      <c r="D6">
        <v>0.2</v>
      </c>
    </row>
    <row r="7" spans="1:12" x14ac:dyDescent="0.3">
      <c r="A7" t="s">
        <v>6</v>
      </c>
      <c r="B7">
        <v>0.85</v>
      </c>
      <c r="C7">
        <v>0.8</v>
      </c>
      <c r="D7">
        <v>1</v>
      </c>
    </row>
    <row r="8" spans="1:12" x14ac:dyDescent="0.3">
      <c r="A8" t="s">
        <v>7</v>
      </c>
      <c r="B8">
        <v>0.4</v>
      </c>
      <c r="C8">
        <v>0.5</v>
      </c>
      <c r="D8">
        <v>0.35</v>
      </c>
    </row>
    <row r="10" spans="1:12" x14ac:dyDescent="0.3">
      <c r="B10" s="3" t="s">
        <v>8</v>
      </c>
    </row>
    <row r="11" spans="1:12" x14ac:dyDescent="0.3">
      <c r="A11" t="s">
        <v>23</v>
      </c>
      <c r="B11" t="s">
        <v>0</v>
      </c>
      <c r="C11" t="s">
        <v>1</v>
      </c>
      <c r="D11" t="s">
        <v>2</v>
      </c>
    </row>
    <row r="12" spans="1:12" x14ac:dyDescent="0.3">
      <c r="A12" t="s">
        <v>9</v>
      </c>
      <c r="B12" t="s">
        <v>10</v>
      </c>
      <c r="C12" t="s">
        <v>10</v>
      </c>
      <c r="D12" t="s">
        <v>10</v>
      </c>
    </row>
    <row r="13" spans="1:12" x14ac:dyDescent="0.3">
      <c r="A13">
        <v>0.2</v>
      </c>
      <c r="B13">
        <f>(A13-$B$6)/(1-$B$5-$B$6)</f>
        <v>-0.12499999999999997</v>
      </c>
      <c r="C13">
        <f>(A13-$C$6)/(1-$C$5-$C$6)</f>
        <v>-0.23809523809523805</v>
      </c>
      <c r="D13">
        <f>(A13-$D$6)/(1-$D$5-$D$6)</f>
        <v>0</v>
      </c>
    </row>
    <row r="14" spans="1:12" x14ac:dyDescent="0.3">
      <c r="A14">
        <v>0.25</v>
      </c>
      <c r="B14">
        <f t="shared" ref="B14:B20" si="1">(A14-$B$6)/(1-$B$5-$B$6)</f>
        <v>0</v>
      </c>
      <c r="C14">
        <f t="shared" ref="C14:C20" si="2">(A14-$C$6)/(1-$C$5-$C$6)</f>
        <v>-0.11904761904761903</v>
      </c>
      <c r="D14">
        <f t="shared" ref="D14:D20" si="3">(A14-$D$6)/(1-$D$5-$D$6)</f>
        <v>0.11111111111111108</v>
      </c>
    </row>
    <row r="15" spans="1:12" x14ac:dyDescent="0.3">
      <c r="A15">
        <v>0.3</v>
      </c>
      <c r="B15">
        <f t="shared" si="1"/>
        <v>0.12499999999999997</v>
      </c>
      <c r="C15">
        <f t="shared" si="2"/>
        <v>0</v>
      </c>
      <c r="D15">
        <f t="shared" si="3"/>
        <v>0.22222222222222215</v>
      </c>
    </row>
    <row r="16" spans="1:12" x14ac:dyDescent="0.3">
      <c r="A16">
        <v>0.4</v>
      </c>
      <c r="B16">
        <f t="shared" si="1"/>
        <v>0.37500000000000006</v>
      </c>
      <c r="C16">
        <f t="shared" si="2"/>
        <v>0.23809523809523819</v>
      </c>
      <c r="D16">
        <f t="shared" si="3"/>
        <v>0.44444444444444448</v>
      </c>
    </row>
    <row r="17" spans="1:4" x14ac:dyDescent="0.3">
      <c r="A17">
        <v>0.5</v>
      </c>
      <c r="B17">
        <f t="shared" si="1"/>
        <v>0.625</v>
      </c>
      <c r="C17">
        <f t="shared" si="2"/>
        <v>0.47619047619047622</v>
      </c>
      <c r="D17">
        <f t="shared" si="3"/>
        <v>0.66666666666666663</v>
      </c>
    </row>
    <row r="18" spans="1:4" x14ac:dyDescent="0.3">
      <c r="A18">
        <v>0.6</v>
      </c>
      <c r="B18">
        <f t="shared" si="1"/>
        <v>0.87499999999999989</v>
      </c>
      <c r="C18">
        <f t="shared" si="2"/>
        <v>0.7142857142857143</v>
      </c>
      <c r="D18">
        <f t="shared" si="3"/>
        <v>0.88888888888888884</v>
      </c>
    </row>
    <row r="19" spans="1:4" x14ac:dyDescent="0.3">
      <c r="A19">
        <v>0.65</v>
      </c>
      <c r="B19">
        <f t="shared" si="1"/>
        <v>1</v>
      </c>
      <c r="C19">
        <f t="shared" si="2"/>
        <v>0.83333333333333348</v>
      </c>
      <c r="D19">
        <f t="shared" si="3"/>
        <v>1</v>
      </c>
    </row>
    <row r="20" spans="1:4" x14ac:dyDescent="0.3">
      <c r="A20">
        <v>0.72</v>
      </c>
      <c r="B20">
        <f t="shared" si="1"/>
        <v>1.1749999999999998</v>
      </c>
      <c r="C20">
        <f t="shared" si="2"/>
        <v>1</v>
      </c>
      <c r="D20">
        <f t="shared" si="3"/>
        <v>1.1555555555555557</v>
      </c>
    </row>
    <row r="26" spans="1:4" x14ac:dyDescent="0.3">
      <c r="B26" s="3" t="s">
        <v>13</v>
      </c>
    </row>
    <row r="28" spans="1:4" x14ac:dyDescent="0.3">
      <c r="B28" s="2" t="s">
        <v>11</v>
      </c>
      <c r="C28">
        <f>(B3*B4*B7+C3*C4*C7+D3*D4*D7)/(B3*B4+C3*C4+D3*D4)</f>
        <v>0.90606060606060601</v>
      </c>
    </row>
    <row r="29" spans="1:4" x14ac:dyDescent="0.3">
      <c r="B29" s="2" t="s">
        <v>12</v>
      </c>
      <c r="C29">
        <f>(B4*B3*B8+C4*C3*C8+D4*D3*D8)/(B4*B3+C4*C3+D4*D3)</f>
        <v>0.40151515151515149</v>
      </c>
    </row>
    <row r="31" spans="1:4" x14ac:dyDescent="0.3">
      <c r="B31" s="3"/>
    </row>
    <row r="32" spans="1:4" x14ac:dyDescent="0.3">
      <c r="B32" s="3" t="s">
        <v>20</v>
      </c>
    </row>
    <row r="33" spans="1:5" x14ac:dyDescent="0.3">
      <c r="A33" t="s">
        <v>9</v>
      </c>
      <c r="B33" t="s">
        <v>14</v>
      </c>
      <c r="C33" t="s">
        <v>15</v>
      </c>
      <c r="D33" t="s">
        <v>16</v>
      </c>
      <c r="E33" t="s">
        <v>17</v>
      </c>
    </row>
    <row r="34" spans="1:5" x14ac:dyDescent="0.3">
      <c r="A34">
        <v>0.2</v>
      </c>
      <c r="B34" s="4" t="s">
        <v>18</v>
      </c>
      <c r="C34" t="e">
        <f t="shared" ref="C34:C41" si="4">B34/$B$7</f>
        <v>#VALUE!</v>
      </c>
      <c r="D34" t="s">
        <v>19</v>
      </c>
      <c r="E34" t="e">
        <f>D34/$B$8</f>
        <v>#VALUE!</v>
      </c>
    </row>
    <row r="35" spans="1:5" x14ac:dyDescent="0.3">
      <c r="A35">
        <v>0.25</v>
      </c>
      <c r="B35">
        <v>0.85</v>
      </c>
      <c r="C35">
        <f t="shared" si="4"/>
        <v>1</v>
      </c>
      <c r="D35">
        <v>0</v>
      </c>
      <c r="E35">
        <f t="shared" ref="E35:E41" si="5">D35/$B$8</f>
        <v>0</v>
      </c>
    </row>
    <row r="36" spans="1:5" x14ac:dyDescent="0.3">
      <c r="A36">
        <v>0.3</v>
      </c>
      <c r="B36">
        <v>0.754</v>
      </c>
      <c r="C36">
        <f t="shared" si="4"/>
        <v>0.88705882352941179</v>
      </c>
      <c r="D36">
        <v>1.7999999999999999E-2</v>
      </c>
      <c r="E36">
        <f t="shared" si="5"/>
        <v>4.4999999999999991E-2</v>
      </c>
    </row>
    <row r="37" spans="1:5" x14ac:dyDescent="0.3">
      <c r="A37">
        <v>0.4</v>
      </c>
      <c r="B37">
        <v>0.55700000000000005</v>
      </c>
      <c r="C37">
        <f t="shared" si="4"/>
        <v>0.65529411764705892</v>
      </c>
      <c r="D37">
        <v>9.1999999999999998E-2</v>
      </c>
      <c r="E37">
        <f t="shared" si="5"/>
        <v>0.22999999999999998</v>
      </c>
    </row>
    <row r="38" spans="1:5" x14ac:dyDescent="0.3">
      <c r="A38">
        <v>0.5</v>
      </c>
      <c r="B38">
        <v>0.35199999999999998</v>
      </c>
      <c r="C38">
        <f t="shared" si="4"/>
        <v>0.41411764705882353</v>
      </c>
      <c r="D38">
        <v>0.19800000000000001</v>
      </c>
      <c r="E38">
        <f t="shared" si="5"/>
        <v>0.495</v>
      </c>
    </row>
    <row r="39" spans="1:5" x14ac:dyDescent="0.3">
      <c r="A39">
        <v>0.6</v>
      </c>
      <c r="B39">
        <v>0.13100000000000001</v>
      </c>
      <c r="C39">
        <f t="shared" si="4"/>
        <v>0.15411764705882353</v>
      </c>
      <c r="D39">
        <v>0.32700000000000001</v>
      </c>
      <c r="E39">
        <f t="shared" si="5"/>
        <v>0.8175</v>
      </c>
    </row>
    <row r="40" spans="1:5" x14ac:dyDescent="0.3">
      <c r="A40">
        <v>0.65</v>
      </c>
      <c r="B40">
        <v>0</v>
      </c>
      <c r="C40">
        <f t="shared" si="4"/>
        <v>0</v>
      </c>
      <c r="D40">
        <v>0.4</v>
      </c>
      <c r="E40">
        <f t="shared" si="5"/>
        <v>1</v>
      </c>
    </row>
    <row r="41" spans="1:5" x14ac:dyDescent="0.3">
      <c r="A41">
        <v>0.72</v>
      </c>
      <c r="B41" s="4" t="s">
        <v>19</v>
      </c>
      <c r="C41" t="e">
        <f t="shared" si="4"/>
        <v>#VALUE!</v>
      </c>
      <c r="D41" t="s">
        <v>19</v>
      </c>
      <c r="E41" t="e">
        <f t="shared" si="5"/>
        <v>#VALUE!</v>
      </c>
    </row>
    <row r="43" spans="1:5" x14ac:dyDescent="0.3">
      <c r="B43" s="3" t="s">
        <v>21</v>
      </c>
    </row>
    <row r="44" spans="1:5" x14ac:dyDescent="0.3">
      <c r="A44" t="s">
        <v>9</v>
      </c>
      <c r="B44" t="s">
        <v>14</v>
      </c>
      <c r="C44" t="s">
        <v>15</v>
      </c>
      <c r="D44" t="s">
        <v>16</v>
      </c>
      <c r="E44" t="s">
        <v>17</v>
      </c>
    </row>
    <row r="45" spans="1:5" x14ac:dyDescent="0.3">
      <c r="A45">
        <v>0.2</v>
      </c>
      <c r="B45" t="s">
        <v>19</v>
      </c>
      <c r="C45" t="e">
        <f>B45/$C$7</f>
        <v>#VALUE!</v>
      </c>
      <c r="D45" t="s">
        <v>19</v>
      </c>
      <c r="E45" t="e">
        <f>D45/$C$8</f>
        <v>#VALUE!</v>
      </c>
    </row>
    <row r="46" spans="1:5" x14ac:dyDescent="0.3">
      <c r="A46">
        <v>0.25</v>
      </c>
      <c r="B46" t="s">
        <v>19</v>
      </c>
      <c r="C46" t="e">
        <f t="shared" ref="C46:C52" si="6">B46/$C$7</f>
        <v>#VALUE!</v>
      </c>
      <c r="D46" t="s">
        <v>19</v>
      </c>
      <c r="E46" t="e">
        <f t="shared" ref="E46:E52" si="7">D46/$C$8</f>
        <v>#VALUE!</v>
      </c>
    </row>
    <row r="47" spans="1:5" x14ac:dyDescent="0.3">
      <c r="A47">
        <v>0.3</v>
      </c>
      <c r="B47">
        <v>0.8</v>
      </c>
      <c r="C47">
        <f t="shared" si="6"/>
        <v>1</v>
      </c>
      <c r="D47">
        <v>0</v>
      </c>
      <c r="E47">
        <f t="shared" si="7"/>
        <v>0</v>
      </c>
    </row>
    <row r="48" spans="1:5" x14ac:dyDescent="0.3">
      <c r="A48">
        <v>0.4</v>
      </c>
      <c r="B48">
        <v>0.59299999999999997</v>
      </c>
      <c r="C48">
        <f t="shared" si="6"/>
        <v>0.74124999999999996</v>
      </c>
      <c r="D48">
        <v>7.6999999999999999E-2</v>
      </c>
      <c r="E48">
        <f t="shared" si="7"/>
        <v>0.154</v>
      </c>
    </row>
    <row r="49" spans="1:5" x14ac:dyDescent="0.3">
      <c r="A49">
        <v>0.5</v>
      </c>
      <c r="B49">
        <v>0.39300000000000002</v>
      </c>
      <c r="C49">
        <f t="shared" si="6"/>
        <v>0.49125000000000002</v>
      </c>
      <c r="D49">
        <v>0.191</v>
      </c>
      <c r="E49">
        <f t="shared" si="7"/>
        <v>0.38200000000000001</v>
      </c>
    </row>
    <row r="50" spans="1:5" x14ac:dyDescent="0.3">
      <c r="A50">
        <v>0.6</v>
      </c>
      <c r="B50">
        <v>0.20200000000000001</v>
      </c>
      <c r="C50">
        <f t="shared" si="6"/>
        <v>0.2525</v>
      </c>
      <c r="D50">
        <v>0.32300000000000001</v>
      </c>
      <c r="E50">
        <f t="shared" si="7"/>
        <v>0.64600000000000002</v>
      </c>
    </row>
    <row r="51" spans="1:5" x14ac:dyDescent="0.3">
      <c r="A51">
        <v>0.65</v>
      </c>
      <c r="B51">
        <v>0.111</v>
      </c>
      <c r="C51">
        <f t="shared" si="6"/>
        <v>0.13874999999999998</v>
      </c>
      <c r="D51">
        <v>0.39400000000000002</v>
      </c>
      <c r="E51">
        <f t="shared" si="7"/>
        <v>0.78800000000000003</v>
      </c>
    </row>
    <row r="52" spans="1:5" x14ac:dyDescent="0.3">
      <c r="A52">
        <v>0.72</v>
      </c>
      <c r="B52">
        <v>0</v>
      </c>
      <c r="C52">
        <f t="shared" si="6"/>
        <v>0</v>
      </c>
      <c r="D52">
        <v>0.5</v>
      </c>
      <c r="E52">
        <f t="shared" si="7"/>
        <v>1</v>
      </c>
    </row>
    <row r="54" spans="1:5" x14ac:dyDescent="0.3">
      <c r="B54" s="3" t="s">
        <v>22</v>
      </c>
    </row>
    <row r="55" spans="1:5" x14ac:dyDescent="0.3">
      <c r="A55" t="s">
        <v>9</v>
      </c>
      <c r="B55" t="s">
        <v>14</v>
      </c>
      <c r="C55" t="s">
        <v>15</v>
      </c>
      <c r="D55" t="s">
        <v>16</v>
      </c>
      <c r="E55" t="s">
        <v>17</v>
      </c>
    </row>
    <row r="56" spans="1:5" x14ac:dyDescent="0.3">
      <c r="A56">
        <v>0.2</v>
      </c>
      <c r="B56">
        <v>1</v>
      </c>
      <c r="C56">
        <v>1</v>
      </c>
      <c r="D56">
        <v>0</v>
      </c>
      <c r="E56">
        <f>D56/$D$8</f>
        <v>0</v>
      </c>
    </row>
    <row r="57" spans="1:5" x14ac:dyDescent="0.3">
      <c r="A57">
        <v>0.25</v>
      </c>
      <c r="B57">
        <v>0.872</v>
      </c>
      <c r="C57">
        <f t="shared" ref="C57:C63" si="8">B57/$D$7</f>
        <v>0.872</v>
      </c>
      <c r="D57">
        <v>8.0000000000000002E-3</v>
      </c>
      <c r="E57">
        <f t="shared" ref="E57:E63" si="9">D57/$D$8</f>
        <v>2.2857142857142861E-2</v>
      </c>
    </row>
    <row r="58" spans="1:5" x14ac:dyDescent="0.3">
      <c r="A58">
        <v>0.3</v>
      </c>
      <c r="B58">
        <v>0.83899999999999997</v>
      </c>
      <c r="C58">
        <f t="shared" si="8"/>
        <v>0.83899999999999997</v>
      </c>
      <c r="D58">
        <v>2.7E-2</v>
      </c>
      <c r="E58">
        <f t="shared" si="9"/>
        <v>7.7142857142857152E-2</v>
      </c>
    </row>
    <row r="59" spans="1:5" x14ac:dyDescent="0.3">
      <c r="A59">
        <v>0.4</v>
      </c>
      <c r="B59">
        <v>0.66300000000000003</v>
      </c>
      <c r="C59">
        <f t="shared" si="8"/>
        <v>0.66300000000000003</v>
      </c>
      <c r="D59">
        <v>8.7999999999999995E-2</v>
      </c>
      <c r="E59">
        <f t="shared" si="9"/>
        <v>0.25142857142857145</v>
      </c>
    </row>
    <row r="60" spans="1:5" x14ac:dyDescent="0.3">
      <c r="A60">
        <v>0.5</v>
      </c>
      <c r="B60">
        <v>0.46300000000000002</v>
      </c>
      <c r="C60">
        <f t="shared" si="8"/>
        <v>0.46300000000000002</v>
      </c>
      <c r="D60">
        <v>0.17599999999999999</v>
      </c>
      <c r="E60">
        <f t="shared" si="9"/>
        <v>0.50285714285714289</v>
      </c>
    </row>
    <row r="61" spans="1:5" x14ac:dyDescent="0.3">
      <c r="A61">
        <v>0.6</v>
      </c>
      <c r="B61">
        <v>0.215</v>
      </c>
      <c r="C61">
        <f t="shared" si="8"/>
        <v>0.215</v>
      </c>
      <c r="D61">
        <v>0.28599999999999998</v>
      </c>
      <c r="E61">
        <f t="shared" si="9"/>
        <v>0.81714285714285717</v>
      </c>
    </row>
    <row r="62" spans="1:5" x14ac:dyDescent="0.3">
      <c r="A62">
        <v>0.65</v>
      </c>
      <c r="B62">
        <v>0</v>
      </c>
      <c r="C62">
        <f t="shared" si="8"/>
        <v>0</v>
      </c>
      <c r="D62">
        <v>0.35</v>
      </c>
      <c r="E62">
        <f t="shared" si="9"/>
        <v>1</v>
      </c>
    </row>
    <row r="63" spans="1:5" x14ac:dyDescent="0.3">
      <c r="A63">
        <v>0.72</v>
      </c>
      <c r="B63" t="s">
        <v>19</v>
      </c>
      <c r="C63" t="e">
        <f t="shared" si="8"/>
        <v>#VALUE!</v>
      </c>
      <c r="D63" t="s">
        <v>19</v>
      </c>
      <c r="E63" t="e">
        <f t="shared" si="9"/>
        <v>#VALUE!</v>
      </c>
    </row>
    <row r="67" spans="1:9" x14ac:dyDescent="0.3">
      <c r="B67" s="5" t="s">
        <v>20</v>
      </c>
      <c r="E67" s="5" t="s">
        <v>21</v>
      </c>
      <c r="H67" s="5" t="s">
        <v>22</v>
      </c>
    </row>
    <row r="68" spans="1:9" x14ac:dyDescent="0.3">
      <c r="A68" t="s">
        <v>10</v>
      </c>
      <c r="B68" t="s">
        <v>15</v>
      </c>
      <c r="C68" t="s">
        <v>17</v>
      </c>
      <c r="D68" t="s">
        <v>10</v>
      </c>
      <c r="E68" t="s">
        <v>15</v>
      </c>
      <c r="F68" t="s">
        <v>17</v>
      </c>
      <c r="G68" t="s">
        <v>10</v>
      </c>
      <c r="H68" t="s">
        <v>15</v>
      </c>
      <c r="I68" t="s">
        <v>17</v>
      </c>
    </row>
    <row r="69" spans="1:9" x14ac:dyDescent="0.3">
      <c r="B69" t="e">
        <f>C34</f>
        <v>#VALUE!</v>
      </c>
      <c r="C69" t="e">
        <f>E34</f>
        <v>#VALUE!</v>
      </c>
      <c r="E69" t="e">
        <f>ROUND(C45,3)</f>
        <v>#VALUE!</v>
      </c>
      <c r="F69" t="e">
        <f>ROUND(E45,3)</f>
        <v>#VALUE!</v>
      </c>
      <c r="G69">
        <f>ROUND(D13,3)</f>
        <v>0</v>
      </c>
      <c r="H69">
        <f>ROUND(C56,3)</f>
        <v>1</v>
      </c>
      <c r="I69">
        <f>ROUND(E56,3)</f>
        <v>0</v>
      </c>
    </row>
    <row r="70" spans="1:9" x14ac:dyDescent="0.3">
      <c r="A70">
        <f t="shared" ref="A70:A75" si="10">B14</f>
        <v>0</v>
      </c>
      <c r="B70">
        <f>ROUND(C35,3)</f>
        <v>1</v>
      </c>
      <c r="C70">
        <f>ROUND(E35,3)</f>
        <v>0</v>
      </c>
      <c r="E70" t="e">
        <f t="shared" ref="E70:E76" si="11">ROUND(C46,3)</f>
        <v>#VALUE!</v>
      </c>
      <c r="F70" t="e">
        <f t="shared" ref="F70:F76" si="12">ROUND(E46,3)</f>
        <v>#VALUE!</v>
      </c>
      <c r="G70">
        <f t="shared" ref="G70:G75" si="13">ROUND(D14,3)</f>
        <v>0.111</v>
      </c>
      <c r="H70">
        <f t="shared" ref="H70:H76" si="14">ROUND(C57,3)</f>
        <v>0.872</v>
      </c>
      <c r="I70">
        <f t="shared" ref="I70:I76" si="15">ROUND(E57,3)</f>
        <v>2.3E-2</v>
      </c>
    </row>
    <row r="71" spans="1:9" x14ac:dyDescent="0.3">
      <c r="A71">
        <f t="shared" si="10"/>
        <v>0.12499999999999997</v>
      </c>
      <c r="B71">
        <f t="shared" ref="B71:B76" si="16">ROUND(C36,3)</f>
        <v>0.88700000000000001</v>
      </c>
      <c r="C71">
        <f t="shared" ref="C71:C76" si="17">ROUND(E36,3)</f>
        <v>4.4999999999999998E-2</v>
      </c>
      <c r="D71">
        <f t="shared" ref="D71:D76" si="18">ROUND(C15,3)</f>
        <v>0</v>
      </c>
      <c r="E71">
        <f t="shared" si="11"/>
        <v>1</v>
      </c>
      <c r="F71">
        <f t="shared" si="12"/>
        <v>0</v>
      </c>
      <c r="G71">
        <f t="shared" si="13"/>
        <v>0.222</v>
      </c>
      <c r="H71">
        <f t="shared" si="14"/>
        <v>0.83899999999999997</v>
      </c>
      <c r="I71">
        <f t="shared" si="15"/>
        <v>7.6999999999999999E-2</v>
      </c>
    </row>
    <row r="72" spans="1:9" x14ac:dyDescent="0.3">
      <c r="A72">
        <f t="shared" si="10"/>
        <v>0.37500000000000006</v>
      </c>
      <c r="B72">
        <f t="shared" si="16"/>
        <v>0.65500000000000003</v>
      </c>
      <c r="C72">
        <f t="shared" si="17"/>
        <v>0.23</v>
      </c>
      <c r="D72">
        <f t="shared" si="18"/>
        <v>0.23799999999999999</v>
      </c>
      <c r="E72">
        <f t="shared" si="11"/>
        <v>0.74099999999999999</v>
      </c>
      <c r="F72">
        <f t="shared" si="12"/>
        <v>0.154</v>
      </c>
      <c r="G72">
        <f t="shared" si="13"/>
        <v>0.44400000000000001</v>
      </c>
      <c r="H72">
        <f t="shared" si="14"/>
        <v>0.66300000000000003</v>
      </c>
      <c r="I72">
        <f t="shared" si="15"/>
        <v>0.251</v>
      </c>
    </row>
    <row r="73" spans="1:9" x14ac:dyDescent="0.3">
      <c r="A73">
        <f t="shared" si="10"/>
        <v>0.625</v>
      </c>
      <c r="B73">
        <f t="shared" si="16"/>
        <v>0.41399999999999998</v>
      </c>
      <c r="C73">
        <f t="shared" si="17"/>
        <v>0.495</v>
      </c>
      <c r="D73">
        <f t="shared" si="18"/>
        <v>0.47599999999999998</v>
      </c>
      <c r="E73">
        <f t="shared" si="11"/>
        <v>0.49099999999999999</v>
      </c>
      <c r="F73">
        <f t="shared" si="12"/>
        <v>0.38200000000000001</v>
      </c>
      <c r="G73">
        <f t="shared" si="13"/>
        <v>0.66700000000000004</v>
      </c>
      <c r="H73">
        <f t="shared" si="14"/>
        <v>0.46300000000000002</v>
      </c>
      <c r="I73">
        <f t="shared" si="15"/>
        <v>0.503</v>
      </c>
    </row>
    <row r="74" spans="1:9" x14ac:dyDescent="0.3">
      <c r="A74">
        <f t="shared" si="10"/>
        <v>0.87499999999999989</v>
      </c>
      <c r="B74">
        <f t="shared" si="16"/>
        <v>0.154</v>
      </c>
      <c r="C74">
        <f t="shared" si="17"/>
        <v>0.81799999999999995</v>
      </c>
      <c r="D74">
        <f t="shared" si="18"/>
        <v>0.71399999999999997</v>
      </c>
      <c r="E74">
        <f t="shared" si="11"/>
        <v>0.253</v>
      </c>
      <c r="F74">
        <f t="shared" si="12"/>
        <v>0.64600000000000002</v>
      </c>
      <c r="G74">
        <f t="shared" si="13"/>
        <v>0.88900000000000001</v>
      </c>
      <c r="H74">
        <f t="shared" si="14"/>
        <v>0.215</v>
      </c>
      <c r="I74">
        <f t="shared" si="15"/>
        <v>0.81699999999999995</v>
      </c>
    </row>
    <row r="75" spans="1:9" x14ac:dyDescent="0.3">
      <c r="A75">
        <f t="shared" si="10"/>
        <v>1</v>
      </c>
      <c r="B75">
        <f t="shared" si="16"/>
        <v>0</v>
      </c>
      <c r="C75">
        <f t="shared" si="17"/>
        <v>1</v>
      </c>
      <c r="D75">
        <f t="shared" si="18"/>
        <v>0.83299999999999996</v>
      </c>
      <c r="E75">
        <f t="shared" si="11"/>
        <v>0.13900000000000001</v>
      </c>
      <c r="F75">
        <f t="shared" si="12"/>
        <v>0.78800000000000003</v>
      </c>
      <c r="G75">
        <f t="shared" si="13"/>
        <v>1</v>
      </c>
      <c r="H75">
        <f t="shared" si="14"/>
        <v>0</v>
      </c>
      <c r="I75">
        <f t="shared" si="15"/>
        <v>1</v>
      </c>
    </row>
    <row r="76" spans="1:9" x14ac:dyDescent="0.3">
      <c r="B76" t="e">
        <f t="shared" si="16"/>
        <v>#VALUE!</v>
      </c>
      <c r="C76" t="e">
        <f t="shared" si="17"/>
        <v>#VALUE!</v>
      </c>
      <c r="D76">
        <f t="shared" si="18"/>
        <v>1</v>
      </c>
      <c r="E76">
        <f t="shared" si="11"/>
        <v>0</v>
      </c>
      <c r="F76">
        <f t="shared" si="12"/>
        <v>1</v>
      </c>
      <c r="H76" t="e">
        <f t="shared" si="14"/>
        <v>#VALUE!</v>
      </c>
      <c r="I76" t="e">
        <f t="shared" si="15"/>
        <v>#VALUE!</v>
      </c>
    </row>
    <row r="79" spans="1:9" ht="16.2" customHeight="1" x14ac:dyDescent="0.3"/>
    <row r="102" spans="1:9" x14ac:dyDescent="0.3">
      <c r="A102" t="s">
        <v>10</v>
      </c>
      <c r="C102" t="s">
        <v>15</v>
      </c>
      <c r="E102" t="s">
        <v>27</v>
      </c>
      <c r="G102" t="s">
        <v>17</v>
      </c>
      <c r="I102" t="s">
        <v>28</v>
      </c>
    </row>
    <row r="103" spans="1:9" x14ac:dyDescent="0.3">
      <c r="B103" t="s">
        <v>24</v>
      </c>
      <c r="C103" t="s">
        <v>25</v>
      </c>
      <c r="D103" t="s">
        <v>26</v>
      </c>
      <c r="E103" s="1"/>
      <c r="F103" t="s">
        <v>24</v>
      </c>
      <c r="G103" t="s">
        <v>25</v>
      </c>
      <c r="H103" t="s">
        <v>26</v>
      </c>
      <c r="I103" s="1"/>
    </row>
    <row r="104" spans="1:9" x14ac:dyDescent="0.3">
      <c r="A104" s="1">
        <v>0.1</v>
      </c>
      <c r="B104">
        <f>ROUND(-0.1464*A104^2 - 0.8444*A104 + 0.9969,3)</f>
        <v>0.91100000000000003</v>
      </c>
      <c r="C104">
        <f>ROUND(0.1389*A104^2 - 1.1455*A104 + 1.0023,3)</f>
        <v>0.88900000000000001</v>
      </c>
      <c r="D104">
        <f>ROUND(-0.3064*A104^4 - 0.2772*A104^3 + 0.4685*A104^2 - 0.8698*A104+ 0.9908,3)</f>
        <v>0.90800000000000003</v>
      </c>
      <c r="E104" s="1">
        <f>ROUND((Table7[[#This Row],[Column1]]*$I$3+Table7[[#This Row],[Kro*]]*$J$3+Table7[[#This Row],[Column2]]*$K$3)/$L$3,3)</f>
        <v>0.90400000000000003</v>
      </c>
      <c r="F104">
        <f>ROUND(0.5858*A104^2 + 0.4271*A104 - 0.008,3)</f>
        <v>4.1000000000000002E-2</v>
      </c>
      <c r="G104">
        <f>ROUND(0.3787*A104^2+ 0.6331*A104 - 0.0061,3)</f>
        <v>6.0999999999999999E-2</v>
      </c>
      <c r="H104">
        <f>ROUND(0.2555*A104^4 - 0.7149*A104^3 + 1.392*A104^2 + 0.0675*A104 - 0.0001,3)</f>
        <v>0.02</v>
      </c>
      <c r="I104" s="1">
        <f>ROUND((Table8[[#This Row],[Column1]]*$I$3+Table8[[#This Row],[Column2]]*$J$3+Table8[[#This Row],[Column3]]*$K$3)/$L$3,3)</f>
        <v>3.5999999999999997E-2</v>
      </c>
    </row>
    <row r="105" spans="1:9" x14ac:dyDescent="0.3">
      <c r="A105" s="1">
        <v>0.2</v>
      </c>
      <c r="B105">
        <f t="shared" ref="B105:B112" si="19">ROUND(-0.1464*A105^2 - 0.8444*A105 + 0.9969,3)</f>
        <v>0.82199999999999995</v>
      </c>
      <c r="C105">
        <f t="shared" ref="C105:C112" si="20">ROUND(0.1389*A105^2 - 1.1455*A105 + 1.0023,3)</f>
        <v>0.77900000000000003</v>
      </c>
      <c r="D105">
        <f t="shared" ref="D105:D112" si="21">ROUND(-0.3064*A105^4 - 0.2772*A105^3 + 0.4685*A105^2 - 0.8698*A105+ 0.9908,3)</f>
        <v>0.83299999999999996</v>
      </c>
      <c r="E105" s="1">
        <f>ROUND((Table7[[#This Row],[Column1]]*$I$3+Table7[[#This Row],[Kro*]]*$J$3+Table7[[#This Row],[Column2]]*$K$3)/$L$3,3)</f>
        <v>0.81699999999999995</v>
      </c>
      <c r="F105">
        <f t="shared" ref="F105:F112" si="22">ROUND(0.5858*A105^2 + 0.4271*A105 - 0.008,3)</f>
        <v>0.10100000000000001</v>
      </c>
      <c r="G105">
        <f t="shared" ref="G105:G112" si="23">ROUND(0.3787*A105^2+ 0.6331*A105 - 0.0061,3)</f>
        <v>0.13600000000000001</v>
      </c>
      <c r="H105">
        <f t="shared" ref="H105:H112" si="24">ROUND(0.2555*A105^4 - 0.7149*A105^3 + 1.392*A105^2 + 0.0675*A105 - 0.0001,3)</f>
        <v>6.4000000000000001E-2</v>
      </c>
      <c r="I105" s="1">
        <f>ROUND((Table8[[#This Row],[Column1]]*$I$3+Table8[[#This Row],[Column2]]*$J$3+Table8[[#This Row],[Column3]]*$K$3)/$L$3,3)</f>
        <v>9.2999999999999999E-2</v>
      </c>
    </row>
    <row r="106" spans="1:9" x14ac:dyDescent="0.3">
      <c r="A106" s="1">
        <v>0.3</v>
      </c>
      <c r="B106">
        <f t="shared" si="19"/>
        <v>0.73</v>
      </c>
      <c r="C106">
        <f t="shared" si="20"/>
        <v>0.67100000000000004</v>
      </c>
      <c r="D106">
        <f t="shared" si="21"/>
        <v>0.76200000000000001</v>
      </c>
      <c r="E106" s="1">
        <f>ROUND((Table7[[#This Row],[Column1]]*$I$3+Table7[[#This Row],[Kro*]]*$J$3+Table7[[#This Row],[Column2]]*$K$3)/$L$3,3)</f>
        <v>0.73</v>
      </c>
      <c r="F106">
        <f t="shared" si="22"/>
        <v>0.17299999999999999</v>
      </c>
      <c r="G106">
        <f t="shared" si="23"/>
        <v>0.218</v>
      </c>
      <c r="H106">
        <f t="shared" si="24"/>
        <v>0.128</v>
      </c>
      <c r="I106" s="1">
        <f>ROUND((Table8[[#This Row],[Column1]]*$I$3+Table8[[#This Row],[Column2]]*$J$3+Table8[[#This Row],[Column3]]*$K$3)/$L$3,3)</f>
        <v>0.16300000000000001</v>
      </c>
    </row>
    <row r="107" spans="1:9" x14ac:dyDescent="0.3">
      <c r="A107" s="1">
        <v>0.4</v>
      </c>
      <c r="B107">
        <f t="shared" si="19"/>
        <v>0.63600000000000001</v>
      </c>
      <c r="C107">
        <f t="shared" si="20"/>
        <v>0.56599999999999995</v>
      </c>
      <c r="D107">
        <f t="shared" si="21"/>
        <v>0.69199999999999995</v>
      </c>
      <c r="E107" s="1">
        <f>ROUND((Table7[[#This Row],[Column1]]*$I$3+Table7[[#This Row],[Kro*]]*$J$3+Table7[[#This Row],[Column2]]*$K$3)/$L$3,3)</f>
        <v>0.64400000000000002</v>
      </c>
      <c r="F107">
        <f t="shared" si="22"/>
        <v>0.25700000000000001</v>
      </c>
      <c r="G107">
        <f t="shared" si="23"/>
        <v>0.308</v>
      </c>
      <c r="H107">
        <f t="shared" si="24"/>
        <v>0.21</v>
      </c>
      <c r="I107" s="1">
        <f>ROUND((Table8[[#This Row],[Column1]]*$I$3+Table8[[#This Row],[Column2]]*$J$3+Table8[[#This Row],[Column3]]*$K$3)/$L$3,3)</f>
        <v>0.248</v>
      </c>
    </row>
    <row r="108" spans="1:9" x14ac:dyDescent="0.3">
      <c r="A108" s="1">
        <v>0.5</v>
      </c>
      <c r="B108">
        <f t="shared" si="19"/>
        <v>0.53800000000000003</v>
      </c>
      <c r="C108">
        <f t="shared" si="20"/>
        <v>0.46400000000000002</v>
      </c>
      <c r="D108">
        <f t="shared" si="21"/>
        <v>0.61899999999999999</v>
      </c>
      <c r="E108" s="1">
        <f>ROUND((Table7[[#This Row],[Column1]]*$I$3+Table7[[#This Row],[Kro*]]*$J$3+Table7[[#This Row],[Column2]]*$K$3)/$L$3,3)</f>
        <v>0.55700000000000005</v>
      </c>
      <c r="F108">
        <f t="shared" si="22"/>
        <v>0.35199999999999998</v>
      </c>
      <c r="G108">
        <f t="shared" si="23"/>
        <v>0.40500000000000003</v>
      </c>
      <c r="H108">
        <f t="shared" si="24"/>
        <v>0.308</v>
      </c>
      <c r="I108" s="1">
        <f>ROUND((Table8[[#This Row],[Column1]]*$I$3+Table8[[#This Row],[Column2]]*$J$3+Table8[[#This Row],[Column3]]*$K$3)/$L$3,3)</f>
        <v>0.34499999999999997</v>
      </c>
    </row>
    <row r="109" spans="1:9" x14ac:dyDescent="0.3">
      <c r="A109" s="1">
        <v>0.6</v>
      </c>
      <c r="B109">
        <f t="shared" si="19"/>
        <v>0.438</v>
      </c>
      <c r="C109">
        <f t="shared" si="20"/>
        <v>0.36499999999999999</v>
      </c>
      <c r="D109">
        <f t="shared" si="21"/>
        <v>0.53800000000000003</v>
      </c>
      <c r="E109" s="1">
        <f>ROUND((Table7[[#This Row],[Column1]]*$I$3+Table7[[#This Row],[Kro*]]*$J$3+Table7[[#This Row],[Column2]]*$K$3)/$L$3,3)</f>
        <v>0.46600000000000003</v>
      </c>
      <c r="F109">
        <f t="shared" si="22"/>
        <v>0.45900000000000002</v>
      </c>
      <c r="G109">
        <f t="shared" si="23"/>
        <v>0.51</v>
      </c>
      <c r="H109">
        <f t="shared" si="24"/>
        <v>0.42</v>
      </c>
      <c r="I109" s="1">
        <f>ROUND((Table8[[#This Row],[Column1]]*$I$3+Table8[[#This Row],[Column2]]*$J$3+Table8[[#This Row],[Column3]]*$K$3)/$L$3,3)</f>
        <v>0.45400000000000001</v>
      </c>
    </row>
    <row r="110" spans="1:9" x14ac:dyDescent="0.3">
      <c r="A110" s="1">
        <v>0.7</v>
      </c>
      <c r="B110">
        <f t="shared" si="19"/>
        <v>0.33400000000000002</v>
      </c>
      <c r="C110">
        <f t="shared" si="20"/>
        <v>0.26900000000000002</v>
      </c>
      <c r="D110">
        <f t="shared" si="21"/>
        <v>0.443</v>
      </c>
      <c r="E110" s="1">
        <f>ROUND((Table7[[#This Row],[Column1]]*$I$3+Table7[[#This Row],[Kro*]]*$J$3+Table7[[#This Row],[Column2]]*$K$3)/$L$3,3)</f>
        <v>0.36799999999999999</v>
      </c>
      <c r="F110">
        <f t="shared" si="22"/>
        <v>0.57799999999999996</v>
      </c>
      <c r="G110">
        <f t="shared" si="23"/>
        <v>0.623</v>
      </c>
      <c r="H110">
        <f t="shared" si="24"/>
        <v>0.54500000000000004</v>
      </c>
      <c r="I110" s="1">
        <f>ROUND((Table8[[#This Row],[Column1]]*$I$3+Table8[[#This Row],[Column2]]*$J$3+Table8[[#This Row],[Column3]]*$K$3)/$L$3,3)</f>
        <v>0.57399999999999995</v>
      </c>
    </row>
    <row r="111" spans="1:9" x14ac:dyDescent="0.3">
      <c r="A111" s="1">
        <v>0.8</v>
      </c>
      <c r="B111">
        <f t="shared" si="19"/>
        <v>0.22800000000000001</v>
      </c>
      <c r="C111">
        <f t="shared" si="20"/>
        <v>0.17499999999999999</v>
      </c>
      <c r="D111">
        <f t="shared" si="21"/>
        <v>0.32700000000000001</v>
      </c>
      <c r="E111" s="1">
        <f>ROUND((Table7[[#This Row],[Column1]]*$I$3+Table7[[#This Row],[Kro*]]*$J$3+Table7[[#This Row],[Column2]]*$K$3)/$L$3,3)</f>
        <v>0.26</v>
      </c>
      <c r="F111">
        <f t="shared" si="22"/>
        <v>0.70899999999999996</v>
      </c>
      <c r="G111">
        <f t="shared" si="23"/>
        <v>0.74299999999999999</v>
      </c>
      <c r="H111">
        <f t="shared" si="24"/>
        <v>0.68300000000000005</v>
      </c>
      <c r="I111" s="1">
        <f>ROUND((Table8[[#This Row],[Column1]]*$I$3+Table8[[#This Row],[Column2]]*$J$3+Table8[[#This Row],[Column3]]*$K$3)/$L$3,3)</f>
        <v>0.70499999999999996</v>
      </c>
    </row>
    <row r="112" spans="1:9" x14ac:dyDescent="0.3">
      <c r="A112" s="1">
        <v>0.9</v>
      </c>
      <c r="B112">
        <f t="shared" si="19"/>
        <v>0.11799999999999999</v>
      </c>
      <c r="C112">
        <f t="shared" si="20"/>
        <v>8.4000000000000005E-2</v>
      </c>
      <c r="D112">
        <f t="shared" si="21"/>
        <v>0.184</v>
      </c>
      <c r="E112" s="1">
        <f>ROUND((Table7[[#This Row],[Column1]]*$I$3+Table7[[#This Row],[Kro*]]*$J$3+Table7[[#This Row],[Column2]]*$K$3)/$L$3,3)</f>
        <v>0.14000000000000001</v>
      </c>
      <c r="F112">
        <f t="shared" si="22"/>
        <v>0.85099999999999998</v>
      </c>
      <c r="G112">
        <f t="shared" si="23"/>
        <v>0.87</v>
      </c>
      <c r="H112">
        <f t="shared" si="24"/>
        <v>0.83499999999999996</v>
      </c>
      <c r="I112" s="1">
        <f>ROUND((Table8[[#This Row],[Column1]]*$I$3+Table8[[#This Row],[Column2]]*$J$3+Table8[[#This Row],[Column3]]*$K$3)/$L$3,3)</f>
        <v>0.84799999999999998</v>
      </c>
    </row>
    <row r="113" spans="1:9" x14ac:dyDescent="0.3">
      <c r="I113" s="1"/>
    </row>
    <row r="119" spans="1:9" x14ac:dyDescent="0.3">
      <c r="B119" s="6" t="s">
        <v>33</v>
      </c>
      <c r="C119" s="6"/>
      <c r="D119" s="6"/>
      <c r="E119" s="6"/>
      <c r="F119" s="6"/>
      <c r="G119" t="s">
        <v>4</v>
      </c>
      <c r="H119" t="s">
        <v>5</v>
      </c>
    </row>
    <row r="120" spans="1:9" x14ac:dyDescent="0.3">
      <c r="B120" s="6"/>
      <c r="C120" s="6"/>
      <c r="D120" s="6"/>
      <c r="E120" s="6"/>
      <c r="F120" s="6"/>
      <c r="G120">
        <v>0.3</v>
      </c>
      <c r="H120">
        <v>0.27</v>
      </c>
    </row>
    <row r="121" spans="1:9" x14ac:dyDescent="0.3">
      <c r="B121" s="3" t="s">
        <v>34</v>
      </c>
    </row>
    <row r="122" spans="1:9" x14ac:dyDescent="0.3">
      <c r="A122" t="s">
        <v>10</v>
      </c>
      <c r="B122" t="s">
        <v>27</v>
      </c>
      <c r="C122" t="s">
        <v>28</v>
      </c>
      <c r="D122" t="s">
        <v>14</v>
      </c>
      <c r="E122" t="s">
        <v>16</v>
      </c>
      <c r="F122" t="s">
        <v>9</v>
      </c>
    </row>
    <row r="123" spans="1:9" x14ac:dyDescent="0.3">
      <c r="A123" s="1">
        <v>0.1</v>
      </c>
      <c r="B123">
        <f>E104</f>
        <v>0.90400000000000003</v>
      </c>
      <c r="C123">
        <f>I104</f>
        <v>3.5999999999999997E-2</v>
      </c>
      <c r="D123">
        <f t="shared" ref="D123:D131" si="25">ROUND(B123*$C$28,3)</f>
        <v>0.81899999999999995</v>
      </c>
      <c r="E123">
        <f t="shared" ref="E123:E131" si="26">ROUND(C123*$C$29,3)</f>
        <v>1.4E-2</v>
      </c>
      <c r="F123">
        <f>A123*(1-Table9[Soc]-Table9[Swc])+Table9[Swc]</f>
        <v>0.313</v>
      </c>
    </row>
    <row r="124" spans="1:9" x14ac:dyDescent="0.3">
      <c r="A124" s="1">
        <v>0.2</v>
      </c>
      <c r="B124">
        <f t="shared" ref="B124:B131" si="27">E105</f>
        <v>0.81699999999999995</v>
      </c>
      <c r="C124">
        <f t="shared" ref="C124:C131" si="28">I105</f>
        <v>9.2999999999999999E-2</v>
      </c>
      <c r="D124">
        <f t="shared" si="25"/>
        <v>0.74</v>
      </c>
      <c r="E124">
        <f t="shared" si="26"/>
        <v>3.6999999999999998E-2</v>
      </c>
      <c r="F124">
        <f>A124*(1-Table9[Soc]-Table9[Swc])+Table9[Swc]</f>
        <v>0.35599999999999998</v>
      </c>
    </row>
    <row r="125" spans="1:9" x14ac:dyDescent="0.3">
      <c r="A125" s="1">
        <v>0.3</v>
      </c>
      <c r="B125">
        <f t="shared" si="27"/>
        <v>0.73</v>
      </c>
      <c r="C125">
        <f t="shared" si="28"/>
        <v>0.16300000000000001</v>
      </c>
      <c r="D125">
        <f t="shared" si="25"/>
        <v>0.66100000000000003</v>
      </c>
      <c r="E125">
        <f t="shared" si="26"/>
        <v>6.5000000000000002E-2</v>
      </c>
      <c r="F125">
        <f>A125*(1-Table9[Soc]-Table9[Swc])+Table9[Swc]</f>
        <v>0.39900000000000002</v>
      </c>
    </row>
    <row r="126" spans="1:9" x14ac:dyDescent="0.3">
      <c r="A126" s="1">
        <v>0.4</v>
      </c>
      <c r="B126">
        <f t="shared" si="27"/>
        <v>0.64400000000000002</v>
      </c>
      <c r="C126">
        <f t="shared" si="28"/>
        <v>0.248</v>
      </c>
      <c r="D126">
        <f t="shared" si="25"/>
        <v>0.58399999999999996</v>
      </c>
      <c r="E126">
        <f t="shared" si="26"/>
        <v>0.1</v>
      </c>
      <c r="F126">
        <f>A126*(1-Table9[Soc]-Table9[Swc])+Table9[Swc]</f>
        <v>0.442</v>
      </c>
    </row>
    <row r="127" spans="1:9" x14ac:dyDescent="0.3">
      <c r="A127" s="1">
        <v>0.5</v>
      </c>
      <c r="B127">
        <f t="shared" si="27"/>
        <v>0.55700000000000005</v>
      </c>
      <c r="C127">
        <f t="shared" si="28"/>
        <v>0.34499999999999997</v>
      </c>
      <c r="D127">
        <f t="shared" si="25"/>
        <v>0.505</v>
      </c>
      <c r="E127">
        <f t="shared" si="26"/>
        <v>0.13900000000000001</v>
      </c>
      <c r="F127">
        <f>A127*(1-Table9[Soc]-Table9[Swc])+Table9[Swc]</f>
        <v>0.48499999999999999</v>
      </c>
    </row>
    <row r="128" spans="1:9" x14ac:dyDescent="0.3">
      <c r="A128" s="1">
        <v>0.6</v>
      </c>
      <c r="B128">
        <f t="shared" si="27"/>
        <v>0.46600000000000003</v>
      </c>
      <c r="C128">
        <f t="shared" si="28"/>
        <v>0.45400000000000001</v>
      </c>
      <c r="D128">
        <f t="shared" si="25"/>
        <v>0.42199999999999999</v>
      </c>
      <c r="E128">
        <f t="shared" si="26"/>
        <v>0.182</v>
      </c>
      <c r="F128">
        <f>A128*(1-Table9[Soc]-Table9[Swc])+Table9[Swc]</f>
        <v>0.52800000000000002</v>
      </c>
    </row>
    <row r="129" spans="1:6" x14ac:dyDescent="0.3">
      <c r="A129" s="1">
        <v>0.7</v>
      </c>
      <c r="B129">
        <f t="shared" si="27"/>
        <v>0.36799999999999999</v>
      </c>
      <c r="C129">
        <f t="shared" si="28"/>
        <v>0.57399999999999995</v>
      </c>
      <c r="D129">
        <f t="shared" si="25"/>
        <v>0.33300000000000002</v>
      </c>
      <c r="E129">
        <f t="shared" si="26"/>
        <v>0.23</v>
      </c>
      <c r="F129">
        <f>A129*(1-Table9[Soc]-Table9[Swc])+Table9[Swc]</f>
        <v>0.57099999999999995</v>
      </c>
    </row>
    <row r="130" spans="1:6" x14ac:dyDescent="0.3">
      <c r="A130" s="1">
        <v>0.8</v>
      </c>
      <c r="B130">
        <f>E111</f>
        <v>0.26</v>
      </c>
      <c r="C130">
        <f t="shared" si="28"/>
        <v>0.70499999999999996</v>
      </c>
      <c r="D130">
        <f t="shared" si="25"/>
        <v>0.23599999999999999</v>
      </c>
      <c r="E130">
        <f t="shared" si="26"/>
        <v>0.28299999999999997</v>
      </c>
      <c r="F130">
        <f>A130*(1-Table9[Soc]-Table9[Swc])+Table9[Swc]</f>
        <v>0.61399999999999999</v>
      </c>
    </row>
    <row r="131" spans="1:6" x14ac:dyDescent="0.3">
      <c r="A131" s="1">
        <v>0.9</v>
      </c>
      <c r="B131">
        <f t="shared" si="27"/>
        <v>0.14000000000000001</v>
      </c>
      <c r="C131">
        <f t="shared" si="28"/>
        <v>0.84799999999999998</v>
      </c>
      <c r="D131">
        <f t="shared" si="25"/>
        <v>0.127</v>
      </c>
      <c r="E131">
        <f t="shared" si="26"/>
        <v>0.34</v>
      </c>
      <c r="F131">
        <f>A131*(1-Table9[Soc]-Table9[Swc])+Table9[Swc]</f>
        <v>0.65700000000000003</v>
      </c>
    </row>
  </sheetData>
  <mergeCells count="1">
    <mergeCell ref="B119:F120"/>
  </mergeCells>
  <phoneticPr fontId="2" type="noConversion"/>
  <conditionalFormatting sqref="A10:D20">
    <cfRule type="cellIs" dxfId="4" priority="3" operator="lessThan">
      <formula>0</formula>
    </cfRule>
  </conditionalFormatting>
  <conditionalFormatting sqref="A13:D20">
    <cfRule type="cellIs" dxfId="3" priority="1" operator="lessThan">
      <formula>0</formula>
    </cfRule>
    <cfRule type="cellIs" dxfId="2" priority="2" operator="greaterThan">
      <formula>1</formula>
    </cfRule>
  </conditionalFormatting>
  <conditionalFormatting sqref="E26">
    <cfRule type="cellIs" dxfId="1" priority="5" operator="lessThan">
      <formula>0</formula>
    </cfRule>
  </conditionalFormatting>
  <conditionalFormatting sqref="F10"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tableParts count="17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dcterms:created xsi:type="dcterms:W3CDTF">2023-06-17T13:05:16Z</dcterms:created>
  <dcterms:modified xsi:type="dcterms:W3CDTF">2023-07-10T07:21:24Z</dcterms:modified>
</cp:coreProperties>
</file>