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2f0f5929e24dcf7/Desktop/Manisha/Excel/"/>
    </mc:Choice>
  </mc:AlternateContent>
  <xr:revisionPtr revIDLastSave="1165" documentId="13_ncr:1_{291425D8-DE46-48FC-9516-B6BDC6143351}" xr6:coauthVersionLast="47" xr6:coauthVersionMax="47" xr10:uidLastSave="{C9F41EC1-EFAB-435B-89DF-E3CC4A12976D}"/>
  <bookViews>
    <workbookView xWindow="-108" yWindow="-108" windowWidth="23256" windowHeight="12456" firstSheet="4" activeTab="10" xr2:uid="{00000000-000D-0000-FFFF-FFFF00000000}"/>
  </bookViews>
  <sheets>
    <sheet name="Financials&gt;" sheetId="7" r:id="rId1"/>
    <sheet name="HistoricalFS" sheetId="8" r:id="rId2"/>
    <sheet name="Ratio Analysis" sheetId="11" r:id="rId3"/>
    <sheet name="Forecasting" sheetId="12" r:id="rId4"/>
    <sheet name="DCF&gt;" sheetId="15" r:id="rId5"/>
    <sheet name="WACC" sheetId="13" r:id="rId6"/>
    <sheet name="Data&gt;" sheetId="9" r:id="rId7"/>
    <sheet name="Beta - Regression" sheetId="14" r:id="rId8"/>
    <sheet name="Beta - Comps" sheetId="16" r:id="rId9"/>
    <sheet name="Rm" sheetId="17" r:id="rId10"/>
    <sheet name="Intrinsic Growth" sheetId="21" r:id="rId11"/>
    <sheet name="Raw FS" sheetId="20" r:id="rId12"/>
    <sheet name="Common Size Statement" sheetId="18" r:id="rId13"/>
    <sheet name="Data Room&gt;" sheetId="19" r:id="rId14"/>
    <sheet name="Data Sheet" sheetId="6" r:id="rId15"/>
    <sheet name="Cash Flow Data" sheetId="10" r:id="rId16"/>
  </sheets>
  <definedNames>
    <definedName name="_xlnm._FilterDatabase" localSheetId="7" hidden="1">'Beta - Regression'!$L$2:$L$111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" i="21" l="1"/>
  <c r="J48" i="21"/>
  <c r="K48" i="21"/>
  <c r="H48" i="21"/>
  <c r="H46" i="21"/>
  <c r="I46" i="21"/>
  <c r="J46" i="21"/>
  <c r="K46" i="21"/>
  <c r="G46" i="21"/>
  <c r="H44" i="21"/>
  <c r="I44" i="21"/>
  <c r="J44" i="21"/>
  <c r="K44" i="21"/>
  <c r="G44" i="21"/>
  <c r="I42" i="21"/>
  <c r="J42" i="21"/>
  <c r="K42" i="21"/>
  <c r="H42" i="21"/>
  <c r="H41" i="21"/>
  <c r="I41" i="21"/>
  <c r="J41" i="21"/>
  <c r="K41" i="21"/>
  <c r="G41" i="21"/>
  <c r="K39" i="21"/>
  <c r="J39" i="21"/>
  <c r="I39" i="21"/>
  <c r="H39" i="21"/>
  <c r="G39" i="21"/>
  <c r="H2" i="21"/>
  <c r="I2" i="21"/>
  <c r="J2" i="21"/>
  <c r="K2" i="21"/>
  <c r="G2" i="21"/>
  <c r="H34" i="21"/>
  <c r="I34" i="21"/>
  <c r="J34" i="21"/>
  <c r="K34" i="21"/>
  <c r="G34" i="21"/>
  <c r="H30" i="21"/>
  <c r="I30" i="21"/>
  <c r="J30" i="21"/>
  <c r="K30" i="21"/>
  <c r="G30" i="21"/>
  <c r="G21" i="21"/>
  <c r="H21" i="21"/>
  <c r="I21" i="21"/>
  <c r="J21" i="21"/>
  <c r="K21" i="21"/>
  <c r="G22" i="21"/>
  <c r="H22" i="21"/>
  <c r="I22" i="21"/>
  <c r="J22" i="21"/>
  <c r="K22" i="21"/>
  <c r="G23" i="21"/>
  <c r="H23" i="21"/>
  <c r="I23" i="21"/>
  <c r="J23" i="21"/>
  <c r="K23" i="21"/>
  <c r="G24" i="21"/>
  <c r="H24" i="21"/>
  <c r="I24" i="21"/>
  <c r="J24" i="21"/>
  <c r="K24" i="21"/>
  <c r="G25" i="21"/>
  <c r="H25" i="21"/>
  <c r="I25" i="21"/>
  <c r="J25" i="21"/>
  <c r="K25" i="21"/>
  <c r="G26" i="21"/>
  <c r="H26" i="21"/>
  <c r="I26" i="21"/>
  <c r="J26" i="21"/>
  <c r="K26" i="21"/>
  <c r="G27" i="21"/>
  <c r="H27" i="21"/>
  <c r="I27" i="21"/>
  <c r="J27" i="21"/>
  <c r="K27" i="21"/>
  <c r="G28" i="21"/>
  <c r="H28" i="21"/>
  <c r="I28" i="21"/>
  <c r="J28" i="21"/>
  <c r="K28" i="21"/>
  <c r="H20" i="21"/>
  <c r="I20" i="21"/>
  <c r="J20" i="21"/>
  <c r="K20" i="21"/>
  <c r="G20" i="21"/>
  <c r="B28" i="21"/>
  <c r="B21" i="21"/>
  <c r="B22" i="21"/>
  <c r="B23" i="21"/>
  <c r="B24" i="21"/>
  <c r="B25" i="21"/>
  <c r="B26" i="21"/>
  <c r="B27" i="21"/>
  <c r="B20" i="21"/>
  <c r="H14" i="21"/>
  <c r="I14" i="21"/>
  <c r="J14" i="21"/>
  <c r="K14" i="21"/>
  <c r="G14" i="21"/>
  <c r="H13" i="21"/>
  <c r="I13" i="21"/>
  <c r="J13" i="21"/>
  <c r="K13" i="21"/>
  <c r="G13" i="21"/>
  <c r="H12" i="21"/>
  <c r="I12" i="21"/>
  <c r="J12" i="21"/>
  <c r="K12" i="21"/>
  <c r="G12" i="21"/>
  <c r="B13" i="21"/>
  <c r="B14" i="21"/>
  <c r="B12" i="21"/>
  <c r="H8" i="21"/>
  <c r="I8" i="21"/>
  <c r="J8" i="21"/>
  <c r="K8" i="21"/>
  <c r="G8" i="21"/>
  <c r="H7" i="21"/>
  <c r="I7" i="21"/>
  <c r="J7" i="21"/>
  <c r="K7" i="21"/>
  <c r="G7" i="21"/>
  <c r="H6" i="21"/>
  <c r="I6" i="21"/>
  <c r="J6" i="21"/>
  <c r="K6" i="21"/>
  <c r="G6" i="21"/>
  <c r="H5" i="21"/>
  <c r="I5" i="21"/>
  <c r="J5" i="21"/>
  <c r="K5" i="21"/>
  <c r="G5" i="21"/>
  <c r="B8" i="21"/>
  <c r="B7" i="21"/>
  <c r="B6" i="21"/>
  <c r="B5" i="21"/>
  <c r="D30" i="20"/>
  <c r="E30" i="20"/>
  <c r="F30" i="20"/>
  <c r="G30" i="20"/>
  <c r="H30" i="20"/>
  <c r="I30" i="20"/>
  <c r="J30" i="20"/>
  <c r="K30" i="20"/>
  <c r="L30" i="20"/>
  <c r="M30" i="20"/>
  <c r="N30" i="20"/>
  <c r="C30" i="20"/>
  <c r="D40" i="18"/>
  <c r="E40" i="18"/>
  <c r="F40" i="18"/>
  <c r="G40" i="18"/>
  <c r="H40" i="18"/>
  <c r="I40" i="18"/>
  <c r="J40" i="18"/>
  <c r="K40" i="18"/>
  <c r="L40" i="18"/>
  <c r="D39" i="18"/>
  <c r="E39" i="18"/>
  <c r="F39" i="18"/>
  <c r="G39" i="18"/>
  <c r="H39" i="18"/>
  <c r="I39" i="18"/>
  <c r="J39" i="18"/>
  <c r="K39" i="18"/>
  <c r="L39" i="18"/>
  <c r="D38" i="18"/>
  <c r="E38" i="18"/>
  <c r="F38" i="18"/>
  <c r="G38" i="18"/>
  <c r="H38" i="18"/>
  <c r="I38" i="18"/>
  <c r="J38" i="18"/>
  <c r="K38" i="18"/>
  <c r="L38" i="18"/>
  <c r="D37" i="18"/>
  <c r="E37" i="18"/>
  <c r="F37" i="18"/>
  <c r="G37" i="18"/>
  <c r="H37" i="18"/>
  <c r="I37" i="18"/>
  <c r="J37" i="18"/>
  <c r="K37" i="18"/>
  <c r="L37" i="18"/>
  <c r="D36" i="18"/>
  <c r="E36" i="18"/>
  <c r="F36" i="18"/>
  <c r="G36" i="18"/>
  <c r="H36" i="18"/>
  <c r="I36" i="18"/>
  <c r="J36" i="18"/>
  <c r="K36" i="18"/>
  <c r="L36" i="18"/>
  <c r="C36" i="18"/>
  <c r="D35" i="18"/>
  <c r="E35" i="18"/>
  <c r="F35" i="18"/>
  <c r="G35" i="18"/>
  <c r="H35" i="18"/>
  <c r="I35" i="18"/>
  <c r="J35" i="18"/>
  <c r="K35" i="18"/>
  <c r="L35" i="18"/>
  <c r="D34" i="18"/>
  <c r="E34" i="18"/>
  <c r="F34" i="18"/>
  <c r="G34" i="18"/>
  <c r="H34" i="18"/>
  <c r="I34" i="18"/>
  <c r="J34" i="18"/>
  <c r="K34" i="18"/>
  <c r="L34" i="18"/>
  <c r="C40" i="18"/>
  <c r="C39" i="18"/>
  <c r="C38" i="18"/>
  <c r="C37" i="18"/>
  <c r="C35" i="18"/>
  <c r="C34" i="18"/>
  <c r="D33" i="18"/>
  <c r="E33" i="18"/>
  <c r="F33" i="18"/>
  <c r="G33" i="18"/>
  <c r="H33" i="18"/>
  <c r="I33" i="18"/>
  <c r="J33" i="18"/>
  <c r="K33" i="18"/>
  <c r="L33" i="18"/>
  <c r="C33" i="18"/>
  <c r="C74" i="6"/>
  <c r="D74" i="6"/>
  <c r="E74" i="6"/>
  <c r="F74" i="6"/>
  <c r="G74" i="6"/>
  <c r="H74" i="6"/>
  <c r="I74" i="6"/>
  <c r="J74" i="6"/>
  <c r="K74" i="6"/>
  <c r="B74" i="6"/>
  <c r="C75" i="6"/>
  <c r="D75" i="6"/>
  <c r="E75" i="6"/>
  <c r="F75" i="6"/>
  <c r="G75" i="6"/>
  <c r="H75" i="6"/>
  <c r="I75" i="6"/>
  <c r="J75" i="6"/>
  <c r="K75" i="6"/>
  <c r="B75" i="6"/>
  <c r="C29" i="18"/>
  <c r="D29" i="18"/>
  <c r="E29" i="18"/>
  <c r="F29" i="18"/>
  <c r="G29" i="18"/>
  <c r="H29" i="18"/>
  <c r="I29" i="18"/>
  <c r="J29" i="18"/>
  <c r="K29" i="18"/>
  <c r="L29" i="18"/>
  <c r="C30" i="18"/>
  <c r="D30" i="18"/>
  <c r="E30" i="18"/>
  <c r="F30" i="18"/>
  <c r="G30" i="18"/>
  <c r="H30" i="18"/>
  <c r="I30" i="18"/>
  <c r="J30" i="18"/>
  <c r="K30" i="18"/>
  <c r="L30" i="18"/>
  <c r="C31" i="18"/>
  <c r="D31" i="18"/>
  <c r="E31" i="18"/>
  <c r="F31" i="18"/>
  <c r="G31" i="18"/>
  <c r="H31" i="18"/>
  <c r="I31" i="18"/>
  <c r="J31" i="18"/>
  <c r="K31" i="18"/>
  <c r="L31" i="18"/>
  <c r="D28" i="18"/>
  <c r="E28" i="18"/>
  <c r="F28" i="18"/>
  <c r="G28" i="18"/>
  <c r="H28" i="18"/>
  <c r="I28" i="18"/>
  <c r="J28" i="18"/>
  <c r="K28" i="18"/>
  <c r="L28" i="18"/>
  <c r="C28" i="18"/>
  <c r="D27" i="18"/>
  <c r="E27" i="18"/>
  <c r="F27" i="18"/>
  <c r="G27" i="18"/>
  <c r="H27" i="18"/>
  <c r="I27" i="18"/>
  <c r="J27" i="18"/>
  <c r="K27" i="18"/>
  <c r="L27" i="18"/>
  <c r="C27" i="18"/>
  <c r="D25" i="18"/>
  <c r="E25" i="18"/>
  <c r="F25" i="18"/>
  <c r="G25" i="18"/>
  <c r="H25" i="18"/>
  <c r="I25" i="18"/>
  <c r="J25" i="18"/>
  <c r="K25" i="18"/>
  <c r="L25" i="18"/>
  <c r="C25" i="18"/>
  <c r="B29" i="18"/>
  <c r="B30" i="18"/>
  <c r="B31" i="18"/>
  <c r="B34" i="18"/>
  <c r="B35" i="18"/>
  <c r="B36" i="18"/>
  <c r="B37" i="18"/>
  <c r="B38" i="18"/>
  <c r="B39" i="18"/>
  <c r="B40" i="18"/>
  <c r="B28" i="18"/>
  <c r="B23" i="18"/>
  <c r="D20" i="18"/>
  <c r="E20" i="18"/>
  <c r="F20" i="18"/>
  <c r="G20" i="18"/>
  <c r="H20" i="18"/>
  <c r="I20" i="18"/>
  <c r="J20" i="18"/>
  <c r="K20" i="18"/>
  <c r="L20" i="18"/>
  <c r="C20" i="18"/>
  <c r="B20" i="18"/>
  <c r="L21" i="18"/>
  <c r="K21" i="18"/>
  <c r="J21" i="18"/>
  <c r="I21" i="18"/>
  <c r="H21" i="18"/>
  <c r="G21" i="18"/>
  <c r="F21" i="18"/>
  <c r="E21" i="18"/>
  <c r="D21" i="18"/>
  <c r="C21" i="18"/>
  <c r="C7" i="18"/>
  <c r="D7" i="18"/>
  <c r="E7" i="18"/>
  <c r="F7" i="18"/>
  <c r="G7" i="18"/>
  <c r="H7" i="18"/>
  <c r="I7" i="18"/>
  <c r="J7" i="18"/>
  <c r="K7" i="18"/>
  <c r="L7" i="18"/>
  <c r="C8" i="18"/>
  <c r="D8" i="18"/>
  <c r="E8" i="18"/>
  <c r="F8" i="18"/>
  <c r="G8" i="18"/>
  <c r="H8" i="18"/>
  <c r="I8" i="18"/>
  <c r="J8" i="18"/>
  <c r="K8" i="18"/>
  <c r="L8" i="18"/>
  <c r="C9" i="18"/>
  <c r="D9" i="18"/>
  <c r="E9" i="18"/>
  <c r="F9" i="18"/>
  <c r="G9" i="18"/>
  <c r="H9" i="18"/>
  <c r="I9" i="18"/>
  <c r="J9" i="18"/>
  <c r="K9" i="18"/>
  <c r="L9" i="18"/>
  <c r="C10" i="18"/>
  <c r="D10" i="18"/>
  <c r="E10" i="18"/>
  <c r="F10" i="18"/>
  <c r="G10" i="18"/>
  <c r="H10" i="18"/>
  <c r="I10" i="18"/>
  <c r="J10" i="18"/>
  <c r="K10" i="18"/>
  <c r="L10" i="18"/>
  <c r="C11" i="18"/>
  <c r="D11" i="18"/>
  <c r="E11" i="18"/>
  <c r="F11" i="18"/>
  <c r="G11" i="18"/>
  <c r="H11" i="18"/>
  <c r="I11" i="18"/>
  <c r="J11" i="18"/>
  <c r="K11" i="18"/>
  <c r="L11" i="18"/>
  <c r="C12" i="18"/>
  <c r="D12" i="18"/>
  <c r="E12" i="18"/>
  <c r="F12" i="18"/>
  <c r="G12" i="18"/>
  <c r="H12" i="18"/>
  <c r="I12" i="18"/>
  <c r="J12" i="18"/>
  <c r="K12" i="18"/>
  <c r="L12" i="18"/>
  <c r="C13" i="18"/>
  <c r="D13" i="18"/>
  <c r="E13" i="18"/>
  <c r="F13" i="18"/>
  <c r="G13" i="18"/>
  <c r="H13" i="18"/>
  <c r="I13" i="18"/>
  <c r="J13" i="18"/>
  <c r="K13" i="18"/>
  <c r="L13" i="18"/>
  <c r="C14" i="18"/>
  <c r="D14" i="18"/>
  <c r="E14" i="18"/>
  <c r="F14" i="18"/>
  <c r="G14" i="18"/>
  <c r="H14" i="18"/>
  <c r="I14" i="18"/>
  <c r="J14" i="18"/>
  <c r="K14" i="18"/>
  <c r="L14" i="18"/>
  <c r="C15" i="18"/>
  <c r="D15" i="18"/>
  <c r="E15" i="18"/>
  <c r="F15" i="18"/>
  <c r="G15" i="18"/>
  <c r="H15" i="18"/>
  <c r="I15" i="18"/>
  <c r="J15" i="18"/>
  <c r="K15" i="18"/>
  <c r="L15" i="18"/>
  <c r="C16" i="18"/>
  <c r="D16" i="18"/>
  <c r="E16" i="18"/>
  <c r="F16" i="18"/>
  <c r="G16" i="18"/>
  <c r="H16" i="18"/>
  <c r="I16" i="18"/>
  <c r="J16" i="18"/>
  <c r="K16" i="18"/>
  <c r="L16" i="18"/>
  <c r="C17" i="18"/>
  <c r="D17" i="18"/>
  <c r="E17" i="18"/>
  <c r="F17" i="18"/>
  <c r="G17" i="18"/>
  <c r="H17" i="18"/>
  <c r="I17" i="18"/>
  <c r="J17" i="18"/>
  <c r="K17" i="18"/>
  <c r="L17" i="18"/>
  <c r="C18" i="18"/>
  <c r="D18" i="18"/>
  <c r="E18" i="18"/>
  <c r="F18" i="18"/>
  <c r="G18" i="18"/>
  <c r="H18" i="18"/>
  <c r="I18" i="18"/>
  <c r="J18" i="18"/>
  <c r="K18" i="18"/>
  <c r="L18" i="18"/>
  <c r="C19" i="18"/>
  <c r="D19" i="18"/>
  <c r="E19" i="18"/>
  <c r="F19" i="18"/>
  <c r="G19" i="18"/>
  <c r="H19" i="18"/>
  <c r="I19" i="18"/>
  <c r="J19" i="18"/>
  <c r="K19" i="18"/>
  <c r="L19" i="18"/>
  <c r="D6" i="18"/>
  <c r="E6" i="18"/>
  <c r="F6" i="18"/>
  <c r="G6" i="18"/>
  <c r="H6" i="18"/>
  <c r="I6" i="18"/>
  <c r="J6" i="18"/>
  <c r="K6" i="18"/>
  <c r="L6" i="18"/>
  <c r="C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1" i="18"/>
  <c r="B6" i="18"/>
  <c r="K4" i="18"/>
  <c r="L4" i="18"/>
  <c r="D4" i="18"/>
  <c r="E4" i="18"/>
  <c r="F4" i="18"/>
  <c r="G4" i="18"/>
  <c r="H4" i="18"/>
  <c r="I4" i="18"/>
  <c r="J4" i="18"/>
  <c r="C4" i="18"/>
  <c r="B2" i="18"/>
  <c r="C33" i="6"/>
  <c r="D33" i="6"/>
  <c r="E33" i="6"/>
  <c r="F33" i="6"/>
  <c r="G33" i="6"/>
  <c r="H33" i="6"/>
  <c r="I33" i="6"/>
  <c r="J33" i="6"/>
  <c r="K33" i="6"/>
  <c r="B33" i="6"/>
  <c r="K43" i="13"/>
  <c r="K41" i="13"/>
  <c r="K40" i="13"/>
  <c r="K38" i="13"/>
  <c r="K37" i="13"/>
  <c r="D22" i="13"/>
  <c r="K33" i="13"/>
  <c r="E35" i="13"/>
  <c r="K25" i="13"/>
  <c r="K23" i="13"/>
  <c r="F9" i="17"/>
  <c r="F7" i="17"/>
  <c r="E23" i="13"/>
  <c r="K31" i="13"/>
  <c r="C32" i="13"/>
  <c r="C31" i="13"/>
  <c r="E31" i="13"/>
  <c r="K12" i="13"/>
  <c r="K14" i="13"/>
  <c r="K13" i="13"/>
  <c r="K17" i="13"/>
  <c r="K16" i="13"/>
  <c r="K10" i="13"/>
  <c r="J10" i="13"/>
  <c r="F11" i="13"/>
  <c r="F12" i="13"/>
  <c r="F13" i="13"/>
  <c r="F14" i="13"/>
  <c r="F10" i="13"/>
  <c r="E11" i="13"/>
  <c r="E12" i="13"/>
  <c r="E13" i="13"/>
  <c r="E14" i="13"/>
  <c r="E10" i="13"/>
  <c r="J12" i="14"/>
  <c r="J6" i="14"/>
  <c r="N9" i="14"/>
  <c r="G9" i="21" l="1"/>
  <c r="K9" i="21"/>
  <c r="I29" i="21"/>
  <c r="I31" i="21" s="1"/>
  <c r="I9" i="21"/>
  <c r="H9" i="21"/>
  <c r="J29" i="21"/>
  <c r="J31" i="21" s="1"/>
  <c r="K29" i="21"/>
  <c r="K31" i="21" s="1"/>
  <c r="G29" i="21"/>
  <c r="G31" i="21" s="1"/>
  <c r="H29" i="21"/>
  <c r="H31" i="21" s="1"/>
  <c r="J9" i="21"/>
  <c r="J17" i="21" s="1"/>
  <c r="K15" i="21"/>
  <c r="K17" i="21" s="1"/>
  <c r="G15" i="21"/>
  <c r="H15" i="21"/>
  <c r="I15" i="21"/>
  <c r="J15" i="21"/>
  <c r="G80" i="14"/>
  <c r="G16" i="14"/>
  <c r="G8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5" i="14"/>
  <c r="G14" i="14"/>
  <c r="G13" i="14"/>
  <c r="G12" i="14"/>
  <c r="G11" i="14"/>
  <c r="G10" i="14"/>
  <c r="G9" i="14"/>
  <c r="D111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8" i="14"/>
  <c r="I14" i="13"/>
  <c r="K32" i="13"/>
  <c r="C33" i="13"/>
  <c r="D32" i="13" s="1"/>
  <c r="E24" i="13"/>
  <c r="J17" i="13"/>
  <c r="J16" i="13"/>
  <c r="G17" i="13"/>
  <c r="G16" i="13"/>
  <c r="I11" i="13"/>
  <c r="I12" i="13"/>
  <c r="I13" i="13"/>
  <c r="I10" i="13"/>
  <c r="I17" i="13" s="1"/>
  <c r="H11" i="13"/>
  <c r="H12" i="13"/>
  <c r="H13" i="13"/>
  <c r="H14" i="13"/>
  <c r="H10" i="13"/>
  <c r="N16" i="12"/>
  <c r="N17" i="12"/>
  <c r="N18" i="12"/>
  <c r="N19" i="12"/>
  <c r="N15" i="12"/>
  <c r="N5" i="12" a="1"/>
  <c r="N5" i="12" s="1"/>
  <c r="L3" i="12"/>
  <c r="L6" i="12"/>
  <c r="L7" i="12" s="1"/>
  <c r="L8" i="12" s="1"/>
  <c r="L9" i="12" s="1"/>
  <c r="L10" i="12" s="1"/>
  <c r="L11" i="12" s="1"/>
  <c r="L12" i="12" s="1"/>
  <c r="L13" i="12" s="1"/>
  <c r="L14" i="12" s="1"/>
  <c r="L15" i="12" s="1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I5" i="12" a="1"/>
  <c r="I5" i="12" s="1"/>
  <c r="H5" i="12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G3" i="12"/>
  <c r="B3" i="12"/>
  <c r="G6" i="12"/>
  <c r="G7" i="12" s="1"/>
  <c r="G8" i="12" s="1"/>
  <c r="G9" i="12" s="1"/>
  <c r="G10" i="12" s="1"/>
  <c r="G11" i="12" s="1"/>
  <c r="G12" i="12" s="1"/>
  <c r="G13" i="12" s="1"/>
  <c r="G14" i="12" s="1"/>
  <c r="G15" i="12" s="1"/>
  <c r="D5" i="12" a="1"/>
  <c r="D5" i="12" s="1"/>
  <c r="G17" i="21" l="1"/>
  <c r="K33" i="21"/>
  <c r="K36" i="21" s="1"/>
  <c r="J33" i="21"/>
  <c r="J36" i="21" s="1"/>
  <c r="G33" i="21"/>
  <c r="G36" i="21" s="1"/>
  <c r="I17" i="21"/>
  <c r="I33" i="21" s="1"/>
  <c r="I36" i="21" s="1"/>
  <c r="H17" i="21"/>
  <c r="H33" i="21" s="1"/>
  <c r="H36" i="21" s="1"/>
  <c r="D31" i="13"/>
  <c r="D35" i="13" s="1"/>
  <c r="H17" i="13"/>
  <c r="K11" i="13"/>
  <c r="K30" i="13" s="1"/>
  <c r="I16" i="13"/>
  <c r="N6" i="14"/>
  <c r="N7" i="14"/>
  <c r="H16" i="13"/>
  <c r="D33" i="13"/>
  <c r="E33" i="13" s="1"/>
  <c r="E32" i="13" s="1"/>
  <c r="N14" i="12"/>
  <c r="N13" i="12"/>
  <c r="O14" i="12" s="1"/>
  <c r="N12" i="12"/>
  <c r="N11" i="12"/>
  <c r="N10" i="12"/>
  <c r="N9" i="12"/>
  <c r="O9" i="12" s="1"/>
  <c r="N8" i="12"/>
  <c r="N7" i="12"/>
  <c r="O7" i="12" s="1"/>
  <c r="N6" i="12"/>
  <c r="O6" i="12" s="1"/>
  <c r="L16" i="12"/>
  <c r="O13" i="12"/>
  <c r="O10" i="12"/>
  <c r="O11" i="12"/>
  <c r="I14" i="12"/>
  <c r="J14" i="12" s="1"/>
  <c r="I13" i="12"/>
  <c r="I11" i="12"/>
  <c r="I10" i="12"/>
  <c r="I9" i="12"/>
  <c r="I8" i="12"/>
  <c r="I7" i="12"/>
  <c r="I6" i="12"/>
  <c r="J6" i="12" s="1"/>
  <c r="I12" i="12"/>
  <c r="G16" i="12"/>
  <c r="J11" i="12"/>
  <c r="D14" i="12"/>
  <c r="D13" i="12"/>
  <c r="D12" i="12"/>
  <c r="D11" i="12"/>
  <c r="D10" i="12"/>
  <c r="D9" i="12"/>
  <c r="D8" i="12"/>
  <c r="D7" i="12"/>
  <c r="D6" i="12"/>
  <c r="E6" i="12" s="1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O40" i="11"/>
  <c r="O39" i="11"/>
  <c r="O38" i="11"/>
  <c r="O34" i="11"/>
  <c r="O35" i="11"/>
  <c r="O36" i="11"/>
  <c r="O33" i="11"/>
  <c r="O30" i="11"/>
  <c r="O28" i="11"/>
  <c r="O29" i="11"/>
  <c r="O31" i="11"/>
  <c r="O27" i="11"/>
  <c r="O25" i="11"/>
  <c r="O22" i="11"/>
  <c r="O23" i="11"/>
  <c r="O24" i="11"/>
  <c r="O21" i="11"/>
  <c r="O18" i="11"/>
  <c r="O19" i="11"/>
  <c r="O17" i="11"/>
  <c r="O14" i="11"/>
  <c r="O12" i="11"/>
  <c r="O13" i="11"/>
  <c r="O15" i="11"/>
  <c r="O11" i="11"/>
  <c r="O8" i="11"/>
  <c r="O6" i="11"/>
  <c r="O7" i="11"/>
  <c r="O9" i="11"/>
  <c r="O5" i="11"/>
  <c r="N40" i="11"/>
  <c r="N38" i="11"/>
  <c r="N36" i="11"/>
  <c r="N34" i="11"/>
  <c r="N39" i="11"/>
  <c r="N35" i="11"/>
  <c r="N33" i="11"/>
  <c r="N29" i="11"/>
  <c r="N28" i="11"/>
  <c r="N30" i="11"/>
  <c r="N31" i="11"/>
  <c r="N27" i="11"/>
  <c r="N21" i="11"/>
  <c r="N22" i="11"/>
  <c r="N23" i="11"/>
  <c r="N24" i="11"/>
  <c r="N25" i="11"/>
  <c r="N18" i="11"/>
  <c r="N19" i="11"/>
  <c r="N17" i="11"/>
  <c r="N11" i="11"/>
  <c r="N15" i="11"/>
  <c r="N14" i="11"/>
  <c r="N13" i="11"/>
  <c r="N12" i="11"/>
  <c r="N6" i="11"/>
  <c r="N7" i="11"/>
  <c r="N8" i="11"/>
  <c r="N9" i="11"/>
  <c r="N5" i="11"/>
  <c r="D38" i="11"/>
  <c r="E38" i="11"/>
  <c r="F38" i="11"/>
  <c r="G38" i="11"/>
  <c r="H38" i="11"/>
  <c r="I38" i="11"/>
  <c r="J38" i="11"/>
  <c r="K38" i="11"/>
  <c r="L38" i="11"/>
  <c r="D39" i="11"/>
  <c r="E39" i="11"/>
  <c r="F39" i="11"/>
  <c r="G39" i="11"/>
  <c r="H39" i="11"/>
  <c r="I39" i="11"/>
  <c r="J39" i="11"/>
  <c r="K39" i="11"/>
  <c r="L39" i="11"/>
  <c r="D40" i="11"/>
  <c r="E40" i="11"/>
  <c r="F40" i="11"/>
  <c r="G40" i="11"/>
  <c r="H40" i="11"/>
  <c r="I40" i="11"/>
  <c r="J40" i="11"/>
  <c r="K40" i="11"/>
  <c r="L40" i="11"/>
  <c r="C40" i="11"/>
  <c r="C39" i="11"/>
  <c r="C38" i="11"/>
  <c r="J33" i="11"/>
  <c r="L34" i="11"/>
  <c r="G35" i="11"/>
  <c r="H35" i="11"/>
  <c r="D27" i="11"/>
  <c r="D33" i="11" s="1"/>
  <c r="E27" i="11"/>
  <c r="E33" i="11" s="1"/>
  <c r="F27" i="11"/>
  <c r="F33" i="11" s="1"/>
  <c r="G27" i="11"/>
  <c r="G33" i="11" s="1"/>
  <c r="H27" i="11"/>
  <c r="H33" i="11" s="1"/>
  <c r="I27" i="11"/>
  <c r="I33" i="11" s="1"/>
  <c r="J27" i="11"/>
  <c r="K27" i="11"/>
  <c r="K33" i="11" s="1"/>
  <c r="L27" i="11"/>
  <c r="L33" i="11" s="1"/>
  <c r="D28" i="11"/>
  <c r="D34" i="11" s="1"/>
  <c r="E28" i="11"/>
  <c r="E34" i="11" s="1"/>
  <c r="F28" i="11"/>
  <c r="F34" i="11" s="1"/>
  <c r="G28" i="11"/>
  <c r="G34" i="11" s="1"/>
  <c r="H28" i="11"/>
  <c r="H34" i="11" s="1"/>
  <c r="I28" i="11"/>
  <c r="I34" i="11" s="1"/>
  <c r="J28" i="11"/>
  <c r="J34" i="11" s="1"/>
  <c r="K28" i="11"/>
  <c r="K34" i="11" s="1"/>
  <c r="L28" i="11"/>
  <c r="D29" i="11"/>
  <c r="D35" i="11" s="1"/>
  <c r="E29" i="11"/>
  <c r="E35" i="11" s="1"/>
  <c r="F29" i="11"/>
  <c r="F35" i="11" s="1"/>
  <c r="G29" i="11"/>
  <c r="H29" i="11"/>
  <c r="I29" i="11"/>
  <c r="I35" i="11" s="1"/>
  <c r="J29" i="11"/>
  <c r="J35" i="11" s="1"/>
  <c r="K29" i="11"/>
  <c r="K35" i="11" s="1"/>
  <c r="L29" i="11"/>
  <c r="L35" i="11" s="1"/>
  <c r="D30" i="11"/>
  <c r="E30" i="11"/>
  <c r="F30" i="11"/>
  <c r="G30" i="11"/>
  <c r="H30" i="11"/>
  <c r="I30" i="11"/>
  <c r="J30" i="11"/>
  <c r="K30" i="11"/>
  <c r="L30" i="11"/>
  <c r="D31" i="11"/>
  <c r="E31" i="11"/>
  <c r="F31" i="11"/>
  <c r="G31" i="11"/>
  <c r="H31" i="11"/>
  <c r="I31" i="11"/>
  <c r="J31" i="11"/>
  <c r="K31" i="11"/>
  <c r="L31" i="11"/>
  <c r="C31" i="11"/>
  <c r="C30" i="11"/>
  <c r="C29" i="11"/>
  <c r="C35" i="11" s="1"/>
  <c r="C28" i="11"/>
  <c r="C34" i="11" s="1"/>
  <c r="C27" i="11"/>
  <c r="C33" i="11" s="1"/>
  <c r="D21" i="11"/>
  <c r="E21" i="11"/>
  <c r="F21" i="11"/>
  <c r="G21" i="11"/>
  <c r="H21" i="11"/>
  <c r="I21" i="11"/>
  <c r="J21" i="11"/>
  <c r="K21" i="11"/>
  <c r="L21" i="11"/>
  <c r="D22" i="11"/>
  <c r="D24" i="11" s="1"/>
  <c r="E22" i="11"/>
  <c r="E24" i="11" s="1"/>
  <c r="F22" i="11"/>
  <c r="G22" i="11"/>
  <c r="H22" i="11"/>
  <c r="I22" i="11"/>
  <c r="J22" i="11"/>
  <c r="K22" i="11"/>
  <c r="K24" i="11" s="1"/>
  <c r="L22" i="11"/>
  <c r="L24" i="11" s="1"/>
  <c r="D23" i="11"/>
  <c r="E23" i="11"/>
  <c r="F23" i="11"/>
  <c r="G23" i="11"/>
  <c r="G24" i="11" s="1"/>
  <c r="H23" i="11"/>
  <c r="H24" i="11" s="1"/>
  <c r="I23" i="11"/>
  <c r="J23" i="11"/>
  <c r="J24" i="11" s="1"/>
  <c r="K23" i="11"/>
  <c r="L23" i="11"/>
  <c r="D25" i="11"/>
  <c r="E25" i="11"/>
  <c r="F25" i="11"/>
  <c r="G25" i="11"/>
  <c r="H25" i="11"/>
  <c r="I25" i="11"/>
  <c r="J25" i="11"/>
  <c r="K25" i="11"/>
  <c r="L25" i="11"/>
  <c r="C25" i="11"/>
  <c r="L9" i="11"/>
  <c r="K9" i="11"/>
  <c r="J9" i="11"/>
  <c r="I9" i="11"/>
  <c r="H9" i="11"/>
  <c r="G9" i="11"/>
  <c r="F9" i="11"/>
  <c r="E9" i="11"/>
  <c r="L8" i="11"/>
  <c r="K8" i="11"/>
  <c r="J8" i="11"/>
  <c r="I8" i="11"/>
  <c r="H8" i="11"/>
  <c r="G8" i="11"/>
  <c r="F8" i="11"/>
  <c r="E8" i="11"/>
  <c r="L7" i="11"/>
  <c r="K7" i="11"/>
  <c r="J7" i="11"/>
  <c r="I7" i="11"/>
  <c r="H7" i="11"/>
  <c r="G7" i="11"/>
  <c r="F7" i="11"/>
  <c r="E7" i="11"/>
  <c r="L6" i="11"/>
  <c r="K6" i="11"/>
  <c r="J6" i="11"/>
  <c r="I6" i="11"/>
  <c r="H6" i="11"/>
  <c r="G6" i="11"/>
  <c r="F6" i="11"/>
  <c r="E6" i="11"/>
  <c r="L5" i="11"/>
  <c r="K5" i="11"/>
  <c r="J5" i="11"/>
  <c r="I5" i="11"/>
  <c r="H5" i="11"/>
  <c r="G5" i="11"/>
  <c r="F5" i="11"/>
  <c r="E5" i="11"/>
  <c r="C23" i="11"/>
  <c r="C22" i="11"/>
  <c r="C24" i="11" s="1"/>
  <c r="C21" i="11"/>
  <c r="L18" i="11"/>
  <c r="K18" i="11"/>
  <c r="J18" i="11"/>
  <c r="I18" i="11"/>
  <c r="H18" i="11"/>
  <c r="G18" i="11"/>
  <c r="F18" i="11"/>
  <c r="E18" i="11"/>
  <c r="D18" i="11"/>
  <c r="L17" i="11"/>
  <c r="K17" i="11"/>
  <c r="J17" i="11"/>
  <c r="I17" i="11"/>
  <c r="H17" i="11"/>
  <c r="G17" i="11"/>
  <c r="F17" i="11"/>
  <c r="E17" i="11"/>
  <c r="D17" i="11"/>
  <c r="C18" i="11"/>
  <c r="C17" i="11"/>
  <c r="L15" i="11"/>
  <c r="K15" i="11"/>
  <c r="J15" i="11"/>
  <c r="I15" i="11"/>
  <c r="H15" i="11"/>
  <c r="G15" i="11"/>
  <c r="F15" i="11"/>
  <c r="E15" i="11"/>
  <c r="D15" i="11"/>
  <c r="L14" i="11"/>
  <c r="K14" i="11"/>
  <c r="J14" i="11"/>
  <c r="I14" i="11"/>
  <c r="H14" i="11"/>
  <c r="G14" i="11"/>
  <c r="F14" i="11"/>
  <c r="E14" i="11"/>
  <c r="D14" i="11"/>
  <c r="L13" i="11"/>
  <c r="L19" i="11" s="1"/>
  <c r="K13" i="11"/>
  <c r="K19" i="11" s="1"/>
  <c r="J13" i="11"/>
  <c r="J19" i="11" s="1"/>
  <c r="I13" i="11"/>
  <c r="I19" i="11" s="1"/>
  <c r="H13" i="11"/>
  <c r="H19" i="11" s="1"/>
  <c r="G13" i="11"/>
  <c r="G19" i="11" s="1"/>
  <c r="F13" i="11"/>
  <c r="F19" i="11" s="1"/>
  <c r="E13" i="11"/>
  <c r="E19" i="11" s="1"/>
  <c r="D13" i="11"/>
  <c r="D19" i="11" s="1"/>
  <c r="L12" i="11"/>
  <c r="K12" i="11"/>
  <c r="J12" i="11"/>
  <c r="I12" i="11"/>
  <c r="H12" i="11"/>
  <c r="G12" i="11"/>
  <c r="F12" i="11"/>
  <c r="E12" i="11"/>
  <c r="D12" i="11"/>
  <c r="L11" i="11"/>
  <c r="K11" i="11"/>
  <c r="J11" i="11"/>
  <c r="I11" i="11"/>
  <c r="H11" i="11"/>
  <c r="G11" i="11"/>
  <c r="F11" i="11"/>
  <c r="E11" i="11"/>
  <c r="D11" i="11"/>
  <c r="C13" i="11"/>
  <c r="C19" i="11" s="1"/>
  <c r="C15" i="11"/>
  <c r="C14" i="11"/>
  <c r="C12" i="11"/>
  <c r="C11" i="11"/>
  <c r="D9" i="11"/>
  <c r="D8" i="11"/>
  <c r="D7" i="11"/>
  <c r="D6" i="11"/>
  <c r="D5" i="11"/>
  <c r="B2" i="11"/>
  <c r="L3" i="11"/>
  <c r="K3" i="11"/>
  <c r="J3" i="11"/>
  <c r="I3" i="11"/>
  <c r="H3" i="11"/>
  <c r="G3" i="11"/>
  <c r="F3" i="11"/>
  <c r="E3" i="11"/>
  <c r="D3" i="11"/>
  <c r="C3" i="11"/>
  <c r="D74" i="8"/>
  <c r="E74" i="8"/>
  <c r="F74" i="8"/>
  <c r="G74" i="8"/>
  <c r="H74" i="8"/>
  <c r="I74" i="8"/>
  <c r="J74" i="8"/>
  <c r="K74" i="8"/>
  <c r="L74" i="8"/>
  <c r="C74" i="8"/>
  <c r="D72" i="8"/>
  <c r="E72" i="8"/>
  <c r="F72" i="8"/>
  <c r="G72" i="8"/>
  <c r="H72" i="8"/>
  <c r="I72" i="8"/>
  <c r="J72" i="8"/>
  <c r="K72" i="8"/>
  <c r="L72" i="8"/>
  <c r="C72" i="8"/>
  <c r="D70" i="8"/>
  <c r="E70" i="8"/>
  <c r="F70" i="8"/>
  <c r="G70" i="8"/>
  <c r="H70" i="8"/>
  <c r="I70" i="8"/>
  <c r="J70" i="8"/>
  <c r="K70" i="8"/>
  <c r="L70" i="8"/>
  <c r="C70" i="8"/>
  <c r="D56" i="8"/>
  <c r="E56" i="8"/>
  <c r="F56" i="8"/>
  <c r="G56" i="8"/>
  <c r="H56" i="8"/>
  <c r="I56" i="8"/>
  <c r="J56" i="8"/>
  <c r="K56" i="8"/>
  <c r="L56" i="8"/>
  <c r="C56" i="8"/>
  <c r="D59" i="8"/>
  <c r="E59" i="8"/>
  <c r="F59" i="8"/>
  <c r="G59" i="8"/>
  <c r="H59" i="8"/>
  <c r="I59" i="8"/>
  <c r="J59" i="8"/>
  <c r="K59" i="8"/>
  <c r="L59" i="8"/>
  <c r="D60" i="8"/>
  <c r="E60" i="8"/>
  <c r="F60" i="8"/>
  <c r="G60" i="8"/>
  <c r="H60" i="8"/>
  <c r="I60" i="8"/>
  <c r="J60" i="8"/>
  <c r="K60" i="8"/>
  <c r="L60" i="8"/>
  <c r="D61" i="8"/>
  <c r="E61" i="8"/>
  <c r="F61" i="8"/>
  <c r="G61" i="8"/>
  <c r="H61" i="8"/>
  <c r="I61" i="8"/>
  <c r="J61" i="8"/>
  <c r="K61" i="8"/>
  <c r="L61" i="8"/>
  <c r="C60" i="8"/>
  <c r="C61" i="8"/>
  <c r="C59" i="8"/>
  <c r="C62" i="8" s="1"/>
  <c r="D53" i="8"/>
  <c r="E53" i="8"/>
  <c r="F53" i="8"/>
  <c r="G53" i="8"/>
  <c r="H53" i="8"/>
  <c r="I53" i="8"/>
  <c r="J53" i="8"/>
  <c r="K53" i="8"/>
  <c r="L53" i="8"/>
  <c r="D54" i="8"/>
  <c r="E54" i="8"/>
  <c r="F54" i="8"/>
  <c r="G54" i="8"/>
  <c r="H54" i="8"/>
  <c r="I54" i="8"/>
  <c r="J54" i="8"/>
  <c r="K54" i="8"/>
  <c r="L54" i="8"/>
  <c r="D55" i="8"/>
  <c r="E55" i="8"/>
  <c r="F55" i="8"/>
  <c r="G55" i="8"/>
  <c r="H55" i="8"/>
  <c r="I55" i="8"/>
  <c r="J55" i="8"/>
  <c r="K55" i="8"/>
  <c r="L55" i="8"/>
  <c r="C54" i="8"/>
  <c r="C55" i="8"/>
  <c r="C53" i="8"/>
  <c r="D47" i="8"/>
  <c r="E47" i="8"/>
  <c r="F47" i="8"/>
  <c r="G47" i="8"/>
  <c r="H47" i="8"/>
  <c r="I47" i="8"/>
  <c r="J47" i="8"/>
  <c r="K47" i="8"/>
  <c r="L47" i="8"/>
  <c r="D48" i="8"/>
  <c r="E48" i="8"/>
  <c r="F48" i="8"/>
  <c r="G48" i="8"/>
  <c r="H48" i="8"/>
  <c r="I48" i="8"/>
  <c r="J48" i="8"/>
  <c r="K48" i="8"/>
  <c r="L48" i="8"/>
  <c r="D49" i="8"/>
  <c r="E49" i="8"/>
  <c r="F49" i="8"/>
  <c r="G49" i="8"/>
  <c r="H49" i="8"/>
  <c r="I49" i="8"/>
  <c r="J49" i="8"/>
  <c r="K49" i="8"/>
  <c r="L49" i="8"/>
  <c r="D50" i="8"/>
  <c r="E50" i="8"/>
  <c r="F50" i="8"/>
  <c r="G50" i="8"/>
  <c r="H50" i="8"/>
  <c r="I50" i="8"/>
  <c r="J50" i="8"/>
  <c r="K50" i="8"/>
  <c r="L50" i="8"/>
  <c r="D51" i="8"/>
  <c r="E51" i="8"/>
  <c r="F51" i="8"/>
  <c r="G51" i="8"/>
  <c r="H51" i="8"/>
  <c r="I51" i="8"/>
  <c r="J51" i="8"/>
  <c r="K51" i="8"/>
  <c r="L51" i="8"/>
  <c r="C48" i="8"/>
  <c r="C49" i="8"/>
  <c r="C50" i="8"/>
  <c r="C51" i="8"/>
  <c r="C47" i="8"/>
  <c r="K41" i="8"/>
  <c r="D36" i="8"/>
  <c r="D41" i="8" s="1"/>
  <c r="E36" i="8"/>
  <c r="E41" i="8" s="1"/>
  <c r="F36" i="8"/>
  <c r="F41" i="8" s="1"/>
  <c r="G36" i="8"/>
  <c r="G41" i="8" s="1"/>
  <c r="H36" i="8"/>
  <c r="H41" i="8" s="1"/>
  <c r="I36" i="8"/>
  <c r="I41" i="8" s="1"/>
  <c r="J36" i="8"/>
  <c r="J41" i="8" s="1"/>
  <c r="K36" i="8"/>
  <c r="L36" i="8"/>
  <c r="M36" i="8" s="1"/>
  <c r="M41" i="8" s="1"/>
  <c r="C36" i="8"/>
  <c r="C41" i="8" s="1"/>
  <c r="M30" i="8"/>
  <c r="D30" i="8"/>
  <c r="E30" i="8"/>
  <c r="F30" i="8"/>
  <c r="G30" i="8"/>
  <c r="H30" i="8"/>
  <c r="I30" i="8"/>
  <c r="J30" i="8"/>
  <c r="K30" i="8"/>
  <c r="L30" i="8"/>
  <c r="C30" i="8"/>
  <c r="M27" i="8"/>
  <c r="M24" i="8"/>
  <c r="D24" i="8"/>
  <c r="E24" i="8"/>
  <c r="F24" i="8"/>
  <c r="G24" i="8"/>
  <c r="H24" i="8"/>
  <c r="I24" i="8"/>
  <c r="J24" i="8"/>
  <c r="K24" i="8"/>
  <c r="L24" i="8"/>
  <c r="C24" i="8"/>
  <c r="M21" i="8"/>
  <c r="D21" i="8"/>
  <c r="E21" i="8"/>
  <c r="F21" i="8"/>
  <c r="G21" i="8"/>
  <c r="H21" i="8"/>
  <c r="I21" i="8"/>
  <c r="J21" i="8"/>
  <c r="K21" i="8"/>
  <c r="L21" i="8"/>
  <c r="C21" i="8"/>
  <c r="D15" i="8"/>
  <c r="E15" i="8"/>
  <c r="F15" i="8"/>
  <c r="G15" i="8"/>
  <c r="H15" i="8"/>
  <c r="I15" i="8"/>
  <c r="J15" i="8"/>
  <c r="K15" i="8"/>
  <c r="L15" i="8"/>
  <c r="C15" i="8"/>
  <c r="M9" i="8"/>
  <c r="D9" i="8"/>
  <c r="E9" i="8"/>
  <c r="F9" i="8"/>
  <c r="G9" i="8"/>
  <c r="H9" i="8"/>
  <c r="I9" i="8"/>
  <c r="J9" i="8"/>
  <c r="J10" i="8" s="1"/>
  <c r="K9" i="8"/>
  <c r="L9" i="8"/>
  <c r="C9" i="8"/>
  <c r="M6" i="8"/>
  <c r="M16" i="8" s="1"/>
  <c r="C6" i="8"/>
  <c r="D6" i="8"/>
  <c r="E6" i="8"/>
  <c r="F6" i="8"/>
  <c r="G6" i="8"/>
  <c r="G7" i="8" s="1"/>
  <c r="H6" i="8"/>
  <c r="I6" i="8"/>
  <c r="J6" i="8"/>
  <c r="K6" i="8"/>
  <c r="L6" i="8"/>
  <c r="L12" i="8" s="1"/>
  <c r="L13" i="8" s="1"/>
  <c r="D3" i="8"/>
  <c r="E3" i="8"/>
  <c r="F3" i="8"/>
  <c r="G3" i="8"/>
  <c r="H3" i="8"/>
  <c r="I3" i="8"/>
  <c r="J3" i="8"/>
  <c r="K3" i="8"/>
  <c r="L3" i="8"/>
  <c r="C3" i="8"/>
  <c r="B2" i="8"/>
  <c r="B6" i="6"/>
  <c r="E1" i="6"/>
  <c r="O15" i="12" l="1"/>
  <c r="O8" i="12"/>
  <c r="O16" i="12"/>
  <c r="L17" i="12"/>
  <c r="O12" i="12"/>
  <c r="I16" i="12"/>
  <c r="J9" i="12"/>
  <c r="J8" i="12"/>
  <c r="I15" i="12"/>
  <c r="J12" i="12"/>
  <c r="J10" i="12"/>
  <c r="J7" i="12"/>
  <c r="G17" i="12"/>
  <c r="I17" i="12" s="1"/>
  <c r="J13" i="12"/>
  <c r="E11" i="12"/>
  <c r="E10" i="12"/>
  <c r="E9" i="12"/>
  <c r="E7" i="12"/>
  <c r="E8" i="12"/>
  <c r="E12" i="12"/>
  <c r="E13" i="12"/>
  <c r="B16" i="12"/>
  <c r="D15" i="12"/>
  <c r="E15" i="12" s="1"/>
  <c r="E14" i="12"/>
  <c r="K36" i="11"/>
  <c r="I24" i="11"/>
  <c r="F24" i="11"/>
  <c r="L36" i="11"/>
  <c r="J36" i="11"/>
  <c r="C36" i="11"/>
  <c r="F36" i="11"/>
  <c r="E36" i="11"/>
  <c r="G36" i="11"/>
  <c r="D36" i="11"/>
  <c r="I36" i="11"/>
  <c r="H36" i="11"/>
  <c r="K10" i="8"/>
  <c r="D57" i="8"/>
  <c r="D64" i="8" s="1"/>
  <c r="D66" i="8" s="1"/>
  <c r="J62" i="8"/>
  <c r="K62" i="8"/>
  <c r="H62" i="8"/>
  <c r="I62" i="8"/>
  <c r="H7" i="8"/>
  <c r="L41" i="8"/>
  <c r="K57" i="8"/>
  <c r="K64" i="8" s="1"/>
  <c r="K66" i="8" s="1"/>
  <c r="J57" i="8"/>
  <c r="H57" i="8"/>
  <c r="H64" i="8" s="1"/>
  <c r="H66" i="8" s="1"/>
  <c r="C57" i="8"/>
  <c r="C64" i="8" s="1"/>
  <c r="C66" i="8" s="1"/>
  <c r="G57" i="8"/>
  <c r="G62" i="8"/>
  <c r="D62" i="8"/>
  <c r="L57" i="8"/>
  <c r="F57" i="8"/>
  <c r="F62" i="8"/>
  <c r="L62" i="8"/>
  <c r="L64" i="8" s="1"/>
  <c r="L66" i="8" s="1"/>
  <c r="F76" i="8"/>
  <c r="I57" i="8"/>
  <c r="I64" i="8" s="1"/>
  <c r="I66" i="8" s="1"/>
  <c r="E57" i="8"/>
  <c r="E62" i="8"/>
  <c r="K76" i="8"/>
  <c r="H76" i="8"/>
  <c r="E76" i="8"/>
  <c r="J76" i="8"/>
  <c r="G76" i="8"/>
  <c r="D76" i="8"/>
  <c r="L10" i="8"/>
  <c r="I76" i="8"/>
  <c r="J16" i="8"/>
  <c r="I16" i="8"/>
  <c r="I10" i="8"/>
  <c r="H10" i="8"/>
  <c r="G10" i="8"/>
  <c r="C76" i="8"/>
  <c r="L76" i="8"/>
  <c r="E10" i="8"/>
  <c r="C10" i="8"/>
  <c r="M18" i="8"/>
  <c r="M19" i="8" s="1"/>
  <c r="M33" i="8"/>
  <c r="M38" i="8" s="1"/>
  <c r="F16" i="8"/>
  <c r="J12" i="8"/>
  <c r="J18" i="8" s="1"/>
  <c r="J27" i="8" s="1"/>
  <c r="J28" i="8" s="1"/>
  <c r="C25" i="8"/>
  <c r="G22" i="8"/>
  <c r="K7" i="8"/>
  <c r="I12" i="8"/>
  <c r="I18" i="8" s="1"/>
  <c r="I27" i="8" s="1"/>
  <c r="I31" i="8" s="1"/>
  <c r="M31" i="8"/>
  <c r="K16" i="8"/>
  <c r="L25" i="8"/>
  <c r="L22" i="8"/>
  <c r="K25" i="8"/>
  <c r="K22" i="8"/>
  <c r="J25" i="8"/>
  <c r="J22" i="8"/>
  <c r="I25" i="8"/>
  <c r="L16" i="8"/>
  <c r="C22" i="8"/>
  <c r="I22" i="8"/>
  <c r="M28" i="8"/>
  <c r="F10" i="8"/>
  <c r="H25" i="8"/>
  <c r="G16" i="8"/>
  <c r="F22" i="8"/>
  <c r="G25" i="8"/>
  <c r="E22" i="8"/>
  <c r="F25" i="8"/>
  <c r="L18" i="8"/>
  <c r="E25" i="8"/>
  <c r="D25" i="8"/>
  <c r="H12" i="8"/>
  <c r="G12" i="8"/>
  <c r="D16" i="8"/>
  <c r="H22" i="8"/>
  <c r="M22" i="8"/>
  <c r="J7" i="8"/>
  <c r="H16" i="8"/>
  <c r="M25" i="8"/>
  <c r="I7" i="8"/>
  <c r="K12" i="8"/>
  <c r="D22" i="8"/>
  <c r="D7" i="8"/>
  <c r="F12" i="8"/>
  <c r="F7" i="8"/>
  <c r="E12" i="8"/>
  <c r="E16" i="8"/>
  <c r="D10" i="8"/>
  <c r="M12" i="8"/>
  <c r="M13" i="8" s="1"/>
  <c r="C16" i="8"/>
  <c r="C12" i="8"/>
  <c r="M7" i="8"/>
  <c r="E7" i="8"/>
  <c r="L7" i="8"/>
  <c r="D12" i="8"/>
  <c r="M10" i="8"/>
  <c r="K24" i="13" l="1"/>
  <c r="L18" i="12"/>
  <c r="O17" i="12"/>
  <c r="J16" i="12"/>
  <c r="J15" i="12"/>
  <c r="J17" i="12"/>
  <c r="G18" i="12"/>
  <c r="I18" i="12" s="1"/>
  <c r="B17" i="12"/>
  <c r="D16" i="12"/>
  <c r="E16" i="12" s="1"/>
  <c r="J64" i="8"/>
  <c r="J66" i="8" s="1"/>
  <c r="F64" i="8"/>
  <c r="F66" i="8" s="1"/>
  <c r="G64" i="8"/>
  <c r="G66" i="8" s="1"/>
  <c r="I33" i="8"/>
  <c r="I38" i="8" s="1"/>
  <c r="E64" i="8"/>
  <c r="E66" i="8" s="1"/>
  <c r="I28" i="8"/>
  <c r="I19" i="8"/>
  <c r="M42" i="8"/>
  <c r="M44" i="8"/>
  <c r="J31" i="8"/>
  <c r="J13" i="8"/>
  <c r="J33" i="8"/>
  <c r="J34" i="8" s="1"/>
  <c r="M34" i="8"/>
  <c r="J19" i="8"/>
  <c r="I13" i="8"/>
  <c r="I34" i="8"/>
  <c r="E18" i="8"/>
  <c r="E13" i="8"/>
  <c r="G18" i="8"/>
  <c r="G13" i="8"/>
  <c r="F18" i="8"/>
  <c r="F13" i="8"/>
  <c r="H18" i="8"/>
  <c r="H13" i="8"/>
  <c r="D18" i="8"/>
  <c r="D13" i="8"/>
  <c r="K18" i="8"/>
  <c r="K13" i="8"/>
  <c r="L19" i="8"/>
  <c r="L27" i="8"/>
  <c r="C18" i="8"/>
  <c r="C13" i="8"/>
  <c r="L19" i="12" l="1"/>
  <c r="O18" i="12"/>
  <c r="G19" i="12"/>
  <c r="I19" i="12" s="1"/>
  <c r="J18" i="12"/>
  <c r="D17" i="12"/>
  <c r="E17" i="12" s="1"/>
  <c r="B18" i="12"/>
  <c r="J38" i="8"/>
  <c r="J39" i="8" s="1"/>
  <c r="I44" i="8"/>
  <c r="I42" i="8"/>
  <c r="H27" i="8"/>
  <c r="H19" i="8"/>
  <c r="C19" i="8"/>
  <c r="C27" i="8"/>
  <c r="F27" i="8"/>
  <c r="F19" i="8"/>
  <c r="L28" i="8"/>
  <c r="L33" i="8"/>
  <c r="L31" i="8"/>
  <c r="G27" i="8"/>
  <c r="G19" i="8"/>
  <c r="K19" i="8"/>
  <c r="K27" i="8"/>
  <c r="E27" i="8"/>
  <c r="E19" i="8"/>
  <c r="D27" i="8"/>
  <c r="D19" i="8"/>
  <c r="O19" i="12" l="1"/>
  <c r="J19" i="12"/>
  <c r="D18" i="12"/>
  <c r="E18" i="12" s="1"/>
  <c r="B19" i="12"/>
  <c r="D19" i="12" s="1"/>
  <c r="J42" i="8"/>
  <c r="J44" i="8"/>
  <c r="G33" i="8"/>
  <c r="G28" i="8"/>
  <c r="G31" i="8"/>
  <c r="L34" i="8"/>
  <c r="L38" i="8"/>
  <c r="F31" i="8"/>
  <c r="F28" i="8"/>
  <c r="F33" i="8"/>
  <c r="D28" i="8"/>
  <c r="D33" i="8"/>
  <c r="D31" i="8"/>
  <c r="C28" i="8"/>
  <c r="C33" i="8"/>
  <c r="C31" i="8"/>
  <c r="E28" i="8"/>
  <c r="E33" i="8"/>
  <c r="E31" i="8"/>
  <c r="K28" i="8"/>
  <c r="K33" i="8"/>
  <c r="K31" i="8"/>
  <c r="H33" i="8"/>
  <c r="H28" i="8"/>
  <c r="H31" i="8"/>
  <c r="E19" i="12" l="1"/>
  <c r="L42" i="8"/>
  <c r="L44" i="8"/>
  <c r="M39" i="8"/>
  <c r="D34" i="8"/>
  <c r="D38" i="8"/>
  <c r="H34" i="8"/>
  <c r="H38" i="8"/>
  <c r="F34" i="8"/>
  <c r="F38" i="8"/>
  <c r="K38" i="8"/>
  <c r="K34" i="8"/>
  <c r="E34" i="8"/>
  <c r="E38" i="8"/>
  <c r="C34" i="8"/>
  <c r="C38" i="8"/>
  <c r="G34" i="8"/>
  <c r="G38" i="8"/>
  <c r="K39" i="8" l="1"/>
  <c r="K42" i="8"/>
  <c r="K44" i="8"/>
  <c r="F39" i="8"/>
  <c r="F42" i="8"/>
  <c r="F44" i="8" s="1"/>
  <c r="H39" i="8"/>
  <c r="H44" i="8"/>
  <c r="H42" i="8"/>
  <c r="I39" i="8"/>
  <c r="G39" i="8"/>
  <c r="G44" i="8"/>
  <c r="G42" i="8"/>
  <c r="D42" i="8"/>
  <c r="D44" i="8" s="1"/>
  <c r="D39" i="8"/>
  <c r="C42" i="8"/>
  <c r="C44" i="8" s="1"/>
  <c r="E39" i="8"/>
  <c r="E42" i="8"/>
  <c r="E44" i="8" s="1"/>
  <c r="L39" i="8"/>
</calcChain>
</file>

<file path=xl/sharedStrings.xml><?xml version="1.0" encoding="utf-8"?>
<sst xmlns="http://schemas.openxmlformats.org/spreadsheetml/2006/main" count="539" uniqueCount="392">
  <si>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</si>
  <si>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</si>
  <si>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</si>
  <si>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</si>
  <si>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</si>
  <si>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</si>
  <si>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</si>
  <si>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</si>
  <si>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</si>
  <si>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</si>
  <si>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</si>
  <si>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</si>
  <si>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</si>
  <si>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</si>
  <si>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</si>
  <si>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</si>
  <si>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</si>
  <si>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</si>
  <si>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</si>
  <si>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</si>
  <si>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</si>
  <si>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</si>
  <si>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</si>
  <si>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</si>
  <si>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</si>
  <si>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</si>
  <si>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</si>
  <si>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</si>
  <si>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</si>
  <si>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</si>
  <si>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</si>
  <si>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</si>
  <si>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</si>
  <si>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TATA MOTORS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</si>
  <si>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</si>
  <si>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</si>
  <si>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</si>
  <si>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</si>
  <si>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</si>
  <si>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</si>
  <si>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</si>
  <si>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</si>
  <si>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</si>
  <si>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</si>
  <si>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</si>
  <si>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</si>
  <si>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</si>
  <si>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</si>
  <si>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</si>
  <si>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</si>
  <si>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</si>
  <si>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</si>
  <si>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</si>
  <si>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</si>
  <si>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</si>
  <si>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</si>
  <si>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</si>
  <si>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</si>
  <si>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#</t>
  </si>
  <si>
    <t>-</t>
  </si>
  <si>
    <t>COGS</t>
  </si>
  <si>
    <t>COGS % Sales</t>
  </si>
  <si>
    <t>Gross Profit</t>
  </si>
  <si>
    <t xml:space="preserve"> </t>
  </si>
  <si>
    <t>Selling &amp; General Expenses</t>
  </si>
  <si>
    <t>S&amp;G Exp % Sales</t>
  </si>
  <si>
    <t>EBITDA</t>
  </si>
  <si>
    <t>EBITDA Margins</t>
  </si>
  <si>
    <t>Interest % Sales</t>
  </si>
  <si>
    <t>Depreciation % Sales</t>
  </si>
  <si>
    <t>Gross Margins</t>
  </si>
  <si>
    <t>Earnings Before Tax</t>
  </si>
  <si>
    <t>EBT % Sales</t>
  </si>
  <si>
    <t>Effective Tax Rate</t>
  </si>
  <si>
    <t>Net Profit</t>
  </si>
  <si>
    <t>Net Margins</t>
  </si>
  <si>
    <t>Earnings per Share</t>
  </si>
  <si>
    <t>Dividend per Share</t>
  </si>
  <si>
    <t>Dividend payout ratio</t>
  </si>
  <si>
    <t>EPS Growth %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</si>
  <si>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</si>
  <si>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</si>
  <si>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</si>
  <si>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</si>
  <si>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</si>
  <si>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</si>
  <si>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</si>
  <si>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</si>
  <si>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</t>
  </si>
  <si>
    <t>Cash from Operating Activities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</si>
  <si>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</si>
  <si>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</si>
  <si>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</si>
  <si>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</si>
  <si>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</si>
  <si>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</si>
  <si>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</si>
  <si>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</si>
  <si>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</si>
  <si>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</si>
  <si>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</si>
  <si>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</si>
  <si>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</si>
  <si>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</si>
  <si>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</si>
  <si>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</si>
  <si>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</si>
  <si>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</si>
  <si>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</si>
  <si>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</si>
  <si>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</si>
  <si>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</si>
  <si>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</si>
  <si>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</si>
  <si>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</si>
  <si>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</si>
  <si>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</si>
  <si>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</si>
  <si>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from Investing Activities</t>
  </si>
  <si>
    <t>Cash from Financing Activities</t>
  </si>
  <si>
    <t>SalesGrowth</t>
  </si>
  <si>
    <t>EBITDAGrowth</t>
  </si>
  <si>
    <t>EBITGrowth</t>
  </si>
  <si>
    <t>NetProfitGrowth</t>
  </si>
  <si>
    <t>DividendGrowth</t>
  </si>
  <si>
    <t>GrossMargin</t>
  </si>
  <si>
    <t>EBITDAMargin</t>
  </si>
  <si>
    <t>EBITMargin</t>
  </si>
  <si>
    <t>EBTMargin</t>
  </si>
  <si>
    <t>NetProfitMargin</t>
  </si>
  <si>
    <t>SalesExpenses%Sales</t>
  </si>
  <si>
    <t>Depreciation%Sales</t>
  </si>
  <si>
    <t>OperatingIncome%Sales</t>
  </si>
  <si>
    <t>ReturnOnCapitalEmployed</t>
  </si>
  <si>
    <t>RetainedEarnings%</t>
  </si>
  <si>
    <t>ReturnOnEquity%</t>
  </si>
  <si>
    <t>Self-SustainedGrowthRate</t>
  </si>
  <si>
    <t>InterestCoverageRatio</t>
  </si>
  <si>
    <t>DebtorTurnoverRatio</t>
  </si>
  <si>
    <t>CreditorTurnoverRatio</t>
  </si>
  <si>
    <t>InventoryTurnoverRatio</t>
  </si>
  <si>
    <t>FixedAssetTurnoverRatio</t>
  </si>
  <si>
    <t>CapitalTurnoverRatio</t>
  </si>
  <si>
    <t>DebtorDays</t>
  </si>
  <si>
    <t>PayableDays</t>
  </si>
  <si>
    <t>InventoryDays</t>
  </si>
  <si>
    <t>CFO/Sales</t>
  </si>
  <si>
    <t>CFO/Total Assets</t>
  </si>
  <si>
    <t>CFO/Total Debt</t>
  </si>
  <si>
    <t>CashConversionCycle (in days)</t>
  </si>
  <si>
    <t>Mean</t>
  </si>
  <si>
    <t>Median</t>
  </si>
  <si>
    <t>Trend</t>
  </si>
  <si>
    <t>Year Weight</t>
  </si>
  <si>
    <t>Year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</si>
  <si>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</si>
  <si>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</si>
  <si>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</si>
  <si>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</si>
  <si>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</si>
  <si>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</si>
  <si>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</si>
  <si>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</si>
  <si>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</si>
  <si>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</si>
  <si>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</si>
  <si>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</si>
  <si>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</si>
  <si>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</si>
  <si>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</si>
  <si>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</si>
  <si>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</si>
  <si>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</si>
  <si>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</si>
  <si>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</si>
  <si>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</si>
  <si>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</si>
  <si>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</si>
  <si>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Weighted Average Cost of Capital</t>
  </si>
  <si>
    <t>All figures are in INR unless stated otherwise.</t>
  </si>
  <si>
    <t>Peer Comps</t>
  </si>
  <si>
    <t>Name of the Comp</t>
  </si>
  <si>
    <t>Country</t>
  </si>
  <si>
    <t>Total Debt</t>
  </si>
  <si>
    <t>Total Equity</t>
  </si>
  <si>
    <t>Tax Rate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</si>
  <si>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</si>
  <si>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Debt /</t>
  </si>
  <si>
    <t>Equity</t>
  </si>
  <si>
    <t>Capital</t>
  </si>
  <si>
    <t>Levered</t>
  </si>
  <si>
    <t>Unlevered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</si>
  <si>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</si>
  <si>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</si>
  <si>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India</t>
  </si>
  <si>
    <t>Average</t>
  </si>
  <si>
    <t>Cost of Debt</t>
  </si>
  <si>
    <t>Pre-Tax Cost of Debt</t>
  </si>
  <si>
    <t>Post Tax Cost of Debt</t>
  </si>
  <si>
    <t>Cost of Equity</t>
  </si>
  <si>
    <t>Risk Free Rate</t>
  </si>
  <si>
    <t>Equity Risk Premium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</si>
  <si>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</si>
  <si>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Capital Structure</t>
  </si>
  <si>
    <t>Current</t>
  </si>
  <si>
    <t>Target</t>
  </si>
  <si>
    <t>Total Capital</t>
  </si>
  <si>
    <t>Comps Median Unlevered Beta</t>
  </si>
  <si>
    <t>Target Debt / Equity</t>
  </si>
  <si>
    <t>Levered Beta</t>
  </si>
  <si>
    <t xml:space="preserve">Debt / Equity </t>
  </si>
  <si>
    <t>Notes:</t>
  </si>
  <si>
    <t>1. Tax Rate considered as Marginal Tax Rate for the country</t>
  </si>
  <si>
    <t>2. Levered beta is based on 5 year monthly data</t>
  </si>
  <si>
    <t>3. Unlevered Beta = Levered Beta/(1+(1-Tax Rate)*Debt/Equity)</t>
  </si>
  <si>
    <t>4. Levered Beta = Unlevered Beta*(1+(1-Tax Rate)*Debt/Equity)</t>
  </si>
  <si>
    <t>Feb 22, 2021</t>
  </si>
  <si>
    <t>Mar 1, 2021</t>
  </si>
  <si>
    <t>Mar 8, 2021</t>
  </si>
  <si>
    <t>Mar 15, 2021</t>
  </si>
  <si>
    <t>Mar 22, 2021</t>
  </si>
  <si>
    <t>Mar 29, 2021</t>
  </si>
  <si>
    <t>Apr 5, 2021</t>
  </si>
  <si>
    <t>Apr 12, 2021</t>
  </si>
  <si>
    <t>Apr 19, 2021</t>
  </si>
  <si>
    <t>Apr 26, 2021</t>
  </si>
  <si>
    <t>May 3, 2021</t>
  </si>
  <si>
    <t>May 10, 2021</t>
  </si>
  <si>
    <t>May 17, 2021</t>
  </si>
  <si>
    <t>May 24, 2021</t>
  </si>
  <si>
    <t>May 31, 2021</t>
  </si>
  <si>
    <t>Jun 7, 2021</t>
  </si>
  <si>
    <t>Jun 14, 2021</t>
  </si>
  <si>
    <t>Jun 21, 2021</t>
  </si>
  <si>
    <t>Jun 28, 2021</t>
  </si>
  <si>
    <t>Jul 5, 2021</t>
  </si>
  <si>
    <t>Jul 12, 2021</t>
  </si>
  <si>
    <t>Jul 19, 2021</t>
  </si>
  <si>
    <t>Jul 26, 2021</t>
  </si>
  <si>
    <t>Aug 2, 2021</t>
  </si>
  <si>
    <t>Aug 9, 2021</t>
  </si>
  <si>
    <t>Aug 16, 2021</t>
  </si>
  <si>
    <t>Aug 23, 2021</t>
  </si>
  <si>
    <t>Aug 30, 2021</t>
  </si>
  <si>
    <t>Sep 6, 2021</t>
  </si>
  <si>
    <t>Sep 13, 2021</t>
  </si>
  <si>
    <t>Sep 20, 2021</t>
  </si>
  <si>
    <t>Sep 27, 2021</t>
  </si>
  <si>
    <t>Oct 4, 2021</t>
  </si>
  <si>
    <t>Oct 11, 2021</t>
  </si>
  <si>
    <t>Oct 18, 2021</t>
  </si>
  <si>
    <t>Oct 25, 2021</t>
  </si>
  <si>
    <t>Nov 1, 2021</t>
  </si>
  <si>
    <t>Nov 8, 2021</t>
  </si>
  <si>
    <t>Nov 15, 2021</t>
  </si>
  <si>
    <t>Nov 22, 2021</t>
  </si>
  <si>
    <t>Nov 29, 2021</t>
  </si>
  <si>
    <t>Dec 6, 2021</t>
  </si>
  <si>
    <t>Dec 13, 2021</t>
  </si>
  <si>
    <t>Dec 27, 2021</t>
  </si>
  <si>
    <t>Dec 20, 2021</t>
  </si>
  <si>
    <t>Jan 3, 2022</t>
  </si>
  <si>
    <t>Jan 10, 2022</t>
  </si>
  <si>
    <t>Jan 17, 2022</t>
  </si>
  <si>
    <t>Jan 24, 2022</t>
  </si>
  <si>
    <t>Jan 31, 2022</t>
  </si>
  <si>
    <t>Feb 7, 2022</t>
  </si>
  <si>
    <t>Feb 14, 2022</t>
  </si>
  <si>
    <t>Feb 21, 2022</t>
  </si>
  <si>
    <t>Feb 28, 2022</t>
  </si>
  <si>
    <t>Mar 7, 2022</t>
  </si>
  <si>
    <t>Mar 14, 2022</t>
  </si>
  <si>
    <t>Mar 21, 2022</t>
  </si>
  <si>
    <t>Mar 28, 2022</t>
  </si>
  <si>
    <t>Apr 4, 2022</t>
  </si>
  <si>
    <t>Apr 11, 2022</t>
  </si>
  <si>
    <t>Apr 18, 2022</t>
  </si>
  <si>
    <t>Apr 25, 2022</t>
  </si>
  <si>
    <t>May 2, 2022</t>
  </si>
  <si>
    <t>May 9, 2022</t>
  </si>
  <si>
    <t>May 16, 2022</t>
  </si>
  <si>
    <t>May 23, 2022</t>
  </si>
  <si>
    <t>May 30, 2022</t>
  </si>
  <si>
    <t>Jun 6, 2022</t>
  </si>
  <si>
    <t>Jun 13, 2022</t>
  </si>
  <si>
    <t>Jun 20, 2022</t>
  </si>
  <si>
    <t>Jun 27, 2022</t>
  </si>
  <si>
    <t>Jul 4, 2022</t>
  </si>
  <si>
    <t>Jul 11, 2022</t>
  </si>
  <si>
    <t>Jul 18, 2022</t>
  </si>
  <si>
    <t>Jul 25, 2022</t>
  </si>
  <si>
    <t>Aug 1, 2022</t>
  </si>
  <si>
    <t>Aug 8, 2022</t>
  </si>
  <si>
    <t>Aug 15, 2022</t>
  </si>
  <si>
    <t>Aug 22, 2022</t>
  </si>
  <si>
    <t>Aug 29, 2022</t>
  </si>
  <si>
    <t>Sep 5, 2022</t>
  </si>
  <si>
    <t>Sep 12, 2022</t>
  </si>
  <si>
    <t>Sep 19, 2022</t>
  </si>
  <si>
    <t>Sep 26, 2022</t>
  </si>
  <si>
    <t>Oct 3, 2022</t>
  </si>
  <si>
    <t>Oct 10, 2022</t>
  </si>
  <si>
    <t>Oct 17, 2022</t>
  </si>
  <si>
    <t>Oct 24, 2022</t>
  </si>
  <si>
    <t>Oct 31, 2022</t>
  </si>
  <si>
    <t>Nov 7, 2022</t>
  </si>
  <si>
    <t>Nov 14, 2022</t>
  </si>
  <si>
    <t>Date</t>
  </si>
  <si>
    <t>Closing Price</t>
  </si>
  <si>
    <t>Avenue Supermarket Weekly Returns</t>
  </si>
  <si>
    <t>Return</t>
  </si>
  <si>
    <t>NIFTY 50 Weekly Returns</t>
  </si>
  <si>
    <t>Beta 1</t>
  </si>
  <si>
    <t>Beta 2</t>
  </si>
  <si>
    <t xml:space="preserve">Beta 3 </t>
  </si>
  <si>
    <t>X Variable 1</t>
  </si>
  <si>
    <t>Beta Drifting</t>
  </si>
  <si>
    <t>Levered Raw Beta</t>
  </si>
  <si>
    <t>Raw Beta Weight</t>
  </si>
  <si>
    <t>Market Beta</t>
  </si>
  <si>
    <t>Market Beta Weight</t>
  </si>
  <si>
    <t>Adjusted Beta</t>
  </si>
  <si>
    <t>Regression Beta - 2 Years Weekly</t>
  </si>
  <si>
    <t>S.No.</t>
  </si>
  <si>
    <t>Name</t>
  </si>
  <si>
    <t>CMP Rs.</t>
  </si>
  <si>
    <t xml:space="preserve">Mar Cap Rs.Cr. </t>
  </si>
  <si>
    <t>Debt Rs.Cr.</t>
  </si>
  <si>
    <t>Debt / Eq</t>
  </si>
  <si>
    <t>Avenue Super.</t>
  </si>
  <si>
    <t>Trent</t>
  </si>
  <si>
    <t>Vedant Fashions</t>
  </si>
  <si>
    <t>Aditya Bir. Fas.</t>
  </si>
  <si>
    <t>Metro Brands</t>
  </si>
  <si>
    <t>&lt;- from investing.com india 10y bond %</t>
  </si>
  <si>
    <t>Annual</t>
  </si>
  <si>
    <t>Return on Markets</t>
  </si>
  <si>
    <t>Average Return</t>
  </si>
  <si>
    <t>Dividend Yield</t>
  </si>
  <si>
    <r>
      <t xml:space="preserve">1.39% </t>
    </r>
    <r>
      <rPr>
        <vertAlign val="superscript"/>
        <sz val="11"/>
        <color theme="1"/>
        <rFont val="Calibri"/>
        <family val="2"/>
        <scheme val="minor"/>
      </rPr>
      <t>1</t>
    </r>
  </si>
  <si>
    <t>Total Market Returns</t>
  </si>
  <si>
    <t>Equity Weight</t>
  </si>
  <si>
    <t>Debt Weight</t>
  </si>
  <si>
    <t>WACC</t>
  </si>
  <si>
    <t>Particulars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</si>
  <si>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</si>
  <si>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</si>
  <si>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</si>
  <si>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</si>
  <si>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</si>
  <si>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</si>
  <si>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</si>
  <si>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</si>
  <si>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</si>
  <si>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</si>
  <si>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</si>
  <si>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</si>
  <si>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</si>
  <si>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</si>
  <si>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</si>
  <si>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</si>
  <si>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</si>
  <si>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</si>
  <si>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</si>
  <si>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</si>
  <si>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</si>
  <si>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</si>
  <si>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</si>
  <si>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</si>
  <si>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</si>
  <si>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</si>
  <si>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+</t>
  </si>
  <si>
    <t>Cash Equivalents</t>
  </si>
  <si>
    <t>Loans n Advances</t>
  </si>
  <si>
    <t>Other asset items</t>
  </si>
  <si>
    <t>Calculation of ROIC</t>
  </si>
  <si>
    <t>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</si>
  <si>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</si>
  <si>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</si>
  <si>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</si>
  <si>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</si>
  <si>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</si>
  <si>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</si>
  <si>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</si>
  <si>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&lt;&lt;-- THIS ONE IS LTM FROM HISTORICAL FS. UPDATE MAR 25 THEN GET CORRECT EBIT</t>
  </si>
  <si>
    <t>ROIC</t>
  </si>
  <si>
    <t>Calculation of Reinvestment Rate</t>
  </si>
  <si>
    <t>Net Capex</t>
  </si>
  <si>
    <t>Change in Net Working Capital</t>
  </si>
  <si>
    <t>Marginal Tax Rate</t>
  </si>
  <si>
    <t>EBIT(1-T)</t>
  </si>
  <si>
    <t>Reinvestment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</si>
</sst>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\(&quot;₹&quot;\ #,##0.0\);\-"/>
    <numFmt numFmtId="167" formatCode="&quot;₹&quot;\ #,##0.00"/>
    <numFmt numFmtId="168" formatCode="&quot;₹&quot;\ #,##0.00;\(&quot;₹&quot;\ #,##0.00\);\-"/>
    <numFmt numFmtId="169" formatCode="0.00&quot;x&quot;"/>
    <numFmt numFmtId="170" formatCode="#,##0.0"/>
    <numFmt numFmtId="171" formatCode="0&quot;E&quot;"/>
    <numFmt numFmtId="172" formatCode="yyyy"/>
    <numFmt numFmtId="173" formatCode="yyyy&quot;A&quot;"/>
    <numFmt numFmtId="174" formatCode="yyyy&quot;E&quot;"/>
    <numFmt numFmtId="175" formatCode="[$-24009]mm/dd/yy;@"/>
    <numFmt numFmtId="176" formatCode="yyyy/mm/dd;@"/>
    <numFmt numFmtId="177" formatCode="dd/mm/yy"/>
    <numFmt numFmtId="178" formatCode="m/d/yyyy;@"/>
    <numFmt numFmtId="179" formatCode="0.0"/>
    <numFmt numFmtId="180" formatCode="#,##0.0;\(#,##0.0\);\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</font>
    <font>
      <i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thick">
        <color rgb="FF002060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9" fontId="4" fillId="0" borderId="0" applyFont="0" applyFill="0" applyBorder="0" applyAlignment="0" applyProtection="0"/>
    <xf numFmtId="0" fontId="1" fillId="0" borderId="0"/>
  </cellStyleXfs>
  <cellXfs count="161">
    <xf numFmtId="0" fontId="0" fillId="0" borderId="0" xfId="0"/>
    <xf numFmtId="43" fontId="2" fillId="0" borderId="0" xfId="1" applyFont="1" applyBorder="1"/>
    <xf numFmtId="0" fontId="2" fillId="0" borderId="0" xfId="0" applyFont="1"/>
    <xf numFmtId="43" fontId="0" fillId="0" borderId="0" xfId="1" applyFont="1" applyBorder="1"/>
    <xf numFmtId="43" fontId="4" fillId="0" borderId="0" xfId="1" applyFont="1" applyBorder="1"/>
    <xf numFmtId="165" fontId="3" fillId="3" borderId="0" xfId="0" applyNumberFormat="1" applyFont="1" applyFill="1" applyAlignment="1">
      <alignment horizontal="center"/>
    </xf>
    <xf numFmtId="165" fontId="3" fillId="3" borderId="0" xfId="1" applyNumberFormat="1" applyFont="1" applyFill="1" applyBorder="1"/>
    <xf numFmtId="165" fontId="7" fillId="0" borderId="0" xfId="1" applyNumberFormat="1" applyFont="1" applyFill="1" applyBorder="1"/>
    <xf numFmtId="164" fontId="0" fillId="0" borderId="0" xfId="1" applyNumberFormat="1" applyFont="1" applyBorder="1"/>
    <xf numFmtId="0" fontId="6" fillId="4" borderId="0" xfId="0" applyFont="1" applyFill="1"/>
    <xf numFmtId="17" fontId="6" fillId="4" borderId="0" xfId="0" applyNumberFormat="1" applyFont="1" applyFill="1"/>
    <xf numFmtId="17" fontId="6" fillId="4" borderId="0" xfId="0" applyNumberFormat="1" applyFont="1" applyFill="1" applyAlignment="1">
      <alignment horizontal="right"/>
    </xf>
    <xf numFmtId="166" fontId="0" fillId="0" borderId="0" xfId="0" applyNumberFormat="1"/>
    <xf numFmtId="0" fontId="8" fillId="0" borderId="0" xfId="0" applyFont="1"/>
    <xf numFmtId="0" fontId="8" fillId="0" borderId="0" xfId="0" applyFont="1" applyAlignment="1">
      <alignment horizontal="right"/>
    </xf>
    <xf numFmtId="10" fontId="8" fillId="0" borderId="0" xfId="4" applyNumberFormat="1" applyFont="1"/>
    <xf numFmtId="167" fontId="0" fillId="0" borderId="0" xfId="0" applyNumberFormat="1"/>
    <xf numFmtId="0" fontId="0" fillId="5" borderId="0" xfId="0" applyFill="1"/>
    <xf numFmtId="0" fontId="6" fillId="5" borderId="0" xfId="0" applyFont="1" applyFill="1"/>
    <xf numFmtId="17" fontId="6" fillId="5" borderId="0" xfId="0" applyNumberFormat="1" applyFont="1" applyFill="1"/>
    <xf numFmtId="17" fontId="6" fillId="5" borderId="0" xfId="0" applyNumberFormat="1" applyFon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168" fontId="0" fillId="0" borderId="0" xfId="0" applyNumberFormat="1"/>
    <xf numFmtId="10" fontId="0" fillId="0" borderId="0" xfId="4" applyNumberFormat="1" applyFont="1"/>
    <xf numFmtId="166" fontId="2" fillId="0" borderId="0" xfId="0" applyNumberFormat="1" applyFont="1"/>
    <xf numFmtId="0" fontId="9" fillId="0" borderId="0" xfId="0" applyFont="1"/>
    <xf numFmtId="17" fontId="0" fillId="0" borderId="0" xfId="0" applyNumberFormat="1"/>
    <xf numFmtId="3" fontId="0" fillId="0" borderId="0" xfId="0" applyNumberFormat="1"/>
    <xf numFmtId="0" fontId="2" fillId="0" borderId="1" xfId="0" applyFont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169" fontId="0" fillId="0" borderId="0" xfId="0" applyNumberFormat="1"/>
    <xf numFmtId="0" fontId="0" fillId="0" borderId="2" xfId="0" applyBorder="1"/>
    <xf numFmtId="10" fontId="0" fillId="0" borderId="2" xfId="4" applyNumberFormat="1" applyFont="1" applyBorder="1"/>
    <xf numFmtId="10" fontId="0" fillId="0" borderId="0" xfId="4" applyNumberFormat="1" applyFont="1" applyBorder="1"/>
    <xf numFmtId="0" fontId="0" fillId="0" borderId="3" xfId="0" applyBorder="1"/>
    <xf numFmtId="10" fontId="0" fillId="0" borderId="3" xfId="4" applyNumberFormat="1" applyFont="1" applyBorder="1"/>
    <xf numFmtId="10" fontId="0" fillId="0" borderId="3" xfId="0" applyNumberFormat="1" applyBorder="1"/>
    <xf numFmtId="169" fontId="0" fillId="0" borderId="3" xfId="0" applyNumberFormat="1" applyBorder="1"/>
    <xf numFmtId="169" fontId="0" fillId="0" borderId="2" xfId="0" applyNumberFormat="1" applyBorder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7" fontId="6" fillId="4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left"/>
    </xf>
    <xf numFmtId="170" fontId="10" fillId="0" borderId="0" xfId="0" applyNumberFormat="1" applyFont="1" applyAlignment="1">
      <alignment horizontal="right"/>
    </xf>
    <xf numFmtId="171" fontId="0" fillId="0" borderId="0" xfId="0" applyNumberFormat="1" applyAlignment="1">
      <alignment horizontal="right"/>
    </xf>
    <xf numFmtId="0" fontId="0" fillId="0" borderId="4" xfId="0" applyBorder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Continuous"/>
    </xf>
    <xf numFmtId="170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0" fontId="0" fillId="8" borderId="0" xfId="0" applyFill="1" applyAlignment="1">
      <alignment horizontal="left"/>
    </xf>
    <xf numFmtId="174" fontId="0" fillId="8" borderId="0" xfId="0" applyNumberFormat="1" applyFill="1" applyAlignment="1">
      <alignment horizontal="right"/>
    </xf>
    <xf numFmtId="170" fontId="10" fillId="8" borderId="0" xfId="0" applyNumberFormat="1" applyFont="1" applyFill="1" applyAlignment="1">
      <alignment horizontal="right"/>
    </xf>
    <xf numFmtId="10" fontId="0" fillId="8" borderId="0" xfId="4" applyNumberFormat="1" applyFont="1" applyFill="1"/>
    <xf numFmtId="0" fontId="11" fillId="6" borderId="0" xfId="0" applyFont="1" applyFill="1"/>
    <xf numFmtId="0" fontId="12" fillId="0" borderId="0" xfId="0" applyFont="1"/>
    <xf numFmtId="0" fontId="0" fillId="0" borderId="6" xfId="0" applyBorder="1"/>
    <xf numFmtId="0" fontId="0" fillId="0" borderId="7" xfId="0" applyBorder="1"/>
    <xf numFmtId="0" fontId="14" fillId="0" borderId="0" xfId="5" applyFont="1"/>
    <xf numFmtId="10" fontId="14" fillId="0" borderId="0" xfId="5" applyNumberFormat="1" applyFont="1" applyAlignment="1">
      <alignment vertical="top"/>
    </xf>
    <xf numFmtId="10" fontId="0" fillId="9" borderId="0" xfId="4" applyNumberFormat="1" applyFont="1" applyFill="1"/>
    <xf numFmtId="2" fontId="10" fillId="0" borderId="0" xfId="0" applyNumberFormat="1" applyFont="1"/>
    <xf numFmtId="2" fontId="0" fillId="9" borderId="0" xfId="0" applyNumberFormat="1" applyFill="1"/>
    <xf numFmtId="0" fontId="2" fillId="0" borderId="6" xfId="0" applyFont="1" applyBorder="1"/>
    <xf numFmtId="10" fontId="0" fillId="0" borderId="6" xfId="0" applyNumberFormat="1" applyBorder="1"/>
    <xf numFmtId="2" fontId="0" fillId="0" borderId="6" xfId="0" applyNumberFormat="1" applyBorder="1"/>
    <xf numFmtId="0" fontId="2" fillId="0" borderId="7" xfId="0" applyFont="1" applyBorder="1"/>
    <xf numFmtId="10" fontId="0" fillId="0" borderId="7" xfId="0" applyNumberFormat="1" applyBorder="1"/>
    <xf numFmtId="2" fontId="0" fillId="0" borderId="7" xfId="0" applyNumberFormat="1" applyBorder="1"/>
    <xf numFmtId="0" fontId="0" fillId="0" borderId="8" xfId="0" applyBorder="1"/>
    <xf numFmtId="10" fontId="0" fillId="9" borderId="8" xfId="0" applyNumberFormat="1" applyFill="1" applyBorder="1"/>
    <xf numFmtId="0" fontId="2" fillId="0" borderId="7" xfId="0" applyFont="1" applyBorder="1" applyAlignment="1">
      <alignment horizontal="right"/>
    </xf>
    <xf numFmtId="10" fontId="10" fillId="0" borderId="0" xfId="0" applyNumberFormat="1" applyFont="1"/>
    <xf numFmtId="10" fontId="0" fillId="0" borderId="9" xfId="4" applyNumberFormat="1" applyFont="1" applyBorder="1"/>
    <xf numFmtId="10" fontId="0" fillId="0" borderId="0" xfId="0" applyNumberFormat="1"/>
    <xf numFmtId="10" fontId="0" fillId="0" borderId="8" xfId="0" applyNumberFormat="1" applyBorder="1"/>
    <xf numFmtId="10" fontId="0" fillId="9" borderId="0" xfId="0" applyNumberFormat="1" applyFill="1"/>
    <xf numFmtId="2" fontId="0" fillId="0" borderId="0" xfId="0" applyNumberFormat="1"/>
    <xf numFmtId="9" fontId="0" fillId="0" borderId="0" xfId="0" applyNumberFormat="1"/>
    <xf numFmtId="2" fontId="0" fillId="9" borderId="8" xfId="0" applyNumberFormat="1" applyFill="1" applyBorder="1"/>
    <xf numFmtId="170" fontId="14" fillId="0" borderId="0" xfId="5" applyNumberFormat="1" applyFont="1"/>
    <xf numFmtId="170" fontId="10" fillId="0" borderId="0" xfId="0" applyNumberFormat="1" applyFont="1"/>
    <xf numFmtId="0" fontId="15" fillId="0" borderId="0" xfId="0" applyFont="1"/>
    <xf numFmtId="0" fontId="15" fillId="0" borderId="0" xfId="0" applyFont="1" applyAlignment="1">
      <alignment vertical="top"/>
    </xf>
    <xf numFmtId="175" fontId="0" fillId="0" borderId="0" xfId="0" applyNumberFormat="1"/>
    <xf numFmtId="176" fontId="0" fillId="0" borderId="0" xfId="0" applyNumberFormat="1"/>
    <xf numFmtId="14" fontId="0" fillId="0" borderId="0" xfId="0" applyNumberFormat="1"/>
    <xf numFmtId="178" fontId="0" fillId="0" borderId="0" xfId="0" applyNumberFormat="1"/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179" fontId="0" fillId="0" borderId="0" xfId="0" applyNumberFormat="1" applyAlignment="1">
      <alignment horizontal="right" vertical="center" wrapText="1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right" vertical="top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77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4" fontId="0" fillId="5" borderId="0" xfId="0" applyNumberFormat="1" applyFill="1" applyAlignment="1">
      <alignment vertical="center" wrapText="1"/>
    </xf>
    <xf numFmtId="177" fontId="0" fillId="5" borderId="0" xfId="0" applyNumberFormat="1" applyFill="1" applyAlignment="1">
      <alignment horizontal="left"/>
    </xf>
    <xf numFmtId="0" fontId="2" fillId="0" borderId="0" xfId="0" applyFont="1" applyAlignment="1">
      <alignment horizontal="center"/>
    </xf>
    <xf numFmtId="10" fontId="0" fillId="0" borderId="0" xfId="4" applyNumberFormat="1" applyFont="1" applyAlignment="1"/>
    <xf numFmtId="0" fontId="0" fillId="0" borderId="0" xfId="0" applyAlignment="1">
      <alignment horizontal="right"/>
    </xf>
    <xf numFmtId="10" fontId="0" fillId="0" borderId="0" xfId="4" applyNumberFormat="1" applyFont="1" applyAlignment="1">
      <alignment horizontal="right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right"/>
    </xf>
    <xf numFmtId="0" fontId="2" fillId="0" borderId="4" xfId="0" applyFont="1" applyBorder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0" fontId="0" fillId="9" borderId="0" xfId="4" applyNumberFormat="1" applyFont="1" applyFill="1" applyAlignment="1">
      <alignment horizontal="left"/>
    </xf>
    <xf numFmtId="0" fontId="0" fillId="11" borderId="0" xfId="0" applyFill="1"/>
    <xf numFmtId="4" fontId="0" fillId="0" borderId="8" xfId="0" applyNumberFormat="1" applyBorder="1"/>
    <xf numFmtId="0" fontId="2" fillId="0" borderId="0" xfId="0" applyFont="1" applyAlignment="1">
      <alignment horizontal="left"/>
    </xf>
    <xf numFmtId="0" fontId="3" fillId="10" borderId="0" xfId="0" applyFont="1" applyFill="1"/>
    <xf numFmtId="0" fontId="6" fillId="10" borderId="0" xfId="0" applyFont="1" applyFill="1"/>
    <xf numFmtId="10" fontId="0" fillId="0" borderId="0" xfId="0" applyNumberFormat="1" applyAlignment="1">
      <alignment horizontal="right"/>
    </xf>
    <xf numFmtId="0" fontId="2" fillId="9" borderId="0" xfId="0" applyFont="1" applyFill="1"/>
    <xf numFmtId="10" fontId="2" fillId="9" borderId="0" xfId="0" applyNumberFormat="1" applyFont="1" applyFill="1"/>
    <xf numFmtId="0" fontId="2" fillId="0" borderId="0" xfId="0" applyFont="1" applyAlignment="1">
      <alignment horizontal="right"/>
    </xf>
    <xf numFmtId="0" fontId="2" fillId="8" borderId="0" xfId="0" applyFont="1" applyFill="1"/>
    <xf numFmtId="10" fontId="2" fillId="8" borderId="0" xfId="0" applyNumberFormat="1" applyFont="1" applyFill="1"/>
    <xf numFmtId="0" fontId="2" fillId="0" borderId="10" xfId="0" applyFont="1" applyBorder="1"/>
    <xf numFmtId="17" fontId="2" fillId="0" borderId="10" xfId="0" applyNumberFormat="1" applyFont="1" applyBorder="1"/>
    <xf numFmtId="43" fontId="0" fillId="0" borderId="0" xfId="0" applyNumberFormat="1"/>
    <xf numFmtId="17" fontId="2" fillId="0" borderId="0" xfId="0" applyNumberFormat="1" applyFont="1"/>
    <xf numFmtId="43" fontId="2" fillId="0" borderId="0" xfId="0" applyNumberFormat="1" applyFont="1"/>
    <xf numFmtId="10" fontId="2" fillId="0" borderId="0" xfId="4" applyNumberFormat="1" applyFont="1" applyBorder="1"/>
    <xf numFmtId="10" fontId="2" fillId="0" borderId="0" xfId="4" applyNumberFormat="1" applyFont="1"/>
    <xf numFmtId="0" fontId="3" fillId="7" borderId="0" xfId="0" applyFont="1" applyFill="1"/>
    <xf numFmtId="17" fontId="3" fillId="7" borderId="0" xfId="0" applyNumberFormat="1" applyFont="1" applyFill="1"/>
    <xf numFmtId="0" fontId="3" fillId="0" borderId="0" xfId="0" applyFont="1"/>
    <xf numFmtId="17" fontId="3" fillId="0" borderId="0" xfId="0" applyNumberFormat="1" applyFont="1"/>
    <xf numFmtId="0" fontId="2" fillId="0" borderId="11" xfId="0" applyFont="1" applyBorder="1"/>
    <xf numFmtId="0" fontId="0" fillId="0" borderId="1" xfId="0" applyBorder="1"/>
    <xf numFmtId="180" fontId="0" fillId="0" borderId="1" xfId="0" applyNumberFormat="1" applyBorder="1"/>
    <xf numFmtId="180" fontId="0" fillId="0" borderId="0" xfId="0" applyNumberFormat="1"/>
    <xf numFmtId="180" fontId="2" fillId="0" borderId="11" xfId="0" applyNumberFormat="1" applyFont="1" applyBorder="1"/>
    <xf numFmtId="180" fontId="2" fillId="0" borderId="0" xfId="0" applyNumberFormat="1" applyFont="1"/>
    <xf numFmtId="0" fontId="2" fillId="0" borderId="12" xfId="0" applyFont="1" applyBorder="1"/>
    <xf numFmtId="180" fontId="0" fillId="0" borderId="12" xfId="0" applyNumberFormat="1" applyBorder="1"/>
    <xf numFmtId="0" fontId="2" fillId="0" borderId="13" xfId="0" applyFont="1" applyBorder="1"/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1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6" fillId="7" borderId="0" xfId="0" applyFont="1" applyFill="1" applyAlignment="1">
      <alignment horizontal="center"/>
    </xf>
    <xf numFmtId="43" fontId="5" fillId="0" borderId="0" xfId="2" applyNumberFormat="1" applyBorder="1" applyAlignment="1" applyProtection="1">
      <alignment horizontal="center"/>
    </xf>
    <xf numFmtId="43" fontId="3" fillId="2" borderId="0" xfId="3" applyNumberFormat="1" applyFont="1" applyBorder="1" applyAlignment="1">
      <alignment horizontal="center"/>
    </xf>
    <xf numFmtId="0" fontId="2" fillId="0" borderId="0" xfId="0" applyFont="1" applyFill="1" applyBorder="1"/>
    <xf numFmtId="0" fontId="2" fillId="11" borderId="0" xfId="0" applyFont="1" applyFill="1"/>
    <xf numFmtId="0" fontId="0" fillId="0" borderId="13" xfId="0" applyBorder="1"/>
    <xf numFmtId="10" fontId="0" fillId="0" borderId="13" xfId="4" applyNumberFormat="1" applyFont="1" applyBorder="1"/>
    <xf numFmtId="10" fontId="10" fillId="0" borderId="0" xfId="4" applyNumberFormat="1" applyFont="1"/>
  </cellXfs>
  <cellStyles count="6">
    <cellStyle name="Accent6" xfId="3" builtinId="49"/>
    <cellStyle name="Comma" xfId="1" builtinId="3"/>
    <cellStyle name="Hyperlink" xfId="2" builtinId="8"/>
    <cellStyle name="Normal" xfId="0" builtinId="0"/>
    <cellStyle name="Normal 2" xfId="5" xr:uid="{32001361-392A-448F-B637-13CD03407DCD}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Forecasting!$C$5:$C$16</c:f>
              <c:numCache>
                <c:formatCode>yyyy"A"</c:formatCode>
                <c:ptCount val="12"/>
                <c:pt idx="0">
                  <c:v>42094</c:v>
                </c:pt>
                <c:pt idx="1">
                  <c:v>42459</c:v>
                </c:pt>
                <c:pt idx="2">
                  <c:v>42824</c:v>
                </c:pt>
                <c:pt idx="3">
                  <c:v>43189</c:v>
                </c:pt>
                <c:pt idx="4">
                  <c:v>43554</c:v>
                </c:pt>
                <c:pt idx="5">
                  <c:v>43919</c:v>
                </c:pt>
                <c:pt idx="6">
                  <c:v>44284</c:v>
                </c:pt>
                <c:pt idx="7">
                  <c:v>44649</c:v>
                </c:pt>
                <c:pt idx="8">
                  <c:v>45014</c:v>
                </c:pt>
                <c:pt idx="9">
                  <c:v>45379</c:v>
                </c:pt>
                <c:pt idx="10" formatCode="yyyy&quot;E&quot;">
                  <c:v>45744</c:v>
                </c:pt>
                <c:pt idx="11" formatCode="yyyy&quot;E&quot;">
                  <c:v>46109</c:v>
                </c:pt>
              </c:numCache>
            </c:numRef>
          </c:xVal>
          <c:yVal>
            <c:numRef>
              <c:f>Forecasting!$D$5:$D$16</c:f>
              <c:numCache>
                <c:formatCode>#,##0.0</c:formatCode>
                <c:ptCount val="12"/>
                <c:pt idx="0">
                  <c:v>263158.98</c:v>
                </c:pt>
                <c:pt idx="1">
                  <c:v>273045.59999999998</c:v>
                </c:pt>
                <c:pt idx="2">
                  <c:v>269692.51</c:v>
                </c:pt>
                <c:pt idx="3">
                  <c:v>291550.48</c:v>
                </c:pt>
                <c:pt idx="4">
                  <c:v>301938.40000000002</c:v>
                </c:pt>
                <c:pt idx="5">
                  <c:v>261067.97</c:v>
                </c:pt>
                <c:pt idx="6">
                  <c:v>249794.75</c:v>
                </c:pt>
                <c:pt idx="7">
                  <c:v>278453.62</c:v>
                </c:pt>
                <c:pt idx="8">
                  <c:v>345966.97</c:v>
                </c:pt>
                <c:pt idx="9">
                  <c:v>437927.77</c:v>
                </c:pt>
                <c:pt idx="10">
                  <c:v>362627.59266666661</c:v>
                </c:pt>
                <c:pt idx="11">
                  <c:v>374512.66315151507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C-483B-AE82-7B15657B9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93760"/>
        <c:axId val="455690880"/>
      </c:scatterChart>
      <c:valAx>
        <c:axId val="45569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0880"/>
        <c:crosses val="autoZero"/>
        <c:crossBetween val="midCat"/>
      </c:valAx>
      <c:valAx>
        <c:axId val="4556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452717</xdr:colOff>
      <xdr:row>2</xdr:row>
      <xdr:rowOff>143435</xdr:rowOff>
    </xdr:from>
    <xdr:to>
      <xdr:col>26</xdr:col>
      <xdr:colOff>488576</xdr:colOff>
      <xdr:row>18</xdr:row>
      <xdr:rowOff>8964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A00B66-795A-4FE1-EE62-12CB005ED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CF2-0F77-4ACE-8FCF-A83DD73C6607}">
  <sheetPr>
    <tabColor theme="7" tint="-0.249977111117893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7949-E8FF-4FC8-8FB9-FF2FDE0631FD}">
  <sheetPr>
    <tabColor theme="7" tint="-0.249977111117893"/>
  </sheetPr>
  <dimension ref="A2:P76"/>
  <sheetViews>
    <sheetView showGridLines="0" zoomScaleNormal="100" workbookViewId="0">
      <pane ySplit="3" topLeftCell="A9" activePane="bottomLeft" state="frozen"/>
      <selection pane="bottomLeft" activeCell="M27" sqref="M27"/>
    </sheetView>
  </sheetViews>
  <sheetFormatPr defaultRowHeight="14.4" x14ac:dyDescent="0.3"/>
  <cols>
    <col min="1" max="1" width="1.88671875" customWidth="1"/>
    <col min="2" max="2" width="25.88671875" customWidth="1"/>
    <col min="3" max="3" width="11.109375" bestFit="1" customWidth="1"/>
    <col min="4" max="11" width="10.88671875" bestFit="1" customWidth="1"/>
    <col min="12" max="13" width="11.88671875" bestFit="1" customWidth="1"/>
    <col min="16" max="16" width="11" customWidth="1"/>
  </cols>
  <sheetData>
    <row r="2" spans="1:16" x14ac:dyDescent="0.3">
      <c r="B2" s="149" t="str">
        <f>"Historical Financial Statement - "&amp;'Data Sheet'!B1</f>
        <v>Historical Financial Statement - TATA MOTORS LTD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</row>
    <row r="3" spans="1:16" x14ac:dyDescent="0.3">
      <c r="B3" s="9" t="s">
        <v>55</v>
      </c>
      <c r="C3" s="10">
        <f>'Data Sheet'!B16</f>
        <v>42094</v>
      </c>
      <c r="D3" s="10">
        <f>'Data Sheet'!C16</f>
        <v>42460</v>
      </c>
      <c r="E3" s="10">
        <f>'Data Sheet'!D16</f>
        <v>42825</v>
      </c>
      <c r="F3" s="10">
        <f>'Data Sheet'!E16</f>
        <v>43190</v>
      </c>
      <c r="G3" s="10">
        <f>'Data Sheet'!F16</f>
        <v>43555</v>
      </c>
      <c r="H3" s="10">
        <f>'Data Sheet'!G16</f>
        <v>43921</v>
      </c>
      <c r="I3" s="10">
        <f>'Data Sheet'!H16</f>
        <v>44286</v>
      </c>
      <c r="J3" s="10">
        <f>'Data Sheet'!I16</f>
        <v>44651</v>
      </c>
      <c r="K3" s="10">
        <f>'Data Sheet'!J16</f>
        <v>45016</v>
      </c>
      <c r="L3" s="10">
        <f>'Data Sheet'!K16</f>
        <v>45382</v>
      </c>
      <c r="M3" s="11" t="s">
        <v>56</v>
      </c>
    </row>
    <row r="4" spans="1:16" s="17" customFormat="1" x14ac:dyDescent="0.3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1:16" x14ac:dyDescent="0.3">
      <c r="A5" t="s">
        <v>58</v>
      </c>
      <c r="B5" s="21" t="s">
        <v>57</v>
      </c>
      <c r="C5" s="22"/>
      <c r="D5" s="22"/>
      <c r="E5" s="22"/>
      <c r="F5" s="22"/>
      <c r="G5" s="22"/>
      <c r="H5" s="22"/>
      <c r="I5" s="22"/>
      <c r="J5" s="22"/>
      <c r="K5" s="22"/>
      <c r="L5" s="22" t="s">
        <v>63</v>
      </c>
      <c r="M5" s="22"/>
    </row>
    <row r="6" spans="1:16" x14ac:dyDescent="0.3">
      <c r="B6" t="s">
        <v>1</v>
      </c>
      <c r="C6" s="12">
        <f>IFERROR('Data Sheet'!B17,0)</f>
        <v>263158.98</v>
      </c>
      <c r="D6" s="12">
        <f>IFERROR('Data Sheet'!C17,0)</f>
        <v>273045.59999999998</v>
      </c>
      <c r="E6" s="12">
        <f>IFERROR('Data Sheet'!D17,0)</f>
        <v>269692.51</v>
      </c>
      <c r="F6" s="12">
        <f>IFERROR('Data Sheet'!E17,0)</f>
        <v>291550.48</v>
      </c>
      <c r="G6" s="12">
        <f>IFERROR('Data Sheet'!F17,0)</f>
        <v>301938.40000000002</v>
      </c>
      <c r="H6" s="12">
        <f>IFERROR('Data Sheet'!G17,0)</f>
        <v>261067.97</v>
      </c>
      <c r="I6" s="12">
        <f>IFERROR('Data Sheet'!H17,0)</f>
        <v>249794.75</v>
      </c>
      <c r="J6" s="12">
        <f>IFERROR('Data Sheet'!I17,0)</f>
        <v>278453.62</v>
      </c>
      <c r="K6" s="12">
        <f>IFERROR('Data Sheet'!J17,0)</f>
        <v>345966.97</v>
      </c>
      <c r="L6" s="12">
        <f>IFERROR('Data Sheet'!K17,0)</f>
        <v>437927.77</v>
      </c>
      <c r="M6" s="12">
        <f>IFERROR(SUM('Data Sheet'!H42:K42),0)</f>
        <v>443059</v>
      </c>
    </row>
    <row r="7" spans="1:16" x14ac:dyDescent="0.3">
      <c r="B7" s="13" t="s">
        <v>10</v>
      </c>
      <c r="C7" s="14" t="s">
        <v>59</v>
      </c>
      <c r="D7" s="15">
        <f>D6/C6-1</f>
        <v>3.75690010654397E-2</v>
      </c>
      <c r="E7" s="15">
        <f t="shared" ref="E7:L7" si="0">E6/D6-1</f>
        <v>-1.2280329732469508E-2</v>
      </c>
      <c r="F7" s="15">
        <f t="shared" si="0"/>
        <v>8.104774581985974E-2</v>
      </c>
      <c r="G7" s="15">
        <f t="shared" si="0"/>
        <v>3.5629919045237157E-2</v>
      </c>
      <c r="H7" s="15">
        <f t="shared" si="0"/>
        <v>-0.135360159555724</v>
      </c>
      <c r="I7" s="15">
        <f t="shared" si="0"/>
        <v>-4.3181168490336042E-2</v>
      </c>
      <c r="J7" s="15">
        <f t="shared" si="0"/>
        <v>0.11472967306158344</v>
      </c>
      <c r="K7" s="15">
        <f t="shared" si="0"/>
        <v>0.24245815155859707</v>
      </c>
      <c r="L7" s="15">
        <f t="shared" si="0"/>
        <v>0.26580803363974326</v>
      </c>
      <c r="M7" s="15">
        <f>M6/L6-1</f>
        <v>1.1717069232672683E-2</v>
      </c>
    </row>
    <row r="9" spans="1:16" x14ac:dyDescent="0.3">
      <c r="B9" t="s">
        <v>60</v>
      </c>
      <c r="C9" s="12">
        <f>IFERROR(SUM('Data Sheet'!B18,'Data Sheet'!B20:B22)-1*'Data Sheet'!B19,0)</f>
        <v>202856.88</v>
      </c>
      <c r="D9" s="12">
        <f>IFERROR(SUM('Data Sheet'!C18,'Data Sheet'!C20:C22)-1*'Data Sheet'!C19,0)</f>
        <v>205509.07</v>
      </c>
      <c r="E9" s="12">
        <f>IFERROR(SUM('Data Sheet'!D18,'Data Sheet'!D20:D22)-1*'Data Sheet'!D19,0)</f>
        <v>205454.23999999996</v>
      </c>
      <c r="F9" s="12">
        <f>IFERROR(SUM('Data Sheet'!E18,'Data Sheet'!E20:E22)-1*'Data Sheet'!E19,0)</f>
        <v>228429.83</v>
      </c>
      <c r="G9" s="12">
        <f>IFERROR(SUM('Data Sheet'!F18,'Data Sheet'!F20:F22)-1*'Data Sheet'!F19,0)</f>
        <v>242845.53</v>
      </c>
      <c r="H9" s="12">
        <f>IFERROR(SUM('Data Sheet'!G18,'Data Sheet'!G20:G22)-1*'Data Sheet'!G19,0)</f>
        <v>210376.07000000004</v>
      </c>
      <c r="I9" s="12">
        <f>IFERROR(SUM('Data Sheet'!H18,'Data Sheet'!H20:H22)-1*'Data Sheet'!H19,0)</f>
        <v>195326.04</v>
      </c>
      <c r="J9" s="12">
        <f>IFERROR(SUM('Data Sheet'!I18,'Data Sheet'!I20:I22)-1*'Data Sheet'!I19,0)</f>
        <v>223300.00999999998</v>
      </c>
      <c r="K9" s="12">
        <f>IFERROR(SUM('Data Sheet'!J18,'Data Sheet'!J20:J22)-1*'Data Sheet'!J19,0)</f>
        <v>274403.64</v>
      </c>
      <c r="L9" s="12">
        <f>IFERROR(SUM('Data Sheet'!K18,'Data Sheet'!K20:K22)-1*'Data Sheet'!K19,0)</f>
        <v>334551.78999999998</v>
      </c>
      <c r="M9" s="12">
        <f>IFERROR(SUM('Data Sheet'!H43:K43),0)</f>
        <v>384937</v>
      </c>
    </row>
    <row r="10" spans="1:16" x14ac:dyDescent="0.3">
      <c r="B10" s="13" t="s">
        <v>61</v>
      </c>
      <c r="C10" s="15">
        <f>C9/C6</f>
        <v>0.77085296500237244</v>
      </c>
      <c r="D10" s="15">
        <f t="shared" ref="D10:M10" si="1">D9/D6</f>
        <v>0.75265475803309057</v>
      </c>
      <c r="E10" s="15">
        <f t="shared" si="1"/>
        <v>0.76180921746770036</v>
      </c>
      <c r="F10" s="15">
        <f t="shared" si="1"/>
        <v>0.78350009919380004</v>
      </c>
      <c r="G10" s="15">
        <f t="shared" si="1"/>
        <v>0.80428832503583503</v>
      </c>
      <c r="H10" s="15">
        <f t="shared" si="1"/>
        <v>0.80582872728508226</v>
      </c>
      <c r="I10" s="15">
        <f t="shared" si="1"/>
        <v>0.7819461377791167</v>
      </c>
      <c r="J10" s="15">
        <f t="shared" si="1"/>
        <v>0.80192891728252624</v>
      </c>
      <c r="K10" s="15">
        <f t="shared" si="1"/>
        <v>0.79314982005363122</v>
      </c>
      <c r="L10" s="15">
        <f t="shared" si="1"/>
        <v>0.76394285295038489</v>
      </c>
      <c r="M10" s="15">
        <f t="shared" si="1"/>
        <v>0.86881656844799449</v>
      </c>
      <c r="P10" s="12"/>
    </row>
    <row r="11" spans="1:16" x14ac:dyDescent="0.3">
      <c r="P11" s="12"/>
    </row>
    <row r="12" spans="1:16" x14ac:dyDescent="0.3">
      <c r="B12" s="29" t="s">
        <v>62</v>
      </c>
      <c r="C12" s="31">
        <f>C6-C9</f>
        <v>60302.099999999977</v>
      </c>
      <c r="D12" s="31">
        <f t="shared" ref="D12:L12" si="2">D6-D9</f>
        <v>67536.52999999997</v>
      </c>
      <c r="E12" s="31">
        <f t="shared" si="2"/>
        <v>64238.270000000048</v>
      </c>
      <c r="F12" s="31">
        <f t="shared" si="2"/>
        <v>63120.649999999994</v>
      </c>
      <c r="G12" s="31">
        <f t="shared" si="2"/>
        <v>59092.870000000024</v>
      </c>
      <c r="H12" s="31">
        <f t="shared" si="2"/>
        <v>50691.899999999965</v>
      </c>
      <c r="I12" s="31">
        <f t="shared" si="2"/>
        <v>54468.709999999992</v>
      </c>
      <c r="J12" s="31">
        <f t="shared" si="2"/>
        <v>55153.610000000015</v>
      </c>
      <c r="K12" s="31">
        <f t="shared" si="2"/>
        <v>71563.329999999958</v>
      </c>
      <c r="L12" s="31">
        <f t="shared" si="2"/>
        <v>103375.98000000004</v>
      </c>
      <c r="M12" s="31">
        <f>M6-M9</f>
        <v>58122</v>
      </c>
      <c r="P12" s="16"/>
    </row>
    <row r="13" spans="1:16" x14ac:dyDescent="0.3">
      <c r="B13" s="13" t="s">
        <v>70</v>
      </c>
      <c r="C13" s="15">
        <f>C12/C6</f>
        <v>0.22914703499762759</v>
      </c>
      <c r="D13" s="15">
        <f t="shared" ref="D13:M13" si="3">D12/D6</f>
        <v>0.24734524196690946</v>
      </c>
      <c r="E13" s="15">
        <f t="shared" si="3"/>
        <v>0.23819078253229964</v>
      </c>
      <c r="F13" s="15">
        <f t="shared" si="3"/>
        <v>0.21649990080619999</v>
      </c>
      <c r="G13" s="15">
        <f t="shared" si="3"/>
        <v>0.19571167496416494</v>
      </c>
      <c r="H13" s="15">
        <f t="shared" si="3"/>
        <v>0.19417127271491774</v>
      </c>
      <c r="I13" s="15">
        <f t="shared" si="3"/>
        <v>0.2180538622208833</v>
      </c>
      <c r="J13" s="15">
        <f t="shared" si="3"/>
        <v>0.19807108271747378</v>
      </c>
      <c r="K13" s="15">
        <f t="shared" si="3"/>
        <v>0.20685017994636876</v>
      </c>
      <c r="L13" s="15">
        <f t="shared" si="3"/>
        <v>0.23605714704961514</v>
      </c>
      <c r="M13" s="15">
        <f t="shared" si="3"/>
        <v>0.13118343155200549</v>
      </c>
      <c r="P13" s="16"/>
    </row>
    <row r="15" spans="1:16" x14ac:dyDescent="0.3">
      <c r="B15" t="s">
        <v>64</v>
      </c>
      <c r="C15" s="16">
        <f>IFERROR(SUM('Data Sheet'!B23:B24),0)</f>
        <v>21063.449999999997</v>
      </c>
      <c r="D15" s="16">
        <f>IFERROR(SUM('Data Sheet'!C23:C24),0)</f>
        <v>29141.280000000002</v>
      </c>
      <c r="E15" s="16">
        <f>IFERROR(SUM('Data Sheet'!D23:D24),0)</f>
        <v>34649.58</v>
      </c>
      <c r="F15" s="16">
        <f>IFERROR(SUM('Data Sheet'!E23:E24),0)</f>
        <v>31662.97</v>
      </c>
      <c r="G15" s="16">
        <f>IFERROR(SUM('Data Sheet'!F23:F24),0)</f>
        <v>34428.54</v>
      </c>
      <c r="H15" s="16">
        <f>IFERROR(SUM('Data Sheet'!G23:G24),0)</f>
        <v>32704.83</v>
      </c>
      <c r="I15" s="16">
        <f>IFERROR(SUM('Data Sheet'!H23:H24),0)</f>
        <v>22181.280000000002</v>
      </c>
      <c r="J15" s="16">
        <f>IFERROR(SUM('Data Sheet'!I23:I24),0)</f>
        <v>30433.52</v>
      </c>
      <c r="K15" s="16">
        <f>IFERROR(SUM('Data Sheet'!J23:J24),0)</f>
        <v>39747.53</v>
      </c>
      <c r="L15" s="16">
        <f>IFERROR(SUM('Data Sheet'!K23:K24),0)</f>
        <v>43837.64</v>
      </c>
      <c r="M15" s="16"/>
    </row>
    <row r="16" spans="1:16" x14ac:dyDescent="0.3">
      <c r="B16" s="13" t="s">
        <v>65</v>
      </c>
      <c r="C16" s="15">
        <f>C15/C6</f>
        <v>8.0040779911823637E-2</v>
      </c>
      <c r="D16" s="15">
        <f t="shared" ref="D16:M16" si="4">D15/D6</f>
        <v>0.10672678849247161</v>
      </c>
      <c r="E16" s="15">
        <f t="shared" si="4"/>
        <v>0.12847809529452636</v>
      </c>
      <c r="F16" s="15">
        <f t="shared" si="4"/>
        <v>0.10860201636437025</v>
      </c>
      <c r="G16" s="15">
        <f t="shared" si="4"/>
        <v>0.11402504616835751</v>
      </c>
      <c r="H16" s="15">
        <f t="shared" si="4"/>
        <v>0.12527323822987554</v>
      </c>
      <c r="I16" s="15">
        <f t="shared" si="4"/>
        <v>8.8798023177028354E-2</v>
      </c>
      <c r="J16" s="15">
        <f t="shared" si="4"/>
        <v>0.10929475436519734</v>
      </c>
      <c r="K16" s="15">
        <f t="shared" si="4"/>
        <v>0.11488822184383672</v>
      </c>
      <c r="L16" s="15">
        <f t="shared" si="4"/>
        <v>0.10010244383451636</v>
      </c>
      <c r="M16" s="15">
        <f t="shared" si="4"/>
        <v>0</v>
      </c>
    </row>
    <row r="18" spans="2:13" x14ac:dyDescent="0.3">
      <c r="B18" s="29" t="s">
        <v>66</v>
      </c>
      <c r="C18" s="31">
        <f>C12-C15</f>
        <v>39238.64999999998</v>
      </c>
      <c r="D18" s="31">
        <f t="shared" ref="D18:L18" si="5">D12-D15</f>
        <v>38395.249999999971</v>
      </c>
      <c r="E18" s="31">
        <f t="shared" si="5"/>
        <v>29588.690000000046</v>
      </c>
      <c r="F18" s="31">
        <f t="shared" si="5"/>
        <v>31457.679999999993</v>
      </c>
      <c r="G18" s="31">
        <f t="shared" si="5"/>
        <v>24664.330000000024</v>
      </c>
      <c r="H18" s="31">
        <f t="shared" si="5"/>
        <v>17987.069999999963</v>
      </c>
      <c r="I18" s="31">
        <f t="shared" si="5"/>
        <v>32287.429999999989</v>
      </c>
      <c r="J18" s="31">
        <f t="shared" si="5"/>
        <v>24720.090000000015</v>
      </c>
      <c r="K18" s="31">
        <f t="shared" si="5"/>
        <v>31815.799999999959</v>
      </c>
      <c r="L18" s="31">
        <f t="shared" si="5"/>
        <v>59538.34000000004</v>
      </c>
      <c r="M18" s="31">
        <f>IFERROR(SUM(M21,M24,M27),0)</f>
        <v>64899</v>
      </c>
    </row>
    <row r="19" spans="2:13" x14ac:dyDescent="0.3">
      <c r="B19" s="13" t="s">
        <v>67</v>
      </c>
      <c r="C19" s="15">
        <f>C18/C6</f>
        <v>0.14910625508580397</v>
      </c>
      <c r="D19" s="15">
        <f t="shared" ref="D19:M19" si="6">D18/D6</f>
        <v>0.14061845347443788</v>
      </c>
      <c r="E19" s="15">
        <f t="shared" si="6"/>
        <v>0.10971268723777329</v>
      </c>
      <c r="F19" s="15">
        <f t="shared" si="6"/>
        <v>0.10789788444182975</v>
      </c>
      <c r="G19" s="15">
        <f t="shared" si="6"/>
        <v>8.1686628795807431E-2</v>
      </c>
      <c r="H19" s="15">
        <f t="shared" si="6"/>
        <v>6.8898034485042198E-2</v>
      </c>
      <c r="I19" s="15">
        <f t="shared" si="6"/>
        <v>0.12925583904385496</v>
      </c>
      <c r="J19" s="15">
        <f t="shared" si="6"/>
        <v>8.877632835227646E-2</v>
      </c>
      <c r="K19" s="15">
        <f t="shared" si="6"/>
        <v>9.1961958102532049E-2</v>
      </c>
      <c r="L19" s="15">
        <f t="shared" si="6"/>
        <v>0.13595470321509878</v>
      </c>
      <c r="M19" s="15">
        <f t="shared" si="6"/>
        <v>0.14647936279366858</v>
      </c>
    </row>
    <row r="21" spans="2:13" x14ac:dyDescent="0.3">
      <c r="B21" t="s">
        <v>6</v>
      </c>
      <c r="C21" s="16">
        <f>IFERROR('Data Sheet'!B27,0)</f>
        <v>4861.49</v>
      </c>
      <c r="D21" s="16">
        <f>IFERROR('Data Sheet'!C27,0)</f>
        <v>4889.08</v>
      </c>
      <c r="E21" s="16">
        <f>IFERROR('Data Sheet'!D27,0)</f>
        <v>4238.01</v>
      </c>
      <c r="F21" s="16">
        <f>IFERROR('Data Sheet'!E27,0)</f>
        <v>4681.79</v>
      </c>
      <c r="G21" s="16">
        <f>IFERROR('Data Sheet'!F27,0)</f>
        <v>5758.6</v>
      </c>
      <c r="H21" s="16">
        <f>IFERROR('Data Sheet'!G27,0)</f>
        <v>7243.33</v>
      </c>
      <c r="I21" s="16">
        <f>IFERROR('Data Sheet'!H27,0)</f>
        <v>8097.17</v>
      </c>
      <c r="J21" s="16">
        <f>IFERROR('Data Sheet'!I27,0)</f>
        <v>9311.86</v>
      </c>
      <c r="K21" s="16">
        <f>IFERROR('Data Sheet'!J27,0)</f>
        <v>10225.48</v>
      </c>
      <c r="L21" s="16">
        <f>IFERROR('Data Sheet'!K27,0)</f>
        <v>9985.76</v>
      </c>
      <c r="M21" s="16">
        <f>IFERROR(SUM('Data Sheet'!H46:K46),0)</f>
        <v>8081</v>
      </c>
    </row>
    <row r="22" spans="2:13" x14ac:dyDescent="0.3">
      <c r="B22" s="13" t="s">
        <v>68</v>
      </c>
      <c r="C22" s="15">
        <f>C21/C6</f>
        <v>1.8473585814932098E-2</v>
      </c>
      <c r="D22" s="15">
        <f t="shared" ref="D22:M22" si="7">D21/D6</f>
        <v>1.7905727101993223E-2</v>
      </c>
      <c r="E22" s="15">
        <f t="shared" si="7"/>
        <v>1.5714229512714312E-2</v>
      </c>
      <c r="F22" s="15">
        <f t="shared" si="7"/>
        <v>1.605824830060304E-2</v>
      </c>
      <c r="G22" s="15">
        <f t="shared" si="7"/>
        <v>1.9072102124141878E-2</v>
      </c>
      <c r="H22" s="15">
        <f t="shared" si="7"/>
        <v>2.7744996829752802E-2</v>
      </c>
      <c r="I22" s="15">
        <f t="shared" si="7"/>
        <v>3.2415292955516477E-2</v>
      </c>
      <c r="J22" s="15">
        <f t="shared" si="7"/>
        <v>3.3441332168710897E-2</v>
      </c>
      <c r="K22" s="15">
        <f t="shared" si="7"/>
        <v>2.9556231914277829E-2</v>
      </c>
      <c r="L22" s="15">
        <f t="shared" si="7"/>
        <v>2.2802299109736749E-2</v>
      </c>
      <c r="M22" s="15">
        <f t="shared" si="7"/>
        <v>1.823910585271939E-2</v>
      </c>
    </row>
    <row r="24" spans="2:13" x14ac:dyDescent="0.3">
      <c r="B24" t="s">
        <v>5</v>
      </c>
      <c r="C24" s="16">
        <f>IFERROR('Data Sheet'!B26,0)</f>
        <v>13388.63</v>
      </c>
      <c r="D24" s="16">
        <f>IFERROR('Data Sheet'!C26,0)</f>
        <v>16710.78</v>
      </c>
      <c r="E24" s="16">
        <f>IFERROR('Data Sheet'!D26,0)</f>
        <v>17904.990000000002</v>
      </c>
      <c r="F24" s="16">
        <f>IFERROR('Data Sheet'!E26,0)</f>
        <v>21553.59</v>
      </c>
      <c r="G24" s="16">
        <f>IFERROR('Data Sheet'!F26,0)</f>
        <v>23590.63</v>
      </c>
      <c r="H24" s="16">
        <f>IFERROR('Data Sheet'!G26,0)</f>
        <v>21425.43</v>
      </c>
      <c r="I24" s="16">
        <f>IFERROR('Data Sheet'!H26,0)</f>
        <v>23546.71</v>
      </c>
      <c r="J24" s="16">
        <f>IFERROR('Data Sheet'!I26,0)</f>
        <v>24835.69</v>
      </c>
      <c r="K24" s="16">
        <f>IFERROR('Data Sheet'!J26,0)</f>
        <v>24860.36</v>
      </c>
      <c r="L24" s="16">
        <f>IFERROR('Data Sheet'!K26,0)</f>
        <v>27270.13</v>
      </c>
      <c r="M24" s="16">
        <f>IFERROR(SUM('Data Sheet'!H45:K45),0)</f>
        <v>25138</v>
      </c>
    </row>
    <row r="25" spans="2:13" x14ac:dyDescent="0.3">
      <c r="B25" s="13" t="s">
        <v>69</v>
      </c>
      <c r="C25" s="15">
        <f>C24/C6</f>
        <v>5.0876584184966822E-2</v>
      </c>
      <c r="D25" s="15">
        <f t="shared" ref="D25:M25" si="8">D24/D6</f>
        <v>6.1201425695927715E-2</v>
      </c>
      <c r="E25" s="15">
        <f t="shared" si="8"/>
        <v>6.63903865924938E-2</v>
      </c>
      <c r="F25" s="15">
        <f t="shared" si="8"/>
        <v>7.3927472182518786E-2</v>
      </c>
      <c r="G25" s="15">
        <f t="shared" si="8"/>
        <v>7.8130605447998658E-2</v>
      </c>
      <c r="H25" s="15">
        <f t="shared" si="8"/>
        <v>8.206839774331566E-2</v>
      </c>
      <c r="I25" s="15">
        <f t="shared" si="8"/>
        <v>9.4264230933596482E-2</v>
      </c>
      <c r="J25" s="15">
        <f t="shared" si="8"/>
        <v>8.9191478279219347E-2</v>
      </c>
      <c r="K25" s="15">
        <f t="shared" si="8"/>
        <v>7.1857611147098821E-2</v>
      </c>
      <c r="L25" s="15">
        <f t="shared" si="8"/>
        <v>6.2270839777984394E-2</v>
      </c>
      <c r="M25" s="15">
        <f t="shared" si="8"/>
        <v>5.6737364549642372E-2</v>
      </c>
    </row>
    <row r="27" spans="2:13" x14ac:dyDescent="0.3">
      <c r="B27" s="29" t="s">
        <v>71</v>
      </c>
      <c r="C27" s="30">
        <f>IFERROR(C18-SUM(C21,C24),0)</f>
        <v>20988.529999999981</v>
      </c>
      <c r="D27" s="30">
        <f t="shared" ref="D27:L27" si="9">IFERROR(D18-SUM(D21,D24),0)</f>
        <v>16795.38999999997</v>
      </c>
      <c r="E27" s="30">
        <f t="shared" si="9"/>
        <v>7445.690000000046</v>
      </c>
      <c r="F27" s="30">
        <f t="shared" si="9"/>
        <v>5222.299999999992</v>
      </c>
      <c r="G27" s="30">
        <f t="shared" si="9"/>
        <v>-4684.8999999999796</v>
      </c>
      <c r="H27" s="30">
        <f t="shared" si="9"/>
        <v>-10681.690000000039</v>
      </c>
      <c r="I27" s="30">
        <f t="shared" si="9"/>
        <v>643.549999999992</v>
      </c>
      <c r="J27" s="30">
        <f t="shared" si="9"/>
        <v>-9427.4599999999882</v>
      </c>
      <c r="K27" s="30">
        <f t="shared" si="9"/>
        <v>-3270.0400000000373</v>
      </c>
      <c r="L27" s="30">
        <f t="shared" si="9"/>
        <v>22282.450000000041</v>
      </c>
      <c r="M27" s="30">
        <f>IFERROR(SUM('Data Sheet'!H47:K47),0)</f>
        <v>31680</v>
      </c>
    </row>
    <row r="28" spans="2:13" x14ac:dyDescent="0.3">
      <c r="B28" s="13" t="s">
        <v>72</v>
      </c>
      <c r="C28" s="15">
        <f>C27/C6</f>
        <v>7.9756085085905037E-2</v>
      </c>
      <c r="D28" s="15">
        <f t="shared" ref="D28:L28" si="10">D27/D6</f>
        <v>6.1511300676516931E-2</v>
      </c>
      <c r="E28" s="15">
        <f t="shared" si="10"/>
        <v>2.7608071132565179E-2</v>
      </c>
      <c r="F28" s="15">
        <f t="shared" si="10"/>
        <v>1.7912163958707913E-2</v>
      </c>
      <c r="G28" s="15">
        <f t="shared" si="10"/>
        <v>-1.5516078776333117E-2</v>
      </c>
      <c r="H28" s="15">
        <f t="shared" si="10"/>
        <v>-4.0915360088026265E-2</v>
      </c>
      <c r="I28" s="15">
        <f t="shared" si="10"/>
        <v>2.5763151547420113E-3</v>
      </c>
      <c r="J28" s="15">
        <f t="shared" si="10"/>
        <v>-3.3856482095653805E-2</v>
      </c>
      <c r="K28" s="15">
        <f t="shared" si="10"/>
        <v>-9.4518849588445895E-3</v>
      </c>
      <c r="L28" s="15">
        <f t="shared" si="10"/>
        <v>5.0881564327377643E-2</v>
      </c>
      <c r="M28" s="15">
        <f>M27/M6</f>
        <v>7.1502892391306805E-2</v>
      </c>
    </row>
    <row r="30" spans="2:13" x14ac:dyDescent="0.3">
      <c r="B30" t="s">
        <v>8</v>
      </c>
      <c r="C30" s="12">
        <f>IFERROR('Data Sheet'!B29,0)</f>
        <v>7642.91</v>
      </c>
      <c r="D30" s="12">
        <f>IFERROR('Data Sheet'!C29,0)</f>
        <v>3025.05</v>
      </c>
      <c r="E30" s="12">
        <f>IFERROR('Data Sheet'!D29,0)</f>
        <v>3251.23</v>
      </c>
      <c r="F30" s="12">
        <f>IFERROR('Data Sheet'!E29,0)</f>
        <v>4341.93</v>
      </c>
      <c r="G30" s="12">
        <f>IFERROR('Data Sheet'!F29,0)</f>
        <v>-2437.4499999999998</v>
      </c>
      <c r="H30" s="12">
        <f>IFERROR('Data Sheet'!G29,0)</f>
        <v>395.25</v>
      </c>
      <c r="I30" s="12">
        <f>IFERROR('Data Sheet'!H29,0)</f>
        <v>2541.86</v>
      </c>
      <c r="J30" s="12">
        <f>IFERROR('Data Sheet'!I29,0)</f>
        <v>4231.29</v>
      </c>
      <c r="K30" s="12">
        <f>IFERROR('Data Sheet'!J29,0)</f>
        <v>704.06</v>
      </c>
      <c r="L30" s="12">
        <f>IFERROR('Data Sheet'!K29,0)</f>
        <v>-3851.64</v>
      </c>
      <c r="M30" s="12">
        <f>IFERROR(SUM('Data Sheet'!H48:K48),0)</f>
        <v>-569</v>
      </c>
    </row>
    <row r="31" spans="2:13" x14ac:dyDescent="0.3">
      <c r="B31" s="13" t="s">
        <v>73</v>
      </c>
      <c r="C31" s="15">
        <f>C30/C27</f>
        <v>0.3641469888553418</v>
      </c>
      <c r="D31" s="15">
        <f t="shared" ref="D31:M31" si="11">D30/D27</f>
        <v>0.18011192356950362</v>
      </c>
      <c r="E31" s="15">
        <f t="shared" si="11"/>
        <v>0.43665932908836924</v>
      </c>
      <c r="F31" s="15">
        <f t="shared" si="11"/>
        <v>0.8314210213890445</v>
      </c>
      <c r="G31" s="15">
        <f t="shared" si="11"/>
        <v>0.52027791414971725</v>
      </c>
      <c r="H31" s="15">
        <f t="shared" si="11"/>
        <v>-3.7002571690434617E-2</v>
      </c>
      <c r="I31" s="15">
        <f t="shared" si="11"/>
        <v>3.9497474943672315</v>
      </c>
      <c r="J31" s="15">
        <f t="shared" si="11"/>
        <v>-0.4488260888935095</v>
      </c>
      <c r="K31" s="15">
        <f t="shared" si="11"/>
        <v>-0.21530623478611635</v>
      </c>
      <c r="L31" s="15">
        <f t="shared" si="11"/>
        <v>-0.17285531887202676</v>
      </c>
      <c r="M31" s="15">
        <f t="shared" si="11"/>
        <v>-1.7960858585858587E-2</v>
      </c>
    </row>
    <row r="33" spans="1:13" x14ac:dyDescent="0.3">
      <c r="B33" s="29" t="s">
        <v>74</v>
      </c>
      <c r="C33" s="30">
        <f>IFERROR(C27-C30,0)</f>
        <v>13345.619999999981</v>
      </c>
      <c r="D33" s="30">
        <f t="shared" ref="D33:M33" si="12">IFERROR(D27-D30,0)</f>
        <v>13770.339999999971</v>
      </c>
      <c r="E33" s="30">
        <f t="shared" si="12"/>
        <v>4194.4600000000464</v>
      </c>
      <c r="F33" s="30">
        <f t="shared" si="12"/>
        <v>880.36999999999171</v>
      </c>
      <c r="G33" s="30">
        <f t="shared" si="12"/>
        <v>-2247.4499999999798</v>
      </c>
      <c r="H33" s="30">
        <f t="shared" si="12"/>
        <v>-11076.940000000039</v>
      </c>
      <c r="I33" s="30">
        <f t="shared" si="12"/>
        <v>-1898.3100000000081</v>
      </c>
      <c r="J33" s="30">
        <f t="shared" si="12"/>
        <v>-13658.749999999989</v>
      </c>
      <c r="K33" s="30">
        <f t="shared" si="12"/>
        <v>-3974.1000000000372</v>
      </c>
      <c r="L33" s="30">
        <f t="shared" si="12"/>
        <v>26134.09000000004</v>
      </c>
      <c r="M33" s="30">
        <f t="shared" si="12"/>
        <v>32249</v>
      </c>
    </row>
    <row r="34" spans="1:13" x14ac:dyDescent="0.3">
      <c r="B34" s="13" t="s">
        <v>75</v>
      </c>
      <c r="C34" s="15">
        <f>C33/C6</f>
        <v>5.0713146858982282E-2</v>
      </c>
      <c r="D34" s="15">
        <f t="shared" ref="D34:M34" si="13">D33/D6</f>
        <v>5.0432381990407359E-2</v>
      </c>
      <c r="E34" s="15">
        <f t="shared" si="13"/>
        <v>1.5552749314395296E-2</v>
      </c>
      <c r="F34" s="15">
        <f t="shared" si="13"/>
        <v>3.01961430487095E-3</v>
      </c>
      <c r="G34" s="15">
        <f t="shared" si="13"/>
        <v>-7.4434056747998256E-3</v>
      </c>
      <c r="H34" s="15">
        <f t="shared" si="13"/>
        <v>-4.2429333632923408E-2</v>
      </c>
      <c r="I34" s="15">
        <f t="shared" si="13"/>
        <v>-7.5994791724005731E-3</v>
      </c>
      <c r="J34" s="15">
        <f t="shared" si="13"/>
        <v>-4.9052154538339235E-2</v>
      </c>
      <c r="K34" s="15">
        <f t="shared" si="13"/>
        <v>-1.1486934720964945E-2</v>
      </c>
      <c r="L34" s="15">
        <f t="shared" si="13"/>
        <v>5.9676713353894045E-2</v>
      </c>
      <c r="M34" s="15">
        <f t="shared" si="13"/>
        <v>7.2787145730026925E-2</v>
      </c>
    </row>
    <row r="36" spans="1:13" x14ac:dyDescent="0.3">
      <c r="B36" t="s">
        <v>39</v>
      </c>
      <c r="C36">
        <f>IFERROR('Data Sheet'!B93,0)</f>
        <v>288.74</v>
      </c>
      <c r="D36">
        <f>IFERROR('Data Sheet'!C93,0)</f>
        <v>288.72000000000003</v>
      </c>
      <c r="E36">
        <f>IFERROR('Data Sheet'!D93,0)</f>
        <v>288.73</v>
      </c>
      <c r="F36">
        <f>IFERROR('Data Sheet'!E93,0)</f>
        <v>288.73</v>
      </c>
      <c r="G36">
        <f>IFERROR('Data Sheet'!F93,0)</f>
        <v>288.73</v>
      </c>
      <c r="H36">
        <f>IFERROR('Data Sheet'!G93,0)</f>
        <v>308.89999999999998</v>
      </c>
      <c r="I36">
        <f>IFERROR('Data Sheet'!H93,0)</f>
        <v>332.03</v>
      </c>
      <c r="J36">
        <f>IFERROR('Data Sheet'!I93,0)</f>
        <v>332.07</v>
      </c>
      <c r="K36">
        <f>IFERROR('Data Sheet'!J93,0)</f>
        <v>332.13</v>
      </c>
      <c r="L36">
        <f>IFERROR('Data Sheet'!K93,0)</f>
        <v>332.37</v>
      </c>
      <c r="M36">
        <f>L36</f>
        <v>332.37</v>
      </c>
    </row>
    <row r="38" spans="1:13" x14ac:dyDescent="0.3">
      <c r="B38" t="s">
        <v>76</v>
      </c>
      <c r="C38" s="23">
        <f>IFERROR(C33/C36,0)</f>
        <v>46.220198102098706</v>
      </c>
      <c r="D38" s="23">
        <f t="shared" ref="D38:L38" si="14">IFERROR(D33/D36,0)</f>
        <v>47.694444444444336</v>
      </c>
      <c r="E38" s="23">
        <f t="shared" si="14"/>
        <v>14.527274616423808</v>
      </c>
      <c r="F38" s="23">
        <f t="shared" si="14"/>
        <v>3.049111626779315</v>
      </c>
      <c r="G38" s="23">
        <f t="shared" si="14"/>
        <v>-7.7839157690575265</v>
      </c>
      <c r="H38" s="23">
        <f t="shared" si="14"/>
        <v>-35.859307219164904</v>
      </c>
      <c r="I38" s="23">
        <f t="shared" si="14"/>
        <v>-5.7172845827184542</v>
      </c>
      <c r="J38" s="23">
        <f t="shared" si="14"/>
        <v>-41.132140813683833</v>
      </c>
      <c r="K38" s="23">
        <f t="shared" si="14"/>
        <v>-11.965495438533218</v>
      </c>
      <c r="L38" s="23">
        <f t="shared" si="14"/>
        <v>78.629509281824596</v>
      </c>
      <c r="M38" s="23">
        <f>IFERROR(M33/M36,0)</f>
        <v>97.027409212624477</v>
      </c>
    </row>
    <row r="39" spans="1:13" x14ac:dyDescent="0.3">
      <c r="B39" s="13" t="s">
        <v>79</v>
      </c>
      <c r="C39" s="15"/>
      <c r="D39" s="15">
        <f>IFERROR(D38/C38-1,0)</f>
        <v>3.189614936502605E-2</v>
      </c>
      <c r="E39" s="15">
        <f t="shared" ref="E39:M39" si="15">IFERROR(E38/D38-1,0)</f>
        <v>-0.69540950134463697</v>
      </c>
      <c r="F39" s="15">
        <f t="shared" si="15"/>
        <v>-0.79011124197155724</v>
      </c>
      <c r="G39" s="15">
        <f t="shared" si="15"/>
        <v>-3.5528470983790919</v>
      </c>
      <c r="H39" s="15">
        <f t="shared" si="15"/>
        <v>3.6068467700681115</v>
      </c>
      <c r="I39" s="15">
        <f t="shared" si="15"/>
        <v>-0.84056344011958861</v>
      </c>
      <c r="J39" s="15">
        <f t="shared" si="15"/>
        <v>6.194349033807641</v>
      </c>
      <c r="K39" s="15">
        <f t="shared" si="15"/>
        <v>-0.70909621522659627</v>
      </c>
      <c r="L39" s="15">
        <f t="shared" si="15"/>
        <v>-7.5713542482001346</v>
      </c>
      <c r="M39" s="15">
        <f t="shared" si="15"/>
        <v>0.23398212832357834</v>
      </c>
    </row>
    <row r="41" spans="1:13" x14ac:dyDescent="0.3">
      <c r="B41" t="s">
        <v>77</v>
      </c>
      <c r="C41" s="23">
        <f>IFERROR('Data Sheet'!B31/HistoricalFS!C36,0)</f>
        <v>0</v>
      </c>
      <c r="D41" s="23">
        <f>IFERROR('Data Sheet'!C31/HistoricalFS!D36,0)</f>
        <v>0.23524522028262676</v>
      </c>
      <c r="E41" s="23">
        <f>IFERROR('Data Sheet'!D31/HistoricalFS!E36,0)</f>
        <v>0</v>
      </c>
      <c r="F41" s="23">
        <f>IFERROR('Data Sheet'!E31/HistoricalFS!F36,0)</f>
        <v>0</v>
      </c>
      <c r="G41" s="23">
        <f>IFERROR('Data Sheet'!F31/HistoricalFS!G36,0)</f>
        <v>0</v>
      </c>
      <c r="H41" s="23">
        <f>IFERROR('Data Sheet'!G31/HistoricalFS!H36,0)</f>
        <v>0</v>
      </c>
      <c r="I41" s="23">
        <f>IFERROR('Data Sheet'!H31/HistoricalFS!I36,0)</f>
        <v>0</v>
      </c>
      <c r="J41" s="23">
        <f>IFERROR('Data Sheet'!I31/HistoricalFS!J36,0)</f>
        <v>0</v>
      </c>
      <c r="K41" s="23">
        <f>IFERROR('Data Sheet'!J31/HistoricalFS!K36,0)</f>
        <v>2.3063860536536898</v>
      </c>
      <c r="L41" s="23">
        <f>IFERROR('Data Sheet'!K31/HistoricalFS!L36,0)</f>
        <v>6.9184944489574871</v>
      </c>
      <c r="M41" s="23">
        <f>IFERROR('Data Sheet'!L31/HistoricalFS!M36,0)</f>
        <v>0</v>
      </c>
    </row>
    <row r="42" spans="1:13" x14ac:dyDescent="0.3">
      <c r="B42" s="13" t="s">
        <v>78</v>
      </c>
      <c r="C42" s="15">
        <f>IFERROR(C41/C38,0)</f>
        <v>0</v>
      </c>
      <c r="D42" s="15">
        <f t="shared" ref="D42:M42" si="16">IFERROR(D41/D38,0)</f>
        <v>4.9323400874633563E-3</v>
      </c>
      <c r="E42" s="15">
        <f t="shared" si="16"/>
        <v>0</v>
      </c>
      <c r="F42" s="15">
        <f t="shared" si="16"/>
        <v>0</v>
      </c>
      <c r="G42" s="15">
        <f t="shared" si="16"/>
        <v>0</v>
      </c>
      <c r="H42" s="15">
        <f t="shared" si="16"/>
        <v>0</v>
      </c>
      <c r="I42" s="15">
        <f t="shared" si="16"/>
        <v>0</v>
      </c>
      <c r="J42" s="15">
        <f t="shared" si="16"/>
        <v>0</v>
      </c>
      <c r="K42" s="15">
        <f t="shared" si="16"/>
        <v>-0.19275307616818721</v>
      </c>
      <c r="L42" s="15">
        <f t="shared" si="16"/>
        <v>8.7988523801670396E-2</v>
      </c>
      <c r="M42" s="15">
        <f t="shared" si="16"/>
        <v>0</v>
      </c>
    </row>
    <row r="44" spans="1:13" x14ac:dyDescent="0.3">
      <c r="B44" t="s">
        <v>80</v>
      </c>
      <c r="C44" s="24">
        <f>IFERROR(IF(C38&gt;C41,1-C42,0),0)</f>
        <v>1</v>
      </c>
      <c r="D44" s="24">
        <f t="shared" ref="D44:M44" si="17">IFERROR(IF(D38&gt;D41,1-D42,0),0)</f>
        <v>0.99506765991253665</v>
      </c>
      <c r="E44" s="24">
        <f t="shared" si="17"/>
        <v>1</v>
      </c>
      <c r="F44" s="24">
        <f t="shared" si="17"/>
        <v>1</v>
      </c>
      <c r="G44" s="24">
        <f t="shared" si="17"/>
        <v>0</v>
      </c>
      <c r="H44" s="24">
        <f t="shared" si="17"/>
        <v>0</v>
      </c>
      <c r="I44" s="24">
        <f t="shared" si="17"/>
        <v>0</v>
      </c>
      <c r="J44" s="24">
        <f t="shared" si="17"/>
        <v>0</v>
      </c>
      <c r="K44" s="24">
        <f t="shared" si="17"/>
        <v>0</v>
      </c>
      <c r="L44" s="24">
        <f t="shared" si="17"/>
        <v>0.91201147619832956</v>
      </c>
      <c r="M44" s="24">
        <f t="shared" si="17"/>
        <v>1</v>
      </c>
    </row>
    <row r="46" spans="1:13" x14ac:dyDescent="0.3">
      <c r="A46" t="s">
        <v>58</v>
      </c>
      <c r="B46" s="21" t="s">
        <v>81</v>
      </c>
      <c r="C46" s="22"/>
      <c r="D46" s="22"/>
      <c r="E46" s="22"/>
      <c r="F46" s="22"/>
      <c r="G46" s="22"/>
      <c r="H46" s="22"/>
      <c r="I46" s="22"/>
      <c r="J46" s="22"/>
      <c r="K46" s="22"/>
      <c r="L46" s="22" t="s">
        <v>63</v>
      </c>
      <c r="M46" s="22"/>
    </row>
    <row r="47" spans="1:13" x14ac:dyDescent="0.3">
      <c r="B47" t="s">
        <v>11</v>
      </c>
      <c r="C47" s="12">
        <f>IFERROR('Data Sheet'!B57,0)</f>
        <v>643.78</v>
      </c>
      <c r="D47" s="12">
        <f>IFERROR('Data Sheet'!C57,0)</f>
        <v>679.18</v>
      </c>
      <c r="E47" s="12">
        <f>IFERROR('Data Sheet'!D57,0)</f>
        <v>679.22</v>
      </c>
      <c r="F47" s="12">
        <f>IFERROR('Data Sheet'!E57,0)</f>
        <v>679.22</v>
      </c>
      <c r="G47" s="12">
        <f>IFERROR('Data Sheet'!F57,0)</f>
        <v>679.22</v>
      </c>
      <c r="H47" s="12">
        <f>IFERROR('Data Sheet'!G57,0)</f>
        <v>719.54</v>
      </c>
      <c r="I47" s="12">
        <f>IFERROR('Data Sheet'!H57,0)</f>
        <v>765.81</v>
      </c>
      <c r="J47" s="12">
        <f>IFERROR('Data Sheet'!I57,0)</f>
        <v>765.88</v>
      </c>
      <c r="K47" s="12">
        <f>IFERROR('Data Sheet'!J57,0)</f>
        <v>766.02</v>
      </c>
      <c r="L47" s="12">
        <f>IFERROR('Data Sheet'!K57,0)</f>
        <v>766.5</v>
      </c>
    </row>
    <row r="48" spans="1:13" x14ac:dyDescent="0.3">
      <c r="B48" t="s">
        <v>12</v>
      </c>
      <c r="C48" s="12">
        <f>IFERROR('Data Sheet'!B58,0)</f>
        <v>55618.14</v>
      </c>
      <c r="D48" s="12">
        <f>IFERROR('Data Sheet'!C58,0)</f>
        <v>78273.23</v>
      </c>
      <c r="E48" s="12">
        <f>IFERROR('Data Sheet'!D58,0)</f>
        <v>57382.67</v>
      </c>
      <c r="F48" s="12">
        <f>IFERROR('Data Sheet'!E58,0)</f>
        <v>94748.69</v>
      </c>
      <c r="G48" s="12">
        <f>IFERROR('Data Sheet'!F58,0)</f>
        <v>59500.34</v>
      </c>
      <c r="H48" s="12">
        <f>IFERROR('Data Sheet'!G58,0)</f>
        <v>62358.99</v>
      </c>
      <c r="I48" s="12">
        <f>IFERROR('Data Sheet'!H58,0)</f>
        <v>54480.91</v>
      </c>
      <c r="J48" s="12">
        <f>IFERROR('Data Sheet'!I58,0)</f>
        <v>43795.360000000001</v>
      </c>
      <c r="K48" s="12">
        <f>IFERROR('Data Sheet'!J58,0)</f>
        <v>44555.77</v>
      </c>
      <c r="L48" s="12">
        <f>IFERROR('Data Sheet'!K58,0)</f>
        <v>84151.52</v>
      </c>
    </row>
    <row r="49" spans="2:13" x14ac:dyDescent="0.3">
      <c r="B49" t="s">
        <v>36</v>
      </c>
      <c r="C49" s="12">
        <f>IFERROR('Data Sheet'!B59,0)</f>
        <v>73610.39</v>
      </c>
      <c r="D49" s="12">
        <f>IFERROR('Data Sheet'!C59,0)</f>
        <v>69359.960000000006</v>
      </c>
      <c r="E49" s="12">
        <f>IFERROR('Data Sheet'!D59,0)</f>
        <v>78603.98</v>
      </c>
      <c r="F49" s="12">
        <f>IFERROR('Data Sheet'!E59,0)</f>
        <v>88950.47</v>
      </c>
      <c r="G49" s="12">
        <f>IFERROR('Data Sheet'!F59,0)</f>
        <v>106175.34</v>
      </c>
      <c r="H49" s="12">
        <f>IFERROR('Data Sheet'!G59,0)</f>
        <v>124787.64</v>
      </c>
      <c r="I49" s="12">
        <f>IFERROR('Data Sheet'!H59,0)</f>
        <v>142130.57</v>
      </c>
      <c r="J49" s="12">
        <f>IFERROR('Data Sheet'!I59,0)</f>
        <v>146449.03</v>
      </c>
      <c r="K49" s="12">
        <f>IFERROR('Data Sheet'!J59,0)</f>
        <v>134113.44</v>
      </c>
      <c r="L49" s="12">
        <f>IFERROR('Data Sheet'!K59,0)</f>
        <v>107262.5</v>
      </c>
    </row>
    <row r="50" spans="2:13" x14ac:dyDescent="0.3">
      <c r="B50" t="s">
        <v>37</v>
      </c>
      <c r="C50" s="12">
        <f>IFERROR('Data Sheet'!B60,0)</f>
        <v>107442.48</v>
      </c>
      <c r="D50" s="12">
        <f>IFERROR('Data Sheet'!C60,0)</f>
        <v>114871.75</v>
      </c>
      <c r="E50" s="12">
        <f>IFERROR('Data Sheet'!D60,0)</f>
        <v>135914.49</v>
      </c>
      <c r="F50" s="12">
        <f>IFERROR('Data Sheet'!E60,0)</f>
        <v>142813.43</v>
      </c>
      <c r="G50" s="12">
        <f>IFERROR('Data Sheet'!F60,0)</f>
        <v>139348.59</v>
      </c>
      <c r="H50" s="12">
        <f>IFERROR('Data Sheet'!G60,0)</f>
        <v>132313.22</v>
      </c>
      <c r="I50" s="12">
        <f>IFERROR('Data Sheet'!H60,0)</f>
        <v>144192.62</v>
      </c>
      <c r="J50" s="12">
        <f>IFERROR('Data Sheet'!I60,0)</f>
        <v>138051.22</v>
      </c>
      <c r="K50" s="12">
        <f>IFERROR('Data Sheet'!J60,0)</f>
        <v>155239.20000000001</v>
      </c>
      <c r="L50" s="12">
        <f>IFERROR('Data Sheet'!K60,0)</f>
        <v>177340.09</v>
      </c>
    </row>
    <row r="51" spans="2:13" x14ac:dyDescent="0.3">
      <c r="B51" s="29" t="s">
        <v>82</v>
      </c>
      <c r="C51" s="30">
        <f>IFERROR('Data Sheet'!B61,0)</f>
        <v>237314.79</v>
      </c>
      <c r="D51" s="30">
        <f>IFERROR('Data Sheet'!C61,0)</f>
        <v>263184.12</v>
      </c>
      <c r="E51" s="30">
        <f>IFERROR('Data Sheet'!D61,0)</f>
        <v>272580.36</v>
      </c>
      <c r="F51" s="30">
        <f>IFERROR('Data Sheet'!E61,0)</f>
        <v>327191.81</v>
      </c>
      <c r="G51" s="30">
        <f>IFERROR('Data Sheet'!F61,0)</f>
        <v>305703.49</v>
      </c>
      <c r="H51" s="30">
        <f>IFERROR('Data Sheet'!G61,0)</f>
        <v>320179.39</v>
      </c>
      <c r="I51" s="30">
        <f>IFERROR('Data Sheet'!H61,0)</f>
        <v>341569.91</v>
      </c>
      <c r="J51" s="30">
        <f>IFERROR('Data Sheet'!I61,0)</f>
        <v>329061.49</v>
      </c>
      <c r="K51" s="30">
        <f>IFERROR('Data Sheet'!J61,0)</f>
        <v>334674.43</v>
      </c>
      <c r="L51" s="30">
        <f>IFERROR('Data Sheet'!K61,0)</f>
        <v>369520.61</v>
      </c>
      <c r="M51" s="2"/>
    </row>
    <row r="53" spans="2:13" x14ac:dyDescent="0.3">
      <c r="B53" t="s">
        <v>83</v>
      </c>
      <c r="C53" s="12">
        <f>IFERROR('Data Sheet'!B62,0)</f>
        <v>88479.49</v>
      </c>
      <c r="D53" s="12">
        <f>IFERROR('Data Sheet'!C62,0)</f>
        <v>107231.76</v>
      </c>
      <c r="E53" s="12">
        <f>IFERROR('Data Sheet'!D62,0)</f>
        <v>95944.08</v>
      </c>
      <c r="F53" s="12">
        <f>IFERROR('Data Sheet'!E62,0)</f>
        <v>121413.86</v>
      </c>
      <c r="G53" s="12">
        <f>IFERROR('Data Sheet'!F62,0)</f>
        <v>111234.47</v>
      </c>
      <c r="H53" s="12">
        <f>IFERROR('Data Sheet'!G62,0)</f>
        <v>127107.14</v>
      </c>
      <c r="I53" s="12">
        <f>IFERROR('Data Sheet'!H62,0)</f>
        <v>138707.60999999999</v>
      </c>
      <c r="J53" s="12">
        <f>IFERROR('Data Sheet'!I62,0)</f>
        <v>138855.45000000001</v>
      </c>
      <c r="K53" s="12">
        <f>IFERROR('Data Sheet'!J62,0)</f>
        <v>132079.76</v>
      </c>
      <c r="L53" s="12">
        <f>IFERROR('Data Sheet'!K62,0)</f>
        <v>121285.46</v>
      </c>
    </row>
    <row r="54" spans="2:13" x14ac:dyDescent="0.3">
      <c r="B54" t="s">
        <v>15</v>
      </c>
      <c r="C54" s="12">
        <f>IFERROR('Data Sheet'!B63,0)</f>
        <v>28640.09</v>
      </c>
      <c r="D54" s="12">
        <f>IFERROR('Data Sheet'!C63,0)</f>
        <v>25918.94</v>
      </c>
      <c r="E54" s="12">
        <f>IFERROR('Data Sheet'!D63,0)</f>
        <v>33698.839999999997</v>
      </c>
      <c r="F54" s="12">
        <f>IFERROR('Data Sheet'!E63,0)</f>
        <v>40033.5</v>
      </c>
      <c r="G54" s="12">
        <f>IFERROR('Data Sheet'!F63,0)</f>
        <v>31883.84</v>
      </c>
      <c r="H54" s="12">
        <f>IFERROR('Data Sheet'!G63,0)</f>
        <v>35622.29</v>
      </c>
      <c r="I54" s="12">
        <f>IFERROR('Data Sheet'!H63,0)</f>
        <v>20963.93</v>
      </c>
      <c r="J54" s="12">
        <f>IFERROR('Data Sheet'!I63,0)</f>
        <v>10251.09</v>
      </c>
      <c r="K54" s="12">
        <f>IFERROR('Data Sheet'!J63,0)</f>
        <v>14274.5</v>
      </c>
      <c r="L54" s="12">
        <f>IFERROR('Data Sheet'!K63,0)</f>
        <v>35698.43</v>
      </c>
    </row>
    <row r="55" spans="2:13" x14ac:dyDescent="0.3">
      <c r="B55" t="s">
        <v>16</v>
      </c>
      <c r="C55" s="12">
        <f>IFERROR('Data Sheet'!B64,0)</f>
        <v>15336.74</v>
      </c>
      <c r="D55" s="12">
        <f>IFERROR('Data Sheet'!C64,0)</f>
        <v>23767.02</v>
      </c>
      <c r="E55" s="12">
        <f>IFERROR('Data Sheet'!D64,0)</f>
        <v>20337.919999999998</v>
      </c>
      <c r="F55" s="12">
        <f>IFERROR('Data Sheet'!E64,0)</f>
        <v>20812.75</v>
      </c>
      <c r="G55" s="12">
        <f>IFERROR('Data Sheet'!F64,0)</f>
        <v>15770.72</v>
      </c>
      <c r="H55" s="12">
        <f>IFERROR('Data Sheet'!G64,0)</f>
        <v>16308.48</v>
      </c>
      <c r="I55" s="12">
        <f>IFERROR('Data Sheet'!H64,0)</f>
        <v>24620.28</v>
      </c>
      <c r="J55" s="12">
        <f>IFERROR('Data Sheet'!I64,0)</f>
        <v>29379.53</v>
      </c>
      <c r="K55" s="12">
        <f>IFERROR('Data Sheet'!J64,0)</f>
        <v>26379.16</v>
      </c>
      <c r="L55" s="12">
        <f>IFERROR('Data Sheet'!K64,0)</f>
        <v>22971.07</v>
      </c>
    </row>
    <row r="56" spans="2:13" x14ac:dyDescent="0.3">
      <c r="B56" t="s">
        <v>38</v>
      </c>
      <c r="C56" s="12">
        <f>IFERROR('Data Sheet'!B65-SUM('Data Sheet'!B67:B69),0)</f>
        <v>30891.17</v>
      </c>
      <c r="D56" s="12">
        <f>IFERROR('Data Sheet'!C65-SUM('Data Sheet'!C67:C69),0)</f>
        <v>29579.359999999986</v>
      </c>
      <c r="E56" s="12">
        <f>IFERROR('Data Sheet'!D65-SUM('Data Sheet'!D67:D69),0)</f>
        <v>37360.780000000013</v>
      </c>
      <c r="F56" s="12">
        <f>IFERROR('Data Sheet'!E65-SUM('Data Sheet'!E67:E69),0)</f>
        <v>48286.860000000015</v>
      </c>
      <c r="G56" s="12">
        <f>IFERROR('Data Sheet'!F65-SUM('Data Sheet'!F67:F69),0)</f>
        <v>56155.739999999991</v>
      </c>
      <c r="H56" s="12">
        <f>IFERROR('Data Sheet'!G65-SUM('Data Sheet'!G67:G69),0)</f>
        <v>58784.94</v>
      </c>
      <c r="I56" s="12">
        <f>IFERROR('Data Sheet'!H65-SUM('Data Sheet'!H67:H69),0)</f>
        <v>61717.959999999992</v>
      </c>
      <c r="J56" s="12">
        <f>IFERROR('Data Sheet'!I65-SUM('Data Sheet'!I67:I69),0)</f>
        <v>62223.770000000019</v>
      </c>
      <c r="K56" s="12">
        <f>IFERROR('Data Sheet'!J65-SUM('Data Sheet'!J67:J69),0)</f>
        <v>68432.090000000011</v>
      </c>
      <c r="L56" s="12">
        <f>IFERROR('Data Sheet'!K65-SUM('Data Sheet'!K67:K69),0)</f>
        <v>79018.859999999986</v>
      </c>
    </row>
    <row r="57" spans="2:13" x14ac:dyDescent="0.3">
      <c r="B57" s="29" t="s">
        <v>84</v>
      </c>
      <c r="C57" s="30">
        <f>IFERROR(SUM(C53:C56),0)</f>
        <v>163347.49</v>
      </c>
      <c r="D57" s="30">
        <f t="shared" ref="D57:L57" si="18">IFERROR(SUM(D53:D56),0)</f>
        <v>186497.07999999996</v>
      </c>
      <c r="E57" s="30">
        <f t="shared" si="18"/>
        <v>187341.62</v>
      </c>
      <c r="F57" s="30">
        <f t="shared" si="18"/>
        <v>230546.97</v>
      </c>
      <c r="G57" s="30">
        <f t="shared" si="18"/>
        <v>215044.77</v>
      </c>
      <c r="H57" s="30">
        <f t="shared" si="18"/>
        <v>237822.85</v>
      </c>
      <c r="I57" s="30">
        <f t="shared" si="18"/>
        <v>246009.77999999997</v>
      </c>
      <c r="J57" s="30">
        <f t="shared" si="18"/>
        <v>240709.84000000003</v>
      </c>
      <c r="K57" s="30">
        <f t="shared" si="18"/>
        <v>241165.51</v>
      </c>
      <c r="L57" s="30">
        <f t="shared" si="18"/>
        <v>258973.82</v>
      </c>
      <c r="M57" s="2"/>
    </row>
    <row r="58" spans="2:13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3">
      <c r="B59" t="s">
        <v>43</v>
      </c>
      <c r="C59" s="12">
        <f>IFERROR('Data Sheet'!B67,0)</f>
        <v>12579.2</v>
      </c>
      <c r="D59" s="12">
        <f>IFERROR('Data Sheet'!C67,0)</f>
        <v>13570.91</v>
      </c>
      <c r="E59" s="12">
        <f>IFERROR('Data Sheet'!D67,0)</f>
        <v>14075.55</v>
      </c>
      <c r="F59" s="12">
        <f>IFERROR('Data Sheet'!E67,0)</f>
        <v>19893.3</v>
      </c>
      <c r="G59" s="12">
        <f>IFERROR('Data Sheet'!F67,0)</f>
        <v>18996.169999999998</v>
      </c>
      <c r="H59" s="12">
        <f>IFERROR('Data Sheet'!G67,0)</f>
        <v>11172.69</v>
      </c>
      <c r="I59" s="12">
        <f>IFERROR('Data Sheet'!H67,0)</f>
        <v>12679.08</v>
      </c>
      <c r="J59" s="12">
        <f>IFERROR('Data Sheet'!I67,0)</f>
        <v>12442.12</v>
      </c>
      <c r="K59" s="12">
        <f>IFERROR('Data Sheet'!J67,0)</f>
        <v>15737.97</v>
      </c>
      <c r="L59" s="12">
        <f>IFERROR('Data Sheet'!K67,0)</f>
        <v>16951.810000000001</v>
      </c>
    </row>
    <row r="60" spans="2:13" x14ac:dyDescent="0.3">
      <c r="B60" t="s">
        <v>30</v>
      </c>
      <c r="C60" s="12">
        <f>IFERROR('Data Sheet'!B68,0)</f>
        <v>29272.34</v>
      </c>
      <c r="D60" s="12">
        <f>IFERROR('Data Sheet'!C68,0)</f>
        <v>32655.73</v>
      </c>
      <c r="E60" s="12">
        <f>IFERROR('Data Sheet'!D68,0)</f>
        <v>35085.31</v>
      </c>
      <c r="F60" s="12">
        <f>IFERROR('Data Sheet'!E68,0)</f>
        <v>42137.63</v>
      </c>
      <c r="G60" s="12">
        <f>IFERROR('Data Sheet'!F68,0)</f>
        <v>39013.730000000003</v>
      </c>
      <c r="H60" s="12">
        <f>IFERROR('Data Sheet'!G68,0)</f>
        <v>37456.879999999997</v>
      </c>
      <c r="I60" s="12">
        <f>IFERROR('Data Sheet'!H68,0)</f>
        <v>36088.589999999997</v>
      </c>
      <c r="J60" s="12">
        <f>IFERROR('Data Sheet'!I68,0)</f>
        <v>35240.339999999997</v>
      </c>
      <c r="K60" s="12">
        <f>IFERROR('Data Sheet'!J68,0)</f>
        <v>40755.39</v>
      </c>
      <c r="L60" s="12">
        <f>IFERROR('Data Sheet'!K68,0)</f>
        <v>47788.29</v>
      </c>
    </row>
    <row r="61" spans="2:13" x14ac:dyDescent="0.3">
      <c r="B61" t="s">
        <v>52</v>
      </c>
      <c r="C61" s="12">
        <f>IFERROR('Data Sheet'!B69,0)</f>
        <v>32115.759999999998</v>
      </c>
      <c r="D61" s="12">
        <f>IFERROR('Data Sheet'!C69,0)</f>
        <v>30460.400000000001</v>
      </c>
      <c r="E61" s="12">
        <f>IFERROR('Data Sheet'!D69,0)</f>
        <v>36077.879999999997</v>
      </c>
      <c r="F61" s="12">
        <f>IFERROR('Data Sheet'!E69,0)</f>
        <v>34613.910000000003</v>
      </c>
      <c r="G61" s="12">
        <f>IFERROR('Data Sheet'!F69,0)</f>
        <v>32648.82</v>
      </c>
      <c r="H61" s="12">
        <f>IFERROR('Data Sheet'!G69,0)</f>
        <v>33726.97</v>
      </c>
      <c r="I61" s="12">
        <f>IFERROR('Data Sheet'!H69,0)</f>
        <v>46792.46</v>
      </c>
      <c r="J61" s="12">
        <f>IFERROR('Data Sheet'!I69,0)</f>
        <v>40669.19</v>
      </c>
      <c r="K61" s="12">
        <f>IFERROR('Data Sheet'!J69,0)</f>
        <v>37015.56</v>
      </c>
      <c r="L61" s="12">
        <f>IFERROR('Data Sheet'!K69,0)</f>
        <v>45806.69</v>
      </c>
    </row>
    <row r="62" spans="2:13" x14ac:dyDescent="0.3">
      <c r="B62" s="29" t="s">
        <v>85</v>
      </c>
      <c r="C62" s="30">
        <f>IFERROR(SUM(C59:C61),0)</f>
        <v>73967.3</v>
      </c>
      <c r="D62" s="30">
        <f t="shared" ref="D62:L62" si="19">IFERROR(SUM(D59:D61),0)</f>
        <v>76687.040000000008</v>
      </c>
      <c r="E62" s="30">
        <f t="shared" si="19"/>
        <v>85238.739999999991</v>
      </c>
      <c r="F62" s="30">
        <f t="shared" si="19"/>
        <v>96644.84</v>
      </c>
      <c r="G62" s="30">
        <f t="shared" si="19"/>
        <v>90658.72</v>
      </c>
      <c r="H62" s="30">
        <f t="shared" si="19"/>
        <v>82356.540000000008</v>
      </c>
      <c r="I62" s="30">
        <f t="shared" si="19"/>
        <v>95560.13</v>
      </c>
      <c r="J62" s="30">
        <f t="shared" si="19"/>
        <v>88351.65</v>
      </c>
      <c r="K62" s="30">
        <f t="shared" si="19"/>
        <v>93508.92</v>
      </c>
      <c r="L62" s="30">
        <f t="shared" si="19"/>
        <v>110546.79000000001</v>
      </c>
    </row>
    <row r="64" spans="2:13" x14ac:dyDescent="0.3">
      <c r="B64" s="29" t="s">
        <v>86</v>
      </c>
      <c r="C64" s="30">
        <f>IFERROR(C57+C62,0)</f>
        <v>237314.78999999998</v>
      </c>
      <c r="D64" s="30">
        <f t="shared" ref="D64:L64" si="20">IFERROR(D57+D62,0)</f>
        <v>263184.12</v>
      </c>
      <c r="E64" s="30">
        <f t="shared" si="20"/>
        <v>272580.36</v>
      </c>
      <c r="F64" s="30">
        <f t="shared" si="20"/>
        <v>327191.81</v>
      </c>
      <c r="G64" s="30">
        <f t="shared" si="20"/>
        <v>305703.49</v>
      </c>
      <c r="H64" s="30">
        <f t="shared" si="20"/>
        <v>320179.39</v>
      </c>
      <c r="I64" s="30">
        <f t="shared" si="20"/>
        <v>341569.91</v>
      </c>
      <c r="J64" s="30">
        <f t="shared" si="20"/>
        <v>329061.49</v>
      </c>
      <c r="K64" s="30">
        <f t="shared" si="20"/>
        <v>334674.43</v>
      </c>
      <c r="L64" s="30">
        <f t="shared" si="20"/>
        <v>369520.61</v>
      </c>
    </row>
    <row r="66" spans="1:13" x14ac:dyDescent="0.3">
      <c r="B66" s="26" t="s">
        <v>87</v>
      </c>
      <c r="C66" t="b">
        <f>C64=C51</f>
        <v>1</v>
      </c>
      <c r="D66" t="b">
        <f t="shared" ref="D66:L66" si="21">D64=D51</f>
        <v>1</v>
      </c>
      <c r="E66" t="b">
        <f t="shared" si="21"/>
        <v>1</v>
      </c>
      <c r="F66" t="b">
        <f t="shared" si="21"/>
        <v>1</v>
      </c>
      <c r="G66" t="b">
        <f t="shared" si="21"/>
        <v>1</v>
      </c>
      <c r="H66" t="b">
        <f t="shared" si="21"/>
        <v>1</v>
      </c>
      <c r="I66" t="b">
        <f t="shared" si="21"/>
        <v>1</v>
      </c>
      <c r="J66" t="b">
        <f t="shared" si="21"/>
        <v>1</v>
      </c>
      <c r="K66" t="b">
        <f t="shared" si="21"/>
        <v>1</v>
      </c>
      <c r="L66" t="b">
        <f t="shared" si="21"/>
        <v>1</v>
      </c>
    </row>
    <row r="68" spans="1:13" x14ac:dyDescent="0.3">
      <c r="A68" t="s">
        <v>58</v>
      </c>
      <c r="B68" s="21" t="s">
        <v>88</v>
      </c>
      <c r="C68" s="22"/>
      <c r="D68" s="22"/>
      <c r="E68" s="22"/>
      <c r="F68" s="22"/>
      <c r="G68" s="22"/>
      <c r="H68" s="22"/>
      <c r="I68" s="22"/>
      <c r="J68" s="22"/>
      <c r="K68" s="22"/>
      <c r="L68" s="22" t="s">
        <v>63</v>
      </c>
      <c r="M68" s="22"/>
    </row>
    <row r="69" spans="1:13" x14ac:dyDescent="0.3">
      <c r="B69" s="2"/>
    </row>
    <row r="70" spans="1:13" x14ac:dyDescent="0.3">
      <c r="B70" t="s">
        <v>89</v>
      </c>
      <c r="C70" s="12">
        <f>IFERROR('Data Sheet'!B82,0)</f>
        <v>35531.26</v>
      </c>
      <c r="D70" s="12">
        <f>IFERROR('Data Sheet'!C82,0)</f>
        <v>37899.54</v>
      </c>
      <c r="E70" s="12">
        <f>IFERROR('Data Sheet'!D82,0)</f>
        <v>30199.25</v>
      </c>
      <c r="F70" s="12">
        <f>IFERROR('Data Sheet'!E82,0)</f>
        <v>23857.42</v>
      </c>
      <c r="G70" s="12">
        <f>IFERROR('Data Sheet'!F82,0)</f>
        <v>18890.75</v>
      </c>
      <c r="H70" s="12">
        <f>IFERROR('Data Sheet'!G82,0)</f>
        <v>26632.94</v>
      </c>
      <c r="I70" s="12">
        <f>IFERROR('Data Sheet'!H82,0)</f>
        <v>29000.51</v>
      </c>
      <c r="J70" s="12">
        <f>IFERROR('Data Sheet'!I82,0)</f>
        <v>14282.83</v>
      </c>
      <c r="K70" s="12">
        <f>IFERROR('Data Sheet'!J82,0)</f>
        <v>35388.01</v>
      </c>
      <c r="L70" s="12">
        <f>IFERROR('Data Sheet'!K82,0)</f>
        <v>67915.360000000001</v>
      </c>
    </row>
    <row r="72" spans="1:13" x14ac:dyDescent="0.3">
      <c r="B72" t="s">
        <v>118</v>
      </c>
      <c r="C72" s="12">
        <f>IFERROR('Data Sheet'!B83,0)</f>
        <v>-36232.35</v>
      </c>
      <c r="D72" s="12">
        <f>IFERROR('Data Sheet'!C83,0)</f>
        <v>-36693.9</v>
      </c>
      <c r="E72" s="12">
        <f>IFERROR('Data Sheet'!D83,0)</f>
        <v>-39571.4</v>
      </c>
      <c r="F72" s="12">
        <f>IFERROR('Data Sheet'!E83,0)</f>
        <v>-25139.14</v>
      </c>
      <c r="G72" s="12">
        <f>IFERROR('Data Sheet'!F83,0)</f>
        <v>-20878.07</v>
      </c>
      <c r="H72" s="12">
        <f>IFERROR('Data Sheet'!G83,0)</f>
        <v>-33114.550000000003</v>
      </c>
      <c r="I72" s="12">
        <f>IFERROR('Data Sheet'!H83,0)</f>
        <v>-25672.5</v>
      </c>
      <c r="J72" s="12">
        <f>IFERROR('Data Sheet'!I83,0)</f>
        <v>-4443.66</v>
      </c>
      <c r="K72" s="12">
        <f>IFERROR('Data Sheet'!J83,0)</f>
        <v>-15417.17</v>
      </c>
      <c r="L72" s="12">
        <f>IFERROR('Data Sheet'!K83,0)</f>
        <v>-22781.56</v>
      </c>
    </row>
    <row r="74" spans="1:13" x14ac:dyDescent="0.3">
      <c r="B74" t="s">
        <v>119</v>
      </c>
      <c r="C74" s="12">
        <f>IFERROR('Data Sheet'!B84,0)</f>
        <v>5201.4399999999996</v>
      </c>
      <c r="D74" s="12">
        <f>IFERROR('Data Sheet'!C84,0)</f>
        <v>-3795.12</v>
      </c>
      <c r="E74" s="12">
        <f>IFERROR('Data Sheet'!D84,0)</f>
        <v>6205.3</v>
      </c>
      <c r="F74" s="12">
        <f>IFERROR('Data Sheet'!E84,0)</f>
        <v>2011.71</v>
      </c>
      <c r="G74" s="12">
        <f>IFERROR('Data Sheet'!F84,0)</f>
        <v>8830.3700000000008</v>
      </c>
      <c r="H74" s="12">
        <f>IFERROR('Data Sheet'!G84,0)</f>
        <v>3389.61</v>
      </c>
      <c r="I74" s="12">
        <f>IFERROR('Data Sheet'!H84,0)</f>
        <v>9904.2000000000007</v>
      </c>
      <c r="J74" s="12">
        <f>IFERROR('Data Sheet'!I84,0)</f>
        <v>-3380.17</v>
      </c>
      <c r="K74" s="12">
        <f>IFERROR('Data Sheet'!J84,0)</f>
        <v>-26242.9</v>
      </c>
      <c r="L74" s="12">
        <f>IFERROR('Data Sheet'!K84,0)</f>
        <v>-37005.99</v>
      </c>
    </row>
    <row r="76" spans="1:13" x14ac:dyDescent="0.3">
      <c r="B76" s="25" t="s">
        <v>21</v>
      </c>
      <c r="C76" s="25">
        <f t="shared" ref="C76:L76" si="22">IFERROR(C70+C72+C74,0)</f>
        <v>4500.3500000000031</v>
      </c>
      <c r="D76" s="25">
        <f t="shared" si="22"/>
        <v>-2589.4800000000005</v>
      </c>
      <c r="E76" s="25">
        <f t="shared" si="22"/>
        <v>-3166.8500000000013</v>
      </c>
      <c r="F76" s="25">
        <f t="shared" si="22"/>
        <v>729.98999999999887</v>
      </c>
      <c r="G76" s="25">
        <f t="shared" si="22"/>
        <v>6843.0500000000011</v>
      </c>
      <c r="H76" s="25">
        <f t="shared" si="22"/>
        <v>-3092.0000000000041</v>
      </c>
      <c r="I76" s="25">
        <f t="shared" si="22"/>
        <v>13232.21</v>
      </c>
      <c r="J76" s="25">
        <f t="shared" si="22"/>
        <v>6459</v>
      </c>
      <c r="K76" s="25">
        <f t="shared" si="22"/>
        <v>-6272.0599999999977</v>
      </c>
      <c r="L76" s="25">
        <f t="shared" si="22"/>
        <v>8127.8100000000049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2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A601-5EAA-4A55-8149-4E753482546D}">
  <sheetPr>
    <tabColor theme="7" tint="-0.249977111117893"/>
  </sheetPr>
  <dimension ref="B2:O40"/>
  <sheetViews>
    <sheetView showGridLines="0" zoomScaleNormal="100" workbookViewId="0">
      <pane ySplit="3" topLeftCell="A4" activePane="bottomLeft" state="frozen"/>
      <selection pane="bottomLeft" activeCell="P10" sqref="P10"/>
    </sheetView>
  </sheetViews>
  <sheetFormatPr defaultRowHeight="14.4" x14ac:dyDescent="0.3"/>
  <cols>
    <col min="1" max="1" width="1.88671875" customWidth="1"/>
    <col min="2" max="2" width="28.88671875" customWidth="1"/>
    <col min="9" max="10" width="9.6640625" bestFit="1" customWidth="1"/>
    <col min="13" max="13" width="16.77734375" customWidth="1"/>
    <col min="14" max="14" width="8.6640625" bestFit="1" customWidth="1"/>
    <col min="15" max="15" width="7.6640625" bestFit="1" customWidth="1"/>
  </cols>
  <sheetData>
    <row r="2" spans="2:15" x14ac:dyDescent="0.3">
      <c r="B2" s="149" t="str">
        <f>"Ratio Analysis - "&amp;'Data Sheet'!B1</f>
        <v>Ratio Analysis - TATA MOTORS LTD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</row>
    <row r="3" spans="2:15" x14ac:dyDescent="0.3">
      <c r="B3" s="9" t="s">
        <v>55</v>
      </c>
      <c r="C3" s="10">
        <f>'Data Sheet'!B16</f>
        <v>42094</v>
      </c>
      <c r="D3" s="10">
        <f>'Data Sheet'!C16</f>
        <v>42460</v>
      </c>
      <c r="E3" s="10">
        <f>'Data Sheet'!D16</f>
        <v>42825</v>
      </c>
      <c r="F3" s="10">
        <f>'Data Sheet'!E16</f>
        <v>43190</v>
      </c>
      <c r="G3" s="10">
        <f>'Data Sheet'!F16</f>
        <v>43555</v>
      </c>
      <c r="H3" s="10">
        <f>'Data Sheet'!G16</f>
        <v>43921</v>
      </c>
      <c r="I3" s="10">
        <f>'Data Sheet'!H16</f>
        <v>44286</v>
      </c>
      <c r="J3" s="10">
        <f>'Data Sheet'!I16</f>
        <v>44651</v>
      </c>
      <c r="K3" s="10">
        <f>'Data Sheet'!J16</f>
        <v>45016</v>
      </c>
      <c r="L3" s="10">
        <f>'Data Sheet'!K16</f>
        <v>45382</v>
      </c>
      <c r="M3" s="44" t="s">
        <v>152</v>
      </c>
      <c r="N3" s="10" t="s">
        <v>150</v>
      </c>
      <c r="O3" s="10" t="s">
        <v>151</v>
      </c>
    </row>
    <row r="5" spans="2:15" x14ac:dyDescent="0.3">
      <c r="B5" s="33" t="s">
        <v>120</v>
      </c>
      <c r="C5" s="33"/>
      <c r="D5" s="34">
        <f>IFERROR(HistoricalFS!D7,0)</f>
        <v>3.75690010654397E-2</v>
      </c>
      <c r="E5" s="34">
        <f>IFERROR(HistoricalFS!E7,0)</f>
        <v>-1.2280329732469508E-2</v>
      </c>
      <c r="F5" s="34">
        <f>IFERROR(HistoricalFS!F7,0)</f>
        <v>8.104774581985974E-2</v>
      </c>
      <c r="G5" s="34">
        <f>IFERROR(HistoricalFS!G7,0)</f>
        <v>3.5629919045237157E-2</v>
      </c>
      <c r="H5" s="34">
        <f>IFERROR(HistoricalFS!H7,0)</f>
        <v>-0.135360159555724</v>
      </c>
      <c r="I5" s="34">
        <f>IFERROR(HistoricalFS!I7,0)</f>
        <v>-4.3181168490336042E-2</v>
      </c>
      <c r="J5" s="34">
        <f>IFERROR(HistoricalFS!J7,0)</f>
        <v>0.11472967306158344</v>
      </c>
      <c r="K5" s="34">
        <f>IFERROR(HistoricalFS!K7,0)</f>
        <v>0.24245815155859707</v>
      </c>
      <c r="L5" s="34">
        <f>IFERROR(HistoricalFS!L7,0)</f>
        <v>0.26580803363974326</v>
      </c>
      <c r="M5" s="33"/>
      <c r="N5" s="34">
        <f>IFERROR(AVERAGE(D5:L5),0)</f>
        <v>6.5157874045770087E-2</v>
      </c>
      <c r="O5" s="34">
        <f>IFERROR(MEDIAN(C5:L5),0)</f>
        <v>3.75690010654397E-2</v>
      </c>
    </row>
    <row r="6" spans="2:15" x14ac:dyDescent="0.3">
      <c r="B6" t="s">
        <v>121</v>
      </c>
      <c r="D6" s="35">
        <f>IFERROR(HistoricalFS!D18/HistoricalFS!C18-1,0)</f>
        <v>-2.1494113584437979E-2</v>
      </c>
      <c r="E6" s="35">
        <f>IFERROR(HistoricalFS!E18/HistoricalFS!D18-1,0)</f>
        <v>-0.22936587208052905</v>
      </c>
      <c r="F6" s="35">
        <f>IFERROR(HistoricalFS!F18/HistoricalFS!E18-1,0)</f>
        <v>6.3165689322506102E-2</v>
      </c>
      <c r="G6" s="35">
        <f>IFERROR(HistoricalFS!G18/HistoricalFS!F18-1,0)</f>
        <v>-0.21595203460649259</v>
      </c>
      <c r="H6" s="35">
        <f>IFERROR(HistoricalFS!H18/HistoricalFS!G18-1,0)</f>
        <v>-0.27072537547138131</v>
      </c>
      <c r="I6" s="35">
        <f>IFERROR(HistoricalFS!I18/HistoricalFS!H18-1,0)</f>
        <v>0.79503554497758966</v>
      </c>
      <c r="J6" s="35">
        <f>IFERROR(HistoricalFS!J18/HistoricalFS!I18-1,0)</f>
        <v>-0.234374182150762</v>
      </c>
      <c r="K6" s="35">
        <f>IFERROR(HistoricalFS!K18/HistoricalFS!J18-1,0)</f>
        <v>0.28704223973294352</v>
      </c>
      <c r="L6" s="35">
        <f>IFERROR(HistoricalFS!L18/HistoricalFS!K18-1,0)</f>
        <v>0.87134505497269021</v>
      </c>
      <c r="N6" s="35">
        <f t="shared" ref="N6:N9" si="0">IFERROR(AVERAGE(D6:L6),0)</f>
        <v>0.11607521679023629</v>
      </c>
      <c r="O6" s="35">
        <f t="shared" ref="O6:O38" si="1">IFERROR(MEDIAN(C6:L6),0)</f>
        <v>-2.1494113584437979E-2</v>
      </c>
    </row>
    <row r="7" spans="2:15" x14ac:dyDescent="0.3">
      <c r="B7" t="s">
        <v>122</v>
      </c>
      <c r="D7" s="35">
        <f>IFERROR(HistoricalFS!D27/HistoricalFS!C27-1,0)</f>
        <v>-0.19978245260625749</v>
      </c>
      <c r="E7" s="35">
        <f>IFERROR(HistoricalFS!E27/HistoricalFS!D27-1,0)</f>
        <v>-0.55668251823863213</v>
      </c>
      <c r="F7" s="35">
        <f>IFERROR(HistoricalFS!F27/HistoricalFS!E27-1,0)</f>
        <v>-0.29861436616351744</v>
      </c>
      <c r="G7" s="35">
        <f>IFERROR(HistoricalFS!G27/HistoricalFS!F27-1,0)</f>
        <v>-1.897095149646705</v>
      </c>
      <c r="H7" s="35">
        <f>IFERROR(HistoricalFS!H27/HistoricalFS!G27-1,0)</f>
        <v>1.2800251873039095</v>
      </c>
      <c r="I7" s="35">
        <f>IFERROR(HistoricalFS!I27/HistoricalFS!H27-1,0)</f>
        <v>-1.0602479570180365</v>
      </c>
      <c r="J7" s="35">
        <f>IFERROR(HistoricalFS!J27/HistoricalFS!I27-1,0)</f>
        <v>-15.64914925025267</v>
      </c>
      <c r="K7" s="35">
        <f>IFERROR(HistoricalFS!K27/HistoricalFS!J27-1,0)</f>
        <v>-0.65313668793078505</v>
      </c>
      <c r="L7" s="35">
        <f>IFERROR(HistoricalFS!L27/HistoricalFS!K27-1,0)</f>
        <v>-7.8141215397976129</v>
      </c>
      <c r="N7" s="35">
        <f t="shared" si="0"/>
        <v>-2.9832005260389232</v>
      </c>
      <c r="O7" s="35">
        <f t="shared" si="1"/>
        <v>-0.65313668793078505</v>
      </c>
    </row>
    <row r="8" spans="2:15" x14ac:dyDescent="0.3">
      <c r="B8" t="s">
        <v>123</v>
      </c>
      <c r="D8" s="35">
        <f>IFERROR(HistoricalFS!D33/HistoricalFS!C33-1,0)</f>
        <v>3.1824673563310757E-2</v>
      </c>
      <c r="E8" s="35">
        <f>IFERROR(HistoricalFS!E33/HistoricalFS!D33-1,0)</f>
        <v>-0.69539895165986787</v>
      </c>
      <c r="F8" s="35">
        <f>IFERROR(HistoricalFS!F33/HistoricalFS!E33-1,0)</f>
        <v>-0.79011124197155724</v>
      </c>
      <c r="G8" s="35">
        <f>IFERROR(HistoricalFS!G33/HistoricalFS!F33-1,0)</f>
        <v>-3.5528470983790919</v>
      </c>
      <c r="H8" s="35">
        <f>IFERROR(HistoricalFS!H33/HistoricalFS!G33-1,0)</f>
        <v>3.9286702707513577</v>
      </c>
      <c r="I8" s="35">
        <f>IFERROR(HistoricalFS!I33/HistoricalFS!H33-1,0)</f>
        <v>-0.82862505348950144</v>
      </c>
      <c r="J8" s="35">
        <f>IFERROR(HistoricalFS!J33/HistoricalFS!I33-1,0)</f>
        <v>6.1952157445306248</v>
      </c>
      <c r="K8" s="35">
        <f>IFERROR(HistoricalFS!K33/HistoricalFS!J33-1,0)</f>
        <v>-0.7090436533357708</v>
      </c>
      <c r="L8" s="35">
        <f>IFERROR(HistoricalFS!L33/HistoricalFS!K33-1,0)</f>
        <v>-7.5761027654059525</v>
      </c>
      <c r="N8" s="35">
        <f t="shared" si="0"/>
        <v>-0.44404645282182759</v>
      </c>
      <c r="O8" s="35">
        <f>IFERROR(MEDIAN(C8:L8),0)</f>
        <v>-0.7090436533357708</v>
      </c>
    </row>
    <row r="9" spans="2:15" x14ac:dyDescent="0.3">
      <c r="B9" s="36" t="s">
        <v>124</v>
      </c>
      <c r="C9" s="36"/>
      <c r="D9" s="37">
        <f>IFERROR(HistoricalFS!D41/HistoricalFS!C41-1,0)</f>
        <v>0</v>
      </c>
      <c r="E9" s="37">
        <f>IFERROR(HistoricalFS!E41/HistoricalFS!D41-1,0)</f>
        <v>-1</v>
      </c>
      <c r="F9" s="37">
        <f>IFERROR(HistoricalFS!F41/HistoricalFS!E41-1,0)</f>
        <v>0</v>
      </c>
      <c r="G9" s="37">
        <f>IFERROR(HistoricalFS!G41/HistoricalFS!F41-1,0)</f>
        <v>0</v>
      </c>
      <c r="H9" s="37">
        <f>IFERROR(HistoricalFS!H41/HistoricalFS!G41-1,0)</f>
        <v>0</v>
      </c>
      <c r="I9" s="37">
        <f>IFERROR(HistoricalFS!I41/HistoricalFS!H41-1,0)</f>
        <v>0</v>
      </c>
      <c r="J9" s="37">
        <f>IFERROR(HistoricalFS!J41/HistoricalFS!I41-1,0)</f>
        <v>0</v>
      </c>
      <c r="K9" s="37">
        <f>IFERROR(HistoricalFS!K41/HistoricalFS!J41-1,0)</f>
        <v>0</v>
      </c>
      <c r="L9" s="37">
        <f>IFERROR(HistoricalFS!L41/HistoricalFS!K41-1,0)</f>
        <v>1.9997122285739932</v>
      </c>
      <c r="M9" s="36"/>
      <c r="N9" s="37">
        <f t="shared" si="0"/>
        <v>0.11107913650822147</v>
      </c>
      <c r="O9" s="37">
        <f t="shared" si="1"/>
        <v>0</v>
      </c>
    </row>
    <row r="11" spans="2:15" x14ac:dyDescent="0.3">
      <c r="B11" s="33" t="s">
        <v>125</v>
      </c>
      <c r="C11" s="34">
        <f>IFERROR(HistoricalFS!C13,0)</f>
        <v>0.22914703499762759</v>
      </c>
      <c r="D11" s="34">
        <f>IFERROR(HistoricalFS!D13,0)</f>
        <v>0.24734524196690946</v>
      </c>
      <c r="E11" s="34">
        <f>IFERROR(HistoricalFS!E13,0)</f>
        <v>0.23819078253229964</v>
      </c>
      <c r="F11" s="34">
        <f>IFERROR(HistoricalFS!F13,0)</f>
        <v>0.21649990080619999</v>
      </c>
      <c r="G11" s="34">
        <f>IFERROR(HistoricalFS!G13,0)</f>
        <v>0.19571167496416494</v>
      </c>
      <c r="H11" s="34">
        <f>IFERROR(HistoricalFS!H13,0)</f>
        <v>0.19417127271491774</v>
      </c>
      <c r="I11" s="34">
        <f>IFERROR(HistoricalFS!I13,0)</f>
        <v>0.2180538622208833</v>
      </c>
      <c r="J11" s="34">
        <f>IFERROR(HistoricalFS!J13,0)</f>
        <v>0.19807108271747378</v>
      </c>
      <c r="K11" s="34">
        <f>IFERROR(HistoricalFS!K13,0)</f>
        <v>0.20685017994636876</v>
      </c>
      <c r="L11" s="34">
        <f>IFERROR(HistoricalFS!L13,0)</f>
        <v>0.23605714704961514</v>
      </c>
      <c r="M11" s="33"/>
      <c r="N11" s="34">
        <f>IFERROR(AVERAGE(C11:L11),0)</f>
        <v>0.21800981799164604</v>
      </c>
      <c r="O11" s="34">
        <f t="shared" si="1"/>
        <v>0.21727688151354163</v>
      </c>
    </row>
    <row r="12" spans="2:15" x14ac:dyDescent="0.3">
      <c r="B12" t="s">
        <v>126</v>
      </c>
      <c r="C12" s="35">
        <f>IFERROR(HistoricalFS!C19,0)</f>
        <v>0.14910625508580397</v>
      </c>
      <c r="D12" s="35">
        <f>IFERROR(HistoricalFS!D19,0)</f>
        <v>0.14061845347443788</v>
      </c>
      <c r="E12" s="35">
        <f>IFERROR(HistoricalFS!E19,0)</f>
        <v>0.10971268723777329</v>
      </c>
      <c r="F12" s="35">
        <f>IFERROR(HistoricalFS!F19,0)</f>
        <v>0.10789788444182975</v>
      </c>
      <c r="G12" s="35">
        <f>IFERROR(HistoricalFS!G19,0)</f>
        <v>8.1686628795807431E-2</v>
      </c>
      <c r="H12" s="35">
        <f>IFERROR(HistoricalFS!H19,0)</f>
        <v>6.8898034485042198E-2</v>
      </c>
      <c r="I12" s="35">
        <f>IFERROR(HistoricalFS!I19,0)</f>
        <v>0.12925583904385496</v>
      </c>
      <c r="J12" s="35">
        <f>IFERROR(HistoricalFS!J19,0)</f>
        <v>8.877632835227646E-2</v>
      </c>
      <c r="K12" s="35">
        <f>IFERROR(HistoricalFS!K19,0)</f>
        <v>9.1961958102532049E-2</v>
      </c>
      <c r="L12" s="35">
        <f>IFERROR(HistoricalFS!L19,0)</f>
        <v>0.13595470321509878</v>
      </c>
      <c r="N12" s="35">
        <f>IFERROR(AVERAGE(C12:L12),0)</f>
        <v>0.11038687722344567</v>
      </c>
      <c r="O12" s="35">
        <f t="shared" si="1"/>
        <v>0.10880528583980152</v>
      </c>
    </row>
    <row r="13" spans="2:15" x14ac:dyDescent="0.3">
      <c r="B13" t="s">
        <v>127</v>
      </c>
      <c r="C13" s="35">
        <f>IFERROR((HistoricalFS!C18-HistoricalFS!C24)/HistoricalFS!C6,0)</f>
        <v>9.8229670900837146E-2</v>
      </c>
      <c r="D13" s="35">
        <f>IFERROR((HistoricalFS!D18-HistoricalFS!D24)/HistoricalFS!D6,0)</f>
        <v>7.941702777851016E-2</v>
      </c>
      <c r="E13" s="35">
        <f>IFERROR((HistoricalFS!E18-HistoricalFS!E24)/HistoricalFS!E6,0)</f>
        <v>4.3322300645279484E-2</v>
      </c>
      <c r="F13" s="35">
        <f>IFERROR((HistoricalFS!F18-HistoricalFS!F24)/HistoricalFS!F6,0)</f>
        <v>3.3970412259310953E-2</v>
      </c>
      <c r="G13" s="35">
        <f>IFERROR((HistoricalFS!G18-HistoricalFS!G24)/HistoricalFS!G6,0)</f>
        <v>3.5560233478087663E-3</v>
      </c>
      <c r="H13" s="35">
        <f>IFERROR((HistoricalFS!H18-HistoricalFS!H24)/HistoricalFS!H6,0)</f>
        <v>-1.3170363258273456E-2</v>
      </c>
      <c r="I13" s="35">
        <f>IFERROR((HistoricalFS!I18-HistoricalFS!I24)/HistoricalFS!I6,0)</f>
        <v>3.4991608110258483E-2</v>
      </c>
      <c r="J13" s="35">
        <f>IFERROR((HistoricalFS!J18-HistoricalFS!J24)/HistoricalFS!J6,0)</f>
        <v>-4.1514992694289269E-4</v>
      </c>
      <c r="K13" s="35">
        <f>IFERROR((HistoricalFS!K18-HistoricalFS!K24)/HistoricalFS!K6,0)</f>
        <v>2.0104346955433228E-2</v>
      </c>
      <c r="L13" s="35">
        <f>IFERROR((HistoricalFS!L18-HistoricalFS!L24)/HistoricalFS!L6,0)</f>
        <v>7.3683863437114389E-2</v>
      </c>
      <c r="N13" s="35">
        <f>IFERROR(AVERAGE(C13:L13),0)</f>
        <v>3.7368974024933624E-2</v>
      </c>
      <c r="O13" s="35">
        <f t="shared" si="1"/>
        <v>3.4481010184784722E-2</v>
      </c>
    </row>
    <row r="14" spans="2:15" x14ac:dyDescent="0.3">
      <c r="B14" t="s">
        <v>128</v>
      </c>
      <c r="C14" s="35">
        <f>IFERROR(HistoricalFS!C28,0)</f>
        <v>7.9756085085905037E-2</v>
      </c>
      <c r="D14" s="35">
        <f>IFERROR(HistoricalFS!D28,0)</f>
        <v>6.1511300676516931E-2</v>
      </c>
      <c r="E14" s="35">
        <f>IFERROR(HistoricalFS!E28,0)</f>
        <v>2.7608071132565179E-2</v>
      </c>
      <c r="F14" s="35">
        <f>IFERROR(HistoricalFS!F28,0)</f>
        <v>1.7912163958707913E-2</v>
      </c>
      <c r="G14" s="35">
        <f>IFERROR(HistoricalFS!G28,0)</f>
        <v>-1.5516078776333117E-2</v>
      </c>
      <c r="H14" s="35">
        <f>IFERROR(HistoricalFS!H28,0)</f>
        <v>-4.0915360088026265E-2</v>
      </c>
      <c r="I14" s="35">
        <f>IFERROR(HistoricalFS!I28,0)</f>
        <v>2.5763151547420113E-3</v>
      </c>
      <c r="J14" s="35">
        <f>IFERROR(HistoricalFS!J28,0)</f>
        <v>-3.3856482095653805E-2</v>
      </c>
      <c r="K14" s="35">
        <f>IFERROR(HistoricalFS!K28,0)</f>
        <v>-9.4518849588445895E-3</v>
      </c>
      <c r="L14" s="35">
        <f>IFERROR(HistoricalFS!L28,0)</f>
        <v>5.0881564327377643E-2</v>
      </c>
      <c r="N14" s="35">
        <f>IFERROR(AVERAGE(C14:L14),0)</f>
        <v>1.4050569441695698E-2</v>
      </c>
      <c r="O14" s="35">
        <f>IFERROR(MEDIAN(C14:L14),0)</f>
        <v>1.0244239556724962E-2</v>
      </c>
    </row>
    <row r="15" spans="2:15" x14ac:dyDescent="0.3">
      <c r="B15" s="36" t="s">
        <v>129</v>
      </c>
      <c r="C15" s="37">
        <f>IFERROR(HistoricalFS!C34,0)</f>
        <v>5.0713146858982282E-2</v>
      </c>
      <c r="D15" s="37">
        <f>IFERROR(HistoricalFS!D34,0)</f>
        <v>5.0432381990407359E-2</v>
      </c>
      <c r="E15" s="37">
        <f>IFERROR(HistoricalFS!E34,0)</f>
        <v>1.5552749314395296E-2</v>
      </c>
      <c r="F15" s="37">
        <f>IFERROR(HistoricalFS!F34,0)</f>
        <v>3.01961430487095E-3</v>
      </c>
      <c r="G15" s="37">
        <f>IFERROR(HistoricalFS!G34,0)</f>
        <v>-7.4434056747998256E-3</v>
      </c>
      <c r="H15" s="37">
        <f>IFERROR(HistoricalFS!H34,0)</f>
        <v>-4.2429333632923408E-2</v>
      </c>
      <c r="I15" s="37">
        <f>IFERROR(HistoricalFS!I34,0)</f>
        <v>-7.5994791724005731E-3</v>
      </c>
      <c r="J15" s="37">
        <f>IFERROR(HistoricalFS!J34,0)</f>
        <v>-4.9052154538339235E-2</v>
      </c>
      <c r="K15" s="37">
        <f>IFERROR(HistoricalFS!K34,0)</f>
        <v>-1.1486934720964945E-2</v>
      </c>
      <c r="L15" s="37">
        <f>IFERROR(HistoricalFS!L34,0)</f>
        <v>5.9676713353894045E-2</v>
      </c>
      <c r="M15" s="36"/>
      <c r="N15" s="37">
        <f>IFERROR(AVERAGE(C15:L15),0)</f>
        <v>6.1383298083121946E-3</v>
      </c>
      <c r="O15" s="37">
        <f t="shared" si="1"/>
        <v>-2.2118956849644378E-3</v>
      </c>
    </row>
    <row r="17" spans="2:15" x14ac:dyDescent="0.3">
      <c r="B17" s="33" t="s">
        <v>130</v>
      </c>
      <c r="C17" s="34">
        <f>IFERROR(HistoricalFS!C16,0)</f>
        <v>8.0040779911823637E-2</v>
      </c>
      <c r="D17" s="34">
        <f>IFERROR(HistoricalFS!D16,0)</f>
        <v>0.10672678849247161</v>
      </c>
      <c r="E17" s="34">
        <f>IFERROR(HistoricalFS!E16,0)</f>
        <v>0.12847809529452636</v>
      </c>
      <c r="F17" s="34">
        <f>IFERROR(HistoricalFS!F16,0)</f>
        <v>0.10860201636437025</v>
      </c>
      <c r="G17" s="34">
        <f>IFERROR(HistoricalFS!G16,0)</f>
        <v>0.11402504616835751</v>
      </c>
      <c r="H17" s="34">
        <f>IFERROR(HistoricalFS!H16,0)</f>
        <v>0.12527323822987554</v>
      </c>
      <c r="I17" s="34">
        <f>IFERROR(HistoricalFS!I16,0)</f>
        <v>8.8798023177028354E-2</v>
      </c>
      <c r="J17" s="34">
        <f>IFERROR(HistoricalFS!J16,0)</f>
        <v>0.10929475436519734</v>
      </c>
      <c r="K17" s="34">
        <f>IFERROR(HistoricalFS!K16,0)</f>
        <v>0.11488822184383672</v>
      </c>
      <c r="L17" s="34">
        <f>IFERROR(HistoricalFS!L16,0)</f>
        <v>0.10010244383451636</v>
      </c>
      <c r="M17" s="33"/>
      <c r="N17" s="34">
        <f>IFERROR(AVERAGE(C17:L17),0)</f>
        <v>0.10762294076820036</v>
      </c>
      <c r="O17" s="34">
        <f t="shared" si="1"/>
        <v>0.1089483853647838</v>
      </c>
    </row>
    <row r="18" spans="2:15" x14ac:dyDescent="0.3">
      <c r="B18" t="s">
        <v>131</v>
      </c>
      <c r="C18" s="35">
        <f>IFERROR(HistoricalFS!C25,0)</f>
        <v>5.0876584184966822E-2</v>
      </c>
      <c r="D18" s="35">
        <f>IFERROR(HistoricalFS!D25,0)</f>
        <v>6.1201425695927715E-2</v>
      </c>
      <c r="E18" s="35">
        <f>IFERROR(HistoricalFS!E25,0)</f>
        <v>6.63903865924938E-2</v>
      </c>
      <c r="F18" s="35">
        <f>IFERROR(HistoricalFS!F25,0)</f>
        <v>7.3927472182518786E-2</v>
      </c>
      <c r="G18" s="35">
        <f>IFERROR(HistoricalFS!G25,0)</f>
        <v>7.8130605447998658E-2</v>
      </c>
      <c r="H18" s="35">
        <f>IFERROR(HistoricalFS!H25,0)</f>
        <v>8.206839774331566E-2</v>
      </c>
      <c r="I18" s="35">
        <f>IFERROR(HistoricalFS!I25,0)</f>
        <v>9.4264230933596482E-2</v>
      </c>
      <c r="J18" s="35">
        <f>IFERROR(HistoricalFS!J25,0)</f>
        <v>8.9191478279219347E-2</v>
      </c>
      <c r="K18" s="35">
        <f>IFERROR(HistoricalFS!K25,0)</f>
        <v>7.1857611147098821E-2</v>
      </c>
      <c r="L18" s="35">
        <f>IFERROR(HistoricalFS!L25,0)</f>
        <v>6.2270839777984394E-2</v>
      </c>
      <c r="N18" s="35">
        <f t="shared" ref="N18:N39" si="2">IFERROR(AVERAGE(C18:L18),0)</f>
        <v>7.3017903198512063E-2</v>
      </c>
      <c r="O18" s="35">
        <f t="shared" si="1"/>
        <v>7.2892541664808796E-2</v>
      </c>
    </row>
    <row r="19" spans="2:15" x14ac:dyDescent="0.3">
      <c r="B19" s="36" t="s">
        <v>132</v>
      </c>
      <c r="C19" s="38">
        <f>C13</f>
        <v>9.8229670900837146E-2</v>
      </c>
      <c r="D19" s="38">
        <f t="shared" ref="D19:L19" si="3">D13</f>
        <v>7.941702777851016E-2</v>
      </c>
      <c r="E19" s="38">
        <f t="shared" si="3"/>
        <v>4.3322300645279484E-2</v>
      </c>
      <c r="F19" s="38">
        <f t="shared" si="3"/>
        <v>3.3970412259310953E-2</v>
      </c>
      <c r="G19" s="38">
        <f t="shared" si="3"/>
        <v>3.5560233478087663E-3</v>
      </c>
      <c r="H19" s="38">
        <f t="shared" si="3"/>
        <v>-1.3170363258273456E-2</v>
      </c>
      <c r="I19" s="38">
        <f t="shared" si="3"/>
        <v>3.4991608110258483E-2</v>
      </c>
      <c r="J19" s="38">
        <f t="shared" si="3"/>
        <v>-4.1514992694289269E-4</v>
      </c>
      <c r="K19" s="38">
        <f t="shared" si="3"/>
        <v>2.0104346955433228E-2</v>
      </c>
      <c r="L19" s="38">
        <f t="shared" si="3"/>
        <v>7.3683863437114389E-2</v>
      </c>
      <c r="M19" s="36"/>
      <c r="N19" s="37">
        <f t="shared" si="2"/>
        <v>3.7368974024933624E-2</v>
      </c>
      <c r="O19" s="37">
        <f t="shared" si="1"/>
        <v>3.4481010184784722E-2</v>
      </c>
    </row>
    <row r="21" spans="2:15" x14ac:dyDescent="0.3">
      <c r="B21" s="33" t="s">
        <v>133</v>
      </c>
      <c r="C21" s="34">
        <f>IFERROR((HistoricalFS!C18-HistoricalFS!C24)/SUM(HistoricalFS!C47:C49),0)</f>
        <v>0.19904181268509033</v>
      </c>
      <c r="D21" s="34">
        <f>IFERROR((HistoricalFS!D18-HistoricalFS!D24)/SUM(HistoricalFS!D47:D49),0)</f>
        <v>0.1462081011853561</v>
      </c>
      <c r="E21" s="34">
        <f>IFERROR((HistoricalFS!E18-HistoricalFS!E24)/SUM(HistoricalFS!E47:E49),0)</f>
        <v>8.5490986154773282E-2</v>
      </c>
      <c r="F21" s="34">
        <f>IFERROR((HistoricalFS!F18-HistoricalFS!F24)/SUM(HistoricalFS!F47:F49),0)</f>
        <v>5.3716113570365424E-2</v>
      </c>
      <c r="G21" s="34">
        <f>IFERROR((HistoricalFS!G18-HistoricalFS!G24)/SUM(HistoricalFS!G47:G49),0)</f>
        <v>6.4542733637543747E-3</v>
      </c>
      <c r="H21" s="34">
        <f>IFERROR((HistoricalFS!H18-HistoricalFS!H24)/SUM(HistoricalFS!H47:H49),0)</f>
        <v>-1.8302177555437667E-2</v>
      </c>
      <c r="I21" s="34">
        <f>IFERROR((HistoricalFS!I18-HistoricalFS!I24)/SUM(HistoricalFS!I47:I49),0)</f>
        <v>4.4284324706251613E-2</v>
      </c>
      <c r="J21" s="34">
        <f>IFERROR((HistoricalFS!J18-HistoricalFS!J24)/SUM(HistoricalFS!J47:J49),0)</f>
        <v>-6.0520306054739361E-4</v>
      </c>
      <c r="K21" s="34">
        <f>IFERROR((HistoricalFS!K18-HistoricalFS!K24)/SUM(HistoricalFS!K47:K49),0)</f>
        <v>3.8762956416083731E-2</v>
      </c>
      <c r="L21" s="34">
        <f>IFERROR((HistoricalFS!L18-HistoricalFS!L24)/SUM(HistoricalFS!L47:L49),0)</f>
        <v>0.16790572738589757</v>
      </c>
      <c r="M21" s="33"/>
      <c r="N21" s="34">
        <f>IFERROR(AVERAGE(C21:L21),0)</f>
        <v>7.2295691485158756E-2</v>
      </c>
      <c r="O21" s="34">
        <f t="shared" si="1"/>
        <v>4.9000219138308515E-2</v>
      </c>
    </row>
    <row r="22" spans="2:15" x14ac:dyDescent="0.3">
      <c r="B22" t="s">
        <v>134</v>
      </c>
      <c r="C22" s="35">
        <f>IFERROR(HistoricalFS!C44,0)</f>
        <v>1</v>
      </c>
      <c r="D22" s="35">
        <f>IFERROR(HistoricalFS!D44,0)</f>
        <v>0.99506765991253665</v>
      </c>
      <c r="E22" s="35">
        <f>IFERROR(HistoricalFS!E44,0)</f>
        <v>1</v>
      </c>
      <c r="F22" s="35">
        <f>IFERROR(HistoricalFS!F44,0)</f>
        <v>1</v>
      </c>
      <c r="G22" s="35">
        <f>IFERROR(HistoricalFS!G44,0)</f>
        <v>0</v>
      </c>
      <c r="H22" s="35">
        <f>IFERROR(HistoricalFS!H44,0)</f>
        <v>0</v>
      </c>
      <c r="I22" s="35">
        <f>IFERROR(HistoricalFS!I44,0)</f>
        <v>0</v>
      </c>
      <c r="J22" s="35">
        <f>IFERROR(HistoricalFS!J44,0)</f>
        <v>0</v>
      </c>
      <c r="K22" s="35">
        <f>IFERROR(HistoricalFS!K44,0)</f>
        <v>0</v>
      </c>
      <c r="L22" s="35">
        <f>IFERROR(HistoricalFS!L44,0)</f>
        <v>0.91201147619832956</v>
      </c>
      <c r="N22" s="35">
        <f t="shared" si="2"/>
        <v>0.49070791361108662</v>
      </c>
      <c r="O22" s="35">
        <f t="shared" si="1"/>
        <v>0.45600573809916478</v>
      </c>
    </row>
    <row r="23" spans="2:15" x14ac:dyDescent="0.3">
      <c r="B23" t="s">
        <v>135</v>
      </c>
      <c r="C23" s="35">
        <f>IFERROR(HistoricalFS!C33/SUM(HistoricalFS!C47:C48),0)</f>
        <v>0.2372052002491202</v>
      </c>
      <c r="D23" s="35">
        <f>IFERROR(HistoricalFS!D33/SUM(HistoricalFS!D47:D48),0)</f>
        <v>0.17441316864171685</v>
      </c>
      <c r="E23" s="35">
        <f>IFERROR(HistoricalFS!E33/SUM(HistoricalFS!E47:E48),0)</f>
        <v>7.2241189530689517E-2</v>
      </c>
      <c r="F23" s="35">
        <f>IFERROR(HistoricalFS!F33/SUM(HistoricalFS!F47:F48),0)</f>
        <v>9.2254980749341738E-3</v>
      </c>
      <c r="G23" s="35">
        <f>IFERROR(HistoricalFS!G33/SUM(HistoricalFS!G47:G48),0)</f>
        <v>-3.7345736658758885E-2</v>
      </c>
      <c r="H23" s="35">
        <f>IFERROR(HistoricalFS!H33/SUM(HistoricalFS!H47:H48),0)</f>
        <v>-0.17560555073176307</v>
      </c>
      <c r="I23" s="35">
        <f>IFERROR(HistoricalFS!I33/SUM(HistoricalFS!I47:I48),0)</f>
        <v>-3.4360591904822733E-2</v>
      </c>
      <c r="J23" s="35">
        <f>IFERROR(HistoricalFS!J33/SUM(HistoricalFS!J47:J48),0)</f>
        <v>-0.30651638060341208</v>
      </c>
      <c r="K23" s="35">
        <f>IFERROR(HistoricalFS!K33/SUM(HistoricalFS!K47:K48),0)</f>
        <v>-8.7686298356707396E-2</v>
      </c>
      <c r="L23" s="35">
        <f>IFERROR(HistoricalFS!L33/SUM(HistoricalFS!L47:L48),0)</f>
        <v>0.30775670464290195</v>
      </c>
      <c r="N23" s="35">
        <f t="shared" si="2"/>
        <v>1.5932720288389851E-2</v>
      </c>
      <c r="O23" s="35">
        <f t="shared" si="1"/>
        <v>-1.2567546914944279E-2</v>
      </c>
    </row>
    <row r="24" spans="2:15" x14ac:dyDescent="0.3">
      <c r="B24" t="s">
        <v>136</v>
      </c>
      <c r="C24" s="35">
        <f>IFERROR(C22*C23,0)</f>
        <v>0.2372052002491202</v>
      </c>
      <c r="D24" s="35">
        <f t="shared" ref="D24:L24" si="4">IFERROR(D22*D23,0)</f>
        <v>0.17355290357824379</v>
      </c>
      <c r="E24" s="35">
        <f t="shared" si="4"/>
        <v>7.2241189530689517E-2</v>
      </c>
      <c r="F24" s="35">
        <f t="shared" si="4"/>
        <v>9.2254980749341738E-3</v>
      </c>
      <c r="G24" s="35">
        <f t="shared" si="4"/>
        <v>0</v>
      </c>
      <c r="H24" s="35">
        <f t="shared" si="4"/>
        <v>0</v>
      </c>
      <c r="I24" s="35">
        <f t="shared" si="4"/>
        <v>0</v>
      </c>
      <c r="J24" s="35">
        <f t="shared" si="4"/>
        <v>0</v>
      </c>
      <c r="K24" s="35">
        <f t="shared" si="4"/>
        <v>0</v>
      </c>
      <c r="L24" s="35">
        <f t="shared" si="4"/>
        <v>0.28067764651130633</v>
      </c>
      <c r="N24" s="35">
        <f t="shared" si="2"/>
        <v>7.7290243794429406E-2</v>
      </c>
      <c r="O24" s="35">
        <f t="shared" si="1"/>
        <v>4.6127490374670869E-3</v>
      </c>
    </row>
    <row r="25" spans="2:15" x14ac:dyDescent="0.3">
      <c r="B25" s="36" t="s">
        <v>137</v>
      </c>
      <c r="C25" s="39">
        <f>IFERROR((HistoricalFS!C18-HistoricalFS!C24)/HistoricalFS!C21,0)</f>
        <v>5.3173039541375138</v>
      </c>
      <c r="D25" s="39">
        <f>IFERROR((HistoricalFS!D18-HistoricalFS!D24)/HistoricalFS!D21,0)</f>
        <v>4.4352863933500721</v>
      </c>
      <c r="E25" s="39">
        <f>IFERROR((HistoricalFS!E18-HistoricalFS!E24)/HistoricalFS!E21,0)</f>
        <v>2.7568835373205922</v>
      </c>
      <c r="F25" s="39">
        <f>IFERROR((HistoricalFS!F18-HistoricalFS!F24)/HistoricalFS!F21,0)</f>
        <v>2.1154494328024094</v>
      </c>
      <c r="G25" s="39">
        <f>IFERROR((HistoricalFS!G18-HistoricalFS!G24)/HistoricalFS!G21,0)</f>
        <v>0.18645156808947008</v>
      </c>
      <c r="H25" s="39">
        <f>IFERROR((HistoricalFS!H18-HistoricalFS!H24)/HistoricalFS!H21,0)</f>
        <v>-0.47469326953211261</v>
      </c>
      <c r="I25" s="39">
        <f>IFERROR((HistoricalFS!I18-HistoricalFS!I24)/HistoricalFS!I21,0)</f>
        <v>1.079478385658198</v>
      </c>
      <c r="J25" s="39">
        <f>IFERROR((HistoricalFS!J18-HistoricalFS!J24)/HistoricalFS!J21,0)</f>
        <v>-1.2414275987824557E-2</v>
      </c>
      <c r="K25" s="39">
        <f>IFERROR((HistoricalFS!K18-HistoricalFS!K24)/HistoricalFS!K21,0)</f>
        <v>0.68020669934320532</v>
      </c>
      <c r="L25" s="39">
        <f>IFERROR((HistoricalFS!L18-HistoricalFS!L24)/HistoricalFS!L21,0)</f>
        <v>3.231422545705088</v>
      </c>
      <c r="M25" s="36"/>
      <c r="N25" s="39">
        <f t="shared" si="2"/>
        <v>1.9315374970886612</v>
      </c>
      <c r="O25" s="39">
        <f>IFERROR(MEDIAN(C25:L25),0)</f>
        <v>1.5974639092303038</v>
      </c>
    </row>
    <row r="27" spans="2:15" x14ac:dyDescent="0.3">
      <c r="B27" s="33" t="s">
        <v>138</v>
      </c>
      <c r="C27" s="40">
        <f>IFERROR(HistoricalFS!C6/HistoricalFS!C59,0)</f>
        <v>20.92016821419486</v>
      </c>
      <c r="D27" s="40">
        <f>IFERROR(HistoricalFS!D6/HistoricalFS!D59,0)</f>
        <v>20.119918266350599</v>
      </c>
      <c r="E27" s="40">
        <f>IFERROR(HistoricalFS!E6/HistoricalFS!E59,0)</f>
        <v>19.160353236640844</v>
      </c>
      <c r="F27" s="40">
        <f>IFERROR(HistoricalFS!F6/HistoricalFS!F59,0)</f>
        <v>14.655712224718874</v>
      </c>
      <c r="G27" s="40">
        <f>IFERROR(HistoricalFS!G6/HistoricalFS!G59,0)</f>
        <v>15.894698773489607</v>
      </c>
      <c r="H27" s="40">
        <f>IFERROR(HistoricalFS!H6/HistoricalFS!H59,0)</f>
        <v>23.366617170976728</v>
      </c>
      <c r="I27" s="40">
        <f>IFERROR(HistoricalFS!I6/HistoricalFS!I59,0)</f>
        <v>19.701330853658153</v>
      </c>
      <c r="J27" s="40">
        <f>IFERROR(HistoricalFS!J6/HistoricalFS!J59,0)</f>
        <v>22.379917570317598</v>
      </c>
      <c r="K27" s="40">
        <f>IFERROR(HistoricalFS!K6/HistoricalFS!K59,0)</f>
        <v>21.982947610142858</v>
      </c>
      <c r="L27" s="40">
        <f>IFERROR(HistoricalFS!L6/HistoricalFS!L59,0)</f>
        <v>25.833687966063799</v>
      </c>
      <c r="M27" s="33"/>
      <c r="N27" s="40">
        <f t="shared" si="2"/>
        <v>20.401535188655391</v>
      </c>
      <c r="O27" s="40">
        <f t="shared" si="1"/>
        <v>20.520043240272727</v>
      </c>
    </row>
    <row r="28" spans="2:15" x14ac:dyDescent="0.3">
      <c r="B28" t="s">
        <v>139</v>
      </c>
      <c r="C28" s="32">
        <f>IFERROR(HistoricalFS!C6/HistoricalFS!C50,0)</f>
        <v>2.4493010585757142</v>
      </c>
      <c r="D28" s="32">
        <f>IFERROR(HistoricalFS!D6/HistoricalFS!D50,0)</f>
        <v>2.3769603927858673</v>
      </c>
      <c r="E28" s="32">
        <f>IFERROR(HistoricalFS!E6/HistoricalFS!E50,0)</f>
        <v>1.9842807783040648</v>
      </c>
      <c r="F28" s="32">
        <f>IFERROR(HistoricalFS!F6/HistoricalFS!F50,0)</f>
        <v>2.0414780318629697</v>
      </c>
      <c r="G28" s="32">
        <f>IFERROR(HistoricalFS!G6/HistoricalFS!G50,0)</f>
        <v>2.1667847518227492</v>
      </c>
      <c r="H28" s="32">
        <f>IFERROR(HistoricalFS!H6/HistoricalFS!H50,0)</f>
        <v>1.9731057108276859</v>
      </c>
      <c r="I28" s="32">
        <f>IFERROR(HistoricalFS!I6/HistoricalFS!I50,0)</f>
        <v>1.7323684804395676</v>
      </c>
      <c r="J28" s="32">
        <f>IFERROR(HistoricalFS!J6/HistoricalFS!J50,0)</f>
        <v>2.0170312149360217</v>
      </c>
      <c r="K28" s="32">
        <f>IFERROR(HistoricalFS!K6/HistoricalFS!K50,0)</f>
        <v>2.2286057258733614</v>
      </c>
      <c r="L28" s="32">
        <f>IFERROR(HistoricalFS!L6/HistoricalFS!L50,0)</f>
        <v>2.4694234112546125</v>
      </c>
      <c r="N28" s="32">
        <f t="shared" si="2"/>
        <v>2.1439339556682615</v>
      </c>
      <c r="O28" s="32">
        <f t="shared" si="1"/>
        <v>2.1041313918428592</v>
      </c>
    </row>
    <row r="29" spans="2:15" x14ac:dyDescent="0.3">
      <c r="B29" t="s">
        <v>140</v>
      </c>
      <c r="C29" s="32">
        <f>IFERROR(HistoricalFS!C9/HistoricalFS!C60,0)</f>
        <v>6.9299850985606204</v>
      </c>
      <c r="D29" s="32">
        <f>IFERROR(HistoricalFS!D9/HistoricalFS!D60,0)</f>
        <v>6.2932009175725057</v>
      </c>
      <c r="E29" s="32">
        <f>IFERROR(HistoricalFS!E9/HistoricalFS!E60,0)</f>
        <v>5.8558479317982366</v>
      </c>
      <c r="F29" s="32">
        <f>IFERROR(HistoricalFS!F9/HistoricalFS!F60,0)</f>
        <v>5.4210412403355388</v>
      </c>
      <c r="G29" s="32">
        <f>IFERROR(HistoricalFS!G9/HistoricalFS!G60,0)</f>
        <v>6.2246170771161839</v>
      </c>
      <c r="H29" s="32">
        <f>IFERROR(HistoricalFS!H9/HistoricalFS!H60,0)</f>
        <v>5.6164867442242938</v>
      </c>
      <c r="I29" s="32">
        <f>IFERROR(HistoricalFS!I9/HistoricalFS!I60,0)</f>
        <v>5.4124043083977522</v>
      </c>
      <c r="J29" s="32">
        <f>IFERROR(HistoricalFS!J9/HistoricalFS!J60,0)</f>
        <v>6.3364885242310374</v>
      </c>
      <c r="K29" s="32">
        <f>IFERROR(HistoricalFS!K9/HistoricalFS!K60,0)</f>
        <v>6.73294109073671</v>
      </c>
      <c r="L29" s="32">
        <f>IFERROR(HistoricalFS!L9/HistoricalFS!L60,0)</f>
        <v>7.0007064492159055</v>
      </c>
      <c r="N29" s="32">
        <f>IFERROR(AVERAGE(C29:L29),0)</f>
        <v>6.1823719382188793</v>
      </c>
      <c r="O29" s="32">
        <f t="shared" si="1"/>
        <v>6.2589089973443448</v>
      </c>
    </row>
    <row r="30" spans="2:15" x14ac:dyDescent="0.3">
      <c r="B30" t="s">
        <v>141</v>
      </c>
      <c r="C30" s="32">
        <f>IFERROR(HistoricalFS!C6/HistoricalFS!C53,0)</f>
        <v>2.9742370802544178</v>
      </c>
      <c r="D30" s="32">
        <f>IFERROR(HistoricalFS!D6/HistoricalFS!D53,0)</f>
        <v>2.546312771514708</v>
      </c>
      <c r="E30" s="32">
        <f>IFERROR(HistoricalFS!E6/HistoricalFS!E53,0)</f>
        <v>2.8109343484246239</v>
      </c>
      <c r="F30" s="32">
        <f>IFERROR(HistoricalFS!F6/HistoricalFS!F53,0)</f>
        <v>2.4012948768781421</v>
      </c>
      <c r="G30" s="32">
        <f>IFERROR(HistoricalFS!G6/HistoricalFS!G53,0)</f>
        <v>2.7144319562092578</v>
      </c>
      <c r="H30" s="32">
        <f>IFERROR(HistoricalFS!H6/HistoricalFS!H53,0)</f>
        <v>2.0539205744067566</v>
      </c>
      <c r="I30" s="32">
        <f>IFERROR(HistoricalFS!I6/HistoricalFS!I53,0)</f>
        <v>1.8008727134726064</v>
      </c>
      <c r="J30" s="32">
        <f>IFERROR(HistoricalFS!J6/HistoricalFS!J53,0)</f>
        <v>2.0053488717943728</v>
      </c>
      <c r="K30" s="32">
        <f>IFERROR(HistoricalFS!K6/HistoricalFS!K53,0)</f>
        <v>2.6193791539294131</v>
      </c>
      <c r="L30" s="32">
        <f>IFERROR(HistoricalFS!L6/HistoricalFS!L53,0)</f>
        <v>3.6107194547475023</v>
      </c>
      <c r="N30" s="32">
        <f t="shared" si="2"/>
        <v>2.5537451801631801</v>
      </c>
      <c r="O30" s="32">
        <f>IFERROR(MEDIAN(C30:L30),0)</f>
        <v>2.5828459627220606</v>
      </c>
    </row>
    <row r="31" spans="2:15" x14ac:dyDescent="0.3">
      <c r="B31" s="36" t="s">
        <v>142</v>
      </c>
      <c r="C31" s="39">
        <f>IFERROR(HistoricalFS!C6/SUM(HistoricalFS!C47:C48),0)</f>
        <v>4.6773906756114965</v>
      </c>
      <c r="D31" s="39">
        <f>IFERROR(HistoricalFS!D6/SUM(HistoricalFS!D47:D48),0)</f>
        <v>3.4583567493379874</v>
      </c>
      <c r="E31" s="39">
        <f>IFERROR(HistoricalFS!E6/SUM(HistoricalFS!E47:E48),0)</f>
        <v>4.6449144180459854</v>
      </c>
      <c r="F31" s="39">
        <f>IFERROR(HistoricalFS!F6/SUM(HistoricalFS!F47:F48),0)</f>
        <v>3.0551908765475422</v>
      </c>
      <c r="G31" s="39">
        <f>IFERROR(HistoricalFS!G6/SUM(HistoricalFS!G47:G48),0)</f>
        <v>5.0172915853821474</v>
      </c>
      <c r="H31" s="39">
        <f>IFERROR(HistoricalFS!H6/SUM(HistoricalFS!H47:H48),0)</f>
        <v>4.1387770133514525</v>
      </c>
      <c r="I31" s="39">
        <f>IFERROR(HistoricalFS!I6/SUM(HistoricalFS!I47:I48),0)</f>
        <v>4.5214403678625628</v>
      </c>
      <c r="J31" s="39">
        <f>IFERROR(HistoricalFS!J6/SUM(HistoricalFS!J47:J48),0)</f>
        <v>6.2487852671963351</v>
      </c>
      <c r="K31" s="39">
        <f>IFERROR(HistoricalFS!K6/SUM(HistoricalFS!K47:K48),0)</f>
        <v>7.6335680916398054</v>
      </c>
      <c r="L31" s="39">
        <f>IFERROR(HistoricalFS!L6/SUM(HistoricalFS!L47:L48),0)</f>
        <v>5.1570652495194773</v>
      </c>
      <c r="M31" s="36"/>
      <c r="N31" s="39">
        <f t="shared" si="2"/>
        <v>4.8552780294494795</v>
      </c>
      <c r="O31" s="39">
        <f t="shared" si="1"/>
        <v>4.6611525468287409</v>
      </c>
    </row>
    <row r="32" spans="2:15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2:15" x14ac:dyDescent="0.3">
      <c r="B33" s="33" t="s">
        <v>143</v>
      </c>
      <c r="C33" s="41">
        <f t="shared" ref="C33:L33" si="5">IFERROR(365/C27,0)</f>
        <v>17.447278447423685</v>
      </c>
      <c r="D33" s="41">
        <f t="shared" si="5"/>
        <v>18.141226776772818</v>
      </c>
      <c r="E33" s="41">
        <f t="shared" si="5"/>
        <v>19.049753180019717</v>
      </c>
      <c r="F33" s="41">
        <f t="shared" si="5"/>
        <v>24.904964999543136</v>
      </c>
      <c r="G33" s="41">
        <f t="shared" si="5"/>
        <v>22.963631157878556</v>
      </c>
      <c r="H33" s="41">
        <f t="shared" si="5"/>
        <v>15.620575170519771</v>
      </c>
      <c r="I33" s="41">
        <f t="shared" si="5"/>
        <v>18.52666719376608</v>
      </c>
      <c r="J33" s="41">
        <f t="shared" si="5"/>
        <v>16.309264717046954</v>
      </c>
      <c r="K33" s="41">
        <f t="shared" si="5"/>
        <v>16.603778823163378</v>
      </c>
      <c r="L33" s="41">
        <f t="shared" si="5"/>
        <v>14.128838301348189</v>
      </c>
      <c r="M33" s="33"/>
      <c r="N33" s="41">
        <f t="shared" si="2"/>
        <v>18.369597876748227</v>
      </c>
      <c r="O33" s="41">
        <f t="shared" si="1"/>
        <v>17.794252612098251</v>
      </c>
    </row>
    <row r="34" spans="2:15" x14ac:dyDescent="0.3">
      <c r="B34" t="s">
        <v>144</v>
      </c>
      <c r="C34" s="42">
        <f t="shared" ref="C34:L34" si="6">IFERROR(365/C28,0)</f>
        <v>149.02210519283818</v>
      </c>
      <c r="D34" s="42">
        <f t="shared" si="6"/>
        <v>153.55745981623585</v>
      </c>
      <c r="E34" s="42">
        <f t="shared" si="6"/>
        <v>183.94574194885871</v>
      </c>
      <c r="F34" s="42">
        <f t="shared" si="6"/>
        <v>178.79202925682029</v>
      </c>
      <c r="G34" s="42">
        <f t="shared" si="6"/>
        <v>168.45235766633192</v>
      </c>
      <c r="H34" s="42">
        <f t="shared" si="6"/>
        <v>184.98755439052903</v>
      </c>
      <c r="I34" s="42">
        <f t="shared" si="6"/>
        <v>210.69420514242194</v>
      </c>
      <c r="J34" s="42">
        <f t="shared" si="6"/>
        <v>180.95902398395825</v>
      </c>
      <c r="K34" s="42">
        <f t="shared" si="6"/>
        <v>163.77953074537726</v>
      </c>
      <c r="L34" s="42">
        <f t="shared" si="6"/>
        <v>147.8077831191203</v>
      </c>
      <c r="N34" s="42">
        <f>IFERROR(AVERAGE(C34:L34),0)</f>
        <v>172.19977912624921</v>
      </c>
      <c r="O34" s="42">
        <f t="shared" si="1"/>
        <v>173.6221934615761</v>
      </c>
    </row>
    <row r="35" spans="2:15" x14ac:dyDescent="0.3">
      <c r="B35" t="s">
        <v>145</v>
      </c>
      <c r="C35" s="42">
        <f t="shared" ref="C35:L35" si="7">IFERROR(365/C29,0)</f>
        <v>52.66966592407416</v>
      </c>
      <c r="D35" s="42">
        <f t="shared" si="7"/>
        <v>57.999101694149068</v>
      </c>
      <c r="E35" s="42">
        <f t="shared" si="7"/>
        <v>62.330853575959303</v>
      </c>
      <c r="F35" s="42">
        <f t="shared" si="7"/>
        <v>67.330238568229021</v>
      </c>
      <c r="G35" s="42">
        <f t="shared" si="7"/>
        <v>58.638145202837379</v>
      </c>
      <c r="H35" s="42">
        <f t="shared" si="7"/>
        <v>64.987244984660066</v>
      </c>
      <c r="I35" s="42">
        <f t="shared" si="7"/>
        <v>67.437681888190625</v>
      </c>
      <c r="J35" s="42">
        <f t="shared" si="7"/>
        <v>57.602881880748683</v>
      </c>
      <c r="K35" s="42">
        <f t="shared" si="7"/>
        <v>54.211078796185063</v>
      </c>
      <c r="L35" s="42">
        <f t="shared" si="7"/>
        <v>52.137595348092447</v>
      </c>
      <c r="N35" s="42">
        <f t="shared" si="2"/>
        <v>59.534448786312581</v>
      </c>
      <c r="O35" s="42">
        <f t="shared" si="1"/>
        <v>58.318623448493227</v>
      </c>
    </row>
    <row r="36" spans="2:15" x14ac:dyDescent="0.3">
      <c r="B36" s="36" t="s">
        <v>149</v>
      </c>
      <c r="C36" s="43">
        <f>SUM(C33,C35)-C34</f>
        <v>-78.905160821340331</v>
      </c>
      <c r="D36" s="43">
        <f t="shared" ref="D36:L36" si="8">SUM(D33,D35)-D34</f>
        <v>-77.417131345313962</v>
      </c>
      <c r="E36" s="43">
        <f t="shared" si="8"/>
        <v>-102.56513519287969</v>
      </c>
      <c r="F36" s="43">
        <f t="shared" si="8"/>
        <v>-86.556825689048125</v>
      </c>
      <c r="G36" s="43">
        <f t="shared" si="8"/>
        <v>-86.850581305615989</v>
      </c>
      <c r="H36" s="43">
        <f t="shared" si="8"/>
        <v>-104.37973423534919</v>
      </c>
      <c r="I36" s="43">
        <f t="shared" si="8"/>
        <v>-124.72985606046524</v>
      </c>
      <c r="J36" s="43">
        <f t="shared" si="8"/>
        <v>-107.04687738616261</v>
      </c>
      <c r="K36" s="43">
        <f t="shared" si="8"/>
        <v>-92.964673126028813</v>
      </c>
      <c r="L36" s="43">
        <f t="shared" si="8"/>
        <v>-81.541349469679659</v>
      </c>
      <c r="M36" s="36"/>
      <c r="N36" s="43">
        <f>IFERROR(AVERAGE(C36:L36),0)</f>
        <v>-94.295732463188358</v>
      </c>
      <c r="O36" s="43">
        <f t="shared" si="1"/>
        <v>-89.907627215822401</v>
      </c>
    </row>
    <row r="38" spans="2:15" x14ac:dyDescent="0.3">
      <c r="B38" s="33" t="s">
        <v>146</v>
      </c>
      <c r="C38" s="34">
        <f>IFERROR(HistoricalFS!C70/HistoricalFS!C6,0)</f>
        <v>0.13501823118481462</v>
      </c>
      <c r="D38" s="34">
        <f>IFERROR(HistoricalFS!D70/HistoricalFS!D6,0)</f>
        <v>0.13880296917437968</v>
      </c>
      <c r="E38" s="34">
        <f>IFERROR(HistoricalFS!E70/HistoricalFS!E6,0)</f>
        <v>0.11197659883101685</v>
      </c>
      <c r="F38" s="34">
        <f>IFERROR(HistoricalFS!F70/HistoricalFS!F6,0)</f>
        <v>8.1829465689783804E-2</v>
      </c>
      <c r="G38" s="34">
        <f>IFERROR(HistoricalFS!G70/HistoricalFS!G6,0)</f>
        <v>6.2564913902968283E-2</v>
      </c>
      <c r="H38" s="34">
        <f>IFERROR(HistoricalFS!H70/HistoricalFS!H6,0)</f>
        <v>0.10201534872316967</v>
      </c>
      <c r="I38" s="34">
        <f>IFERROR(HistoricalFS!I70/HistoricalFS!I6,0)</f>
        <v>0.11609735592921788</v>
      </c>
      <c r="J38" s="34">
        <f>IFERROR(HistoricalFS!J70/HistoricalFS!J6,0)</f>
        <v>5.1293389541856201E-2</v>
      </c>
      <c r="K38" s="34">
        <f>IFERROR(HistoricalFS!K70/HistoricalFS!K6,0)</f>
        <v>0.1022872501383586</v>
      </c>
      <c r="L38" s="34">
        <f>IFERROR(HistoricalFS!L70/HistoricalFS!L6,0)</f>
        <v>0.15508347415373999</v>
      </c>
      <c r="M38" s="33"/>
      <c r="N38" s="34">
        <f>IFERROR(AVERAGE(C38:L38),0)</f>
        <v>0.10569689972693055</v>
      </c>
      <c r="O38" s="34">
        <f t="shared" si="1"/>
        <v>0.10713192448468772</v>
      </c>
    </row>
    <row r="39" spans="2:15" x14ac:dyDescent="0.3">
      <c r="B39" t="s">
        <v>147</v>
      </c>
      <c r="C39" s="35">
        <f>IFERROR(HistoricalFS!C70/HistoricalFS!C64,0)</f>
        <v>0.14972206325615023</v>
      </c>
      <c r="D39" s="35">
        <f>IFERROR(HistoricalFS!D70/HistoricalFS!D64,0)</f>
        <v>0.14400390114722728</v>
      </c>
      <c r="E39" s="35">
        <f>IFERROR(HistoricalFS!E70/HistoricalFS!E64,0)</f>
        <v>0.11079026383265471</v>
      </c>
      <c r="F39" s="35">
        <f>IFERROR(HistoricalFS!F70/HistoricalFS!F64,0)</f>
        <v>7.2915700426609081E-2</v>
      </c>
      <c r="G39" s="35">
        <f>IFERROR(HistoricalFS!G70/HistoricalFS!G64,0)</f>
        <v>6.1794355046453676E-2</v>
      </c>
      <c r="H39" s="35">
        <f>IFERROR(HistoricalFS!H70/HistoricalFS!H64,0)</f>
        <v>8.3181306579414735E-2</v>
      </c>
      <c r="I39" s="35">
        <f>IFERROR(HistoricalFS!I70/HistoricalFS!I64,0)</f>
        <v>8.4903585330452558E-2</v>
      </c>
      <c r="J39" s="35">
        <f>IFERROR(HistoricalFS!J70/HistoricalFS!J64,0)</f>
        <v>4.3404744809245228E-2</v>
      </c>
      <c r="K39" s="35">
        <f>IFERROR(HistoricalFS!K70/HistoricalFS!K64,0)</f>
        <v>0.10573861289612117</v>
      </c>
      <c r="L39" s="35">
        <f>IFERROR(HistoricalFS!L70/HistoricalFS!L64,0)</f>
        <v>0.18379315838431853</v>
      </c>
      <c r="N39" s="35">
        <f t="shared" si="2"/>
        <v>0.10402476917086471</v>
      </c>
      <c r="O39" s="35">
        <f>IFERROR(MEDIAN(C39:L39),0)</f>
        <v>9.5321099113286872E-2</v>
      </c>
    </row>
    <row r="40" spans="2:15" x14ac:dyDescent="0.3">
      <c r="B40" s="36" t="s">
        <v>148</v>
      </c>
      <c r="C40" s="37">
        <f>IFERROR(HistoricalFS!C70/HistoricalFS!C49,0)</f>
        <v>0.48269354366958256</v>
      </c>
      <c r="D40" s="37">
        <f>IFERROR(HistoricalFS!D70/HistoricalFS!D49,0)</f>
        <v>0.54641813518923599</v>
      </c>
      <c r="E40" s="37">
        <f>IFERROR(HistoricalFS!E70/HistoricalFS!E49,0)</f>
        <v>0.38419492244540293</v>
      </c>
      <c r="F40" s="37">
        <f>IFERROR(HistoricalFS!F70/HistoricalFS!F49,0)</f>
        <v>0.26821016235214945</v>
      </c>
      <c r="G40" s="37">
        <f>IFERROR(HistoricalFS!G70/HistoricalFS!G49,0)</f>
        <v>0.17792031558363741</v>
      </c>
      <c r="H40" s="37">
        <f>IFERROR(HistoricalFS!H70/HistoricalFS!H49,0)</f>
        <v>0.21342610534184314</v>
      </c>
      <c r="I40" s="37">
        <f>IFERROR(HistoricalFS!I70/HistoricalFS!I49,0)</f>
        <v>0.20404132622559662</v>
      </c>
      <c r="J40" s="37">
        <f>IFERROR(HistoricalFS!J70/HistoricalFS!J49,0)</f>
        <v>9.7527651770721868E-2</v>
      </c>
      <c r="K40" s="37">
        <f>IFERROR(HistoricalFS!K70/HistoricalFS!K49,0)</f>
        <v>0.26386624636576322</v>
      </c>
      <c r="L40" s="37">
        <f>IFERROR(HistoricalFS!L70/HistoricalFS!L49,0)</f>
        <v>0.63316965388649338</v>
      </c>
      <c r="M40" s="36"/>
      <c r="N40" s="37">
        <f>IFERROR(AVERAGE(C40:L40),0)</f>
        <v>0.3271468062830426</v>
      </c>
      <c r="O40" s="37">
        <f>IFERROR(MEDIAN(C40:L40),0)</f>
        <v>0.26603820435895631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xr2:uid="{F1815560-8A90-44FC-BD7C-1F6CCB03BFA0}">
          <x14:colorSeries theme="7" tint="0.59999389629810485"/>
          <x14:colorNegative rgb="FFD00000"/>
          <x14:colorAxis rgb="FF000000"/>
          <x14:colorMarkers theme="1"/>
          <x14:colorFirst rgb="FFD00000"/>
          <x14:colorLast rgb="FFD00000"/>
          <x14:colorHigh theme="1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high="1" xr2:uid="{D166173B-1EEB-474C-9E56-33C80DE7E973}">
          <x14:colorSeries theme="7" tint="0.59999389629810485"/>
          <x14:colorNegative rgb="FFD00000"/>
          <x14:colorAxis rgb="FF000000"/>
          <x14:colorMarkers theme="1"/>
          <x14:colorFirst rgb="FFD00000"/>
          <x14:colorLast rgb="FFD00000"/>
          <x14:colorHigh theme="1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F152-19A1-47E3-95A0-A8AF6CAEFA56}">
  <sheetPr>
    <tabColor theme="7" tint="-0.249977111117893"/>
  </sheetPr>
  <dimension ref="B3:Z31"/>
  <sheetViews>
    <sheetView showGridLines="0" zoomScale="115" zoomScaleNormal="115" workbookViewId="0">
      <selection activeCell="Q11" sqref="Q11"/>
    </sheetView>
  </sheetViews>
  <sheetFormatPr defaultRowHeight="14.4" x14ac:dyDescent="0.3"/>
  <cols>
    <col min="1" max="1" width="1.88671875" customWidth="1"/>
    <col min="2" max="2" width="10.88671875" bestFit="1" customWidth="1"/>
    <col min="3" max="3" width="9.6640625" bestFit="1" customWidth="1"/>
    <col min="4" max="4" width="13.21875" customWidth="1"/>
    <col min="5" max="5" width="12.5546875" customWidth="1"/>
    <col min="6" max="6" width="2.77734375" customWidth="1"/>
    <col min="7" max="7" width="10.88671875" bestFit="1" customWidth="1"/>
    <col min="8" max="8" width="9.5546875" customWidth="1"/>
    <col min="9" max="9" width="9.77734375" bestFit="1" customWidth="1"/>
    <col min="10" max="10" width="11.6640625" bestFit="1" customWidth="1"/>
    <col min="11" max="11" width="2.77734375" customWidth="1"/>
    <col min="12" max="12" width="13.5546875" customWidth="1"/>
    <col min="13" max="13" width="6.77734375" customWidth="1"/>
    <col min="14" max="14" width="11.44140625" customWidth="1"/>
    <col min="15" max="15" width="14.44140625" customWidth="1"/>
    <col min="16" max="17" width="9.5546875" customWidth="1"/>
    <col min="18" max="25" width="9.5546875" bestFit="1" customWidth="1"/>
  </cols>
  <sheetData>
    <row r="3" spans="2:19" x14ac:dyDescent="0.3">
      <c r="B3" s="150" t="str">
        <f>'Data Sheet'!$B$1&amp;" - "&amp;'Data Sheet'!A42&amp;" Forecasting"</f>
        <v>TATA MOTORS LTD - Sales Forecasting</v>
      </c>
      <c r="C3" s="150"/>
      <c r="D3" s="150"/>
      <c r="E3" s="150"/>
      <c r="G3" s="150" t="str">
        <f>'Data Sheet'!$B$1&amp;" - "&amp;HistoricalFS!B18&amp;" Forecasting"</f>
        <v>TATA MOTORS LTD - EBITDA Forecasting</v>
      </c>
      <c r="H3" s="150"/>
      <c r="I3" s="150"/>
      <c r="J3" s="150"/>
      <c r="L3" s="150" t="str">
        <f>'Data Sheet'!$B$1&amp;" - "&amp;HistoricalFS!B38&amp;" Forecasting"</f>
        <v>TATA MOTORS LTD - Earnings per Share Forecasting</v>
      </c>
      <c r="M3" s="150"/>
      <c r="N3" s="150"/>
      <c r="O3" s="150"/>
    </row>
    <row r="4" spans="2:19" x14ac:dyDescent="0.3">
      <c r="B4" s="45" t="s">
        <v>153</v>
      </c>
      <c r="C4" s="45" t="s">
        <v>154</v>
      </c>
      <c r="D4" s="45" t="s">
        <v>1</v>
      </c>
      <c r="E4" s="45" t="s">
        <v>10</v>
      </c>
      <c r="G4" s="45" t="s">
        <v>153</v>
      </c>
      <c r="H4" s="45" t="s">
        <v>154</v>
      </c>
      <c r="I4" s="45" t="s">
        <v>1</v>
      </c>
      <c r="J4" s="45" t="s">
        <v>10</v>
      </c>
      <c r="L4" s="45" t="s">
        <v>153</v>
      </c>
      <c r="M4" s="45" t="s">
        <v>154</v>
      </c>
      <c r="N4" s="45" t="s">
        <v>1</v>
      </c>
      <c r="O4" s="45" t="s">
        <v>10</v>
      </c>
    </row>
    <row r="5" spans="2:19" x14ac:dyDescent="0.3">
      <c r="B5" s="46">
        <v>1</v>
      </c>
      <c r="C5" s="54">
        <f>'Data Sheet'!$B$16</f>
        <v>42094</v>
      </c>
      <c r="D5" s="47">
        <f t="array" ref="D5:D14">TRANSPOSE('Data Sheet'!B17:K17)</f>
        <v>263158.98</v>
      </c>
      <c r="G5" s="46">
        <v>1</v>
      </c>
      <c r="H5" s="54">
        <f>'Data Sheet'!$B$16</f>
        <v>42094</v>
      </c>
      <c r="I5" s="47">
        <f t="array" ref="I5:I14">TRANSPOSE(HistoricalFS!C18:L18)</f>
        <v>39238.64999999998</v>
      </c>
      <c r="L5" s="46">
        <v>1</v>
      </c>
      <c r="M5" s="54">
        <f>'Data Sheet'!$B$16</f>
        <v>42094</v>
      </c>
      <c r="N5" s="47">
        <f t="array" ref="N5:N14">TRANSPOSE(HistoricalFS!C38:L38)</f>
        <v>46.220198102098706</v>
      </c>
    </row>
    <row r="6" spans="2:19" x14ac:dyDescent="0.3">
      <c r="B6" s="46">
        <f>1+B5</f>
        <v>2</v>
      </c>
      <c r="C6" s="54">
        <f>C5+365</f>
        <v>42459</v>
      </c>
      <c r="D6" s="47">
        <v>273045.59999999998</v>
      </c>
      <c r="E6" s="24">
        <f>D6/D5-1</f>
        <v>3.75690010654397E-2</v>
      </c>
      <c r="G6" s="46">
        <f>1+G5</f>
        <v>2</v>
      </c>
      <c r="H6" s="54">
        <f>H5+365</f>
        <v>42459</v>
      </c>
      <c r="I6" s="47">
        <v>38395.249999999971</v>
      </c>
      <c r="J6" s="24">
        <f>I6/I5-1</f>
        <v>-2.1494113584437979E-2</v>
      </c>
      <c r="L6" s="46">
        <f>1+L5</f>
        <v>2</v>
      </c>
      <c r="M6" s="54">
        <f>M5+365</f>
        <v>42459</v>
      </c>
      <c r="N6" s="47">
        <v>47.694444444444336</v>
      </c>
      <c r="O6" s="24">
        <f>N6/N5-1</f>
        <v>3.189614936502605E-2</v>
      </c>
    </row>
    <row r="7" spans="2:19" x14ac:dyDescent="0.3">
      <c r="B7" s="46">
        <f t="shared" ref="B7:B15" si="0">1+B6</f>
        <v>3</v>
      </c>
      <c r="C7" s="54">
        <f t="shared" ref="C7:C19" si="1">C6+365</f>
        <v>42824</v>
      </c>
      <c r="D7" s="47">
        <v>269692.51</v>
      </c>
      <c r="E7" s="24">
        <f t="shared" ref="E7:E19" si="2">D7/D6-1</f>
        <v>-1.2280329732469508E-2</v>
      </c>
      <c r="G7" s="46">
        <f t="shared" ref="G7:G19" si="3">1+G6</f>
        <v>3</v>
      </c>
      <c r="H7" s="54">
        <f t="shared" ref="H7:H19" si="4">H6+365</f>
        <v>42824</v>
      </c>
      <c r="I7" s="47">
        <v>29588.690000000046</v>
      </c>
      <c r="J7" s="24">
        <f t="shared" ref="J7:J19" si="5">I7/I6-1</f>
        <v>-0.22936587208052905</v>
      </c>
      <c r="L7" s="46">
        <f t="shared" ref="L7:L19" si="6">1+L6</f>
        <v>3</v>
      </c>
      <c r="M7" s="54">
        <f t="shared" ref="M7:M19" si="7">M6+365</f>
        <v>42824</v>
      </c>
      <c r="N7" s="47">
        <v>14.527274616423808</v>
      </c>
      <c r="O7" s="24">
        <f t="shared" ref="O7:O19" si="8">N7/N6-1</f>
        <v>-0.69540950134463697</v>
      </c>
    </row>
    <row r="8" spans="2:19" x14ac:dyDescent="0.3">
      <c r="B8" s="46">
        <f t="shared" si="0"/>
        <v>4</v>
      </c>
      <c r="C8" s="54">
        <f t="shared" si="1"/>
        <v>43189</v>
      </c>
      <c r="D8" s="47">
        <v>291550.48</v>
      </c>
      <c r="E8" s="24">
        <f t="shared" si="2"/>
        <v>8.104774581985974E-2</v>
      </c>
      <c r="G8" s="46">
        <f t="shared" si="3"/>
        <v>4</v>
      </c>
      <c r="H8" s="54">
        <f t="shared" si="4"/>
        <v>43189</v>
      </c>
      <c r="I8" s="47">
        <v>31457.679999999993</v>
      </c>
      <c r="J8" s="24">
        <f t="shared" si="5"/>
        <v>6.3165689322506102E-2</v>
      </c>
      <c r="L8" s="46">
        <f t="shared" si="6"/>
        <v>4</v>
      </c>
      <c r="M8" s="54">
        <f t="shared" si="7"/>
        <v>43189</v>
      </c>
      <c r="N8" s="47">
        <v>3.049111626779315</v>
      </c>
      <c r="O8" s="24">
        <f t="shared" si="8"/>
        <v>-0.79011124197155724</v>
      </c>
    </row>
    <row r="9" spans="2:19" x14ac:dyDescent="0.3">
      <c r="B9" s="46">
        <f t="shared" si="0"/>
        <v>5</v>
      </c>
      <c r="C9" s="54">
        <f t="shared" si="1"/>
        <v>43554</v>
      </c>
      <c r="D9" s="47">
        <v>301938.40000000002</v>
      </c>
      <c r="E9" s="24">
        <f t="shared" si="2"/>
        <v>3.5629919045237157E-2</v>
      </c>
      <c r="G9" s="46">
        <f t="shared" si="3"/>
        <v>5</v>
      </c>
      <c r="H9" s="54">
        <f t="shared" si="4"/>
        <v>43554</v>
      </c>
      <c r="I9" s="47">
        <v>24664.330000000024</v>
      </c>
      <c r="J9" s="24">
        <f t="shared" si="5"/>
        <v>-0.21595203460649259</v>
      </c>
      <c r="L9" s="46">
        <f t="shared" si="6"/>
        <v>5</v>
      </c>
      <c r="M9" s="54">
        <f t="shared" si="7"/>
        <v>43554</v>
      </c>
      <c r="N9" s="47">
        <v>-7.7839157690575265</v>
      </c>
      <c r="O9" s="24">
        <f t="shared" si="8"/>
        <v>-3.5528470983790919</v>
      </c>
    </row>
    <row r="10" spans="2:19" x14ac:dyDescent="0.3">
      <c r="B10" s="46">
        <f t="shared" si="0"/>
        <v>6</v>
      </c>
      <c r="C10" s="54">
        <f t="shared" si="1"/>
        <v>43919</v>
      </c>
      <c r="D10" s="47">
        <v>261067.97</v>
      </c>
      <c r="E10" s="24">
        <f t="shared" si="2"/>
        <v>-0.135360159555724</v>
      </c>
      <c r="G10" s="46">
        <f t="shared" si="3"/>
        <v>6</v>
      </c>
      <c r="H10" s="54">
        <f t="shared" si="4"/>
        <v>43919</v>
      </c>
      <c r="I10" s="47">
        <v>17987.069999999963</v>
      </c>
      <c r="J10" s="24">
        <f t="shared" si="5"/>
        <v>-0.27072537547138131</v>
      </c>
      <c r="L10" s="46">
        <f t="shared" si="6"/>
        <v>6</v>
      </c>
      <c r="M10" s="54">
        <f t="shared" si="7"/>
        <v>43919</v>
      </c>
      <c r="N10" s="47">
        <v>-35.859307219164904</v>
      </c>
      <c r="O10" s="24">
        <f t="shared" si="8"/>
        <v>3.6068467700681115</v>
      </c>
    </row>
    <row r="11" spans="2:19" x14ac:dyDescent="0.3">
      <c r="B11" s="46">
        <f t="shared" si="0"/>
        <v>7</v>
      </c>
      <c r="C11" s="54">
        <f t="shared" si="1"/>
        <v>44284</v>
      </c>
      <c r="D11" s="47">
        <v>249794.75</v>
      </c>
      <c r="E11" s="24">
        <f t="shared" si="2"/>
        <v>-4.3181168490336042E-2</v>
      </c>
      <c r="G11" s="46">
        <f t="shared" si="3"/>
        <v>7</v>
      </c>
      <c r="H11" s="54">
        <f t="shared" si="4"/>
        <v>44284</v>
      </c>
      <c r="I11" s="47">
        <v>32287.429999999989</v>
      </c>
      <c r="J11" s="24">
        <f t="shared" si="5"/>
        <v>0.79503554497758966</v>
      </c>
      <c r="L11" s="46">
        <f t="shared" si="6"/>
        <v>7</v>
      </c>
      <c r="M11" s="54">
        <f t="shared" si="7"/>
        <v>44284</v>
      </c>
      <c r="N11" s="47">
        <v>-5.7172845827184542</v>
      </c>
      <c r="O11" s="24">
        <f t="shared" si="8"/>
        <v>-0.84056344011958861</v>
      </c>
    </row>
    <row r="12" spans="2:19" x14ac:dyDescent="0.3">
      <c r="B12" s="46">
        <f t="shared" si="0"/>
        <v>8</v>
      </c>
      <c r="C12" s="54">
        <f t="shared" si="1"/>
        <v>44649</v>
      </c>
      <c r="D12" s="47">
        <v>278453.62</v>
      </c>
      <c r="E12" s="24">
        <f t="shared" si="2"/>
        <v>0.11472967306158344</v>
      </c>
      <c r="G12" s="46">
        <f t="shared" si="3"/>
        <v>8</v>
      </c>
      <c r="H12" s="54">
        <f t="shared" si="4"/>
        <v>44649</v>
      </c>
      <c r="I12" s="47">
        <v>24720.090000000015</v>
      </c>
      <c r="J12" s="24">
        <f t="shared" si="5"/>
        <v>-0.234374182150762</v>
      </c>
      <c r="L12" s="46">
        <f t="shared" si="6"/>
        <v>8</v>
      </c>
      <c r="M12" s="54">
        <f t="shared" si="7"/>
        <v>44649</v>
      </c>
      <c r="N12" s="47">
        <v>-41.132140813683833</v>
      </c>
      <c r="O12" s="24">
        <f t="shared" si="8"/>
        <v>6.194349033807641</v>
      </c>
    </row>
    <row r="13" spans="2:19" x14ac:dyDescent="0.3">
      <c r="B13" s="46">
        <f t="shared" si="0"/>
        <v>9</v>
      </c>
      <c r="C13" s="54">
        <f t="shared" si="1"/>
        <v>45014</v>
      </c>
      <c r="D13" s="47">
        <v>345966.97</v>
      </c>
      <c r="E13" s="24">
        <f t="shared" si="2"/>
        <v>0.24245815155859707</v>
      </c>
      <c r="G13" s="46">
        <f t="shared" si="3"/>
        <v>9</v>
      </c>
      <c r="H13" s="54">
        <f t="shared" si="4"/>
        <v>45014</v>
      </c>
      <c r="I13" s="47">
        <v>31815.799999999959</v>
      </c>
      <c r="J13" s="24">
        <f t="shared" si="5"/>
        <v>0.28704223973294352</v>
      </c>
      <c r="L13" s="46">
        <f t="shared" si="6"/>
        <v>9</v>
      </c>
      <c r="M13" s="54">
        <f t="shared" si="7"/>
        <v>45014</v>
      </c>
      <c r="N13" s="47">
        <v>-11.965495438533218</v>
      </c>
      <c r="O13" s="24">
        <f t="shared" si="8"/>
        <v>-0.70909621522659627</v>
      </c>
    </row>
    <row r="14" spans="2:19" x14ac:dyDescent="0.3">
      <c r="B14" s="46">
        <f t="shared" si="0"/>
        <v>10</v>
      </c>
      <c r="C14" s="54">
        <f t="shared" si="1"/>
        <v>45379</v>
      </c>
      <c r="D14" s="47">
        <v>437927.77</v>
      </c>
      <c r="E14" s="24">
        <f t="shared" si="2"/>
        <v>0.26580803363974326</v>
      </c>
      <c r="G14" s="46">
        <f t="shared" si="3"/>
        <v>10</v>
      </c>
      <c r="H14" s="54">
        <f t="shared" si="4"/>
        <v>45379</v>
      </c>
      <c r="I14" s="47">
        <v>59538.34000000004</v>
      </c>
      <c r="J14" s="24">
        <f t="shared" si="5"/>
        <v>0.87134505497269021</v>
      </c>
      <c r="L14" s="46">
        <f t="shared" si="6"/>
        <v>10</v>
      </c>
      <c r="M14" s="54">
        <f t="shared" si="7"/>
        <v>45379</v>
      </c>
      <c r="N14" s="47">
        <v>78.629509281824596</v>
      </c>
      <c r="O14" s="24">
        <f t="shared" si="8"/>
        <v>-7.5713542482001346</v>
      </c>
      <c r="R14" t="s">
        <v>155</v>
      </c>
    </row>
    <row r="15" spans="2:19" ht="15" thickBot="1" x14ac:dyDescent="0.35">
      <c r="B15" s="55">
        <f t="shared" si="0"/>
        <v>11</v>
      </c>
      <c r="C15" s="56">
        <f t="shared" si="1"/>
        <v>45744</v>
      </c>
      <c r="D15" s="57">
        <f>FORECAST(B15,$D$5:$D$14,$B$5:$B$14)</f>
        <v>362627.59266666661</v>
      </c>
      <c r="E15" s="58">
        <f t="shared" si="2"/>
        <v>-0.17194656857073354</v>
      </c>
      <c r="G15" s="55">
        <f t="shared" si="3"/>
        <v>11</v>
      </c>
      <c r="H15" s="56">
        <f t="shared" si="4"/>
        <v>45744</v>
      </c>
      <c r="I15" s="57">
        <f>FORECAST(G15,$I$5:$I$14,$G$5:$G$14)</f>
        <v>36573.001333333334</v>
      </c>
      <c r="J15" s="58">
        <f t="shared" si="5"/>
        <v>-0.38572352985767977</v>
      </c>
      <c r="L15" s="55">
        <f t="shared" si="6"/>
        <v>11</v>
      </c>
      <c r="M15" s="56">
        <f t="shared" si="7"/>
        <v>45744</v>
      </c>
      <c r="N15" s="57">
        <f>FORECAST(L15,$N$5:$N$14,$L$5:$L$14)</f>
        <v>-6.520675101573687</v>
      </c>
      <c r="O15" s="58">
        <f t="shared" si="8"/>
        <v>-1.082929108436913</v>
      </c>
    </row>
    <row r="16" spans="2:19" x14ac:dyDescent="0.3">
      <c r="B16" s="55">
        <f t="shared" ref="B16:B19" si="9">1+B15</f>
        <v>12</v>
      </c>
      <c r="C16" s="56">
        <f t="shared" si="1"/>
        <v>46109</v>
      </c>
      <c r="D16" s="57">
        <f t="shared" ref="D16:D19" si="10">FORECAST(B16,$D$5:$D$14,$B$5:$B$14)</f>
        <v>374512.66315151507</v>
      </c>
      <c r="E16" s="58">
        <f t="shared" si="2"/>
        <v>3.2774865247977569E-2</v>
      </c>
      <c r="G16" s="55">
        <f t="shared" si="3"/>
        <v>12</v>
      </c>
      <c r="H16" s="56">
        <f t="shared" si="4"/>
        <v>46109</v>
      </c>
      <c r="I16" s="57">
        <f t="shared" ref="I16:I19" si="11">FORECAST(G16,$I$5:$I$14,$G$5:$G$14)</f>
        <v>37228.213757575766</v>
      </c>
      <c r="J16" s="58">
        <f t="shared" si="5"/>
        <v>1.7915194278716795E-2</v>
      </c>
      <c r="L16" s="55">
        <f t="shared" si="6"/>
        <v>12</v>
      </c>
      <c r="M16" s="56">
        <f t="shared" si="7"/>
        <v>46109</v>
      </c>
      <c r="N16" s="57">
        <f t="shared" ref="N16:N19" si="12">FORECAST(L16,$N$5:$N$14,$L$5:$L$14)</f>
        <v>-9.3001141063764052</v>
      </c>
      <c r="O16" s="58">
        <f t="shared" si="8"/>
        <v>0.42625019058715763</v>
      </c>
      <c r="R16" s="51" t="s">
        <v>156</v>
      </c>
      <c r="S16" s="51"/>
    </row>
    <row r="17" spans="2:26" x14ac:dyDescent="0.3">
      <c r="B17" s="55">
        <f t="shared" si="9"/>
        <v>13</v>
      </c>
      <c r="C17" s="56">
        <f t="shared" si="1"/>
        <v>46474</v>
      </c>
      <c r="D17" s="57">
        <f t="shared" si="10"/>
        <v>386397.73363636358</v>
      </c>
      <c r="E17" s="58">
        <f t="shared" si="2"/>
        <v>3.1734762677544603E-2</v>
      </c>
      <c r="G17" s="55">
        <f t="shared" si="3"/>
        <v>13</v>
      </c>
      <c r="H17" s="56">
        <f t="shared" si="4"/>
        <v>46474</v>
      </c>
      <c r="I17" s="57">
        <f t="shared" si="11"/>
        <v>37883.426181818184</v>
      </c>
      <c r="J17" s="58">
        <f t="shared" si="5"/>
        <v>1.7599888850672762E-2</v>
      </c>
      <c r="L17" s="55">
        <f t="shared" si="6"/>
        <v>13</v>
      </c>
      <c r="M17" s="56">
        <f t="shared" si="7"/>
        <v>46474</v>
      </c>
      <c r="N17" s="57">
        <f t="shared" si="12"/>
        <v>-12.079553111179131</v>
      </c>
      <c r="O17" s="58">
        <f t="shared" si="8"/>
        <v>0.29886074224584713</v>
      </c>
      <c r="R17" t="s">
        <v>157</v>
      </c>
      <c r="S17">
        <v>0.77380615660094521</v>
      </c>
    </row>
    <row r="18" spans="2:26" x14ac:dyDescent="0.3">
      <c r="B18" s="55">
        <f t="shared" si="9"/>
        <v>14</v>
      </c>
      <c r="C18" s="56">
        <f t="shared" si="1"/>
        <v>46839</v>
      </c>
      <c r="D18" s="57">
        <f t="shared" si="10"/>
        <v>398282.8041212121</v>
      </c>
      <c r="E18" s="58">
        <f t="shared" si="2"/>
        <v>3.0758644397312906E-2</v>
      </c>
      <c r="G18" s="55">
        <f t="shared" si="3"/>
        <v>14</v>
      </c>
      <c r="H18" s="56">
        <f t="shared" si="4"/>
        <v>46839</v>
      </c>
      <c r="I18" s="57">
        <f t="shared" si="11"/>
        <v>38538.638606060616</v>
      </c>
      <c r="J18" s="58">
        <f t="shared" si="5"/>
        <v>1.7295490146477244E-2</v>
      </c>
      <c r="L18" s="55">
        <f t="shared" si="6"/>
        <v>14</v>
      </c>
      <c r="M18" s="56">
        <f t="shared" si="7"/>
        <v>46839</v>
      </c>
      <c r="N18" s="57">
        <f t="shared" si="12"/>
        <v>-14.858992115981849</v>
      </c>
      <c r="O18" s="58">
        <f t="shared" si="8"/>
        <v>0.23009452247289364</v>
      </c>
      <c r="R18" t="s">
        <v>158</v>
      </c>
      <c r="S18">
        <v>0.5987759679935265</v>
      </c>
    </row>
    <row r="19" spans="2:26" x14ac:dyDescent="0.3">
      <c r="B19" s="55">
        <f t="shared" si="9"/>
        <v>15</v>
      </c>
      <c r="C19" s="56">
        <f t="shared" si="1"/>
        <v>47204</v>
      </c>
      <c r="D19" s="57">
        <f t="shared" si="10"/>
        <v>410167.87460606056</v>
      </c>
      <c r="E19" s="58">
        <f t="shared" si="2"/>
        <v>2.9840782383442788E-2</v>
      </c>
      <c r="G19" s="55">
        <f t="shared" si="3"/>
        <v>15</v>
      </c>
      <c r="H19" s="56">
        <f t="shared" si="4"/>
        <v>47204</v>
      </c>
      <c r="I19" s="57">
        <f t="shared" si="11"/>
        <v>39193.851030303042</v>
      </c>
      <c r="J19" s="58">
        <f t="shared" si="5"/>
        <v>1.7001441876034251E-2</v>
      </c>
      <c r="L19" s="55">
        <f t="shared" si="6"/>
        <v>15</v>
      </c>
      <c r="M19" s="56">
        <f t="shared" si="7"/>
        <v>47204</v>
      </c>
      <c r="N19" s="57">
        <f t="shared" si="12"/>
        <v>-17.638431120784574</v>
      </c>
      <c r="O19" s="58">
        <f t="shared" si="8"/>
        <v>0.18705434279174638</v>
      </c>
      <c r="R19" t="s">
        <v>159</v>
      </c>
      <c r="S19">
        <v>0.55865356479287909</v>
      </c>
    </row>
    <row r="20" spans="2:26" x14ac:dyDescent="0.3">
      <c r="B20" s="46"/>
      <c r="C20" s="53"/>
      <c r="D20" s="52"/>
      <c r="E20" s="24"/>
      <c r="R20" t="s">
        <v>160</v>
      </c>
      <c r="S20">
        <v>45472.31568356463</v>
      </c>
    </row>
    <row r="21" spans="2:26" ht="15" thickBot="1" x14ac:dyDescent="0.35">
      <c r="B21" s="46"/>
      <c r="C21" s="53"/>
      <c r="D21" s="52"/>
      <c r="E21" s="24"/>
      <c r="R21" s="49" t="s">
        <v>161</v>
      </c>
      <c r="S21" s="49">
        <v>12</v>
      </c>
    </row>
    <row r="22" spans="2:26" x14ac:dyDescent="0.3">
      <c r="D22" s="24"/>
    </row>
    <row r="23" spans="2:26" ht="15" thickBot="1" x14ac:dyDescent="0.35">
      <c r="R23" t="s">
        <v>162</v>
      </c>
    </row>
    <row r="24" spans="2:26" x14ac:dyDescent="0.3">
      <c r="R24" s="50"/>
      <c r="S24" s="50" t="s">
        <v>166</v>
      </c>
      <c r="T24" s="50" t="s">
        <v>167</v>
      </c>
      <c r="U24" s="50" t="s">
        <v>168</v>
      </c>
      <c r="V24" s="50" t="s">
        <v>169</v>
      </c>
      <c r="W24" s="50" t="s">
        <v>170</v>
      </c>
    </row>
    <row r="25" spans="2:26" x14ac:dyDescent="0.3">
      <c r="B25" s="46">
        <v>13</v>
      </c>
      <c r="C25" s="48">
        <v>2026</v>
      </c>
      <c r="D25" s="52">
        <v>398918.6969696969</v>
      </c>
      <c r="E25" s="24">
        <v>-9.2737700065506967E-2</v>
      </c>
      <c r="R25" t="s">
        <v>163</v>
      </c>
      <c r="S25">
        <v>1</v>
      </c>
      <c r="T25">
        <v>30858269392.659088</v>
      </c>
      <c r="U25">
        <v>30858269392.659088</v>
      </c>
      <c r="V25">
        <v>14.923731387651911</v>
      </c>
      <c r="W25">
        <v>3.144194766831252E-3</v>
      </c>
    </row>
    <row r="26" spans="2:26" x14ac:dyDescent="0.3">
      <c r="B26" s="46">
        <v>14</v>
      </c>
      <c r="C26" s="48">
        <v>2027</v>
      </c>
      <c r="D26" s="52">
        <v>413608.56060606055</v>
      </c>
      <c r="E26" s="24">
        <v>3.6824204400425886E-2</v>
      </c>
      <c r="R26" t="s">
        <v>164</v>
      </c>
      <c r="S26">
        <v>10</v>
      </c>
      <c r="T26">
        <v>20677314936.257576</v>
      </c>
      <c r="U26">
        <v>2067731493.6257577</v>
      </c>
    </row>
    <row r="27" spans="2:26" ht="15" thickBot="1" x14ac:dyDescent="0.35">
      <c r="B27" s="46">
        <v>15</v>
      </c>
      <c r="C27" s="48">
        <v>2028</v>
      </c>
      <c r="D27" s="52">
        <v>428298.4242424242</v>
      </c>
      <c r="E27" s="24">
        <v>3.5516343314651477E-2</v>
      </c>
      <c r="R27" s="49" t="s">
        <v>13</v>
      </c>
      <c r="S27" s="49">
        <v>11</v>
      </c>
      <c r="T27" s="49">
        <v>51535584328.916664</v>
      </c>
      <c r="U27" s="49"/>
      <c r="V27" s="49"/>
      <c r="W27" s="49"/>
    </row>
    <row r="28" spans="2:26" ht="15" thickBot="1" x14ac:dyDescent="0.35">
      <c r="B28" s="46">
        <v>16</v>
      </c>
      <c r="C28" s="48">
        <v>2029</v>
      </c>
      <c r="D28" s="52">
        <v>442988.28787878784</v>
      </c>
      <c r="E28" s="24">
        <v>3.4298196782645451E-2</v>
      </c>
    </row>
    <row r="29" spans="2:26" x14ac:dyDescent="0.3">
      <c r="B29" s="46">
        <v>17</v>
      </c>
      <c r="C29" s="48">
        <v>2030</v>
      </c>
      <c r="D29" s="52">
        <v>457678.15151515149</v>
      </c>
      <c r="E29" s="24">
        <v>3.3160839774579287E-2</v>
      </c>
      <c r="R29" s="50"/>
      <c r="S29" s="50" t="s">
        <v>171</v>
      </c>
      <c r="T29" s="50" t="s">
        <v>160</v>
      </c>
      <c r="U29" s="50" t="s">
        <v>172</v>
      </c>
      <c r="V29" s="50" t="s">
        <v>173</v>
      </c>
      <c r="W29" s="50" t="s">
        <v>174</v>
      </c>
      <c r="X29" s="50" t="s">
        <v>175</v>
      </c>
      <c r="Y29" s="50" t="s">
        <v>176</v>
      </c>
      <c r="Z29" s="50" t="s">
        <v>177</v>
      </c>
    </row>
    <row r="30" spans="2:26" x14ac:dyDescent="0.3">
      <c r="R30" t="s">
        <v>165</v>
      </c>
      <c r="S30">
        <v>207950.4696969697</v>
      </c>
      <c r="T30">
        <v>27986.275678864327</v>
      </c>
      <c r="U30">
        <v>7.4304445537216353</v>
      </c>
      <c r="V30">
        <v>2.2349423929224751E-5</v>
      </c>
      <c r="W30">
        <v>145593.16153449356</v>
      </c>
      <c r="X30">
        <v>270307.77785944584</v>
      </c>
      <c r="Y30">
        <v>145593.16153449356</v>
      </c>
      <c r="Z30">
        <v>270307.77785944584</v>
      </c>
    </row>
    <row r="31" spans="2:26" ht="15" thickBot="1" x14ac:dyDescent="0.35">
      <c r="R31" s="49" t="s">
        <v>153</v>
      </c>
      <c r="S31" s="49">
        <v>14689.863636363632</v>
      </c>
      <c r="T31" s="49">
        <v>3802.5860666901044</v>
      </c>
      <c r="U31" s="49">
        <v>3.8631245627926498</v>
      </c>
      <c r="V31" s="49">
        <v>3.1441947668312607E-3</v>
      </c>
      <c r="W31" s="49">
        <v>6217.1738831497405</v>
      </c>
      <c r="X31" s="49">
        <v>23162.553389577522</v>
      </c>
      <c r="Y31" s="49">
        <v>6217.1738831497405</v>
      </c>
      <c r="Z31" s="49">
        <v>23162.553389577522</v>
      </c>
    </row>
  </sheetData>
  <mergeCells count="3">
    <mergeCell ref="B3:E3"/>
    <mergeCell ref="G3:J3"/>
    <mergeCell ref="L3:O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DB37-1C3F-4352-9A78-A239808EF2D9}">
  <sheetPr>
    <tabColor rgb="FF002060"/>
  </sheetPr>
  <dimension ref="A1"/>
  <sheetViews>
    <sheetView workbookViewId="0">
      <selection activeCell="I21" sqref="I2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DC8C-1E71-4BC1-BFB9-EA5FE0D31528}">
  <dimension ref="B2:L43"/>
  <sheetViews>
    <sheetView showGridLines="0" zoomScaleNormal="100" workbookViewId="0">
      <selection activeCell="E43" sqref="E43"/>
    </sheetView>
  </sheetViews>
  <sheetFormatPr defaultRowHeight="14.4" x14ac:dyDescent="0.3"/>
  <cols>
    <col min="1" max="1" width="1.88671875" customWidth="1"/>
    <col min="2" max="2" width="34" customWidth="1"/>
    <col min="3" max="3" width="12.88671875" customWidth="1"/>
    <col min="4" max="4" width="9.5546875" bestFit="1" customWidth="1"/>
    <col min="5" max="6" width="10.6640625" bestFit="1" customWidth="1"/>
    <col min="7" max="7" width="8.33203125" customWidth="1"/>
    <col min="8" max="8" width="8.88671875" customWidth="1"/>
    <col min="9" max="9" width="8" customWidth="1"/>
    <col min="10" max="11" width="9.33203125" bestFit="1" customWidth="1"/>
    <col min="12" max="12" width="21.109375" bestFit="1" customWidth="1"/>
  </cols>
  <sheetData>
    <row r="2" spans="2:11" ht="18" x14ac:dyDescent="0.35">
      <c r="B2" s="59" t="s">
        <v>178</v>
      </c>
      <c r="C2" s="22"/>
      <c r="D2" s="22"/>
      <c r="E2" s="22"/>
      <c r="F2" s="22"/>
      <c r="G2" s="22"/>
      <c r="H2" s="22"/>
      <c r="I2" s="22"/>
      <c r="J2" s="22"/>
      <c r="K2" s="22"/>
    </row>
    <row r="4" spans="2:11" x14ac:dyDescent="0.3">
      <c r="B4" s="60" t="s">
        <v>179</v>
      </c>
    </row>
    <row r="6" spans="2:11" x14ac:dyDescent="0.3">
      <c r="B6" s="2" t="s">
        <v>180</v>
      </c>
    </row>
    <row r="7" spans="2:11" x14ac:dyDescent="0.3">
      <c r="B7" s="61"/>
      <c r="C7" s="61"/>
      <c r="D7" s="61"/>
      <c r="E7" s="61"/>
      <c r="F7" s="61"/>
      <c r="G7" s="61"/>
      <c r="H7" s="61" t="s">
        <v>187</v>
      </c>
      <c r="I7" s="61" t="s">
        <v>187</v>
      </c>
      <c r="J7" s="61" t="s">
        <v>190</v>
      </c>
      <c r="K7" s="61" t="s">
        <v>191</v>
      </c>
    </row>
    <row r="8" spans="2:11" ht="16.2" x14ac:dyDescent="0.3">
      <c r="B8" s="62" t="s">
        <v>181</v>
      </c>
      <c r="C8" s="62"/>
      <c r="D8" s="62" t="s">
        <v>182</v>
      </c>
      <c r="E8" s="62" t="s">
        <v>183</v>
      </c>
      <c r="F8" s="62" t="s">
        <v>184</v>
      </c>
      <c r="G8" s="62" t="s">
        <v>186</v>
      </c>
      <c r="H8" s="62" t="s">
        <v>188</v>
      </c>
      <c r="I8" s="62" t="s">
        <v>189</v>
      </c>
      <c r="J8" s="62" t="s">
        <v>192</v>
      </c>
      <c r="K8" s="62" t="s">
        <v>193</v>
      </c>
    </row>
    <row r="10" spans="2:11" x14ac:dyDescent="0.3">
      <c r="B10" s="63" t="s">
        <v>329</v>
      </c>
      <c r="C10" s="63"/>
      <c r="D10" s="63" t="s">
        <v>194</v>
      </c>
      <c r="E10" s="85">
        <f>'Beta - Comps'!F4</f>
        <v>710.8</v>
      </c>
      <c r="F10" s="85">
        <f>'Beta - Comps'!E4</f>
        <v>228379.5</v>
      </c>
      <c r="G10" s="64">
        <v>0.3</v>
      </c>
      <c r="H10" s="65">
        <f>E10/F10</f>
        <v>3.1123634126530618E-3</v>
      </c>
      <c r="I10" s="65">
        <f>E10/(E10+F10)</f>
        <v>3.1027066619581886E-3</v>
      </c>
      <c r="J10" s="66">
        <f>'Beta - Regression'!N6</f>
        <v>1.1190057491191221</v>
      </c>
      <c r="K10" s="67">
        <f>J10/(1+(1-G10)*H10)</f>
        <v>1.1165731221859916</v>
      </c>
    </row>
    <row r="11" spans="2:11" x14ac:dyDescent="0.3">
      <c r="B11" s="63" t="s">
        <v>330</v>
      </c>
      <c r="C11" s="63"/>
      <c r="D11" s="63" t="s">
        <v>194</v>
      </c>
      <c r="E11" s="85">
        <f>'Beta - Comps'!F5</f>
        <v>4526</v>
      </c>
      <c r="F11" s="85">
        <f>'Beta - Comps'!E5</f>
        <v>47567.8</v>
      </c>
      <c r="G11" s="64">
        <v>0.3</v>
      </c>
      <c r="H11" s="65">
        <f t="shared" ref="H11:H14" si="0">E11/F11</f>
        <v>9.5148398706688134E-2</v>
      </c>
      <c r="I11" s="65">
        <f t="shared" ref="I11:I13" si="1">E11/(E11+F11)</f>
        <v>8.688174024548026E-2</v>
      </c>
      <c r="J11" s="66">
        <v>1.4</v>
      </c>
      <c r="K11" s="67">
        <f>J11/(1+(1-G11)*H11)</f>
        <v>1.3125772626931567</v>
      </c>
    </row>
    <row r="12" spans="2:11" x14ac:dyDescent="0.3">
      <c r="B12" s="63" t="s">
        <v>331</v>
      </c>
      <c r="C12" s="63"/>
      <c r="D12" s="63" t="s">
        <v>194</v>
      </c>
      <c r="E12" s="85">
        <f>'Beta - Comps'!F6</f>
        <v>248.9</v>
      </c>
      <c r="F12" s="85">
        <f>'Beta - Comps'!E6</f>
        <v>28378.3</v>
      </c>
      <c r="G12" s="64">
        <v>0.3</v>
      </c>
      <c r="H12" s="65">
        <f t="shared" si="0"/>
        <v>8.7707861288378805E-3</v>
      </c>
      <c r="I12" s="65">
        <f t="shared" si="1"/>
        <v>8.6945282807958865E-3</v>
      </c>
      <c r="J12" s="66">
        <v>1.37</v>
      </c>
      <c r="K12" s="67">
        <f>J12/(1+(1-G12)*H12)</f>
        <v>1.3616401418718413</v>
      </c>
    </row>
    <row r="13" spans="2:11" x14ac:dyDescent="0.3">
      <c r="B13" s="63" t="s">
        <v>332</v>
      </c>
      <c r="C13" s="63"/>
      <c r="D13" s="63" t="s">
        <v>194</v>
      </c>
      <c r="E13" s="85">
        <f>'Beta - Comps'!F7</f>
        <v>4617.6000000000004</v>
      </c>
      <c r="F13" s="85">
        <f>'Beta - Comps'!E7</f>
        <v>23395.4</v>
      </c>
      <c r="G13" s="64">
        <v>0.3</v>
      </c>
      <c r="H13" s="65">
        <f t="shared" si="0"/>
        <v>0.197372132983407</v>
      </c>
      <c r="I13" s="65">
        <f t="shared" si="1"/>
        <v>0.16483775389997501</v>
      </c>
      <c r="J13" s="66">
        <v>1.23</v>
      </c>
      <c r="K13" s="67">
        <f>J13/(1+(1-G13)*H13)</f>
        <v>1.0806911744602994</v>
      </c>
    </row>
    <row r="14" spans="2:11" x14ac:dyDescent="0.3">
      <c r="B14" s="63" t="s">
        <v>333</v>
      </c>
      <c r="C14" s="63"/>
      <c r="D14" s="63" t="s">
        <v>194</v>
      </c>
      <c r="E14" s="85">
        <f>'Beta - Comps'!F8</f>
        <v>805.5</v>
      </c>
      <c r="F14" s="85">
        <f>'Beta - Comps'!E8</f>
        <v>23076.6</v>
      </c>
      <c r="G14" s="64">
        <v>0.3</v>
      </c>
      <c r="H14" s="65">
        <f t="shared" si="0"/>
        <v>3.4905488676841477E-2</v>
      </c>
      <c r="I14" s="65">
        <f>E14/(E14+F14)</f>
        <v>3.3728189732058739E-2</v>
      </c>
      <c r="J14" s="66">
        <v>1.41</v>
      </c>
      <c r="K14" s="67">
        <f>J14/(1+(1-G14)*H14)</f>
        <v>1.3763699929569868</v>
      </c>
    </row>
    <row r="16" spans="2:11" x14ac:dyDescent="0.3">
      <c r="F16" s="68" t="s">
        <v>195</v>
      </c>
      <c r="G16" s="69">
        <f>AVERAGE(G10:G14)</f>
        <v>0.3</v>
      </c>
      <c r="H16" s="69">
        <f t="shared" ref="H16:J16" si="2">AVERAGE(H10:H14)</f>
        <v>6.7861833981685507E-2</v>
      </c>
      <c r="I16" s="69">
        <f t="shared" si="2"/>
        <v>5.9448983764053609E-2</v>
      </c>
      <c r="J16" s="70">
        <f t="shared" si="2"/>
        <v>1.3058011498238244</v>
      </c>
      <c r="K16" s="70">
        <f>AVERAGE(K10:K14)</f>
        <v>1.2495703388336552</v>
      </c>
    </row>
    <row r="17" spans="2:12" x14ac:dyDescent="0.3">
      <c r="F17" s="71" t="s">
        <v>151</v>
      </c>
      <c r="G17" s="72">
        <f>MEDIAN(G10:G14)</f>
        <v>0.3</v>
      </c>
      <c r="H17" s="72">
        <f t="shared" ref="H17:J17" si="3">MEDIAN(H10:H14)</f>
        <v>3.4905488676841477E-2</v>
      </c>
      <c r="I17" s="72">
        <f t="shared" si="3"/>
        <v>3.3728189732058739E-2</v>
      </c>
      <c r="J17" s="73">
        <f t="shared" si="3"/>
        <v>1.37</v>
      </c>
      <c r="K17" s="73">
        <f>MEDIAN(K10:K14)</f>
        <v>1.3125772626931567</v>
      </c>
    </row>
    <row r="20" spans="2:12" x14ac:dyDescent="0.3">
      <c r="B20" s="71" t="s">
        <v>196</v>
      </c>
      <c r="C20" s="71"/>
      <c r="D20" s="62"/>
      <c r="E20" s="62"/>
      <c r="G20" s="71" t="s">
        <v>199</v>
      </c>
      <c r="H20" s="62"/>
      <c r="I20" s="62"/>
      <c r="J20" s="62"/>
      <c r="K20" s="62"/>
    </row>
    <row r="22" spans="2:12" x14ac:dyDescent="0.3">
      <c r="B22" t="s">
        <v>197</v>
      </c>
      <c r="D22">
        <f>69/710</f>
        <v>9.7183098591549291E-2</v>
      </c>
      <c r="E22" s="77">
        <v>9.7183098591549291E-2</v>
      </c>
      <c r="G22" t="s">
        <v>200</v>
      </c>
      <c r="K22" s="77">
        <v>7.3910000000000003E-2</v>
      </c>
      <c r="L22" t="s">
        <v>334</v>
      </c>
    </row>
    <row r="23" spans="2:12" x14ac:dyDescent="0.3">
      <c r="B23" t="s">
        <v>185</v>
      </c>
      <c r="E23" s="79">
        <f>G14</f>
        <v>0.3</v>
      </c>
      <c r="G23" t="s">
        <v>201</v>
      </c>
      <c r="K23" s="77">
        <f>Rm!F9-WACC!K22</f>
        <v>8.0524782608695639E-2</v>
      </c>
    </row>
    <row r="24" spans="2:12" ht="16.2" x14ac:dyDescent="0.3">
      <c r="B24" s="74" t="s">
        <v>198</v>
      </c>
      <c r="C24" s="74"/>
      <c r="D24" s="74"/>
      <c r="E24" s="75">
        <f>E22*(1-E23)</f>
        <v>6.8028169014084497E-2</v>
      </c>
      <c r="G24" t="s">
        <v>202</v>
      </c>
      <c r="K24" s="82">
        <f>K33</f>
        <v>1.3706516979150047</v>
      </c>
    </row>
    <row r="25" spans="2:12" x14ac:dyDescent="0.3">
      <c r="G25" s="74" t="s">
        <v>199</v>
      </c>
      <c r="H25" s="74"/>
      <c r="I25" s="74"/>
      <c r="J25" s="74"/>
      <c r="K25" s="75">
        <f>K22+(K23*K24)</f>
        <v>0.18428143000684533</v>
      </c>
    </row>
    <row r="28" spans="2:12" x14ac:dyDescent="0.3">
      <c r="B28" s="71" t="s">
        <v>203</v>
      </c>
      <c r="C28" s="71"/>
      <c r="D28" s="62"/>
      <c r="E28" s="62"/>
      <c r="G28" s="71" t="s">
        <v>209</v>
      </c>
      <c r="H28" s="71"/>
      <c r="I28" s="62"/>
      <c r="J28" s="62"/>
      <c r="K28" s="62"/>
    </row>
    <row r="30" spans="2:12" x14ac:dyDescent="0.3">
      <c r="D30" s="76" t="s">
        <v>204</v>
      </c>
      <c r="E30" s="76" t="s">
        <v>205</v>
      </c>
      <c r="G30" t="s">
        <v>207</v>
      </c>
      <c r="K30" s="82">
        <f>K17</f>
        <v>1.3125772626931567</v>
      </c>
    </row>
    <row r="31" spans="2:12" x14ac:dyDescent="0.3">
      <c r="B31" t="s">
        <v>183</v>
      </c>
      <c r="C31" s="86">
        <f>E10</f>
        <v>710.8</v>
      </c>
      <c r="D31" s="24">
        <f>C31/$C$33</f>
        <v>3.1027066619581886E-3</v>
      </c>
      <c r="E31" s="77">
        <f>I16</f>
        <v>5.9448983764053609E-2</v>
      </c>
      <c r="G31" t="s">
        <v>208</v>
      </c>
      <c r="K31" s="79">
        <f>E35</f>
        <v>6.3206548861077683E-2</v>
      </c>
    </row>
    <row r="32" spans="2:12" x14ac:dyDescent="0.3">
      <c r="B32" t="s">
        <v>44</v>
      </c>
      <c r="C32" s="86">
        <f>F10</f>
        <v>228379.5</v>
      </c>
      <c r="D32" s="78">
        <f>C32/$C$33</f>
        <v>0.99689729333804189</v>
      </c>
      <c r="E32" s="79">
        <f>E33-E31</f>
        <v>0.94055101623594639</v>
      </c>
      <c r="G32" t="s">
        <v>185</v>
      </c>
      <c r="K32" s="83">
        <f>E23</f>
        <v>0.3</v>
      </c>
    </row>
    <row r="33" spans="2:11" x14ac:dyDescent="0.3">
      <c r="B33" s="74" t="s">
        <v>206</v>
      </c>
      <c r="C33" s="119">
        <f>SUM(C31:C32)</f>
        <v>229090.3</v>
      </c>
      <c r="D33" s="24">
        <f t="shared" ref="D33" si="4">C33/$C$33</f>
        <v>1</v>
      </c>
      <c r="E33" s="80">
        <f>D33</f>
        <v>1</v>
      </c>
      <c r="G33" s="74" t="s">
        <v>209</v>
      </c>
      <c r="H33" s="74"/>
      <c r="I33" s="74"/>
      <c r="J33" s="74"/>
      <c r="K33" s="84">
        <f>K30*(1+(1-K32)*K31)</f>
        <v>1.3706516979150047</v>
      </c>
    </row>
    <row r="35" spans="2:11" x14ac:dyDescent="0.3">
      <c r="B35" t="s">
        <v>210</v>
      </c>
      <c r="D35" s="81">
        <f>D31/D32</f>
        <v>3.1123634126530618E-3</v>
      </c>
      <c r="E35" s="81">
        <f>E31/E32</f>
        <v>6.3206548861077683E-2</v>
      </c>
      <c r="G35" s="71" t="s">
        <v>178</v>
      </c>
      <c r="H35" s="71"/>
      <c r="I35" s="62"/>
      <c r="J35" s="62"/>
      <c r="K35" s="62"/>
    </row>
    <row r="37" spans="2:11" x14ac:dyDescent="0.3">
      <c r="B37" s="87" t="s">
        <v>211</v>
      </c>
      <c r="G37" t="s">
        <v>199</v>
      </c>
      <c r="J37" s="126"/>
      <c r="K37" s="123">
        <f>K25</f>
        <v>0.18428143000684533</v>
      </c>
    </row>
    <row r="38" spans="2:11" x14ac:dyDescent="0.3">
      <c r="B38" s="88" t="s">
        <v>212</v>
      </c>
      <c r="G38" t="s">
        <v>341</v>
      </c>
      <c r="J38" s="79"/>
      <c r="K38" s="79">
        <f>E32</f>
        <v>0.94055101623594639</v>
      </c>
    </row>
    <row r="39" spans="2:11" x14ac:dyDescent="0.3">
      <c r="B39" s="88" t="s">
        <v>213</v>
      </c>
      <c r="J39" s="79"/>
      <c r="K39" s="79"/>
    </row>
    <row r="40" spans="2:11" x14ac:dyDescent="0.3">
      <c r="B40" s="88" t="s">
        <v>214</v>
      </c>
      <c r="G40" t="s">
        <v>196</v>
      </c>
      <c r="K40" s="79">
        <f>E24</f>
        <v>6.8028169014084497E-2</v>
      </c>
    </row>
    <row r="41" spans="2:11" x14ac:dyDescent="0.3">
      <c r="B41" s="88" t="s">
        <v>215</v>
      </c>
      <c r="G41" t="s">
        <v>342</v>
      </c>
      <c r="K41" s="79">
        <f>E31</f>
        <v>5.9448983764053609E-2</v>
      </c>
    </row>
    <row r="43" spans="2:11" x14ac:dyDescent="0.3">
      <c r="G43" s="127" t="s">
        <v>343</v>
      </c>
      <c r="H43" s="127"/>
      <c r="I43" s="127"/>
      <c r="J43" s="127"/>
      <c r="K43" s="128">
        <f>(K37*K38)+(K40*K41)</f>
        <v>0.17737029178156841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0BAC-9495-4470-B875-0A75965EB775}">
  <sheetPr>
    <tabColor theme="7" tint="-0.249977111117893"/>
  </sheetPr>
  <dimension ref="B2:G106"/>
  <sheetViews>
    <sheetView topLeftCell="A79" workbookViewId="0">
      <selection activeCell="B2" sqref="B2:B92"/>
    </sheetView>
  </sheetViews>
  <sheetFormatPr defaultRowHeight="14.4" x14ac:dyDescent="0.3"/>
  <cols>
    <col min="2" max="2" width="11.88671875" bestFit="1" customWidth="1"/>
    <col min="7" max="7" width="10.33203125" bestFit="1" customWidth="1"/>
  </cols>
  <sheetData>
    <row r="2" spans="2:7" x14ac:dyDescent="0.3">
      <c r="B2" s="92" t="s">
        <v>216</v>
      </c>
      <c r="C2">
        <v>2994.2</v>
      </c>
    </row>
    <row r="3" spans="2:7" x14ac:dyDescent="0.3">
      <c r="B3" s="92" t="s">
        <v>217</v>
      </c>
      <c r="C3">
        <v>3286.1</v>
      </c>
    </row>
    <row r="4" spans="2:7" x14ac:dyDescent="0.3">
      <c r="B4" s="92" t="s">
        <v>218</v>
      </c>
      <c r="C4">
        <v>3129.35</v>
      </c>
    </row>
    <row r="5" spans="2:7" x14ac:dyDescent="0.3">
      <c r="B5" s="92" t="s">
        <v>219</v>
      </c>
      <c r="C5">
        <v>2960.3</v>
      </c>
    </row>
    <row r="6" spans="2:7" x14ac:dyDescent="0.3">
      <c r="B6" s="92" t="s">
        <v>220</v>
      </c>
      <c r="C6">
        <v>2855.2</v>
      </c>
    </row>
    <row r="7" spans="2:7" x14ac:dyDescent="0.3">
      <c r="B7" s="92" t="s">
        <v>221</v>
      </c>
      <c r="C7">
        <v>2912.7</v>
      </c>
    </row>
    <row r="8" spans="2:7" x14ac:dyDescent="0.3">
      <c r="B8" s="92" t="s">
        <v>222</v>
      </c>
      <c r="C8">
        <v>2947.75</v>
      </c>
    </row>
    <row r="9" spans="2:7" x14ac:dyDescent="0.3">
      <c r="B9" s="92" t="s">
        <v>223</v>
      </c>
      <c r="C9">
        <v>2919.9</v>
      </c>
    </row>
    <row r="10" spans="2:7" x14ac:dyDescent="0.3">
      <c r="B10" s="92" t="s">
        <v>224</v>
      </c>
      <c r="C10">
        <v>2713.7</v>
      </c>
      <c r="G10" s="91">
        <v>44256</v>
      </c>
    </row>
    <row r="11" spans="2:7" x14ac:dyDescent="0.3">
      <c r="B11" s="92" t="s">
        <v>225</v>
      </c>
      <c r="C11">
        <v>2852.9</v>
      </c>
    </row>
    <row r="12" spans="2:7" x14ac:dyDescent="0.3">
      <c r="B12" s="92" t="s">
        <v>226</v>
      </c>
      <c r="C12">
        <v>2895.5</v>
      </c>
    </row>
    <row r="13" spans="2:7" x14ac:dyDescent="0.3">
      <c r="B13" s="92" t="s">
        <v>227</v>
      </c>
      <c r="C13">
        <v>2844.65</v>
      </c>
    </row>
    <row r="14" spans="2:7" x14ac:dyDescent="0.3">
      <c r="B14" s="92" t="s">
        <v>228</v>
      </c>
      <c r="C14">
        <v>3034.15</v>
      </c>
    </row>
    <row r="15" spans="2:7" x14ac:dyDescent="0.3">
      <c r="B15" s="92" t="s">
        <v>229</v>
      </c>
      <c r="C15">
        <v>3022.1</v>
      </c>
    </row>
    <row r="16" spans="2:7" x14ac:dyDescent="0.3">
      <c r="B16" s="92" t="s">
        <v>230</v>
      </c>
      <c r="C16">
        <v>3197</v>
      </c>
    </row>
    <row r="17" spans="2:3" x14ac:dyDescent="0.3">
      <c r="B17" s="92" t="s">
        <v>231</v>
      </c>
      <c r="C17">
        <v>3175.55</v>
      </c>
    </row>
    <row r="18" spans="2:3" x14ac:dyDescent="0.3">
      <c r="B18" s="92" t="s">
        <v>232</v>
      </c>
      <c r="C18">
        <v>3317.7</v>
      </c>
    </row>
    <row r="19" spans="2:3" x14ac:dyDescent="0.3">
      <c r="B19" s="92" t="s">
        <v>233</v>
      </c>
      <c r="C19">
        <v>3315.35</v>
      </c>
    </row>
    <row r="20" spans="2:3" x14ac:dyDescent="0.3">
      <c r="B20" s="92" t="s">
        <v>234</v>
      </c>
      <c r="C20">
        <v>3314.3</v>
      </c>
    </row>
    <row r="21" spans="2:3" x14ac:dyDescent="0.3">
      <c r="B21" s="92" t="s">
        <v>235</v>
      </c>
      <c r="C21">
        <v>3377.6</v>
      </c>
    </row>
    <row r="22" spans="2:3" x14ac:dyDescent="0.3">
      <c r="B22" s="92" t="s">
        <v>236</v>
      </c>
      <c r="C22">
        <v>3349.2</v>
      </c>
    </row>
    <row r="23" spans="2:3" x14ac:dyDescent="0.3">
      <c r="B23" s="92" t="s">
        <v>237</v>
      </c>
      <c r="C23">
        <v>3413.2</v>
      </c>
    </row>
    <row r="24" spans="2:3" x14ac:dyDescent="0.3">
      <c r="B24" s="92" t="s">
        <v>238</v>
      </c>
      <c r="C24">
        <v>3500.8</v>
      </c>
    </row>
    <row r="25" spans="2:3" x14ac:dyDescent="0.3">
      <c r="B25" s="92" t="s">
        <v>239</v>
      </c>
      <c r="C25">
        <v>3529.2</v>
      </c>
    </row>
    <row r="26" spans="2:3" x14ac:dyDescent="0.3">
      <c r="B26" s="92" t="s">
        <v>240</v>
      </c>
      <c r="C26">
        <v>3594.55</v>
      </c>
    </row>
    <row r="27" spans="2:3" x14ac:dyDescent="0.3">
      <c r="B27" s="92" t="s">
        <v>241</v>
      </c>
      <c r="C27">
        <v>3643.1</v>
      </c>
    </row>
    <row r="28" spans="2:3" x14ac:dyDescent="0.3">
      <c r="B28" s="92" t="s">
        <v>242</v>
      </c>
      <c r="C28">
        <v>3833.05</v>
      </c>
    </row>
    <row r="29" spans="2:3" x14ac:dyDescent="0.3">
      <c r="B29" s="92" t="s">
        <v>243</v>
      </c>
      <c r="C29">
        <v>3938.9</v>
      </c>
    </row>
    <row r="30" spans="2:3" x14ac:dyDescent="0.3">
      <c r="B30" s="92" t="s">
        <v>244</v>
      </c>
      <c r="C30">
        <v>3950.5</v>
      </c>
    </row>
    <row r="31" spans="2:3" x14ac:dyDescent="0.3">
      <c r="B31" s="92" t="s">
        <v>245</v>
      </c>
      <c r="C31">
        <v>4239.6499999999996</v>
      </c>
    </row>
    <row r="32" spans="2:3" x14ac:dyDescent="0.3">
      <c r="B32" s="92" t="s">
        <v>246</v>
      </c>
      <c r="C32">
        <v>4422.3500000000004</v>
      </c>
    </row>
    <row r="33" spans="2:3" x14ac:dyDescent="0.3">
      <c r="B33" s="92" t="s">
        <v>247</v>
      </c>
      <c r="C33">
        <v>4235.6000000000004</v>
      </c>
    </row>
    <row r="34" spans="2:3" x14ac:dyDescent="0.3">
      <c r="B34" s="92" t="s">
        <v>248</v>
      </c>
      <c r="C34">
        <v>4407.95</v>
      </c>
    </row>
    <row r="35" spans="2:3" x14ac:dyDescent="0.3">
      <c r="B35" s="92" t="s">
        <v>249</v>
      </c>
      <c r="C35">
        <v>5323.75</v>
      </c>
    </row>
    <row r="36" spans="2:3" x14ac:dyDescent="0.3">
      <c r="B36" s="92" t="s">
        <v>250</v>
      </c>
      <c r="C36">
        <v>4521.45</v>
      </c>
    </row>
    <row r="37" spans="2:3" x14ac:dyDescent="0.3">
      <c r="B37" s="92" t="s">
        <v>251</v>
      </c>
      <c r="C37">
        <v>4635.45</v>
      </c>
    </row>
    <row r="38" spans="2:3" x14ac:dyDescent="0.3">
      <c r="B38" s="92" t="s">
        <v>252</v>
      </c>
      <c r="C38">
        <v>4783.7</v>
      </c>
    </row>
    <row r="39" spans="2:3" x14ac:dyDescent="0.3">
      <c r="B39" s="92" t="s">
        <v>253</v>
      </c>
      <c r="C39">
        <v>5078.55</v>
      </c>
    </row>
    <row r="40" spans="2:3" x14ac:dyDescent="0.3">
      <c r="B40" s="92" t="s">
        <v>254</v>
      </c>
      <c r="C40">
        <v>5080.8999999999996</v>
      </c>
    </row>
    <row r="41" spans="2:3" x14ac:dyDescent="0.3">
      <c r="B41" s="92" t="s">
        <v>255</v>
      </c>
      <c r="C41">
        <v>4718.75</v>
      </c>
    </row>
    <row r="42" spans="2:3" x14ac:dyDescent="0.3">
      <c r="B42" s="92" t="s">
        <v>256</v>
      </c>
      <c r="C42">
        <v>4799.05</v>
      </c>
    </row>
    <row r="43" spans="2:3" x14ac:dyDescent="0.3">
      <c r="B43" s="92" t="s">
        <v>257</v>
      </c>
      <c r="C43">
        <v>4796.6000000000004</v>
      </c>
    </row>
    <row r="44" spans="2:3" x14ac:dyDescent="0.3">
      <c r="B44" s="92" t="s">
        <v>258</v>
      </c>
      <c r="C44">
        <v>4697.8</v>
      </c>
    </row>
    <row r="45" spans="2:3" x14ac:dyDescent="0.3">
      <c r="B45" s="92" t="s">
        <v>259</v>
      </c>
      <c r="C45">
        <v>4671.45</v>
      </c>
    </row>
    <row r="46" spans="2:3" x14ac:dyDescent="0.3">
      <c r="B46" s="92" t="s">
        <v>260</v>
      </c>
      <c r="C46">
        <v>4628.8999999999996</v>
      </c>
    </row>
    <row r="47" spans="2:3" x14ac:dyDescent="0.3">
      <c r="B47" s="92" t="s">
        <v>261</v>
      </c>
      <c r="C47">
        <v>4731.3500000000004</v>
      </c>
    </row>
    <row r="48" spans="2:3" x14ac:dyDescent="0.3">
      <c r="B48" s="92" t="s">
        <v>262</v>
      </c>
      <c r="C48">
        <v>4322.7</v>
      </c>
    </row>
    <row r="49" spans="2:3" x14ac:dyDescent="0.3">
      <c r="B49" s="92" t="s">
        <v>263</v>
      </c>
      <c r="C49">
        <v>4299.8</v>
      </c>
    </row>
    <row r="50" spans="2:3" x14ac:dyDescent="0.3">
      <c r="B50" s="92" t="s">
        <v>264</v>
      </c>
      <c r="C50">
        <v>4076</v>
      </c>
    </row>
    <row r="51" spans="2:3" x14ac:dyDescent="0.3">
      <c r="B51" s="92" t="s">
        <v>265</v>
      </c>
      <c r="C51">
        <v>4081.9</v>
      </c>
    </row>
    <row r="52" spans="2:3" x14ac:dyDescent="0.3">
      <c r="B52" s="92" t="s">
        <v>266</v>
      </c>
      <c r="C52">
        <v>4142.25</v>
      </c>
    </row>
    <row r="53" spans="2:3" x14ac:dyDescent="0.3">
      <c r="B53" s="92" t="s">
        <v>267</v>
      </c>
      <c r="C53">
        <v>4073.1</v>
      </c>
    </row>
    <row r="54" spans="2:3" x14ac:dyDescent="0.3">
      <c r="B54" s="92" t="s">
        <v>268</v>
      </c>
      <c r="C54">
        <v>4190.75</v>
      </c>
    </row>
    <row r="55" spans="2:3" x14ac:dyDescent="0.3">
      <c r="B55" s="92" t="s">
        <v>269</v>
      </c>
      <c r="C55">
        <v>4110.2</v>
      </c>
    </row>
    <row r="56" spans="2:3" x14ac:dyDescent="0.3">
      <c r="B56" s="92" t="s">
        <v>270</v>
      </c>
      <c r="C56">
        <v>4198.95</v>
      </c>
    </row>
    <row r="57" spans="2:3" x14ac:dyDescent="0.3">
      <c r="B57" s="92" t="s">
        <v>271</v>
      </c>
      <c r="C57">
        <v>4192.75</v>
      </c>
    </row>
    <row r="58" spans="2:3" x14ac:dyDescent="0.3">
      <c r="B58" s="92" t="s">
        <v>272</v>
      </c>
      <c r="C58">
        <v>4001.3</v>
      </c>
    </row>
    <row r="59" spans="2:3" x14ac:dyDescent="0.3">
      <c r="B59" s="92" t="s">
        <v>273</v>
      </c>
      <c r="C59">
        <v>4082.2</v>
      </c>
    </row>
    <row r="60" spans="2:3" x14ac:dyDescent="0.3">
      <c r="B60" s="92" t="s">
        <v>274</v>
      </c>
      <c r="C60">
        <v>4146.25</v>
      </c>
    </row>
    <row r="61" spans="2:3" x14ac:dyDescent="0.3">
      <c r="B61" s="92" t="s">
        <v>275</v>
      </c>
      <c r="C61">
        <v>4090.9</v>
      </c>
    </row>
    <row r="62" spans="2:3" x14ac:dyDescent="0.3">
      <c r="B62" s="90" t="s">
        <v>276</v>
      </c>
      <c r="C62">
        <v>4028.85</v>
      </c>
    </row>
    <row r="63" spans="2:3" x14ac:dyDescent="0.3">
      <c r="B63" s="90" t="s">
        <v>277</v>
      </c>
      <c r="C63">
        <v>3944.25</v>
      </c>
    </row>
    <row r="64" spans="2:3" x14ac:dyDescent="0.3">
      <c r="B64" s="90" t="s">
        <v>278</v>
      </c>
      <c r="C64">
        <v>3666.2</v>
      </c>
    </row>
    <row r="65" spans="2:3" x14ac:dyDescent="0.3">
      <c r="B65" s="90" t="s">
        <v>279</v>
      </c>
      <c r="C65">
        <v>3230.6</v>
      </c>
    </row>
    <row r="66" spans="2:3" x14ac:dyDescent="0.3">
      <c r="B66" s="90" t="s">
        <v>280</v>
      </c>
      <c r="C66">
        <v>3630.4</v>
      </c>
    </row>
    <row r="67" spans="2:3" x14ac:dyDescent="0.3">
      <c r="B67" s="90" t="s">
        <v>281</v>
      </c>
      <c r="C67">
        <v>3613.85</v>
      </c>
    </row>
    <row r="68" spans="2:3" x14ac:dyDescent="0.3">
      <c r="B68" s="90" t="s">
        <v>282</v>
      </c>
      <c r="C68">
        <v>3820.1</v>
      </c>
    </row>
    <row r="69" spans="2:3" x14ac:dyDescent="0.3">
      <c r="B69" s="90" t="s">
        <v>283</v>
      </c>
      <c r="C69">
        <v>3755.65</v>
      </c>
    </row>
    <row r="70" spans="2:3" x14ac:dyDescent="0.3">
      <c r="B70" s="90" t="s">
        <v>284</v>
      </c>
      <c r="C70">
        <v>3460.55</v>
      </c>
    </row>
    <row r="71" spans="2:3" x14ac:dyDescent="0.3">
      <c r="B71" s="90" t="s">
        <v>285</v>
      </c>
      <c r="C71">
        <v>3412</v>
      </c>
    </row>
    <row r="72" spans="2:3" x14ac:dyDescent="0.3">
      <c r="B72" s="90" t="s">
        <v>286</v>
      </c>
      <c r="C72">
        <v>3388.75</v>
      </c>
    </row>
    <row r="73" spans="2:3" x14ac:dyDescent="0.3">
      <c r="B73" s="90" t="s">
        <v>287</v>
      </c>
      <c r="C73">
        <v>3941.7</v>
      </c>
    </row>
    <row r="74" spans="2:3" x14ac:dyDescent="0.3">
      <c r="B74" s="90" t="s">
        <v>288</v>
      </c>
      <c r="C74">
        <v>3926.8</v>
      </c>
    </row>
    <row r="75" spans="2:3" x14ac:dyDescent="0.3">
      <c r="B75" s="90" t="s">
        <v>289</v>
      </c>
      <c r="C75">
        <v>3963.4</v>
      </c>
    </row>
    <row r="76" spans="2:3" x14ac:dyDescent="0.3">
      <c r="B76" s="90" t="s">
        <v>290</v>
      </c>
      <c r="C76">
        <v>4243.8500000000004</v>
      </c>
    </row>
    <row r="77" spans="2:3" x14ac:dyDescent="0.3">
      <c r="B77" s="90" t="s">
        <v>291</v>
      </c>
      <c r="C77">
        <v>4232.25</v>
      </c>
    </row>
    <row r="78" spans="2:3" x14ac:dyDescent="0.3">
      <c r="B78" s="90" t="s">
        <v>292</v>
      </c>
      <c r="C78">
        <v>4336.7</v>
      </c>
    </row>
    <row r="79" spans="2:3" x14ac:dyDescent="0.3">
      <c r="B79" s="90" t="s">
        <v>293</v>
      </c>
      <c r="C79">
        <v>4382</v>
      </c>
    </row>
    <row r="80" spans="2:3" x14ac:dyDescent="0.3">
      <c r="B80" s="90" t="s">
        <v>294</v>
      </c>
      <c r="C80">
        <v>4409.6499999999996</v>
      </c>
    </row>
    <row r="81" spans="2:3" x14ac:dyDescent="0.3">
      <c r="B81" s="90" t="s">
        <v>295</v>
      </c>
      <c r="C81">
        <v>4576.8</v>
      </c>
    </row>
    <row r="82" spans="2:3" x14ac:dyDescent="0.3">
      <c r="B82" s="90" t="s">
        <v>296</v>
      </c>
      <c r="C82">
        <v>4386.1000000000004</v>
      </c>
    </row>
    <row r="83" spans="2:3" x14ac:dyDescent="0.3">
      <c r="B83" s="90" t="s">
        <v>297</v>
      </c>
      <c r="C83">
        <v>4327.55</v>
      </c>
    </row>
    <row r="84" spans="2:3" x14ac:dyDescent="0.3">
      <c r="B84" s="90" t="s">
        <v>298</v>
      </c>
      <c r="C84">
        <v>4367</v>
      </c>
    </row>
    <row r="85" spans="2:3" x14ac:dyDescent="0.3">
      <c r="B85" s="90" t="s">
        <v>299</v>
      </c>
      <c r="C85">
        <v>4386.55</v>
      </c>
    </row>
    <row r="86" spans="2:3" x14ac:dyDescent="0.3">
      <c r="B86" s="90" t="s">
        <v>300</v>
      </c>
      <c r="C86">
        <v>4471.45</v>
      </c>
    </row>
    <row r="87" spans="2:3" x14ac:dyDescent="0.3">
      <c r="B87" s="90" t="s">
        <v>301</v>
      </c>
      <c r="C87">
        <v>4306.1499999999996</v>
      </c>
    </row>
    <row r="88" spans="2:3" x14ac:dyDescent="0.3">
      <c r="B88" s="90" t="s">
        <v>302</v>
      </c>
      <c r="C88">
        <v>4215.55</v>
      </c>
    </row>
    <row r="89" spans="2:3" x14ac:dyDescent="0.3">
      <c r="B89" s="90" t="s">
        <v>303</v>
      </c>
      <c r="C89">
        <v>4307.3500000000004</v>
      </c>
    </row>
    <row r="90" spans="2:3" x14ac:dyDescent="0.3">
      <c r="B90" s="90" t="s">
        <v>304</v>
      </c>
      <c r="C90">
        <v>4167.3500000000004</v>
      </c>
    </row>
    <row r="91" spans="2:3" x14ac:dyDescent="0.3">
      <c r="B91" s="90" t="s">
        <v>305</v>
      </c>
      <c r="C91">
        <v>4128.3500000000004</v>
      </c>
    </row>
    <row r="92" spans="2:3" x14ac:dyDescent="0.3">
      <c r="B92" s="90" t="s">
        <v>306</v>
      </c>
      <c r="C92">
        <v>3910.6</v>
      </c>
    </row>
    <row r="93" spans="2:3" x14ac:dyDescent="0.3">
      <c r="B93" s="89">
        <v>44886</v>
      </c>
      <c r="C93">
        <v>3904.45</v>
      </c>
    </row>
    <row r="94" spans="2:3" x14ac:dyDescent="0.3">
      <c r="B94" s="89">
        <v>44893</v>
      </c>
      <c r="C94">
        <v>4005.75</v>
      </c>
    </row>
    <row r="95" spans="2:3" x14ac:dyDescent="0.3">
      <c r="B95" s="89">
        <v>44900</v>
      </c>
      <c r="C95">
        <v>4002.4</v>
      </c>
    </row>
    <row r="96" spans="2:3" x14ac:dyDescent="0.3">
      <c r="B96" s="89">
        <v>44907</v>
      </c>
      <c r="C96">
        <v>3990</v>
      </c>
    </row>
    <row r="97" spans="2:3" x14ac:dyDescent="0.3">
      <c r="B97" s="89">
        <v>44914</v>
      </c>
      <c r="C97">
        <v>3875.6</v>
      </c>
    </row>
    <row r="98" spans="2:3" x14ac:dyDescent="0.3">
      <c r="B98" s="89">
        <v>44921</v>
      </c>
      <c r="C98">
        <v>4068.75</v>
      </c>
    </row>
    <row r="99" spans="2:3" x14ac:dyDescent="0.3">
      <c r="B99" s="89">
        <v>44928</v>
      </c>
      <c r="C99">
        <v>3842.5</v>
      </c>
    </row>
    <row r="100" spans="2:3" x14ac:dyDescent="0.3">
      <c r="B100" s="89">
        <v>44935</v>
      </c>
      <c r="C100">
        <v>3863.7</v>
      </c>
    </row>
    <row r="101" spans="2:3" x14ac:dyDescent="0.3">
      <c r="B101" s="89">
        <v>44942</v>
      </c>
      <c r="C101">
        <v>3513.75</v>
      </c>
    </row>
    <row r="102" spans="2:3" x14ac:dyDescent="0.3">
      <c r="B102" s="89">
        <v>44949</v>
      </c>
      <c r="C102">
        <v>3562.35</v>
      </c>
    </row>
    <row r="103" spans="2:3" x14ac:dyDescent="0.3">
      <c r="B103" s="89">
        <v>44956</v>
      </c>
      <c r="C103">
        <v>3470.35</v>
      </c>
    </row>
    <row r="104" spans="2:3" x14ac:dyDescent="0.3">
      <c r="B104" s="89">
        <v>44963</v>
      </c>
      <c r="C104">
        <v>3498.85</v>
      </c>
    </row>
    <row r="105" spans="2:3" x14ac:dyDescent="0.3">
      <c r="B105" s="89">
        <v>44970</v>
      </c>
      <c r="C105">
        <v>3545</v>
      </c>
    </row>
    <row r="106" spans="2:3" x14ac:dyDescent="0.3">
      <c r="B106" s="89">
        <v>44977</v>
      </c>
      <c r="C106">
        <v>3525.6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0305-2EC9-484F-AD30-704425E689B7}">
  <sheetPr>
    <tabColor rgb="FF002060"/>
  </sheetPr>
  <dimension ref="B2:Y111"/>
  <sheetViews>
    <sheetView showGridLines="0" workbookViewId="0">
      <selection activeCell="B4" sqref="B4:D4"/>
    </sheetView>
  </sheetViews>
  <sheetFormatPr defaultRowHeight="14.4" x14ac:dyDescent="0.3"/>
  <cols>
    <col min="1" max="1" width="1.88671875" customWidth="1"/>
    <col min="2" max="2" width="11.5546875" customWidth="1"/>
    <col min="3" max="3" width="12.6640625" customWidth="1"/>
    <col min="4" max="4" width="11" customWidth="1"/>
    <col min="6" max="6" width="11.5546875" bestFit="1" customWidth="1"/>
    <col min="7" max="8" width="11.6640625" customWidth="1"/>
    <col min="9" max="9" width="17.21875" customWidth="1"/>
    <col min="10" max="11" width="11.6640625" customWidth="1"/>
    <col min="14" max="14" width="9.5546875" bestFit="1" customWidth="1"/>
    <col min="15" max="15" width="12.109375" customWidth="1"/>
  </cols>
  <sheetData>
    <row r="2" spans="2:25" x14ac:dyDescent="0.3">
      <c r="B2" s="2" t="s">
        <v>322</v>
      </c>
    </row>
    <row r="4" spans="2:25" x14ac:dyDescent="0.3">
      <c r="B4" s="151" t="s">
        <v>309</v>
      </c>
      <c r="C4" s="151"/>
      <c r="D4" s="151"/>
      <c r="F4" s="151" t="s">
        <v>311</v>
      </c>
      <c r="G4" s="151"/>
      <c r="H4" s="114"/>
      <c r="I4" s="151" t="s">
        <v>316</v>
      </c>
      <c r="J4" s="151"/>
      <c r="K4" s="114"/>
      <c r="O4" s="152"/>
      <c r="P4" s="152"/>
    </row>
    <row r="5" spans="2:25" x14ac:dyDescent="0.3">
      <c r="O5" s="99"/>
      <c r="P5" s="99"/>
      <c r="Q5" s="99"/>
      <c r="S5" s="99"/>
      <c r="T5" s="99"/>
      <c r="U5" s="99"/>
      <c r="V5" s="99"/>
      <c r="W5" s="99"/>
      <c r="X5" s="99"/>
      <c r="Y5" s="99"/>
    </row>
    <row r="6" spans="2:25" x14ac:dyDescent="0.3">
      <c r="B6" s="97" t="s">
        <v>307</v>
      </c>
      <c r="C6" s="98" t="s">
        <v>308</v>
      </c>
      <c r="D6" s="98" t="s">
        <v>310</v>
      </c>
      <c r="F6" s="98" t="s">
        <v>308</v>
      </c>
      <c r="G6" s="98" t="s">
        <v>310</v>
      </c>
      <c r="H6" s="113"/>
      <c r="I6" s="116" t="s">
        <v>317</v>
      </c>
      <c r="J6" s="115">
        <f>N9</f>
        <v>1.1190057491191221</v>
      </c>
      <c r="K6" s="113"/>
      <c r="M6" s="110" t="s">
        <v>312</v>
      </c>
      <c r="N6" s="111">
        <f>SLOPE(D8:D111,G8:G111)</f>
        <v>1.1190057491191221</v>
      </c>
      <c r="O6" s="101"/>
      <c r="P6" s="93"/>
      <c r="Q6" s="100"/>
      <c r="S6" s="99"/>
      <c r="T6" s="99"/>
      <c r="U6" s="99"/>
      <c r="V6" s="99"/>
      <c r="W6" s="99"/>
      <c r="X6" s="99"/>
      <c r="Y6" s="99"/>
    </row>
    <row r="7" spans="2:25" x14ac:dyDescent="0.3">
      <c r="B7" s="95">
        <v>44249</v>
      </c>
      <c r="C7" s="96">
        <v>2994.2</v>
      </c>
      <c r="F7" s="96">
        <v>14529.15</v>
      </c>
      <c r="G7" s="108"/>
      <c r="H7" s="108"/>
      <c r="I7" t="s">
        <v>318</v>
      </c>
      <c r="J7" s="109">
        <v>0.75</v>
      </c>
      <c r="K7" s="108"/>
      <c r="M7" s="46" t="s">
        <v>313</v>
      </c>
      <c r="N7" s="111">
        <f>_xlfn.COVARIANCE.S(D7:D111,G7:G111)/_xlfn.VAR.S(G7:G111)</f>
        <v>1.1190057491191217</v>
      </c>
      <c r="O7" s="101"/>
      <c r="P7" s="93"/>
      <c r="Q7" s="100"/>
      <c r="T7" s="93"/>
      <c r="U7" s="93"/>
      <c r="V7" s="93"/>
      <c r="W7" s="93"/>
      <c r="Y7" s="100"/>
    </row>
    <row r="8" spans="2:25" x14ac:dyDescent="0.3">
      <c r="B8" s="95">
        <v>44256</v>
      </c>
      <c r="C8" s="96">
        <v>3286.1</v>
      </c>
      <c r="D8" s="24">
        <f>C8/C7-1</f>
        <v>9.7488477723598921E-2</v>
      </c>
      <c r="F8" s="96">
        <v>14938.1</v>
      </c>
      <c r="G8" s="109">
        <f>F8/F7-1</f>
        <v>2.8146863374663988E-2</v>
      </c>
      <c r="H8" s="109"/>
      <c r="K8" s="109"/>
      <c r="O8" s="101"/>
      <c r="P8" s="93"/>
      <c r="Q8" s="100"/>
      <c r="T8" s="93"/>
      <c r="U8" s="93"/>
      <c r="V8" s="93"/>
      <c r="W8" s="93"/>
      <c r="Y8" s="100"/>
    </row>
    <row r="9" spans="2:25" x14ac:dyDescent="0.3">
      <c r="B9" s="95">
        <v>44263</v>
      </c>
      <c r="C9" s="96">
        <v>3129.35</v>
      </c>
      <c r="D9" s="24">
        <f t="shared" ref="D9:D72" si="0">C9/C8-1</f>
        <v>-4.7700922065670559E-2</v>
      </c>
      <c r="F9" s="96">
        <v>15030.95</v>
      </c>
      <c r="G9" s="109">
        <f t="shared" ref="G9:G72" si="1">F9/F8-1</f>
        <v>6.2156499153172007E-3</v>
      </c>
      <c r="H9" s="109"/>
      <c r="I9" s="107" t="s">
        <v>319</v>
      </c>
      <c r="J9" s="82">
        <v>1</v>
      </c>
      <c r="K9" s="109"/>
      <c r="M9" t="s">
        <v>314</v>
      </c>
      <c r="N9" s="82">
        <f>N28</f>
        <v>1.1190057491191221</v>
      </c>
      <c r="O9" s="101"/>
      <c r="P9" s="93"/>
      <c r="Q9" s="100"/>
      <c r="T9" s="93"/>
      <c r="U9" s="93"/>
      <c r="V9" s="93"/>
      <c r="W9" s="93"/>
      <c r="Y9" s="100"/>
    </row>
    <row r="10" spans="2:25" x14ac:dyDescent="0.3">
      <c r="B10" s="95">
        <v>44270</v>
      </c>
      <c r="C10" s="96">
        <v>2960.3</v>
      </c>
      <c r="D10" s="24">
        <f t="shared" si="0"/>
        <v>-5.4020803042165166E-2</v>
      </c>
      <c r="F10" s="96">
        <v>14744</v>
      </c>
      <c r="G10" s="109">
        <f t="shared" si="1"/>
        <v>-1.9090609708634521E-2</v>
      </c>
      <c r="H10" s="109"/>
      <c r="I10" s="107" t="s">
        <v>320</v>
      </c>
      <c r="J10" s="109">
        <v>0.25</v>
      </c>
      <c r="K10" s="109"/>
      <c r="O10" s="101"/>
      <c r="P10" s="93"/>
      <c r="Q10" s="100"/>
      <c r="T10" s="93"/>
      <c r="U10" s="93"/>
      <c r="V10" s="93"/>
      <c r="W10" s="93"/>
      <c r="Y10" s="100"/>
    </row>
    <row r="11" spans="2:25" x14ac:dyDescent="0.3">
      <c r="B11" s="95">
        <v>44277</v>
      </c>
      <c r="C11" s="96">
        <v>2855.2</v>
      </c>
      <c r="D11" s="24">
        <f t="shared" si="0"/>
        <v>-3.550315846366936E-2</v>
      </c>
      <c r="F11" s="96">
        <v>14507.3</v>
      </c>
      <c r="G11" s="109">
        <f t="shared" si="1"/>
        <v>-1.6053988062940894E-2</v>
      </c>
      <c r="H11" s="109"/>
      <c r="K11" s="109"/>
      <c r="M11" t="s">
        <v>155</v>
      </c>
      <c r="V11" s="93"/>
      <c r="W11" s="93"/>
      <c r="Y11" s="100"/>
    </row>
    <row r="12" spans="2:25" ht="15" thickBot="1" x14ac:dyDescent="0.35">
      <c r="B12" s="95">
        <v>44284</v>
      </c>
      <c r="C12" s="96">
        <v>2912.7</v>
      </c>
      <c r="D12" s="24">
        <f t="shared" si="0"/>
        <v>2.0138694312132221E-2</v>
      </c>
      <c r="F12" s="96">
        <v>14867.35</v>
      </c>
      <c r="G12" s="109">
        <f t="shared" si="1"/>
        <v>2.4818539631771719E-2</v>
      </c>
      <c r="H12" s="109"/>
      <c r="I12" s="117" t="s">
        <v>321</v>
      </c>
      <c r="J12" s="67">
        <f>(J6*J7)+(J9*J10)</f>
        <v>1.0892543118393416</v>
      </c>
      <c r="K12" s="109"/>
      <c r="V12" s="93"/>
      <c r="W12" s="93"/>
      <c r="Y12" s="100"/>
    </row>
    <row r="13" spans="2:25" x14ac:dyDescent="0.3">
      <c r="B13" s="95">
        <v>44291</v>
      </c>
      <c r="C13" s="96">
        <v>2947.75</v>
      </c>
      <c r="D13" s="24">
        <f t="shared" si="0"/>
        <v>1.2033508428605844E-2</v>
      </c>
      <c r="F13" s="96">
        <v>14834.85</v>
      </c>
      <c r="G13" s="109">
        <f t="shared" si="1"/>
        <v>-2.185998177213877E-3</v>
      </c>
      <c r="H13" s="109"/>
      <c r="I13" s="109"/>
      <c r="J13" s="109"/>
      <c r="K13" s="109"/>
      <c r="M13" s="51" t="s">
        <v>156</v>
      </c>
      <c r="N13" s="51"/>
      <c r="V13" s="93"/>
      <c r="W13" s="93"/>
      <c r="Y13" s="100"/>
    </row>
    <row r="14" spans="2:25" x14ac:dyDescent="0.3">
      <c r="B14" s="95">
        <v>44298</v>
      </c>
      <c r="C14" s="96">
        <v>2919.9</v>
      </c>
      <c r="D14" s="24">
        <f t="shared" si="0"/>
        <v>-9.447883979306182E-3</v>
      </c>
      <c r="F14" s="96">
        <v>14617.85</v>
      </c>
      <c r="G14" s="109">
        <f t="shared" si="1"/>
        <v>-1.4627717840085985E-2</v>
      </c>
      <c r="H14" s="109"/>
      <c r="I14" s="109"/>
      <c r="J14" s="109"/>
      <c r="K14" s="109"/>
      <c r="M14" t="s">
        <v>157</v>
      </c>
      <c r="N14">
        <v>0.45011019549509973</v>
      </c>
      <c r="V14" s="93"/>
      <c r="W14" s="93"/>
      <c r="Y14" s="100"/>
    </row>
    <row r="15" spans="2:25" x14ac:dyDescent="0.3">
      <c r="B15" s="95">
        <v>44305</v>
      </c>
      <c r="C15" s="96">
        <v>2713.7</v>
      </c>
      <c r="D15" s="24">
        <f t="shared" si="0"/>
        <v>-7.0618856810164776E-2</v>
      </c>
      <c r="F15" s="96">
        <v>14341.35</v>
      </c>
      <c r="G15" s="109">
        <f t="shared" si="1"/>
        <v>-1.8915230351932766E-2</v>
      </c>
      <c r="H15" s="109"/>
      <c r="I15" s="109"/>
      <c r="J15" s="109"/>
      <c r="K15" s="109"/>
      <c r="M15" t="s">
        <v>158</v>
      </c>
      <c r="N15">
        <v>0.20259918808863692</v>
      </c>
      <c r="V15" s="93"/>
      <c r="W15" s="93"/>
      <c r="X15" s="93"/>
      <c r="Y15" s="100"/>
    </row>
    <row r="16" spans="2:25" x14ac:dyDescent="0.3">
      <c r="B16" s="95">
        <v>44312</v>
      </c>
      <c r="C16" s="96">
        <v>2852.9</v>
      </c>
      <c r="D16" s="24">
        <f t="shared" si="0"/>
        <v>5.1295279507683311E-2</v>
      </c>
      <c r="F16" s="96">
        <v>14631.1</v>
      </c>
      <c r="G16" s="109">
        <f>F16/F15-1</f>
        <v>2.020381623766232E-2</v>
      </c>
      <c r="H16" s="109"/>
      <c r="I16" s="109"/>
      <c r="J16" s="109"/>
      <c r="K16" s="109"/>
      <c r="M16" t="s">
        <v>159</v>
      </c>
      <c r="N16">
        <v>0.19478153306989807</v>
      </c>
      <c r="V16" s="93"/>
      <c r="W16" s="93"/>
      <c r="X16" s="93"/>
      <c r="Y16" s="100"/>
    </row>
    <row r="17" spans="2:25" x14ac:dyDescent="0.3">
      <c r="B17" s="95">
        <v>44319</v>
      </c>
      <c r="C17" s="96">
        <v>2895.5</v>
      </c>
      <c r="D17" s="24">
        <f t="shared" si="0"/>
        <v>1.4932174278804E-2</v>
      </c>
      <c r="F17" s="96">
        <v>14823.15</v>
      </c>
      <c r="G17" s="109">
        <f t="shared" si="1"/>
        <v>1.3126149093369621E-2</v>
      </c>
      <c r="H17" s="109"/>
      <c r="I17" s="109"/>
      <c r="J17" s="109"/>
      <c r="K17" s="109"/>
      <c r="M17" t="s">
        <v>160</v>
      </c>
      <c r="N17">
        <v>4.393631973160067E-2</v>
      </c>
      <c r="V17" s="93"/>
      <c r="W17" s="93"/>
      <c r="X17" s="93"/>
      <c r="Y17" s="100"/>
    </row>
    <row r="18" spans="2:25" ht="15" thickBot="1" x14ac:dyDescent="0.35">
      <c r="B18" s="95">
        <v>44326</v>
      </c>
      <c r="C18" s="96">
        <v>2844.65</v>
      </c>
      <c r="D18" s="24">
        <f t="shared" si="0"/>
        <v>-1.7561733724745232E-2</v>
      </c>
      <c r="F18" s="96">
        <v>14677.8</v>
      </c>
      <c r="G18" s="109">
        <f t="shared" si="1"/>
        <v>-9.8056081197316347E-3</v>
      </c>
      <c r="H18" s="109"/>
      <c r="I18" s="109"/>
      <c r="J18" s="109"/>
      <c r="K18" s="109"/>
      <c r="M18" s="49" t="s">
        <v>161</v>
      </c>
      <c r="N18" s="49">
        <v>104</v>
      </c>
      <c r="V18" s="93"/>
      <c r="W18" s="93"/>
      <c r="X18" s="93"/>
      <c r="Y18" s="100"/>
    </row>
    <row r="19" spans="2:25" x14ac:dyDescent="0.3">
      <c r="B19" s="95">
        <v>44333</v>
      </c>
      <c r="C19" s="96">
        <v>3034.15</v>
      </c>
      <c r="D19" s="24">
        <f t="shared" si="0"/>
        <v>6.6616279682913504E-2</v>
      </c>
      <c r="F19" s="96">
        <v>15175.3</v>
      </c>
      <c r="G19" s="109">
        <f t="shared" si="1"/>
        <v>3.3894725367561884E-2</v>
      </c>
      <c r="H19" s="109"/>
      <c r="I19" s="109"/>
      <c r="J19" s="109"/>
      <c r="K19" s="109"/>
      <c r="V19" s="93"/>
      <c r="W19" s="93"/>
      <c r="X19" s="93"/>
      <c r="Y19" s="100"/>
    </row>
    <row r="20" spans="2:25" ht="15" thickBot="1" x14ac:dyDescent="0.35">
      <c r="B20" s="95">
        <v>44340</v>
      </c>
      <c r="C20" s="96">
        <v>3022.1</v>
      </c>
      <c r="D20" s="24">
        <f t="shared" si="0"/>
        <v>-3.9714582337723181E-3</v>
      </c>
      <c r="F20" s="96">
        <v>15435.65</v>
      </c>
      <c r="G20" s="109">
        <f t="shared" si="1"/>
        <v>1.7156168247085768E-2</v>
      </c>
      <c r="H20" s="109"/>
      <c r="I20" s="109"/>
      <c r="J20" s="109"/>
      <c r="K20" s="109"/>
      <c r="M20" t="s">
        <v>162</v>
      </c>
      <c r="V20" s="93"/>
      <c r="W20" s="93"/>
      <c r="X20" s="93"/>
      <c r="Y20" s="100"/>
    </row>
    <row r="21" spans="2:25" x14ac:dyDescent="0.3">
      <c r="B21" s="95">
        <v>44347</v>
      </c>
      <c r="C21" s="96">
        <v>3197</v>
      </c>
      <c r="D21" s="24">
        <f t="shared" si="0"/>
        <v>5.7873664008470938E-2</v>
      </c>
      <c r="F21" s="96">
        <v>15670.25</v>
      </c>
      <c r="G21" s="109">
        <f t="shared" si="1"/>
        <v>1.5198582502194524E-2</v>
      </c>
      <c r="H21" s="109"/>
      <c r="I21" s="109"/>
      <c r="J21" s="109"/>
      <c r="K21" s="109"/>
      <c r="M21" s="50"/>
      <c r="N21" s="50" t="s">
        <v>166</v>
      </c>
      <c r="O21" s="50" t="s">
        <v>167</v>
      </c>
      <c r="P21" s="50" t="s">
        <v>168</v>
      </c>
      <c r="Q21" s="50" t="s">
        <v>169</v>
      </c>
      <c r="R21" s="50" t="s">
        <v>170</v>
      </c>
      <c r="V21" s="93"/>
      <c r="W21" s="93"/>
      <c r="X21" s="93"/>
      <c r="Y21" s="100"/>
    </row>
    <row r="22" spans="2:25" x14ac:dyDescent="0.3">
      <c r="B22" s="95">
        <v>44354</v>
      </c>
      <c r="C22" s="96">
        <v>3175.55</v>
      </c>
      <c r="D22" s="24">
        <f t="shared" si="0"/>
        <v>-6.7094150766342509E-3</v>
      </c>
      <c r="F22" s="96">
        <v>15799.35</v>
      </c>
      <c r="G22" s="109">
        <f t="shared" si="1"/>
        <v>8.238541184728998E-3</v>
      </c>
      <c r="H22" s="109"/>
      <c r="I22" s="109"/>
      <c r="J22" s="109"/>
      <c r="K22" s="109"/>
      <c r="M22" t="s">
        <v>163</v>
      </c>
      <c r="N22">
        <v>1</v>
      </c>
      <c r="O22">
        <v>5.0027471224840386E-2</v>
      </c>
      <c r="P22">
        <v>5.0027471224840386E-2</v>
      </c>
      <c r="Q22">
        <v>25.91559586640858</v>
      </c>
      <c r="R22">
        <v>1.635430070432396E-6</v>
      </c>
      <c r="V22" s="93"/>
      <c r="W22" s="93"/>
      <c r="X22" s="93"/>
      <c r="Y22" s="100"/>
    </row>
    <row r="23" spans="2:25" x14ac:dyDescent="0.3">
      <c r="B23" s="95">
        <v>44361</v>
      </c>
      <c r="C23" s="96">
        <v>3317.7</v>
      </c>
      <c r="D23" s="24">
        <f t="shared" si="0"/>
        <v>4.4763899167073351E-2</v>
      </c>
      <c r="F23" s="96">
        <v>15683.35</v>
      </c>
      <c r="G23" s="109">
        <f t="shared" si="1"/>
        <v>-7.3420741992550331E-3</v>
      </c>
      <c r="H23" s="109"/>
      <c r="I23" s="109"/>
      <c r="J23" s="109"/>
      <c r="K23" s="109"/>
      <c r="M23" t="s">
        <v>164</v>
      </c>
      <c r="N23">
        <v>102</v>
      </c>
      <c r="O23">
        <v>0.19690081953885913</v>
      </c>
      <c r="P23">
        <v>1.9304001915574425E-3</v>
      </c>
      <c r="V23" s="93"/>
      <c r="W23" s="93"/>
      <c r="X23" s="93"/>
      <c r="Y23" s="100"/>
    </row>
    <row r="24" spans="2:25" ht="15" thickBot="1" x14ac:dyDescent="0.35">
      <c r="B24" s="95">
        <v>44368</v>
      </c>
      <c r="C24" s="96">
        <v>3315.35</v>
      </c>
      <c r="D24" s="24">
        <f t="shared" si="0"/>
        <v>-7.0832203032222818E-4</v>
      </c>
      <c r="F24" s="96">
        <v>15860.35</v>
      </c>
      <c r="G24" s="109">
        <f t="shared" si="1"/>
        <v>1.1285854106424908E-2</v>
      </c>
      <c r="H24" s="109"/>
      <c r="I24" s="109"/>
      <c r="J24" s="109"/>
      <c r="K24" s="109"/>
      <c r="M24" s="49" t="s">
        <v>13</v>
      </c>
      <c r="N24" s="49">
        <v>103</v>
      </c>
      <c r="O24" s="49">
        <v>0.24692829076369952</v>
      </c>
      <c r="P24" s="49"/>
      <c r="Q24" s="49"/>
      <c r="R24" s="49"/>
      <c r="V24" s="93"/>
      <c r="W24" s="93"/>
      <c r="X24" s="93"/>
      <c r="Y24" s="100"/>
    </row>
    <row r="25" spans="2:25" ht="15" thickBot="1" x14ac:dyDescent="0.35">
      <c r="B25" s="95">
        <v>44375</v>
      </c>
      <c r="C25" s="96">
        <v>3314.3</v>
      </c>
      <c r="D25" s="24">
        <f t="shared" si="0"/>
        <v>-3.1670864312960401E-4</v>
      </c>
      <c r="F25" s="96">
        <v>15722.2</v>
      </c>
      <c r="G25" s="109">
        <f t="shared" si="1"/>
        <v>-8.7104004640502497E-3</v>
      </c>
      <c r="H25" s="109"/>
      <c r="I25" s="109"/>
      <c r="J25" s="109"/>
      <c r="K25" s="109"/>
      <c r="V25" s="93"/>
      <c r="W25" s="93"/>
      <c r="X25" s="93"/>
      <c r="Y25" s="100"/>
    </row>
    <row r="26" spans="2:25" x14ac:dyDescent="0.3">
      <c r="B26" s="95">
        <v>44382</v>
      </c>
      <c r="C26" s="96">
        <v>3377.6</v>
      </c>
      <c r="D26" s="24">
        <f t="shared" si="0"/>
        <v>1.9099055607518789E-2</v>
      </c>
      <c r="F26" s="96">
        <v>15689.8</v>
      </c>
      <c r="G26" s="109">
        <f t="shared" si="1"/>
        <v>-2.0607802979227818E-3</v>
      </c>
      <c r="H26" s="109"/>
      <c r="I26" s="109"/>
      <c r="J26" s="109"/>
      <c r="K26" s="109"/>
      <c r="M26" s="50"/>
      <c r="N26" s="50" t="s">
        <v>171</v>
      </c>
      <c r="O26" s="50" t="s">
        <v>160</v>
      </c>
      <c r="P26" s="50" t="s">
        <v>172</v>
      </c>
      <c r="Q26" s="50" t="s">
        <v>173</v>
      </c>
      <c r="R26" s="50" t="s">
        <v>174</v>
      </c>
      <c r="S26" s="50" t="s">
        <v>175</v>
      </c>
      <c r="T26" s="50" t="s">
        <v>176</v>
      </c>
      <c r="U26" s="50" t="s">
        <v>177</v>
      </c>
      <c r="V26" s="93"/>
      <c r="W26" s="93"/>
      <c r="X26" s="93"/>
      <c r="Y26" s="100"/>
    </row>
    <row r="27" spans="2:25" x14ac:dyDescent="0.3">
      <c r="B27" s="95">
        <v>44389</v>
      </c>
      <c r="C27" s="96">
        <v>3349.2</v>
      </c>
      <c r="D27" s="24">
        <f t="shared" si="0"/>
        <v>-8.4083372809095058E-3</v>
      </c>
      <c r="F27" s="96">
        <v>15923.4</v>
      </c>
      <c r="G27" s="109">
        <f t="shared" si="1"/>
        <v>1.4888653775064098E-2</v>
      </c>
      <c r="H27" s="109"/>
      <c r="I27" s="109"/>
      <c r="J27" s="109"/>
      <c r="K27" s="109"/>
      <c r="M27" t="s">
        <v>165</v>
      </c>
      <c r="N27">
        <v>3.2251514513357681E-4</v>
      </c>
      <c r="O27">
        <v>4.3344144283301743E-3</v>
      </c>
      <c r="P27">
        <v>7.4408008386458155E-2</v>
      </c>
      <c r="Q27">
        <v>0.94083146844446075</v>
      </c>
      <c r="R27">
        <v>-8.2747753221058644E-3</v>
      </c>
      <c r="S27">
        <v>8.9198056123730197E-3</v>
      </c>
      <c r="T27">
        <v>-8.2747753221058644E-3</v>
      </c>
      <c r="U27">
        <v>8.9198056123730197E-3</v>
      </c>
      <c r="V27" s="93"/>
      <c r="W27" s="93"/>
      <c r="X27" s="93"/>
      <c r="Y27" s="100"/>
    </row>
    <row r="28" spans="2:25" ht="15" thickBot="1" x14ac:dyDescent="0.35">
      <c r="B28" s="95">
        <v>44396</v>
      </c>
      <c r="C28" s="96">
        <v>3413.2</v>
      </c>
      <c r="D28" s="24">
        <f t="shared" si="0"/>
        <v>1.9109040965006541E-2</v>
      </c>
      <c r="F28" s="96">
        <v>15763.05</v>
      </c>
      <c r="G28" s="109">
        <f t="shared" si="1"/>
        <v>-1.0070085534496398E-2</v>
      </c>
      <c r="H28" s="109"/>
      <c r="I28" s="109"/>
      <c r="J28" s="109"/>
      <c r="K28" s="109"/>
      <c r="M28" s="49" t="s">
        <v>315</v>
      </c>
      <c r="N28" s="112">
        <v>1.1190057491191221</v>
      </c>
      <c r="O28" s="49">
        <v>0.219812162269543</v>
      </c>
      <c r="P28" s="49">
        <v>5.0907362794009083</v>
      </c>
      <c r="Q28" s="49">
        <v>1.6354300704323873E-6</v>
      </c>
      <c r="R28" s="49">
        <v>0.68300936748302887</v>
      </c>
      <c r="S28" s="49">
        <v>1.5550021307552153</v>
      </c>
      <c r="T28" s="49">
        <v>0.68300936748302887</v>
      </c>
      <c r="U28" s="49">
        <v>1.5550021307552153</v>
      </c>
      <c r="V28" s="93"/>
      <c r="W28" s="93"/>
      <c r="X28" s="93"/>
      <c r="Y28" s="100"/>
    </row>
    <row r="29" spans="2:25" x14ac:dyDescent="0.3">
      <c r="B29" s="95">
        <v>44403</v>
      </c>
      <c r="C29" s="96">
        <v>3500.8</v>
      </c>
      <c r="D29" s="24">
        <f t="shared" si="0"/>
        <v>2.5665065041603263E-2</v>
      </c>
      <c r="F29" s="96">
        <v>15856.05</v>
      </c>
      <c r="G29" s="109">
        <f t="shared" si="1"/>
        <v>5.899873438198755E-3</v>
      </c>
      <c r="H29" s="109"/>
      <c r="I29" s="109"/>
      <c r="J29" s="109"/>
      <c r="K29" s="109"/>
      <c r="V29" s="93"/>
      <c r="W29" s="93"/>
      <c r="X29" s="93"/>
      <c r="Y29" s="100"/>
    </row>
    <row r="30" spans="2:25" x14ac:dyDescent="0.3">
      <c r="B30" s="95">
        <v>44410</v>
      </c>
      <c r="C30" s="96">
        <v>3529.2</v>
      </c>
      <c r="D30" s="24">
        <f t="shared" si="0"/>
        <v>8.1124314442411194E-3</v>
      </c>
      <c r="F30" s="96">
        <v>16238.2</v>
      </c>
      <c r="G30" s="109">
        <f t="shared" si="1"/>
        <v>2.4101210578927335E-2</v>
      </c>
      <c r="H30" s="109"/>
      <c r="I30" s="109"/>
      <c r="J30" s="109"/>
      <c r="K30" s="109"/>
      <c r="V30" s="93"/>
      <c r="W30" s="93"/>
      <c r="X30" s="93"/>
      <c r="Y30" s="100"/>
    </row>
    <row r="31" spans="2:25" x14ac:dyDescent="0.3">
      <c r="B31" s="95">
        <v>44417</v>
      </c>
      <c r="C31" s="96">
        <v>3594.55</v>
      </c>
      <c r="D31" s="24">
        <f t="shared" si="0"/>
        <v>1.8516944349994402E-2</v>
      </c>
      <c r="F31" s="96">
        <v>16529.099999999999</v>
      </c>
      <c r="G31" s="109">
        <f t="shared" si="1"/>
        <v>1.7914547178874418E-2</v>
      </c>
      <c r="H31" s="109"/>
      <c r="I31" s="109"/>
      <c r="J31" s="109"/>
      <c r="K31" s="109"/>
      <c r="V31" s="93"/>
      <c r="W31" s="93"/>
      <c r="X31" s="93"/>
      <c r="Y31" s="100"/>
    </row>
    <row r="32" spans="2:25" x14ac:dyDescent="0.3">
      <c r="B32" s="95">
        <v>44424</v>
      </c>
      <c r="C32" s="96">
        <v>3643.1</v>
      </c>
      <c r="D32" s="24">
        <f t="shared" si="0"/>
        <v>1.3506558540011815E-2</v>
      </c>
      <c r="F32" s="96">
        <v>16450.5</v>
      </c>
      <c r="G32" s="109">
        <f t="shared" si="1"/>
        <v>-4.7552498321141723E-3</v>
      </c>
      <c r="H32" s="109"/>
      <c r="I32" s="109"/>
      <c r="J32" s="109"/>
      <c r="K32" s="109"/>
      <c r="O32" s="101"/>
      <c r="P32" s="93"/>
      <c r="Q32" s="100"/>
      <c r="S32" s="102"/>
      <c r="T32" s="93"/>
      <c r="U32" s="93"/>
      <c r="V32" s="93"/>
      <c r="W32" s="93"/>
      <c r="X32" s="93"/>
      <c r="Y32" s="100"/>
    </row>
    <row r="33" spans="2:25" x14ac:dyDescent="0.3">
      <c r="B33" s="95">
        <v>44431</v>
      </c>
      <c r="C33" s="96">
        <v>3833.05</v>
      </c>
      <c r="D33" s="24">
        <f t="shared" si="0"/>
        <v>5.2139661277483595E-2</v>
      </c>
      <c r="F33" s="96">
        <v>16705.2</v>
      </c>
      <c r="G33" s="109">
        <f t="shared" si="1"/>
        <v>1.5482812072581398E-2</v>
      </c>
      <c r="H33" s="109"/>
      <c r="I33" s="109"/>
      <c r="J33" s="109"/>
      <c r="K33" s="109"/>
      <c r="O33" s="101"/>
      <c r="P33" s="93"/>
      <c r="Q33" s="100"/>
      <c r="S33" s="102"/>
      <c r="T33" s="93"/>
      <c r="U33" s="93"/>
      <c r="V33" s="93"/>
      <c r="W33" s="93"/>
      <c r="X33" s="93"/>
      <c r="Y33" s="100"/>
    </row>
    <row r="34" spans="2:25" x14ac:dyDescent="0.3">
      <c r="B34" s="95">
        <v>44438</v>
      </c>
      <c r="C34" s="96">
        <v>3938.9</v>
      </c>
      <c r="D34" s="24">
        <f t="shared" si="0"/>
        <v>2.7615084593209049E-2</v>
      </c>
      <c r="F34" s="96">
        <v>17323.599999999999</v>
      </c>
      <c r="G34" s="109">
        <f t="shared" si="1"/>
        <v>3.7018413428153929E-2</v>
      </c>
      <c r="H34" s="109"/>
      <c r="I34" s="109"/>
      <c r="J34" s="109"/>
      <c r="K34" s="109"/>
      <c r="O34" s="101"/>
      <c r="P34" s="93"/>
      <c r="Q34" s="100"/>
      <c r="S34" s="102"/>
      <c r="T34" s="93"/>
      <c r="U34" s="93"/>
      <c r="V34" s="93"/>
      <c r="W34" s="93"/>
      <c r="X34" s="93"/>
      <c r="Y34" s="100"/>
    </row>
    <row r="35" spans="2:25" x14ac:dyDescent="0.3">
      <c r="B35" s="95">
        <v>44445</v>
      </c>
      <c r="C35" s="96">
        <v>3950.5</v>
      </c>
      <c r="D35" s="24">
        <f t="shared" si="0"/>
        <v>2.9449846403817315E-3</v>
      </c>
      <c r="F35" s="96">
        <v>17369.25</v>
      </c>
      <c r="G35" s="109">
        <f t="shared" si="1"/>
        <v>2.6351335750076643E-3</v>
      </c>
      <c r="H35" s="109"/>
      <c r="I35" s="109"/>
      <c r="J35" s="109"/>
      <c r="K35" s="109"/>
      <c r="O35" s="101"/>
      <c r="P35" s="93"/>
      <c r="Q35" s="100"/>
      <c r="S35" s="102"/>
      <c r="T35" s="93"/>
      <c r="U35" s="93"/>
      <c r="V35" s="93"/>
      <c r="W35" s="93"/>
      <c r="X35" s="93"/>
      <c r="Y35" s="100"/>
    </row>
    <row r="36" spans="2:25" x14ac:dyDescent="0.3">
      <c r="B36" s="95">
        <v>44452</v>
      </c>
      <c r="C36" s="96">
        <v>4239.6499999999996</v>
      </c>
      <c r="D36" s="24">
        <f t="shared" si="0"/>
        <v>7.3193266675104285E-2</v>
      </c>
      <c r="F36" s="96">
        <v>17585.150000000001</v>
      </c>
      <c r="G36" s="109">
        <f t="shared" si="1"/>
        <v>1.2430012809994784E-2</v>
      </c>
      <c r="H36" s="109"/>
      <c r="I36" s="109"/>
      <c r="J36" s="109"/>
      <c r="K36" s="109"/>
      <c r="O36" s="101"/>
      <c r="P36" s="93"/>
      <c r="Q36" s="100"/>
      <c r="S36" s="102"/>
      <c r="T36" s="93"/>
      <c r="U36" s="93"/>
      <c r="V36" s="93"/>
      <c r="W36" s="93"/>
      <c r="X36" s="93"/>
      <c r="Y36" s="100"/>
    </row>
    <row r="37" spans="2:25" x14ac:dyDescent="0.3">
      <c r="B37" s="95">
        <v>44459</v>
      </c>
      <c r="C37" s="96">
        <v>4422.3500000000004</v>
      </c>
      <c r="D37" s="24">
        <f t="shared" si="0"/>
        <v>4.3093179861545261E-2</v>
      </c>
      <c r="F37" s="96">
        <v>17853.2</v>
      </c>
      <c r="G37" s="109">
        <f t="shared" si="1"/>
        <v>1.5242974896432449E-2</v>
      </c>
      <c r="H37" s="109"/>
      <c r="I37" s="109"/>
      <c r="J37" s="109"/>
      <c r="K37" s="109"/>
      <c r="O37" s="101"/>
      <c r="P37" s="93"/>
      <c r="Q37" s="100"/>
      <c r="S37" s="102"/>
      <c r="T37" s="93"/>
      <c r="U37" s="93"/>
      <c r="V37" s="93"/>
      <c r="W37" s="93"/>
      <c r="X37" s="93"/>
      <c r="Y37" s="100"/>
    </row>
    <row r="38" spans="2:25" x14ac:dyDescent="0.3">
      <c r="B38" s="95">
        <v>44466</v>
      </c>
      <c r="C38" s="96">
        <v>4235.6000000000004</v>
      </c>
      <c r="D38" s="24">
        <f t="shared" si="0"/>
        <v>-4.2228679322079854E-2</v>
      </c>
      <c r="F38" s="96">
        <v>17532.05</v>
      </c>
      <c r="G38" s="109">
        <f t="shared" si="1"/>
        <v>-1.7988371832500683E-2</v>
      </c>
      <c r="H38" s="109"/>
      <c r="I38" s="109"/>
      <c r="J38" s="109"/>
      <c r="K38" s="109"/>
      <c r="O38" s="101"/>
      <c r="P38" s="93"/>
      <c r="Q38" s="100"/>
      <c r="S38" s="102"/>
      <c r="T38" s="93"/>
      <c r="U38" s="93"/>
      <c r="V38" s="93"/>
      <c r="W38" s="93"/>
      <c r="X38" s="93"/>
      <c r="Y38" s="100"/>
    </row>
    <row r="39" spans="2:25" x14ac:dyDescent="0.3">
      <c r="B39" s="95">
        <v>44473</v>
      </c>
      <c r="C39" s="96">
        <v>4407.95</v>
      </c>
      <c r="D39" s="24">
        <f t="shared" si="0"/>
        <v>4.0690811219189493E-2</v>
      </c>
      <c r="F39" s="96">
        <v>17895.2</v>
      </c>
      <c r="G39" s="109">
        <f t="shared" si="1"/>
        <v>2.0713493288006868E-2</v>
      </c>
      <c r="H39" s="109"/>
      <c r="I39" s="109"/>
      <c r="J39" s="109"/>
      <c r="K39" s="109"/>
      <c r="O39" s="101"/>
      <c r="P39" s="93"/>
      <c r="Q39" s="100"/>
      <c r="T39" s="93"/>
      <c r="U39" s="93"/>
      <c r="V39" s="93"/>
      <c r="W39" s="93"/>
      <c r="Y39" s="100"/>
    </row>
    <row r="40" spans="2:25" x14ac:dyDescent="0.3">
      <c r="B40" s="95">
        <v>44480</v>
      </c>
      <c r="C40" s="96">
        <v>5323.75</v>
      </c>
      <c r="D40" s="24">
        <f t="shared" si="0"/>
        <v>0.20776097732506038</v>
      </c>
      <c r="F40" s="96">
        <v>18338.55</v>
      </c>
      <c r="G40" s="109">
        <f t="shared" si="1"/>
        <v>2.4774799946354342E-2</v>
      </c>
      <c r="H40" s="109"/>
      <c r="I40" s="109"/>
      <c r="J40" s="109"/>
      <c r="K40" s="109"/>
      <c r="O40" s="105"/>
      <c r="P40" s="104"/>
      <c r="Q40" s="100"/>
      <c r="T40" s="93"/>
      <c r="U40" s="93"/>
      <c r="V40" s="93"/>
      <c r="W40" s="93"/>
      <c r="Y40" s="100"/>
    </row>
    <row r="41" spans="2:25" x14ac:dyDescent="0.3">
      <c r="B41" s="95">
        <v>44487</v>
      </c>
      <c r="C41" s="96">
        <v>4521.45</v>
      </c>
      <c r="D41" s="24">
        <f t="shared" si="0"/>
        <v>-0.150702042733036</v>
      </c>
      <c r="F41" s="96">
        <v>18114.900000000001</v>
      </c>
      <c r="G41" s="109">
        <f t="shared" si="1"/>
        <v>-1.2195620700655052E-2</v>
      </c>
      <c r="H41" s="109"/>
      <c r="I41" s="109"/>
      <c r="J41" s="109"/>
      <c r="K41" s="109"/>
      <c r="O41" s="102"/>
      <c r="P41" s="93"/>
      <c r="Q41" s="28"/>
      <c r="T41" s="93"/>
      <c r="U41" s="93"/>
      <c r="V41" s="93"/>
      <c r="W41" s="93"/>
      <c r="Y41" s="100"/>
    </row>
    <row r="42" spans="2:25" x14ac:dyDescent="0.3">
      <c r="B42" s="95">
        <v>44494</v>
      </c>
      <c r="C42" s="96">
        <v>4635.45</v>
      </c>
      <c r="D42" s="24">
        <f t="shared" si="0"/>
        <v>2.52131506485751E-2</v>
      </c>
      <c r="F42" s="96">
        <v>17671.650000000001</v>
      </c>
      <c r="G42" s="109">
        <f t="shared" si="1"/>
        <v>-2.4468807445804264E-2</v>
      </c>
      <c r="H42" s="109"/>
      <c r="I42" s="109"/>
      <c r="J42" s="109"/>
      <c r="K42" s="109"/>
      <c r="O42" s="102"/>
      <c r="P42" s="93"/>
      <c r="Q42" s="28"/>
      <c r="T42" s="93"/>
      <c r="U42" s="93"/>
      <c r="V42" s="93"/>
      <c r="W42" s="93"/>
      <c r="Y42" s="100"/>
    </row>
    <row r="43" spans="2:25" x14ac:dyDescent="0.3">
      <c r="B43" s="95">
        <v>44501</v>
      </c>
      <c r="C43" s="96">
        <v>4783.7</v>
      </c>
      <c r="D43" s="24">
        <f t="shared" si="0"/>
        <v>3.1981792490481054E-2</v>
      </c>
      <c r="F43" s="96">
        <v>17916.8</v>
      </c>
      <c r="G43" s="109">
        <f t="shared" si="1"/>
        <v>1.3872502001793796E-2</v>
      </c>
      <c r="H43" s="109"/>
      <c r="I43" s="109"/>
      <c r="J43" s="109"/>
      <c r="K43" s="109"/>
      <c r="O43" s="102"/>
      <c r="P43" s="93"/>
      <c r="Q43" s="28"/>
    </row>
    <row r="44" spans="2:25" x14ac:dyDescent="0.3">
      <c r="B44" s="95">
        <v>44508</v>
      </c>
      <c r="C44" s="96">
        <v>5078.55</v>
      </c>
      <c r="D44" s="24">
        <f t="shared" si="0"/>
        <v>6.163639024186307E-2</v>
      </c>
      <c r="F44" s="96">
        <v>17925.8</v>
      </c>
      <c r="G44" s="109">
        <f t="shared" si="1"/>
        <v>5.0232184318632633E-4</v>
      </c>
      <c r="H44" s="109"/>
      <c r="I44" s="109"/>
      <c r="J44" s="109"/>
      <c r="K44" s="109"/>
      <c r="O44" s="102"/>
      <c r="P44" s="93"/>
      <c r="Q44" s="28"/>
    </row>
    <row r="45" spans="2:25" x14ac:dyDescent="0.3">
      <c r="B45" s="95">
        <v>44515</v>
      </c>
      <c r="C45" s="96">
        <v>5080.8999999999996</v>
      </c>
      <c r="D45" s="24">
        <f t="shared" si="0"/>
        <v>4.6273050378542457E-4</v>
      </c>
      <c r="F45" s="96">
        <v>17810.25</v>
      </c>
      <c r="G45" s="109">
        <f t="shared" si="1"/>
        <v>-6.4460163563132555E-3</v>
      </c>
      <c r="H45" s="109"/>
      <c r="I45" s="109"/>
      <c r="J45" s="109"/>
      <c r="K45" s="109"/>
      <c r="O45" s="102"/>
      <c r="P45" s="93"/>
      <c r="Q45" s="28"/>
      <c r="S45" s="99"/>
      <c r="T45" s="99"/>
      <c r="U45" s="99"/>
      <c r="V45" s="99"/>
      <c r="W45" s="99"/>
      <c r="X45" s="99"/>
      <c r="Y45" s="99"/>
    </row>
    <row r="46" spans="2:25" x14ac:dyDescent="0.3">
      <c r="B46" s="95">
        <v>44522</v>
      </c>
      <c r="C46" s="96">
        <v>4718.75</v>
      </c>
      <c r="D46" s="24">
        <f t="shared" si="0"/>
        <v>-7.1276742309433261E-2</v>
      </c>
      <c r="F46" s="96">
        <v>17026.45</v>
      </c>
      <c r="G46" s="109">
        <f t="shared" si="1"/>
        <v>-4.400836596903468E-2</v>
      </c>
      <c r="H46" s="109"/>
      <c r="I46" s="109"/>
      <c r="J46" s="109"/>
      <c r="K46" s="109"/>
      <c r="O46" s="102"/>
      <c r="P46" s="93"/>
      <c r="Q46" s="28"/>
      <c r="T46" s="93"/>
      <c r="U46" s="93"/>
      <c r="V46" s="93"/>
      <c r="W46" s="93"/>
      <c r="X46" s="93"/>
      <c r="Y46" s="100"/>
    </row>
    <row r="47" spans="2:25" x14ac:dyDescent="0.3">
      <c r="B47" s="95">
        <v>44529</v>
      </c>
      <c r="C47" s="96">
        <v>4799.05</v>
      </c>
      <c r="D47" s="24">
        <f t="shared" si="0"/>
        <v>1.7017218543046386E-2</v>
      </c>
      <c r="F47" s="96">
        <v>17101.099999999999</v>
      </c>
      <c r="G47" s="109">
        <f t="shared" si="1"/>
        <v>4.3843549301232354E-3</v>
      </c>
      <c r="H47" s="109"/>
      <c r="I47" s="109"/>
      <c r="J47" s="109"/>
      <c r="K47" s="109"/>
      <c r="O47" s="102"/>
      <c r="P47" s="93"/>
      <c r="Q47" s="28"/>
      <c r="T47" s="93"/>
      <c r="U47" s="93"/>
      <c r="V47" s="93"/>
      <c r="W47" s="93"/>
      <c r="Y47" s="100"/>
    </row>
    <row r="48" spans="2:25" x14ac:dyDescent="0.3">
      <c r="B48" s="95">
        <v>44536</v>
      </c>
      <c r="C48" s="96">
        <v>4796.6000000000004</v>
      </c>
      <c r="D48" s="24">
        <f t="shared" si="0"/>
        <v>-5.1051770662935425E-4</v>
      </c>
      <c r="F48" s="96">
        <v>17196.7</v>
      </c>
      <c r="G48" s="109">
        <f t="shared" si="1"/>
        <v>5.5902836659631472E-3</v>
      </c>
      <c r="H48" s="109"/>
      <c r="I48" s="109"/>
      <c r="J48" s="109"/>
      <c r="K48" s="109"/>
      <c r="O48" s="102"/>
      <c r="P48" s="93"/>
      <c r="Q48" s="28"/>
      <c r="T48" s="93"/>
      <c r="U48" s="93"/>
      <c r="V48" s="93"/>
      <c r="W48" s="93"/>
      <c r="Y48" s="100"/>
    </row>
    <row r="49" spans="2:25" x14ac:dyDescent="0.3">
      <c r="B49" s="95">
        <v>44543</v>
      </c>
      <c r="C49" s="96">
        <v>4697.8</v>
      </c>
      <c r="D49" s="24">
        <f t="shared" si="0"/>
        <v>-2.0597923529166562E-2</v>
      </c>
      <c r="F49" s="96">
        <v>16985.2</v>
      </c>
      <c r="G49" s="109">
        <f t="shared" si="1"/>
        <v>-1.229887129507401E-2</v>
      </c>
      <c r="H49" s="109"/>
      <c r="I49" s="109"/>
      <c r="J49" s="109"/>
      <c r="K49" s="109"/>
      <c r="O49" s="102"/>
      <c r="P49" s="93"/>
      <c r="Q49" s="28"/>
      <c r="T49" s="93"/>
      <c r="U49" s="93"/>
      <c r="V49" s="93"/>
      <c r="W49" s="93"/>
      <c r="Y49" s="100"/>
    </row>
    <row r="50" spans="2:25" x14ac:dyDescent="0.3">
      <c r="B50" s="95">
        <v>44550</v>
      </c>
      <c r="C50" s="96">
        <v>4628.8999999999996</v>
      </c>
      <c r="D50" s="24">
        <f t="shared" si="0"/>
        <v>-1.4666439610030335E-2</v>
      </c>
      <c r="F50" s="96">
        <v>17003.75</v>
      </c>
      <c r="G50" s="109">
        <f t="shared" si="1"/>
        <v>1.0921272637354207E-3</v>
      </c>
      <c r="H50" s="109"/>
      <c r="I50" s="109"/>
      <c r="J50" s="109"/>
      <c r="K50" s="109"/>
      <c r="O50" s="102"/>
      <c r="P50" s="93"/>
      <c r="Q50" s="28"/>
      <c r="T50" s="93"/>
      <c r="U50" s="93"/>
      <c r="V50" s="93"/>
      <c r="W50" s="93"/>
      <c r="Y50" s="100"/>
    </row>
    <row r="51" spans="2:25" x14ac:dyDescent="0.3">
      <c r="B51" s="95">
        <v>44557</v>
      </c>
      <c r="C51" s="96">
        <v>4671.45</v>
      </c>
      <c r="D51" s="24">
        <f t="shared" si="0"/>
        <v>9.1922486983948559E-3</v>
      </c>
      <c r="F51" s="96">
        <v>17354.05</v>
      </c>
      <c r="G51" s="109">
        <f t="shared" si="1"/>
        <v>2.0601337940160169E-2</v>
      </c>
      <c r="H51" s="109"/>
      <c r="I51" s="109"/>
      <c r="J51" s="109"/>
      <c r="K51" s="109"/>
      <c r="O51" s="102"/>
      <c r="P51" s="93"/>
      <c r="Q51" s="28"/>
      <c r="T51" s="93"/>
      <c r="U51" s="93"/>
      <c r="V51" s="93"/>
      <c r="W51" s="93"/>
      <c r="Y51" s="100"/>
    </row>
    <row r="52" spans="2:25" x14ac:dyDescent="0.3">
      <c r="B52" s="95">
        <v>44564</v>
      </c>
      <c r="C52" s="96">
        <v>4731.3500000000004</v>
      </c>
      <c r="D52" s="24">
        <f t="shared" si="0"/>
        <v>1.28225711502854E-2</v>
      </c>
      <c r="F52" s="96">
        <v>17812.7</v>
      </c>
      <c r="G52" s="109">
        <f t="shared" si="1"/>
        <v>2.6428989198486796E-2</v>
      </c>
      <c r="H52" s="109"/>
      <c r="I52" s="109"/>
      <c r="J52" s="109"/>
      <c r="K52" s="109"/>
      <c r="O52" s="102"/>
      <c r="P52" s="93"/>
      <c r="Q52" s="28"/>
      <c r="T52" s="93"/>
      <c r="U52" s="93"/>
      <c r="V52" s="93"/>
      <c r="W52" s="93"/>
      <c r="Y52" s="100"/>
    </row>
    <row r="53" spans="2:25" x14ac:dyDescent="0.3">
      <c r="B53" s="95">
        <v>44571</v>
      </c>
      <c r="C53" s="96">
        <v>4322.7</v>
      </c>
      <c r="D53" s="24">
        <f t="shared" si="0"/>
        <v>-8.6370697581028777E-2</v>
      </c>
      <c r="F53" s="96">
        <v>18255.75</v>
      </c>
      <c r="G53" s="109">
        <f t="shared" si="1"/>
        <v>2.4872703183683509E-2</v>
      </c>
      <c r="H53" s="109"/>
      <c r="I53" s="109"/>
      <c r="J53" s="109"/>
      <c r="K53" s="109"/>
      <c r="O53" s="102"/>
      <c r="P53" s="93"/>
      <c r="Q53" s="28"/>
      <c r="T53" s="93"/>
      <c r="U53" s="93"/>
      <c r="V53" s="93"/>
      <c r="W53" s="93"/>
      <c r="Y53" s="100"/>
    </row>
    <row r="54" spans="2:25" x14ac:dyDescent="0.3">
      <c r="B54" s="95">
        <v>44578</v>
      </c>
      <c r="C54" s="96">
        <v>4299.8</v>
      </c>
      <c r="D54" s="24">
        <f t="shared" si="0"/>
        <v>-5.2976149166029662E-3</v>
      </c>
      <c r="F54" s="96">
        <v>17762.349999999999</v>
      </c>
      <c r="G54" s="109">
        <f t="shared" si="1"/>
        <v>-2.7027101050354108E-2</v>
      </c>
      <c r="H54" s="109"/>
      <c r="I54" s="109"/>
      <c r="J54" s="109"/>
      <c r="K54" s="109"/>
      <c r="O54" s="102"/>
      <c r="P54" s="93"/>
      <c r="Q54" s="28"/>
      <c r="T54" s="93"/>
      <c r="U54" s="93"/>
      <c r="V54" s="93"/>
      <c r="W54" s="93"/>
      <c r="Y54" s="100"/>
    </row>
    <row r="55" spans="2:25" x14ac:dyDescent="0.3">
      <c r="B55" s="95">
        <v>44585</v>
      </c>
      <c r="C55" s="96">
        <v>4076</v>
      </c>
      <c r="D55" s="24">
        <f t="shared" si="0"/>
        <v>-5.2048932508488854E-2</v>
      </c>
      <c r="F55" s="96">
        <v>17011.95</v>
      </c>
      <c r="G55" s="109">
        <f t="shared" si="1"/>
        <v>-4.2246662181524286E-2</v>
      </c>
      <c r="H55" s="109"/>
      <c r="I55" s="109"/>
      <c r="J55" s="109"/>
      <c r="K55" s="109"/>
      <c r="O55" s="102"/>
      <c r="P55" s="93"/>
      <c r="Q55" s="28"/>
      <c r="T55" s="93"/>
      <c r="U55" s="93"/>
      <c r="V55" s="93"/>
      <c r="W55" s="93"/>
      <c r="Y55" s="100"/>
    </row>
    <row r="56" spans="2:25" x14ac:dyDescent="0.3">
      <c r="B56" s="95">
        <v>44592</v>
      </c>
      <c r="C56" s="96">
        <v>4081.9</v>
      </c>
      <c r="D56" s="24">
        <f t="shared" si="0"/>
        <v>1.4474975466143292E-3</v>
      </c>
      <c r="F56" s="96">
        <v>17516.3</v>
      </c>
      <c r="G56" s="109">
        <f t="shared" si="1"/>
        <v>2.9646807097363892E-2</v>
      </c>
      <c r="H56" s="109"/>
      <c r="I56" s="109"/>
      <c r="J56" s="109"/>
      <c r="K56" s="109"/>
      <c r="O56" s="102"/>
      <c r="P56" s="93"/>
      <c r="Q56" s="28"/>
      <c r="T56" s="93"/>
      <c r="U56" s="93"/>
      <c r="V56" s="93"/>
      <c r="W56" s="93"/>
      <c r="Y56" s="100"/>
    </row>
    <row r="57" spans="2:25" x14ac:dyDescent="0.3">
      <c r="B57" s="95">
        <v>44599</v>
      </c>
      <c r="C57" s="96">
        <v>4142.25</v>
      </c>
      <c r="D57" s="24">
        <f t="shared" si="0"/>
        <v>1.4784781596805407E-2</v>
      </c>
      <c r="F57" s="96">
        <v>17374.75</v>
      </c>
      <c r="G57" s="109">
        <f t="shared" si="1"/>
        <v>-8.0810445128252084E-3</v>
      </c>
      <c r="H57" s="109"/>
      <c r="I57" s="109"/>
      <c r="J57" s="109"/>
      <c r="K57" s="109"/>
      <c r="O57" s="102"/>
      <c r="P57" s="93"/>
      <c r="Q57" s="28"/>
      <c r="T57" s="93"/>
      <c r="U57" s="93"/>
      <c r="V57" s="93"/>
      <c r="W57" s="93"/>
      <c r="Y57" s="100"/>
    </row>
    <row r="58" spans="2:25" x14ac:dyDescent="0.3">
      <c r="B58" s="95">
        <v>44606</v>
      </c>
      <c r="C58" s="96">
        <v>4073.1</v>
      </c>
      <c r="D58" s="24">
        <f t="shared" si="0"/>
        <v>-1.6693825819301122E-2</v>
      </c>
      <c r="F58" s="96">
        <v>16842.8</v>
      </c>
      <c r="G58" s="109">
        <f t="shared" si="1"/>
        <v>-3.0616267859969293E-2</v>
      </c>
      <c r="H58" s="109"/>
      <c r="I58" s="109"/>
      <c r="J58" s="109"/>
      <c r="K58" s="109"/>
      <c r="O58" s="102"/>
      <c r="P58" s="93"/>
      <c r="Q58" s="28"/>
      <c r="T58" s="93"/>
      <c r="U58" s="93"/>
      <c r="V58" s="93"/>
      <c r="W58" s="93"/>
      <c r="Y58" s="100"/>
    </row>
    <row r="59" spans="2:25" x14ac:dyDescent="0.3">
      <c r="B59" s="95">
        <v>44613</v>
      </c>
      <c r="C59" s="96">
        <v>4190.75</v>
      </c>
      <c r="D59" s="24">
        <f t="shared" si="0"/>
        <v>2.8884633325968023E-2</v>
      </c>
      <c r="F59" s="96">
        <v>16658.400000000001</v>
      </c>
      <c r="G59" s="109">
        <f t="shared" si="1"/>
        <v>-1.0948298382691624E-2</v>
      </c>
      <c r="H59" s="109"/>
      <c r="I59" s="109"/>
      <c r="J59" s="109"/>
      <c r="K59" s="109"/>
      <c r="O59" s="102"/>
      <c r="P59" s="93"/>
      <c r="Q59" s="28"/>
      <c r="T59" s="93"/>
      <c r="U59" s="93"/>
      <c r="V59" s="93"/>
      <c r="W59" s="93"/>
      <c r="Y59" s="100"/>
    </row>
    <row r="60" spans="2:25" x14ac:dyDescent="0.3">
      <c r="B60" s="95">
        <v>44620</v>
      </c>
      <c r="C60" s="96">
        <v>4110.2</v>
      </c>
      <c r="D60" s="24">
        <f t="shared" si="0"/>
        <v>-1.9220903179621884E-2</v>
      </c>
      <c r="F60" s="96">
        <v>16245.35</v>
      </c>
      <c r="G60" s="109">
        <f t="shared" si="1"/>
        <v>-2.4795298468040183E-2</v>
      </c>
      <c r="H60" s="109"/>
      <c r="I60" s="109"/>
      <c r="J60" s="109"/>
      <c r="K60" s="109"/>
      <c r="O60" s="102"/>
      <c r="P60" s="93"/>
      <c r="Q60" s="28"/>
      <c r="T60" s="93"/>
      <c r="U60" s="93"/>
      <c r="V60" s="93"/>
      <c r="W60" s="93"/>
      <c r="Y60" s="100"/>
    </row>
    <row r="61" spans="2:25" x14ac:dyDescent="0.3">
      <c r="B61" s="95">
        <v>44627</v>
      </c>
      <c r="C61" s="96">
        <v>4198.95</v>
      </c>
      <c r="D61" s="24">
        <f t="shared" si="0"/>
        <v>2.1592623230013208E-2</v>
      </c>
      <c r="F61" s="96">
        <v>16293.05</v>
      </c>
      <c r="G61" s="109">
        <f t="shared" si="1"/>
        <v>2.9362248274120706E-3</v>
      </c>
      <c r="H61" s="109"/>
      <c r="I61" s="109"/>
      <c r="J61" s="109"/>
      <c r="K61" s="109"/>
      <c r="O61" s="102"/>
      <c r="P61" s="93"/>
      <c r="Q61" s="28"/>
      <c r="T61" s="93"/>
      <c r="U61" s="93"/>
      <c r="V61" s="93"/>
      <c r="W61" s="93"/>
      <c r="Y61" s="100"/>
    </row>
    <row r="62" spans="2:25" x14ac:dyDescent="0.3">
      <c r="B62" s="95">
        <v>44634</v>
      </c>
      <c r="C62" s="96">
        <v>4192.75</v>
      </c>
      <c r="D62" s="24">
        <f t="shared" si="0"/>
        <v>-1.4765596160944972E-3</v>
      </c>
      <c r="F62" s="96">
        <v>17287.05</v>
      </c>
      <c r="G62" s="109">
        <f t="shared" si="1"/>
        <v>6.100760753818335E-2</v>
      </c>
      <c r="H62" s="109"/>
      <c r="I62" s="109"/>
      <c r="J62" s="109"/>
      <c r="K62" s="109"/>
      <c r="O62" s="102"/>
      <c r="P62" s="93"/>
      <c r="Q62" s="28"/>
      <c r="T62" s="93"/>
      <c r="U62" s="93"/>
      <c r="V62" s="93"/>
      <c r="W62" s="93"/>
      <c r="Y62" s="100"/>
    </row>
    <row r="63" spans="2:25" x14ac:dyDescent="0.3">
      <c r="B63" s="95">
        <v>44641</v>
      </c>
      <c r="C63" s="96">
        <v>4001.3</v>
      </c>
      <c r="D63" s="24">
        <f t="shared" si="0"/>
        <v>-4.566215491026171E-2</v>
      </c>
      <c r="F63" s="96">
        <v>17153</v>
      </c>
      <c r="G63" s="109">
        <f t="shared" si="1"/>
        <v>-7.7543594771808388E-3</v>
      </c>
      <c r="H63" s="109"/>
      <c r="I63" s="109"/>
      <c r="J63" s="109"/>
      <c r="K63" s="109"/>
      <c r="O63" s="102"/>
      <c r="P63" s="93"/>
      <c r="Q63" s="28"/>
      <c r="T63" s="93"/>
      <c r="U63" s="93"/>
      <c r="V63" s="93"/>
      <c r="W63" s="93"/>
      <c r="Y63" s="100"/>
    </row>
    <row r="64" spans="2:25" x14ac:dyDescent="0.3">
      <c r="B64" s="95">
        <v>44648</v>
      </c>
      <c r="C64" s="96">
        <v>4082.2</v>
      </c>
      <c r="D64" s="24">
        <f t="shared" si="0"/>
        <v>2.0218429010571581E-2</v>
      </c>
      <c r="F64" s="96">
        <v>17670.45</v>
      </c>
      <c r="G64" s="109">
        <f t="shared" si="1"/>
        <v>3.0166734681979834E-2</v>
      </c>
      <c r="H64" s="109"/>
      <c r="I64" s="109"/>
      <c r="J64" s="109"/>
      <c r="K64" s="109"/>
      <c r="O64" s="102"/>
      <c r="P64" s="93"/>
      <c r="Q64" s="28"/>
      <c r="T64" s="93"/>
      <c r="U64" s="93"/>
      <c r="V64" s="93"/>
      <c r="W64" s="93"/>
      <c r="Y64" s="100"/>
    </row>
    <row r="65" spans="2:25" x14ac:dyDescent="0.3">
      <c r="B65" s="95">
        <v>44655</v>
      </c>
      <c r="C65" s="96">
        <v>4146.25</v>
      </c>
      <c r="D65" s="24">
        <f t="shared" si="0"/>
        <v>1.5690069080397828E-2</v>
      </c>
      <c r="F65" s="96">
        <v>17784.349999999999</v>
      </c>
      <c r="G65" s="109">
        <f t="shared" si="1"/>
        <v>6.4457894394311932E-3</v>
      </c>
      <c r="H65" s="109"/>
      <c r="I65" s="109"/>
      <c r="J65" s="109"/>
      <c r="K65" s="109"/>
      <c r="O65" s="102"/>
      <c r="P65" s="93"/>
      <c r="Q65" s="28"/>
      <c r="T65" s="93"/>
      <c r="U65" s="93"/>
      <c r="V65" s="93"/>
      <c r="W65" s="93"/>
      <c r="Y65" s="100"/>
    </row>
    <row r="66" spans="2:25" x14ac:dyDescent="0.3">
      <c r="B66" s="95">
        <v>44662</v>
      </c>
      <c r="C66" s="96">
        <v>4090.9</v>
      </c>
      <c r="D66" s="24">
        <f t="shared" si="0"/>
        <v>-1.3349412119385007E-2</v>
      </c>
      <c r="F66" s="96">
        <v>17475.650000000001</v>
      </c>
      <c r="G66" s="109">
        <f t="shared" si="1"/>
        <v>-1.7357957979909133E-2</v>
      </c>
      <c r="H66" s="109"/>
      <c r="I66" s="109"/>
      <c r="J66" s="109"/>
      <c r="K66" s="109"/>
      <c r="O66" s="102"/>
      <c r="P66" s="93"/>
      <c r="Q66" s="28"/>
      <c r="T66" s="93"/>
      <c r="U66" s="93"/>
      <c r="V66" s="93"/>
      <c r="W66" s="93"/>
      <c r="Y66" s="100"/>
    </row>
    <row r="67" spans="2:25" x14ac:dyDescent="0.3">
      <c r="B67" s="95">
        <v>44669</v>
      </c>
      <c r="C67" s="96">
        <v>4028.85</v>
      </c>
      <c r="D67" s="24">
        <f t="shared" si="0"/>
        <v>-1.5167811484025573E-2</v>
      </c>
      <c r="F67" s="96">
        <v>17171.95</v>
      </c>
      <c r="G67" s="109">
        <f t="shared" si="1"/>
        <v>-1.7378466609253462E-2</v>
      </c>
      <c r="H67" s="109"/>
      <c r="I67" s="109"/>
      <c r="J67" s="109"/>
      <c r="K67" s="109"/>
      <c r="O67" s="102"/>
      <c r="P67" s="93"/>
      <c r="Q67" s="28"/>
      <c r="T67" s="93"/>
      <c r="U67" s="93"/>
      <c r="V67" s="93"/>
      <c r="W67" s="93"/>
      <c r="Y67" s="100"/>
    </row>
    <row r="68" spans="2:25" x14ac:dyDescent="0.3">
      <c r="B68" s="95">
        <v>44676</v>
      </c>
      <c r="C68" s="96">
        <v>3944.25</v>
      </c>
      <c r="D68" s="24">
        <f t="shared" si="0"/>
        <v>-2.0998547972746584E-2</v>
      </c>
      <c r="F68" s="96">
        <v>17102.55</v>
      </c>
      <c r="G68" s="109">
        <f t="shared" si="1"/>
        <v>-4.0414746141237412E-3</v>
      </c>
      <c r="H68" s="109"/>
      <c r="I68" s="109"/>
      <c r="J68" s="109"/>
      <c r="K68" s="109"/>
      <c r="O68" s="102"/>
      <c r="P68" s="93"/>
      <c r="Q68" s="28"/>
      <c r="T68" s="93"/>
      <c r="U68" s="93"/>
      <c r="V68" s="93"/>
      <c r="W68" s="93"/>
      <c r="Y68" s="100"/>
    </row>
    <row r="69" spans="2:25" x14ac:dyDescent="0.3">
      <c r="B69" s="95">
        <v>44683</v>
      </c>
      <c r="C69" s="96">
        <v>3666.2</v>
      </c>
      <c r="D69" s="24">
        <f t="shared" si="0"/>
        <v>-7.0495024402611461E-2</v>
      </c>
      <c r="F69" s="96">
        <v>16411.25</v>
      </c>
      <c r="G69" s="109">
        <f t="shared" si="1"/>
        <v>-4.0420872910764682E-2</v>
      </c>
      <c r="H69" s="109"/>
      <c r="I69" s="109"/>
      <c r="J69" s="109"/>
      <c r="K69" s="109"/>
      <c r="O69" s="102"/>
      <c r="P69" s="93"/>
      <c r="Q69" s="28"/>
      <c r="T69" s="93"/>
      <c r="U69" s="93"/>
      <c r="V69" s="93"/>
      <c r="W69" s="93"/>
      <c r="Y69" s="100"/>
    </row>
    <row r="70" spans="2:25" x14ac:dyDescent="0.3">
      <c r="B70" s="95">
        <v>44690</v>
      </c>
      <c r="C70" s="96">
        <v>3230.6</v>
      </c>
      <c r="D70" s="24">
        <f t="shared" si="0"/>
        <v>-0.11881512192460852</v>
      </c>
      <c r="F70" s="96">
        <v>16301.85</v>
      </c>
      <c r="G70" s="109">
        <f t="shared" si="1"/>
        <v>-6.6661588849112885E-3</v>
      </c>
      <c r="H70" s="109"/>
      <c r="I70" s="109"/>
      <c r="J70" s="109"/>
      <c r="K70" s="109"/>
      <c r="O70" s="102"/>
      <c r="P70" s="93"/>
      <c r="Q70" s="28"/>
      <c r="T70" s="93"/>
      <c r="U70" s="93"/>
      <c r="V70" s="93"/>
      <c r="W70" s="93"/>
      <c r="Y70" s="100"/>
    </row>
    <row r="71" spans="2:25" x14ac:dyDescent="0.3">
      <c r="B71" s="95">
        <v>44697</v>
      </c>
      <c r="C71" s="96">
        <v>3630.4</v>
      </c>
      <c r="D71" s="24">
        <f t="shared" si="0"/>
        <v>0.12375410140531184</v>
      </c>
      <c r="F71" s="96">
        <v>16266.15</v>
      </c>
      <c r="G71" s="109">
        <f t="shared" si="1"/>
        <v>-2.1899354981184116E-3</v>
      </c>
      <c r="H71" s="109"/>
      <c r="I71" s="109"/>
      <c r="J71" s="109"/>
      <c r="K71" s="109"/>
      <c r="O71" s="102"/>
      <c r="P71" s="93"/>
      <c r="Q71" s="28"/>
    </row>
    <row r="72" spans="2:25" x14ac:dyDescent="0.3">
      <c r="B72" s="95">
        <v>44704</v>
      </c>
      <c r="C72" s="96">
        <v>3613.85</v>
      </c>
      <c r="D72" s="24">
        <f t="shared" si="0"/>
        <v>-4.5587263111502851E-3</v>
      </c>
      <c r="F72" s="96">
        <v>16352.45</v>
      </c>
      <c r="G72" s="109">
        <f t="shared" si="1"/>
        <v>5.3054963835941216E-3</v>
      </c>
      <c r="H72" s="109"/>
      <c r="I72" s="109"/>
      <c r="J72" s="109"/>
      <c r="K72" s="109"/>
      <c r="O72" s="102"/>
      <c r="P72" s="93"/>
      <c r="Q72" s="28"/>
    </row>
    <row r="73" spans="2:25" x14ac:dyDescent="0.3">
      <c r="B73" s="95">
        <v>44711</v>
      </c>
      <c r="C73" s="96">
        <v>3820.1</v>
      </c>
      <c r="D73" s="24">
        <f t="shared" ref="D73:D110" si="2">C73/C72-1</f>
        <v>5.7072097624417228E-2</v>
      </c>
      <c r="F73" s="96">
        <v>16584.3</v>
      </c>
      <c r="G73" s="109">
        <f t="shared" ref="G73:G110" si="3">F73/F72-1</f>
        <v>1.4178303556959371E-2</v>
      </c>
      <c r="H73" s="109"/>
      <c r="I73" s="109"/>
      <c r="J73" s="109"/>
      <c r="K73" s="109"/>
      <c r="O73" s="102"/>
      <c r="P73" s="93"/>
      <c r="Q73" s="28"/>
    </row>
    <row r="74" spans="2:25" x14ac:dyDescent="0.3">
      <c r="B74" s="95">
        <v>44718</v>
      </c>
      <c r="C74" s="96">
        <v>3755.65</v>
      </c>
      <c r="D74" s="24">
        <f t="shared" si="2"/>
        <v>-1.687128609198707E-2</v>
      </c>
      <c r="F74" s="96">
        <v>16201.8</v>
      </c>
      <c r="G74" s="109">
        <f t="shared" si="3"/>
        <v>-2.3063982200032584E-2</v>
      </c>
      <c r="H74" s="109"/>
      <c r="I74" s="109"/>
      <c r="J74" s="109"/>
      <c r="K74" s="109"/>
      <c r="O74" s="102"/>
      <c r="P74" s="93"/>
      <c r="Q74" s="28"/>
    </row>
    <row r="75" spans="2:25" x14ac:dyDescent="0.3">
      <c r="B75" s="95">
        <v>44725</v>
      </c>
      <c r="C75" s="96">
        <v>3460.55</v>
      </c>
      <c r="D75" s="24">
        <f t="shared" si="2"/>
        <v>-7.8574947079733226E-2</v>
      </c>
      <c r="F75" s="96">
        <v>15293.5</v>
      </c>
      <c r="G75" s="109">
        <f t="shared" si="3"/>
        <v>-5.6061672159883447E-2</v>
      </c>
      <c r="H75" s="109"/>
      <c r="I75" s="109"/>
      <c r="J75" s="109"/>
      <c r="K75" s="109"/>
      <c r="O75" s="102"/>
      <c r="P75" s="93"/>
      <c r="Q75" s="28"/>
    </row>
    <row r="76" spans="2:25" x14ac:dyDescent="0.3">
      <c r="B76" s="95">
        <v>44732</v>
      </c>
      <c r="C76" s="96">
        <v>3412</v>
      </c>
      <c r="D76" s="24">
        <f t="shared" si="2"/>
        <v>-1.4029561774862476E-2</v>
      </c>
      <c r="F76" s="96">
        <v>15699.25</v>
      </c>
      <c r="G76" s="109">
        <f t="shared" si="3"/>
        <v>2.6530879131657192E-2</v>
      </c>
      <c r="H76" s="109"/>
      <c r="I76" s="109"/>
      <c r="J76" s="109"/>
      <c r="K76" s="109"/>
      <c r="O76" s="102"/>
      <c r="P76" s="93"/>
      <c r="Q76" s="28"/>
    </row>
    <row r="77" spans="2:25" x14ac:dyDescent="0.3">
      <c r="B77" s="95">
        <v>44739</v>
      </c>
      <c r="C77" s="96">
        <v>3388.75</v>
      </c>
      <c r="D77" s="24">
        <f t="shared" si="2"/>
        <v>-6.8141852286048854E-3</v>
      </c>
      <c r="F77" s="96">
        <v>15752.05</v>
      </c>
      <c r="G77" s="109">
        <f t="shared" si="3"/>
        <v>3.3632179881204483E-3</v>
      </c>
      <c r="H77" s="109"/>
      <c r="I77" s="109"/>
      <c r="J77" s="109"/>
      <c r="K77" s="109"/>
      <c r="O77" s="103"/>
      <c r="P77" s="104"/>
    </row>
    <row r="78" spans="2:25" x14ac:dyDescent="0.3">
      <c r="B78" s="95">
        <v>44746</v>
      </c>
      <c r="C78" s="96">
        <v>3941.7</v>
      </c>
      <c r="D78" s="24">
        <f t="shared" si="2"/>
        <v>0.16317226115824424</v>
      </c>
      <c r="F78" s="96">
        <v>16220.6</v>
      </c>
      <c r="G78" s="109">
        <f t="shared" si="3"/>
        <v>2.9745334734209372E-2</v>
      </c>
      <c r="H78" s="109"/>
      <c r="I78" s="109"/>
      <c r="J78" s="109"/>
      <c r="K78" s="109"/>
      <c r="O78" s="102"/>
      <c r="P78" s="93"/>
    </row>
    <row r="79" spans="2:25" x14ac:dyDescent="0.3">
      <c r="B79" s="95">
        <v>44753</v>
      </c>
      <c r="C79" s="96">
        <v>3926.8</v>
      </c>
      <c r="D79" s="24">
        <f t="shared" si="2"/>
        <v>-3.7800948829184167E-3</v>
      </c>
      <c r="F79" s="96">
        <v>16049.2</v>
      </c>
      <c r="G79" s="109">
        <f t="shared" si="3"/>
        <v>-1.0566810105668067E-2</v>
      </c>
      <c r="H79" s="109"/>
      <c r="I79" s="109"/>
      <c r="J79" s="109"/>
      <c r="K79" s="109"/>
      <c r="O79" s="102"/>
      <c r="P79" s="93"/>
    </row>
    <row r="80" spans="2:25" x14ac:dyDescent="0.3">
      <c r="B80" s="95">
        <v>44760</v>
      </c>
      <c r="C80" s="96">
        <v>3963.4</v>
      </c>
      <c r="D80" s="24">
        <f t="shared" si="2"/>
        <v>9.3205663644697623E-3</v>
      </c>
      <c r="F80" s="96">
        <v>16719.45</v>
      </c>
      <c r="G80" s="109">
        <f>F80/F79-1</f>
        <v>4.1762206215886222E-2</v>
      </c>
      <c r="H80" s="109"/>
      <c r="I80" s="109"/>
      <c r="J80" s="109"/>
      <c r="K80" s="109"/>
      <c r="O80" s="102"/>
      <c r="P80" s="93"/>
    </row>
    <row r="81" spans="2:16" x14ac:dyDescent="0.3">
      <c r="B81" s="95">
        <v>44767</v>
      </c>
      <c r="C81" s="96">
        <v>4243.8500000000004</v>
      </c>
      <c r="D81" s="24">
        <f t="shared" si="2"/>
        <v>7.0759953575213252E-2</v>
      </c>
      <c r="F81" s="96">
        <v>17158.25</v>
      </c>
      <c r="G81" s="109">
        <f t="shared" si="3"/>
        <v>2.6244882457257868E-2</v>
      </c>
      <c r="H81" s="109"/>
      <c r="I81" s="109"/>
      <c r="J81" s="109"/>
      <c r="K81" s="109"/>
      <c r="O81" s="102"/>
      <c r="P81" s="93"/>
    </row>
    <row r="82" spans="2:16" x14ac:dyDescent="0.3">
      <c r="B82" s="95">
        <v>44774</v>
      </c>
      <c r="C82" s="96">
        <v>4232.25</v>
      </c>
      <c r="D82" s="24">
        <f t="shared" si="2"/>
        <v>-2.7333671076971156E-3</v>
      </c>
      <c r="F82" s="96">
        <v>17397.5</v>
      </c>
      <c r="G82" s="109">
        <f t="shared" si="3"/>
        <v>1.3943729692713402E-2</v>
      </c>
      <c r="H82" s="109"/>
      <c r="I82" s="109"/>
      <c r="J82" s="109"/>
      <c r="K82" s="109"/>
      <c r="O82" s="102"/>
      <c r="P82" s="93"/>
    </row>
    <row r="83" spans="2:16" x14ac:dyDescent="0.3">
      <c r="B83" s="95">
        <v>44781</v>
      </c>
      <c r="C83" s="96">
        <v>4336.7</v>
      </c>
      <c r="D83" s="24">
        <f t="shared" si="2"/>
        <v>2.4679543977789598E-2</v>
      </c>
      <c r="F83" s="96">
        <v>17698.150000000001</v>
      </c>
      <c r="G83" s="109">
        <f t="shared" si="3"/>
        <v>1.7281218565885936E-2</v>
      </c>
      <c r="H83" s="109"/>
      <c r="I83" s="109"/>
      <c r="J83" s="109"/>
      <c r="K83" s="109"/>
      <c r="O83" s="102"/>
      <c r="P83" s="93"/>
    </row>
    <row r="84" spans="2:16" x14ac:dyDescent="0.3">
      <c r="B84" s="95">
        <v>44788</v>
      </c>
      <c r="C84" s="96">
        <v>4382</v>
      </c>
      <c r="D84" s="24">
        <f t="shared" si="2"/>
        <v>1.0445730624668581E-2</v>
      </c>
      <c r="F84" s="96">
        <v>17758.45</v>
      </c>
      <c r="G84" s="109">
        <f t="shared" si="3"/>
        <v>3.4071357740781405E-3</v>
      </c>
      <c r="H84" s="109"/>
      <c r="I84" s="109"/>
      <c r="J84" s="109"/>
      <c r="K84" s="109"/>
      <c r="O84" s="102"/>
      <c r="P84" s="93"/>
    </row>
    <row r="85" spans="2:16" x14ac:dyDescent="0.3">
      <c r="B85" s="95">
        <v>44795</v>
      </c>
      <c r="C85" s="96">
        <v>4409.6499999999996</v>
      </c>
      <c r="D85" s="24">
        <f t="shared" si="2"/>
        <v>6.3099041533545286E-3</v>
      </c>
      <c r="F85" s="96">
        <v>17558.900000000001</v>
      </c>
      <c r="G85" s="109">
        <f t="shared" si="3"/>
        <v>-1.1236904121699753E-2</v>
      </c>
      <c r="H85" s="109"/>
      <c r="I85" s="109"/>
      <c r="J85" s="109"/>
      <c r="K85" s="109"/>
      <c r="O85" s="102"/>
      <c r="P85" s="93"/>
    </row>
    <row r="86" spans="2:16" x14ac:dyDescent="0.3">
      <c r="B86" s="95">
        <v>44802</v>
      </c>
      <c r="C86" s="96">
        <v>4576.8</v>
      </c>
      <c r="D86" s="24">
        <f t="shared" si="2"/>
        <v>3.790550270429649E-2</v>
      </c>
      <c r="F86" s="96">
        <v>17539.45</v>
      </c>
      <c r="G86" s="109">
        <f t="shared" si="3"/>
        <v>-1.1077003684741848E-3</v>
      </c>
      <c r="H86" s="109"/>
      <c r="I86" s="109"/>
      <c r="J86" s="109"/>
      <c r="K86" s="109"/>
      <c r="O86" s="102"/>
      <c r="P86" s="93"/>
    </row>
    <row r="87" spans="2:16" x14ac:dyDescent="0.3">
      <c r="B87" s="95">
        <v>44809</v>
      </c>
      <c r="C87" s="96">
        <v>4386.1000000000004</v>
      </c>
      <c r="D87" s="24">
        <f t="shared" si="2"/>
        <v>-4.166666666666663E-2</v>
      </c>
      <c r="F87" s="96">
        <v>17833.349999999999</v>
      </c>
      <c r="G87" s="109">
        <f t="shared" si="3"/>
        <v>1.6756511749228098E-2</v>
      </c>
      <c r="H87" s="109"/>
      <c r="I87" s="109"/>
      <c r="J87" s="109"/>
      <c r="K87" s="109"/>
      <c r="O87" s="102"/>
      <c r="P87" s="93"/>
    </row>
    <row r="88" spans="2:16" x14ac:dyDescent="0.3">
      <c r="B88" s="95">
        <v>44816</v>
      </c>
      <c r="C88" s="96">
        <v>4327.55</v>
      </c>
      <c r="D88" s="24">
        <f t="shared" si="2"/>
        <v>-1.334898885114344E-2</v>
      </c>
      <c r="F88" s="96">
        <v>17530.849999999999</v>
      </c>
      <c r="G88" s="109">
        <f t="shared" si="3"/>
        <v>-1.6962600969531838E-2</v>
      </c>
      <c r="H88" s="109"/>
      <c r="I88" s="109"/>
      <c r="J88" s="109"/>
      <c r="K88" s="109"/>
      <c r="O88" s="102"/>
      <c r="P88" s="93"/>
    </row>
    <row r="89" spans="2:16" x14ac:dyDescent="0.3">
      <c r="B89" s="95">
        <v>44823</v>
      </c>
      <c r="C89" s="96">
        <v>4367</v>
      </c>
      <c r="D89" s="24">
        <f t="shared" si="2"/>
        <v>9.1160125244076351E-3</v>
      </c>
      <c r="F89" s="96">
        <v>17327.349999999999</v>
      </c>
      <c r="G89" s="109">
        <f t="shared" si="3"/>
        <v>-1.1608107992481798E-2</v>
      </c>
      <c r="H89" s="109"/>
      <c r="I89" s="109"/>
      <c r="J89" s="109"/>
      <c r="K89" s="109"/>
      <c r="O89" s="102"/>
      <c r="P89" s="93"/>
    </row>
    <row r="90" spans="2:16" x14ac:dyDescent="0.3">
      <c r="B90" s="95">
        <v>44830</v>
      </c>
      <c r="C90" s="96">
        <v>4386.55</v>
      </c>
      <c r="D90" s="24">
        <f t="shared" si="2"/>
        <v>4.4767574994275527E-3</v>
      </c>
      <c r="F90" s="96">
        <v>17094.349999999999</v>
      </c>
      <c r="G90" s="109">
        <f t="shared" si="3"/>
        <v>-1.3446949475828696E-2</v>
      </c>
      <c r="H90" s="109"/>
      <c r="I90" s="109"/>
      <c r="J90" s="109"/>
      <c r="K90" s="109"/>
      <c r="O90" s="102"/>
      <c r="P90" s="93"/>
    </row>
    <row r="91" spans="2:16" x14ac:dyDescent="0.3">
      <c r="B91" s="95">
        <v>44837</v>
      </c>
      <c r="C91" s="96">
        <v>4471.45</v>
      </c>
      <c r="D91" s="24">
        <f t="shared" si="2"/>
        <v>1.9354618093946119E-2</v>
      </c>
      <c r="F91" s="96">
        <v>17314.650000000001</v>
      </c>
      <c r="G91" s="109">
        <f t="shared" si="3"/>
        <v>1.2887299019851861E-2</v>
      </c>
      <c r="H91" s="109"/>
      <c r="I91" s="109"/>
      <c r="J91" s="109"/>
      <c r="K91" s="109"/>
      <c r="O91" s="102"/>
      <c r="P91" s="93"/>
    </row>
    <row r="92" spans="2:16" x14ac:dyDescent="0.3">
      <c r="B92" s="95">
        <v>44844</v>
      </c>
      <c r="C92" s="96">
        <v>4306.1499999999996</v>
      </c>
      <c r="D92" s="24">
        <f t="shared" si="2"/>
        <v>-3.6967873955875641E-2</v>
      </c>
      <c r="F92" s="96">
        <v>17185.7</v>
      </c>
      <c r="G92" s="109">
        <f t="shared" si="3"/>
        <v>-7.4474505693156168E-3</v>
      </c>
      <c r="H92" s="109"/>
      <c r="I92" s="109"/>
      <c r="J92" s="109"/>
      <c r="K92" s="109"/>
      <c r="O92" s="102"/>
      <c r="P92" s="93"/>
    </row>
    <row r="93" spans="2:16" x14ac:dyDescent="0.3">
      <c r="B93" s="95">
        <v>44851</v>
      </c>
      <c r="C93" s="96">
        <v>4215.55</v>
      </c>
      <c r="D93" s="24">
        <f t="shared" si="2"/>
        <v>-2.1039675812500547E-2</v>
      </c>
      <c r="F93" s="96">
        <v>17576.3</v>
      </c>
      <c r="G93" s="109">
        <f t="shared" si="3"/>
        <v>2.2728198444055048E-2</v>
      </c>
      <c r="H93" s="109"/>
      <c r="I93" s="109"/>
      <c r="J93" s="109"/>
      <c r="K93" s="109"/>
      <c r="O93" s="102"/>
      <c r="P93" s="93"/>
    </row>
    <row r="94" spans="2:16" x14ac:dyDescent="0.3">
      <c r="B94" s="95">
        <v>44858</v>
      </c>
      <c r="C94" s="96">
        <v>4307.3500000000004</v>
      </c>
      <c r="D94" s="24">
        <f t="shared" si="2"/>
        <v>2.1776517892090119E-2</v>
      </c>
      <c r="F94" s="96">
        <v>17786.8</v>
      </c>
      <c r="G94" s="109">
        <f t="shared" si="3"/>
        <v>1.1976354522851729E-2</v>
      </c>
      <c r="H94" s="109"/>
      <c r="I94" s="109"/>
      <c r="J94" s="109"/>
      <c r="K94" s="109"/>
      <c r="O94" s="102"/>
      <c r="P94" s="93"/>
    </row>
    <row r="95" spans="2:16" x14ac:dyDescent="0.3">
      <c r="B95" s="95">
        <v>44865</v>
      </c>
      <c r="C95" s="96">
        <v>4167.3500000000004</v>
      </c>
      <c r="D95" s="24">
        <f t="shared" si="2"/>
        <v>-3.250258279452567E-2</v>
      </c>
      <c r="F95" s="96">
        <v>18117.150000000001</v>
      </c>
      <c r="G95" s="109">
        <f t="shared" si="3"/>
        <v>1.8572761823374861E-2</v>
      </c>
      <c r="H95" s="109"/>
      <c r="I95" s="109"/>
      <c r="J95" s="109"/>
      <c r="K95" s="109"/>
      <c r="O95" s="102"/>
      <c r="P95" s="93"/>
    </row>
    <row r="96" spans="2:16" x14ac:dyDescent="0.3">
      <c r="B96" s="95">
        <v>44872</v>
      </c>
      <c r="C96" s="96">
        <v>4128.3500000000004</v>
      </c>
      <c r="D96" s="24">
        <f t="shared" si="2"/>
        <v>-9.3584652117052469E-3</v>
      </c>
      <c r="F96" s="96">
        <v>18349.7</v>
      </c>
      <c r="G96" s="109">
        <f t="shared" si="3"/>
        <v>1.2835904101914375E-2</v>
      </c>
      <c r="H96" s="109"/>
      <c r="I96" s="109"/>
      <c r="J96" s="109"/>
      <c r="K96" s="109"/>
      <c r="O96" s="102"/>
      <c r="P96" s="93"/>
    </row>
    <row r="97" spans="2:16" x14ac:dyDescent="0.3">
      <c r="B97" s="95">
        <v>44879</v>
      </c>
      <c r="C97" s="96">
        <v>3910.6</v>
      </c>
      <c r="D97" s="24">
        <f t="shared" si="2"/>
        <v>-5.2745043419283877E-2</v>
      </c>
      <c r="F97" s="96">
        <v>18307.650000000001</v>
      </c>
      <c r="G97" s="109">
        <f t="shared" si="3"/>
        <v>-2.2915905982113793E-3</v>
      </c>
      <c r="H97" s="109"/>
      <c r="I97" s="109"/>
      <c r="J97" s="109"/>
      <c r="K97" s="109"/>
      <c r="O97" s="102"/>
      <c r="P97" s="93"/>
    </row>
    <row r="98" spans="2:16" x14ac:dyDescent="0.3">
      <c r="B98" s="94">
        <v>44886</v>
      </c>
      <c r="C98" s="96">
        <v>3904.45</v>
      </c>
      <c r="D98" s="24">
        <f t="shared" si="2"/>
        <v>-1.5726486984094512E-3</v>
      </c>
      <c r="F98" s="96">
        <v>18512.75</v>
      </c>
      <c r="G98" s="109">
        <f t="shared" si="3"/>
        <v>1.1202967065680136E-2</v>
      </c>
      <c r="H98" s="109"/>
      <c r="I98" s="109"/>
      <c r="J98" s="109"/>
      <c r="K98" s="109"/>
      <c r="O98" s="102"/>
      <c r="P98" s="93"/>
    </row>
    <row r="99" spans="2:16" x14ac:dyDescent="0.3">
      <c r="B99" s="94">
        <v>44893</v>
      </c>
      <c r="C99" s="96">
        <v>4005.75</v>
      </c>
      <c r="D99" s="24">
        <f t="shared" si="2"/>
        <v>2.5944755343262127E-2</v>
      </c>
      <c r="F99" s="96">
        <v>18696.099999999999</v>
      </c>
      <c r="G99" s="109">
        <f t="shared" si="3"/>
        <v>9.9039850913558158E-3</v>
      </c>
      <c r="H99" s="109"/>
      <c r="I99" s="109"/>
      <c r="J99" s="109"/>
      <c r="K99" s="109"/>
      <c r="O99" s="102"/>
      <c r="P99" s="93"/>
    </row>
    <row r="100" spans="2:16" x14ac:dyDescent="0.3">
      <c r="B100" s="94">
        <v>44900</v>
      </c>
      <c r="C100" s="96">
        <v>4002.4</v>
      </c>
      <c r="D100" s="24">
        <f t="shared" si="2"/>
        <v>-8.3629782188099355E-4</v>
      </c>
      <c r="F100" s="96">
        <v>18496.599999999999</v>
      </c>
      <c r="G100" s="109">
        <f t="shared" si="3"/>
        <v>-1.0670674632677457E-2</v>
      </c>
      <c r="H100" s="109"/>
      <c r="I100" s="109"/>
      <c r="J100" s="109"/>
      <c r="K100" s="109"/>
      <c r="O100" s="102"/>
      <c r="P100" s="93"/>
    </row>
    <row r="101" spans="2:16" x14ac:dyDescent="0.3">
      <c r="B101" s="94">
        <v>44907</v>
      </c>
      <c r="C101" s="96">
        <v>3990</v>
      </c>
      <c r="D101" s="24">
        <f t="shared" si="2"/>
        <v>-3.0981411153307992E-3</v>
      </c>
      <c r="F101" s="96">
        <v>18269</v>
      </c>
      <c r="G101" s="109">
        <f t="shared" si="3"/>
        <v>-1.2304964155574472E-2</v>
      </c>
      <c r="H101" s="109"/>
      <c r="I101" s="109"/>
      <c r="J101" s="109"/>
      <c r="K101" s="109"/>
      <c r="O101" s="102"/>
      <c r="P101" s="93"/>
    </row>
    <row r="102" spans="2:16" x14ac:dyDescent="0.3">
      <c r="B102" s="94">
        <v>44914</v>
      </c>
      <c r="C102" s="96">
        <v>3875.6</v>
      </c>
      <c r="D102" s="24">
        <f t="shared" si="2"/>
        <v>-2.8671679197994959E-2</v>
      </c>
      <c r="F102" s="96">
        <v>17806.8</v>
      </c>
      <c r="G102" s="109">
        <f t="shared" si="3"/>
        <v>-2.5299687996058973E-2</v>
      </c>
      <c r="H102" s="109"/>
      <c r="I102" s="109"/>
      <c r="J102" s="109"/>
      <c r="K102" s="109"/>
      <c r="O102" s="102"/>
      <c r="P102" s="93"/>
    </row>
    <row r="103" spans="2:16" x14ac:dyDescent="0.3">
      <c r="B103" s="94">
        <v>44921</v>
      </c>
      <c r="C103" s="96">
        <v>4068.75</v>
      </c>
      <c r="D103" s="24">
        <f t="shared" si="2"/>
        <v>4.9837444524718721E-2</v>
      </c>
      <c r="F103" s="96">
        <v>18105.3</v>
      </c>
      <c r="G103" s="109">
        <f t="shared" si="3"/>
        <v>1.6763258979715534E-2</v>
      </c>
      <c r="H103" s="109"/>
      <c r="I103" s="109"/>
      <c r="J103" s="109"/>
      <c r="K103" s="109"/>
      <c r="O103" s="102"/>
      <c r="P103" s="93"/>
    </row>
    <row r="104" spans="2:16" x14ac:dyDescent="0.3">
      <c r="B104" s="94">
        <v>44928</v>
      </c>
      <c r="C104" s="96">
        <v>3842.5</v>
      </c>
      <c r="D104" s="24">
        <f t="shared" si="2"/>
        <v>-5.5606758832565273E-2</v>
      </c>
      <c r="F104" s="96">
        <v>17859.45</v>
      </c>
      <c r="G104" s="109">
        <f t="shared" si="3"/>
        <v>-1.3578896787128536E-2</v>
      </c>
      <c r="H104" s="109"/>
      <c r="I104" s="109"/>
      <c r="J104" s="109"/>
      <c r="K104" s="109"/>
      <c r="O104" s="102"/>
      <c r="P104" s="93"/>
    </row>
    <row r="105" spans="2:16" x14ac:dyDescent="0.3">
      <c r="B105" s="94">
        <v>44935</v>
      </c>
      <c r="C105" s="96">
        <v>3863.7</v>
      </c>
      <c r="D105" s="24">
        <f t="shared" si="2"/>
        <v>5.5172413793103114E-3</v>
      </c>
      <c r="F105" s="96">
        <v>17956.599999999999</v>
      </c>
      <c r="G105" s="109">
        <f t="shared" si="3"/>
        <v>5.4396971911228054E-3</v>
      </c>
      <c r="H105" s="109"/>
      <c r="I105" s="109"/>
      <c r="J105" s="109"/>
      <c r="K105" s="109"/>
      <c r="O105" s="102"/>
      <c r="P105" s="93"/>
    </row>
    <row r="106" spans="2:16" x14ac:dyDescent="0.3">
      <c r="B106" s="94">
        <v>44942</v>
      </c>
      <c r="C106" s="96">
        <v>3513.75</v>
      </c>
      <c r="D106" s="24">
        <f t="shared" si="2"/>
        <v>-9.0573802313844154E-2</v>
      </c>
      <c r="F106" s="96">
        <v>18027.650000000001</v>
      </c>
      <c r="G106" s="109">
        <f t="shared" si="3"/>
        <v>3.9567624160476988E-3</v>
      </c>
      <c r="H106" s="109"/>
      <c r="I106" s="109"/>
      <c r="J106" s="109"/>
      <c r="K106" s="109"/>
      <c r="O106" s="102"/>
      <c r="P106" s="93"/>
    </row>
    <row r="107" spans="2:16" x14ac:dyDescent="0.3">
      <c r="B107" s="94">
        <v>44949</v>
      </c>
      <c r="C107" s="96">
        <v>3562.35</v>
      </c>
      <c r="D107" s="24">
        <f t="shared" si="2"/>
        <v>1.3831376734258161E-2</v>
      </c>
      <c r="F107" s="96">
        <v>17604.349999999999</v>
      </c>
      <c r="G107" s="109">
        <f t="shared" si="3"/>
        <v>-2.3480597859399488E-2</v>
      </c>
      <c r="H107" s="109"/>
      <c r="I107" s="109"/>
      <c r="J107" s="109"/>
      <c r="K107" s="109"/>
      <c r="O107" s="102"/>
      <c r="P107" s="93"/>
    </row>
    <row r="108" spans="2:16" x14ac:dyDescent="0.3">
      <c r="B108" s="94">
        <v>44956</v>
      </c>
      <c r="C108" s="96">
        <v>3470.35</v>
      </c>
      <c r="D108" s="24">
        <f t="shared" si="2"/>
        <v>-2.5825648799247647E-2</v>
      </c>
      <c r="F108" s="96">
        <v>17854.05</v>
      </c>
      <c r="G108" s="109">
        <f t="shared" si="3"/>
        <v>1.4183994296864233E-2</v>
      </c>
      <c r="H108" s="109"/>
      <c r="I108" s="109"/>
      <c r="J108" s="109"/>
      <c r="K108" s="109"/>
      <c r="O108" s="102"/>
      <c r="P108" s="93"/>
    </row>
    <row r="109" spans="2:16" x14ac:dyDescent="0.3">
      <c r="B109" s="94">
        <v>44963</v>
      </c>
      <c r="C109" s="96">
        <v>3498.85</v>
      </c>
      <c r="D109" s="24">
        <f t="shared" si="2"/>
        <v>8.2124281412536693E-3</v>
      </c>
      <c r="F109" s="96">
        <v>17856.5</v>
      </c>
      <c r="G109" s="109">
        <f t="shared" si="3"/>
        <v>1.372237671564136E-4</v>
      </c>
      <c r="H109" s="109"/>
      <c r="I109" s="109"/>
      <c r="J109" s="109"/>
      <c r="K109" s="109"/>
      <c r="O109" s="102"/>
      <c r="P109" s="93"/>
    </row>
    <row r="110" spans="2:16" x14ac:dyDescent="0.3">
      <c r="B110" s="94">
        <v>44970</v>
      </c>
      <c r="C110" s="96">
        <v>3545</v>
      </c>
      <c r="D110" s="24">
        <f t="shared" si="2"/>
        <v>1.3190048158680634E-2</v>
      </c>
      <c r="F110" s="96">
        <v>17944.2</v>
      </c>
      <c r="G110" s="109">
        <f t="shared" si="3"/>
        <v>4.9113768095652155E-3</v>
      </c>
      <c r="H110" s="109"/>
      <c r="I110" s="109"/>
      <c r="J110" s="109"/>
      <c r="K110" s="109"/>
    </row>
    <row r="111" spans="2:16" x14ac:dyDescent="0.3">
      <c r="B111" s="94">
        <v>44977</v>
      </c>
      <c r="C111" s="96">
        <v>3525.6</v>
      </c>
      <c r="D111" s="24">
        <f>C111/C110-1</f>
        <v>-5.4724964739069071E-3</v>
      </c>
      <c r="F111" s="96">
        <v>17826.7</v>
      </c>
      <c r="G111" s="109">
        <f>F111/F110-1</f>
        <v>-6.5480768159070779E-3</v>
      </c>
      <c r="H111" s="109"/>
      <c r="I111" s="109"/>
      <c r="J111" s="109"/>
      <c r="K111" s="109"/>
    </row>
  </sheetData>
  <mergeCells count="4">
    <mergeCell ref="B4:D4"/>
    <mergeCell ref="O4:P4"/>
    <mergeCell ref="F4:G4"/>
    <mergeCell ref="I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B453-8794-473F-9093-D83F6C3928F8}">
  <dimension ref="B3:G8"/>
  <sheetViews>
    <sheetView showGridLines="0" workbookViewId="0">
      <selection activeCell="C4" sqref="C4:C8"/>
    </sheetView>
  </sheetViews>
  <sheetFormatPr defaultRowHeight="14.4" x14ac:dyDescent="0.3"/>
  <cols>
    <col min="1" max="1" width="1.88671875" customWidth="1"/>
    <col min="3" max="3" width="16" bestFit="1" customWidth="1"/>
    <col min="4" max="4" width="7.6640625" bestFit="1" customWidth="1"/>
    <col min="5" max="5" width="13.6640625" bestFit="1" customWidth="1"/>
    <col min="6" max="6" width="10.109375" bestFit="1" customWidth="1"/>
    <col min="7" max="7" width="8.5546875" bestFit="1" customWidth="1"/>
    <col min="18" max="18" width="16" bestFit="1" customWidth="1"/>
    <col min="19" max="19" width="7.6640625" bestFit="1" customWidth="1"/>
    <col min="20" max="20" width="13.6640625" bestFit="1" customWidth="1"/>
  </cols>
  <sheetData>
    <row r="3" spans="2:7" x14ac:dyDescent="0.3">
      <c r="B3" t="s">
        <v>323</v>
      </c>
      <c r="C3" t="s">
        <v>324</v>
      </c>
      <c r="D3" s="118" t="s">
        <v>325</v>
      </c>
      <c r="E3" t="s">
        <v>326</v>
      </c>
      <c r="F3" t="s">
        <v>327</v>
      </c>
      <c r="G3" s="118" t="s">
        <v>328</v>
      </c>
    </row>
    <row r="4" spans="2:7" x14ac:dyDescent="0.3">
      <c r="B4">
        <v>1</v>
      </c>
      <c r="C4" t="s">
        <v>329</v>
      </c>
      <c r="D4" s="118">
        <v>4364.7</v>
      </c>
      <c r="E4">
        <v>228379.5</v>
      </c>
      <c r="F4">
        <v>710.8</v>
      </c>
      <c r="G4" s="118">
        <v>0.04</v>
      </c>
    </row>
    <row r="5" spans="2:7" x14ac:dyDescent="0.3">
      <c r="B5">
        <v>2</v>
      </c>
      <c r="C5" t="s">
        <v>330</v>
      </c>
      <c r="D5" s="118">
        <v>132.15</v>
      </c>
      <c r="E5">
        <v>47567.8</v>
      </c>
      <c r="F5">
        <v>4526</v>
      </c>
      <c r="G5" s="118">
        <v>0.27</v>
      </c>
    </row>
    <row r="6" spans="2:7" x14ac:dyDescent="0.3">
      <c r="B6">
        <v>3</v>
      </c>
      <c r="C6" t="s">
        <v>331</v>
      </c>
      <c r="D6" s="118">
        <v>830.55</v>
      </c>
      <c r="E6">
        <v>28378.3</v>
      </c>
      <c r="F6">
        <v>248.9</v>
      </c>
      <c r="G6" s="118">
        <v>0.97</v>
      </c>
    </row>
    <row r="7" spans="2:7" x14ac:dyDescent="0.3">
      <c r="B7">
        <v>4</v>
      </c>
      <c r="C7" t="s">
        <v>332</v>
      </c>
      <c r="D7" s="118">
        <v>506.45</v>
      </c>
      <c r="E7">
        <v>23395.4</v>
      </c>
      <c r="F7">
        <v>4617.6000000000004</v>
      </c>
      <c r="G7" s="118">
        <v>10.32</v>
      </c>
    </row>
    <row r="8" spans="2:7" x14ac:dyDescent="0.3">
      <c r="B8">
        <v>5</v>
      </c>
      <c r="C8" t="s">
        <v>333</v>
      </c>
      <c r="D8" s="118">
        <v>141.9</v>
      </c>
      <c r="E8">
        <v>23076.6</v>
      </c>
      <c r="F8">
        <v>805.5</v>
      </c>
      <c r="G8" s="118">
        <v>1.29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4B80-0C5F-4F50-80AF-8063AE42F754}">
  <dimension ref="B4:G29"/>
  <sheetViews>
    <sheetView showGridLines="0" workbookViewId="0">
      <selection activeCell="E14" sqref="E14"/>
    </sheetView>
  </sheetViews>
  <sheetFormatPr defaultRowHeight="14.4" x14ac:dyDescent="0.3"/>
  <cols>
    <col min="1" max="1" width="1.88671875" customWidth="1"/>
    <col min="5" max="5" width="18.44140625" bestFit="1" customWidth="1"/>
  </cols>
  <sheetData>
    <row r="4" spans="2:7" x14ac:dyDescent="0.3">
      <c r="B4" s="121" t="s">
        <v>336</v>
      </c>
      <c r="C4" s="122"/>
      <c r="D4" s="122"/>
      <c r="E4" s="122"/>
      <c r="F4" s="122"/>
      <c r="G4" s="122"/>
    </row>
    <row r="6" spans="2:7" x14ac:dyDescent="0.3">
      <c r="B6" s="120" t="s">
        <v>154</v>
      </c>
      <c r="C6" s="106" t="s">
        <v>335</v>
      </c>
    </row>
    <row r="7" spans="2:7" x14ac:dyDescent="0.3">
      <c r="B7" s="46">
        <v>2000</v>
      </c>
      <c r="C7" s="24">
        <v>-0.14649999999999999</v>
      </c>
      <c r="E7" t="s">
        <v>337</v>
      </c>
      <c r="F7" s="79">
        <f>AVERAGE(C7:C29)</f>
        <v>0.15443478260869564</v>
      </c>
    </row>
    <row r="8" spans="2:7" ht="16.2" x14ac:dyDescent="0.3">
      <c r="B8" s="46">
        <v>2001</v>
      </c>
      <c r="C8" s="24">
        <v>-0.1618</v>
      </c>
      <c r="E8" t="s">
        <v>338</v>
      </c>
      <c r="F8" s="123" t="s">
        <v>339</v>
      </c>
    </row>
    <row r="9" spans="2:7" x14ac:dyDescent="0.3">
      <c r="B9" s="46">
        <v>2002</v>
      </c>
      <c r="C9" s="24">
        <v>3.2500000000000001E-2</v>
      </c>
      <c r="E9" s="124" t="s">
        <v>340</v>
      </c>
      <c r="F9" s="125">
        <f>SUM(F7:F8)</f>
        <v>0.15443478260869564</v>
      </c>
    </row>
    <row r="10" spans="2:7" x14ac:dyDescent="0.3">
      <c r="B10" s="46">
        <v>2003</v>
      </c>
      <c r="C10" s="24">
        <v>0.71900000000000008</v>
      </c>
    </row>
    <row r="11" spans="2:7" x14ac:dyDescent="0.3">
      <c r="B11" s="46">
        <v>2004</v>
      </c>
      <c r="C11" s="24">
        <v>0.10679999999999999</v>
      </c>
    </row>
    <row r="12" spans="2:7" x14ac:dyDescent="0.3">
      <c r="B12" s="46">
        <v>2005</v>
      </c>
      <c r="C12" s="24">
        <v>0.36340000000000006</v>
      </c>
    </row>
    <row r="13" spans="2:7" x14ac:dyDescent="0.3">
      <c r="B13" s="46">
        <v>2006</v>
      </c>
      <c r="C13" s="24">
        <v>0.39829999999999999</v>
      </c>
    </row>
    <row r="14" spans="2:7" x14ac:dyDescent="0.3">
      <c r="B14" s="46">
        <v>2007</v>
      </c>
      <c r="C14" s="24">
        <v>0.54770000000000008</v>
      </c>
    </row>
    <row r="15" spans="2:7" x14ac:dyDescent="0.3">
      <c r="B15" s="46">
        <v>2008</v>
      </c>
      <c r="C15" s="24">
        <v>-0.51790000000000003</v>
      </c>
    </row>
    <row r="16" spans="2:7" x14ac:dyDescent="0.3">
      <c r="B16" s="46">
        <v>2009</v>
      </c>
      <c r="C16" s="24">
        <v>0.75760000000000005</v>
      </c>
    </row>
    <row r="17" spans="2:3" x14ac:dyDescent="0.3">
      <c r="B17" s="46">
        <v>2010</v>
      </c>
      <c r="C17" s="24">
        <v>0.17949999999999999</v>
      </c>
    </row>
    <row r="18" spans="2:3" x14ac:dyDescent="0.3">
      <c r="B18" s="46">
        <v>2011</v>
      </c>
      <c r="C18" s="24">
        <v>-0.2462</v>
      </c>
    </row>
    <row r="19" spans="2:3" x14ac:dyDescent="0.3">
      <c r="B19" s="46">
        <v>2012</v>
      </c>
      <c r="C19" s="24">
        <v>0.27699999999999997</v>
      </c>
    </row>
    <row r="20" spans="2:3" x14ac:dyDescent="0.3">
      <c r="B20" s="46">
        <v>2013</v>
      </c>
      <c r="C20" s="24">
        <v>6.7599999999999993E-2</v>
      </c>
    </row>
    <row r="21" spans="2:3" x14ac:dyDescent="0.3">
      <c r="B21" s="46">
        <v>2014</v>
      </c>
      <c r="C21" s="24">
        <v>0.31390000000000001</v>
      </c>
    </row>
    <row r="22" spans="2:3" x14ac:dyDescent="0.3">
      <c r="B22" s="46">
        <v>2015</v>
      </c>
      <c r="C22" s="24">
        <v>-4.0599999999999997E-2</v>
      </c>
    </row>
    <row r="23" spans="2:3" x14ac:dyDescent="0.3">
      <c r="B23" s="46">
        <v>2016</v>
      </c>
      <c r="C23" s="24">
        <v>3.0099999999999998E-2</v>
      </c>
    </row>
    <row r="24" spans="2:3" x14ac:dyDescent="0.3">
      <c r="B24" s="46">
        <v>2017</v>
      </c>
      <c r="C24" s="24">
        <v>0.28649999999999998</v>
      </c>
    </row>
    <row r="25" spans="2:3" x14ac:dyDescent="0.3">
      <c r="B25" s="46">
        <v>2018</v>
      </c>
      <c r="C25" s="24">
        <v>3.15E-2</v>
      </c>
    </row>
    <row r="26" spans="2:3" x14ac:dyDescent="0.3">
      <c r="B26" s="46">
        <v>2019</v>
      </c>
      <c r="C26" s="24">
        <v>0.1202</v>
      </c>
    </row>
    <row r="27" spans="2:3" x14ac:dyDescent="0.3">
      <c r="B27" s="46">
        <v>2020</v>
      </c>
      <c r="C27" s="24">
        <v>0.14899999999999999</v>
      </c>
    </row>
    <row r="28" spans="2:3" x14ac:dyDescent="0.3">
      <c r="B28" s="46">
        <v>2021</v>
      </c>
      <c r="C28" s="24">
        <v>0.2412</v>
      </c>
    </row>
    <row r="29" spans="2:3" x14ac:dyDescent="0.3">
      <c r="B29" s="46">
        <v>2022</v>
      </c>
      <c r="C29" s="24">
        <v>4.3200000000000002E-2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A1C3-0B62-48FD-A824-89A90689A2AA}">
  <dimension ref="A2:T48"/>
  <sheetViews>
    <sheetView showGridLines="0" tabSelected="1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M47" sqref="M47"/>
    </sheetView>
  </sheetViews>
  <sheetFormatPr defaultRowHeight="14.4" x14ac:dyDescent="0.3"/>
  <cols>
    <col min="1" max="1" width="1.88671875" customWidth="1"/>
    <col min="2" max="2" width="10.109375" customWidth="1"/>
  </cols>
  <sheetData>
    <row r="2" spans="2:11" x14ac:dyDescent="0.3">
      <c r="B2" s="136" t="s">
        <v>375</v>
      </c>
      <c r="C2" s="136"/>
      <c r="D2" s="136"/>
      <c r="E2" s="136"/>
      <c r="F2" s="136"/>
      <c r="G2" s="137">
        <f>'Raw FS'!J$2</f>
        <v>44256</v>
      </c>
      <c r="H2" s="137">
        <f>'Raw FS'!K$2</f>
        <v>44621</v>
      </c>
      <c r="I2" s="137">
        <f>'Raw FS'!L$2</f>
        <v>44986</v>
      </c>
      <c r="J2" s="137">
        <f>'Raw FS'!M$2</f>
        <v>45352</v>
      </c>
      <c r="K2" s="137">
        <f>'Raw FS'!N$2</f>
        <v>45717</v>
      </c>
    </row>
    <row r="4" spans="2:11" x14ac:dyDescent="0.3">
      <c r="B4" s="2" t="s">
        <v>376</v>
      </c>
    </row>
    <row r="5" spans="2:11" x14ac:dyDescent="0.3">
      <c r="B5" s="141" t="str">
        <f>'Raw FS'!B36</f>
        <v>Inventories</v>
      </c>
      <c r="C5" s="141"/>
      <c r="D5" s="141"/>
      <c r="E5" s="141"/>
      <c r="F5" s="141"/>
      <c r="G5" s="141">
        <f>'Raw FS'!J36</f>
        <v>36089</v>
      </c>
      <c r="H5" s="141">
        <f>'Raw FS'!K36</f>
        <v>35240</v>
      </c>
      <c r="I5" s="141">
        <f>'Raw FS'!L36</f>
        <v>40755</v>
      </c>
      <c r="J5" s="141">
        <f>'Raw FS'!M36</f>
        <v>47788</v>
      </c>
      <c r="K5" s="141">
        <f>'Raw FS'!N36</f>
        <v>47269</v>
      </c>
    </row>
    <row r="6" spans="2:11" x14ac:dyDescent="0.3">
      <c r="B6" s="141" t="str">
        <f>'Raw FS'!B37</f>
        <v>Trade receivables +</v>
      </c>
      <c r="C6" s="141"/>
      <c r="D6" s="141"/>
      <c r="E6" s="141"/>
      <c r="F6" s="141"/>
      <c r="G6" s="141">
        <f>'Raw FS'!J37</f>
        <v>12679</v>
      </c>
      <c r="H6" s="141">
        <f>'Raw FS'!K37</f>
        <v>12442</v>
      </c>
      <c r="I6" s="141">
        <f>'Raw FS'!L37</f>
        <v>15738</v>
      </c>
      <c r="J6" s="141">
        <f>'Raw FS'!M37</f>
        <v>16952</v>
      </c>
      <c r="K6" s="141">
        <f>'Raw FS'!N37</f>
        <v>13248</v>
      </c>
    </row>
    <row r="7" spans="2:11" x14ac:dyDescent="0.3">
      <c r="B7" s="141" t="str">
        <f>'Raw FS'!B39</f>
        <v>Loans n Advances</v>
      </c>
      <c r="C7" s="141"/>
      <c r="D7" s="141"/>
      <c r="E7" s="141"/>
      <c r="F7" s="141"/>
      <c r="G7" s="141">
        <f>'Raw FS'!J39</f>
        <v>4520</v>
      </c>
      <c r="H7" s="141">
        <f>'Raw FS'!K39</f>
        <v>4583</v>
      </c>
      <c r="I7" s="141">
        <f>'Raw FS'!L39</f>
        <v>-4029</v>
      </c>
      <c r="J7" s="141">
        <f>'Raw FS'!M39</f>
        <v>-1743</v>
      </c>
      <c r="K7" s="141">
        <f>'Raw FS'!N39</f>
        <v>7552</v>
      </c>
    </row>
    <row r="8" spans="2:11" x14ac:dyDescent="0.3">
      <c r="B8" t="str">
        <f>'Raw FS'!B40</f>
        <v>Other asset items</v>
      </c>
      <c r="G8">
        <f>'Raw FS'!J40</f>
        <v>57198</v>
      </c>
      <c r="H8">
        <f>'Raw FS'!K40</f>
        <v>57641</v>
      </c>
      <c r="I8">
        <f>'Raw FS'!L40</f>
        <v>72461</v>
      </c>
      <c r="J8">
        <f>'Raw FS'!M40</f>
        <v>80763</v>
      </c>
      <c r="K8">
        <f>'Raw FS'!N40</f>
        <v>50911</v>
      </c>
    </row>
    <row r="9" spans="2:11" x14ac:dyDescent="0.3">
      <c r="B9" s="146" t="s">
        <v>85</v>
      </c>
      <c r="C9" s="146"/>
      <c r="D9" s="146"/>
      <c r="E9" s="146"/>
      <c r="F9" s="146"/>
      <c r="G9" s="146">
        <f>SUM(G5:G8)</f>
        <v>110486</v>
      </c>
      <c r="H9" s="146">
        <f t="shared" ref="H9:K9" si="0">SUM(H5:H8)</f>
        <v>109906</v>
      </c>
      <c r="I9" s="146">
        <f t="shared" si="0"/>
        <v>124925</v>
      </c>
      <c r="J9" s="146">
        <f t="shared" si="0"/>
        <v>143760</v>
      </c>
      <c r="K9" s="146">
        <f t="shared" si="0"/>
        <v>118980</v>
      </c>
    </row>
    <row r="11" spans="2:11" x14ac:dyDescent="0.3">
      <c r="B11" s="2" t="s">
        <v>377</v>
      </c>
    </row>
    <row r="12" spans="2:11" x14ac:dyDescent="0.3">
      <c r="B12" s="141" t="str">
        <f>'Raw FS'!B13</f>
        <v>Trade Payables</v>
      </c>
      <c r="C12" s="141"/>
      <c r="D12" s="141"/>
      <c r="E12" s="141"/>
      <c r="F12" s="141"/>
      <c r="G12" s="141">
        <f>'Raw FS'!J13</f>
        <v>76040</v>
      </c>
      <c r="H12" s="141">
        <f>'Raw FS'!K13</f>
        <v>69750</v>
      </c>
      <c r="I12" s="141">
        <f>'Raw FS'!L13</f>
        <v>79252</v>
      </c>
      <c r="J12" s="141">
        <f>'Raw FS'!M13</f>
        <v>93978</v>
      </c>
      <c r="K12" s="141">
        <f>'Raw FS'!N13</f>
        <v>97368</v>
      </c>
    </row>
    <row r="13" spans="2:11" x14ac:dyDescent="0.3">
      <c r="B13" s="141" t="str">
        <f>'Raw FS'!B14</f>
        <v>Advance from Customers</v>
      </c>
      <c r="C13" s="141"/>
      <c r="D13" s="141"/>
      <c r="E13" s="141"/>
      <c r="F13" s="141"/>
      <c r="G13" s="141">
        <f>'Raw FS'!J14</f>
        <v>0</v>
      </c>
      <c r="H13" s="141">
        <f>'Raw FS'!K14</f>
        <v>0</v>
      </c>
      <c r="I13" s="141">
        <f>'Raw FS'!L14</f>
        <v>0</v>
      </c>
      <c r="J13" s="141">
        <f>'Raw FS'!M14</f>
        <v>0</v>
      </c>
      <c r="K13" s="141">
        <f>'Raw FS'!N14</f>
        <v>0</v>
      </c>
    </row>
    <row r="14" spans="2:11" x14ac:dyDescent="0.3">
      <c r="B14" s="141" t="str">
        <f>'Raw FS'!B15</f>
        <v>Other liability items</v>
      </c>
      <c r="C14" s="141"/>
      <c r="D14" s="141"/>
      <c r="E14" s="141"/>
      <c r="F14" s="141"/>
      <c r="G14" s="141">
        <f>'Raw FS'!J15</f>
        <v>66579</v>
      </c>
      <c r="H14" s="141">
        <f>'Raw FS'!K15</f>
        <v>64030</v>
      </c>
      <c r="I14" s="141">
        <f>'Raw FS'!L15</f>
        <v>68710</v>
      </c>
      <c r="J14" s="141">
        <f>'Raw FS'!M15</f>
        <v>75185</v>
      </c>
      <c r="K14" s="141">
        <f>'Raw FS'!N15</f>
        <v>85311</v>
      </c>
    </row>
    <row r="15" spans="2:11" x14ac:dyDescent="0.3">
      <c r="B15" s="146" t="s">
        <v>378</v>
      </c>
      <c r="C15" s="146"/>
      <c r="D15" s="146"/>
      <c r="E15" s="146"/>
      <c r="F15" s="146"/>
      <c r="G15" s="146">
        <f>SUM(G12:G14)</f>
        <v>142619</v>
      </c>
      <c r="H15" s="146">
        <f>SUM(H12:H14)</f>
        <v>133780</v>
      </c>
      <c r="I15" s="146">
        <f>SUM(I12:I14)</f>
        <v>147962</v>
      </c>
      <c r="J15" s="146">
        <f>SUM(J12:J14)</f>
        <v>169163</v>
      </c>
      <c r="K15" s="146">
        <f>SUM(K12:K14)</f>
        <v>182679</v>
      </c>
    </row>
    <row r="17" spans="1:11" ht="15" thickBot="1" x14ac:dyDescent="0.35">
      <c r="A17" t="s">
        <v>58</v>
      </c>
      <c r="B17" s="148" t="s">
        <v>379</v>
      </c>
      <c r="C17" s="148"/>
      <c r="D17" s="148"/>
      <c r="E17" s="148"/>
      <c r="F17" s="148"/>
      <c r="G17" s="148">
        <f>G9-G15</f>
        <v>-32133</v>
      </c>
      <c r="H17" s="148">
        <f t="shared" ref="H17:K17" si="1">H9-H15</f>
        <v>-23874</v>
      </c>
      <c r="I17" s="148">
        <f t="shared" si="1"/>
        <v>-23037</v>
      </c>
      <c r="J17" s="148">
        <f t="shared" si="1"/>
        <v>-25403</v>
      </c>
      <c r="K17" s="148">
        <f t="shared" si="1"/>
        <v>-63699</v>
      </c>
    </row>
    <row r="18" spans="1:11" ht="15" thickTop="1" x14ac:dyDescent="0.3"/>
    <row r="19" spans="1:11" x14ac:dyDescent="0.3">
      <c r="B19" s="2" t="s">
        <v>380</v>
      </c>
    </row>
    <row r="20" spans="1:11" x14ac:dyDescent="0.3">
      <c r="B20" s="141" t="str">
        <f>'Raw FS'!B19</f>
        <v>Land</v>
      </c>
      <c r="C20" s="141"/>
      <c r="D20" s="141"/>
      <c r="E20" s="141"/>
      <c r="F20" s="141"/>
      <c r="G20" s="141">
        <f>'Raw FS'!J19</f>
        <v>7819</v>
      </c>
      <c r="H20" s="141">
        <f>'Raw FS'!K19</f>
        <v>7760</v>
      </c>
      <c r="I20" s="141">
        <f>'Raw FS'!L19</f>
        <v>8045</v>
      </c>
      <c r="J20" s="141">
        <f>'Raw FS'!M19</f>
        <v>7996</v>
      </c>
      <c r="K20" s="141">
        <f>'Raw FS'!N19</f>
        <v>7900</v>
      </c>
    </row>
    <row r="21" spans="1:11" x14ac:dyDescent="0.3">
      <c r="B21" s="141" t="str">
        <f>'Raw FS'!B20</f>
        <v>Building</v>
      </c>
      <c r="C21" s="141"/>
      <c r="D21" s="141"/>
      <c r="E21" s="141"/>
      <c r="F21" s="141"/>
      <c r="G21" s="141">
        <f>'Raw FS'!J20</f>
        <v>35537</v>
      </c>
      <c r="H21" s="141">
        <f>'Raw FS'!K20</f>
        <v>36466</v>
      </c>
      <c r="I21" s="141">
        <f>'Raw FS'!L20</f>
        <v>38674</v>
      </c>
      <c r="J21" s="141">
        <f>'Raw FS'!M20</f>
        <v>40583</v>
      </c>
      <c r="K21" s="141">
        <f>'Raw FS'!N20</f>
        <v>44662</v>
      </c>
    </row>
    <row r="22" spans="1:11" x14ac:dyDescent="0.3">
      <c r="B22" s="141" t="str">
        <f>'Raw FS'!B21</f>
        <v>Plant Machinery</v>
      </c>
      <c r="C22" s="141"/>
      <c r="D22" s="141"/>
      <c r="E22" s="141"/>
      <c r="F22" s="141"/>
      <c r="G22" s="141">
        <f>'Raw FS'!J21</f>
        <v>138868</v>
      </c>
      <c r="H22" s="141">
        <f>'Raw FS'!K21</f>
        <v>148585</v>
      </c>
      <c r="I22" s="141">
        <f>'Raw FS'!L21</f>
        <v>153672</v>
      </c>
      <c r="J22" s="141">
        <f>'Raw FS'!M21</f>
        <v>151877</v>
      </c>
      <c r="K22" s="141">
        <f>'Raw FS'!N21</f>
        <v>155939</v>
      </c>
    </row>
    <row r="23" spans="1:11" x14ac:dyDescent="0.3">
      <c r="B23" s="141" t="str">
        <f>'Raw FS'!B22</f>
        <v>Equipments</v>
      </c>
      <c r="C23" s="141"/>
      <c r="D23" s="141"/>
      <c r="E23" s="141"/>
      <c r="F23" s="141"/>
      <c r="G23" s="141">
        <f>'Raw FS'!J22</f>
        <v>0</v>
      </c>
      <c r="H23" s="141">
        <f>'Raw FS'!K22</f>
        <v>0</v>
      </c>
      <c r="I23" s="141">
        <f>'Raw FS'!L22</f>
        <v>0</v>
      </c>
      <c r="J23" s="141">
        <f>'Raw FS'!M22</f>
        <v>0</v>
      </c>
      <c r="K23" s="141">
        <f>'Raw FS'!N22</f>
        <v>0</v>
      </c>
    </row>
    <row r="24" spans="1:11" x14ac:dyDescent="0.3">
      <c r="B24" s="141" t="str">
        <f>'Raw FS'!B23</f>
        <v>Computers</v>
      </c>
      <c r="C24" s="141"/>
      <c r="D24" s="141"/>
      <c r="E24" s="141"/>
      <c r="F24" s="141"/>
      <c r="G24" s="141">
        <f>'Raw FS'!J23</f>
        <v>3172</v>
      </c>
      <c r="H24" s="141">
        <f>'Raw FS'!K23</f>
        <v>3383</v>
      </c>
      <c r="I24" s="141">
        <f>'Raw FS'!L23</f>
        <v>3499</v>
      </c>
      <c r="J24" s="141">
        <f>'Raw FS'!M23</f>
        <v>3667</v>
      </c>
      <c r="K24" s="141">
        <f>'Raw FS'!N23</f>
        <v>3879</v>
      </c>
    </row>
    <row r="25" spans="1:11" x14ac:dyDescent="0.3">
      <c r="B25" s="141" t="str">
        <f>'Raw FS'!B24</f>
        <v>Furniture n fittings</v>
      </c>
      <c r="C25" s="141"/>
      <c r="D25" s="141"/>
      <c r="E25" s="141"/>
      <c r="F25" s="141"/>
      <c r="G25" s="141">
        <f>'Raw FS'!J24</f>
        <v>1956</v>
      </c>
      <c r="H25" s="141">
        <f>'Raw FS'!K24</f>
        <v>1984</v>
      </c>
      <c r="I25" s="141">
        <f>'Raw FS'!L24</f>
        <v>2084</v>
      </c>
      <c r="J25" s="141">
        <f>'Raw FS'!M24</f>
        <v>2029</v>
      </c>
      <c r="K25" s="141">
        <f>'Raw FS'!N24</f>
        <v>1970</v>
      </c>
    </row>
    <row r="26" spans="1:11" x14ac:dyDescent="0.3">
      <c r="B26" s="141" t="str">
        <f>'Raw FS'!B25</f>
        <v>Vehicles</v>
      </c>
      <c r="C26" s="141"/>
      <c r="D26" s="141"/>
      <c r="E26" s="141"/>
      <c r="F26" s="141"/>
      <c r="G26" s="141">
        <f>'Raw FS'!J25</f>
        <v>845</v>
      </c>
      <c r="H26" s="141">
        <f>'Raw FS'!K25</f>
        <v>725</v>
      </c>
      <c r="I26" s="141">
        <f>'Raw FS'!L25</f>
        <v>788</v>
      </c>
      <c r="J26" s="141">
        <f>'Raw FS'!M25</f>
        <v>956</v>
      </c>
      <c r="K26" s="141">
        <f>'Raw FS'!N25</f>
        <v>1151</v>
      </c>
    </row>
    <row r="27" spans="1:11" x14ac:dyDescent="0.3">
      <c r="B27" s="141" t="str">
        <f>'Raw FS'!B26</f>
        <v>Intangible Assets</v>
      </c>
      <c r="C27" s="141"/>
      <c r="D27" s="141"/>
      <c r="E27" s="141"/>
      <c r="F27" s="141"/>
      <c r="G27" s="141">
        <f>'Raw FS'!J26</f>
        <v>114809</v>
      </c>
      <c r="H27" s="141">
        <f>'Raw FS'!K26</f>
        <v>114323</v>
      </c>
      <c r="I27" s="141">
        <f>'Raw FS'!L26</f>
        <v>112538</v>
      </c>
      <c r="J27" s="141">
        <f>'Raw FS'!M26</f>
        <v>116714</v>
      </c>
      <c r="K27" s="141">
        <f>'Raw FS'!N26</f>
        <v>93455</v>
      </c>
    </row>
    <row r="28" spans="1:11" x14ac:dyDescent="0.3">
      <c r="B28" s="141" t="str">
        <f>'Raw FS'!B27</f>
        <v>Other fixed assets</v>
      </c>
      <c r="C28" s="141"/>
      <c r="D28" s="141"/>
      <c r="E28" s="141"/>
      <c r="F28" s="141"/>
      <c r="G28" s="141">
        <f>'Raw FS'!J27</f>
        <v>10686</v>
      </c>
      <c r="H28" s="141">
        <f>'Raw FS'!K27</f>
        <v>10870</v>
      </c>
      <c r="I28" s="141">
        <f>'Raw FS'!L27</f>
        <v>11841</v>
      </c>
      <c r="J28" s="141">
        <f>'Raw FS'!M27</f>
        <v>10657</v>
      </c>
      <c r="K28" s="141">
        <f>'Raw FS'!N27</f>
        <v>11044</v>
      </c>
    </row>
    <row r="29" spans="1:11" x14ac:dyDescent="0.3">
      <c r="B29" s="146" t="s">
        <v>366</v>
      </c>
      <c r="C29" s="146"/>
      <c r="D29" s="146"/>
      <c r="E29" s="146"/>
      <c r="F29" s="146"/>
      <c r="G29" s="146">
        <f>SUM(G20:G28)</f>
        <v>313692</v>
      </c>
      <c r="H29" s="146">
        <f>SUM(H20:H28)</f>
        <v>324096</v>
      </c>
      <c r="I29" s="146">
        <f>SUM(I20:I28)</f>
        <v>331141</v>
      </c>
      <c r="J29" s="146">
        <f>SUM(J20:J28)</f>
        <v>334479</v>
      </c>
      <c r="K29" s="146">
        <f>SUM(K20:K28)</f>
        <v>320000</v>
      </c>
    </row>
    <row r="30" spans="1:11" x14ac:dyDescent="0.3">
      <c r="B30" t="s">
        <v>367</v>
      </c>
      <c r="G30">
        <f>-'Raw FS'!J29</f>
        <v>-174985</v>
      </c>
      <c r="H30">
        <f>-'Raw FS'!K29</f>
        <v>-185241</v>
      </c>
      <c r="I30">
        <f>-'Raw FS'!L29</f>
        <v>-199062</v>
      </c>
      <c r="J30">
        <f>-'Raw FS'!M29</f>
        <v>-213194</v>
      </c>
      <c r="K30">
        <f>-'Raw FS'!N29</f>
        <v>-204303</v>
      </c>
    </row>
    <row r="31" spans="1:11" ht="15" thickBot="1" x14ac:dyDescent="0.35">
      <c r="A31" t="s">
        <v>58</v>
      </c>
      <c r="B31" s="148" t="s">
        <v>381</v>
      </c>
      <c r="C31" s="148"/>
      <c r="D31" s="148"/>
      <c r="E31" s="148"/>
      <c r="F31" s="148"/>
      <c r="G31" s="148">
        <f>SUM(G29:G30)</f>
        <v>138707</v>
      </c>
      <c r="H31" s="148">
        <f t="shared" ref="H31:K31" si="2">SUM(H29:H30)</f>
        <v>138855</v>
      </c>
      <c r="I31" s="148">
        <f t="shared" si="2"/>
        <v>132079</v>
      </c>
      <c r="J31" s="148">
        <f t="shared" si="2"/>
        <v>121285</v>
      </c>
      <c r="K31" s="148">
        <f t="shared" si="2"/>
        <v>115697</v>
      </c>
    </row>
    <row r="32" spans="1:11" ht="15" thickTop="1" x14ac:dyDescent="0.3"/>
    <row r="33" spans="1:20" x14ac:dyDescent="0.3">
      <c r="A33" t="s">
        <v>58</v>
      </c>
      <c r="B33" s="156" t="s">
        <v>382</v>
      </c>
      <c r="G33" s="2">
        <f>G31+G17</f>
        <v>106574</v>
      </c>
      <c r="H33" s="2">
        <f t="shared" ref="H33:K33" si="3">H31+H17</f>
        <v>114981</v>
      </c>
      <c r="I33" s="2">
        <f t="shared" si="3"/>
        <v>109042</v>
      </c>
      <c r="J33" s="2">
        <f t="shared" si="3"/>
        <v>95882</v>
      </c>
      <c r="K33" s="2">
        <f t="shared" si="3"/>
        <v>51998</v>
      </c>
    </row>
    <row r="34" spans="1:20" x14ac:dyDescent="0.3">
      <c r="B34" s="2" t="s">
        <v>383</v>
      </c>
      <c r="C34" s="2"/>
      <c r="D34" s="2"/>
      <c r="E34" s="2"/>
      <c r="F34" s="2"/>
      <c r="G34" s="2">
        <f>HistoricalFS!I27+HistoricalFS!I21</f>
        <v>8740.7199999999921</v>
      </c>
      <c r="H34" s="2">
        <f>HistoricalFS!J27+HistoricalFS!J21</f>
        <v>-115.59999999998763</v>
      </c>
      <c r="I34" s="2">
        <f>HistoricalFS!K27+HistoricalFS!K21</f>
        <v>6955.4399999999623</v>
      </c>
      <c r="J34" s="2">
        <f>HistoricalFS!L27+HistoricalFS!L21</f>
        <v>32268.210000000043</v>
      </c>
      <c r="K34" s="2">
        <f>HistoricalFS!M27+HistoricalFS!M21</f>
        <v>39761</v>
      </c>
      <c r="L34" s="157" t="s">
        <v>384</v>
      </c>
      <c r="M34" s="118"/>
      <c r="N34" s="118"/>
      <c r="O34" s="118"/>
      <c r="P34" s="118"/>
      <c r="Q34" s="118"/>
      <c r="R34" s="118"/>
      <c r="S34" s="118"/>
      <c r="T34" s="118"/>
    </row>
    <row r="36" spans="1:20" ht="15" thickBot="1" x14ac:dyDescent="0.35">
      <c r="A36" t="s">
        <v>58</v>
      </c>
      <c r="B36" s="148" t="s">
        <v>385</v>
      </c>
      <c r="C36" s="158"/>
      <c r="D36" s="158"/>
      <c r="E36" s="158"/>
      <c r="F36" s="158"/>
      <c r="G36" s="159">
        <f>G34/G33</f>
        <v>8.2015500966464538E-2</v>
      </c>
      <c r="H36" s="159">
        <f t="shared" ref="H36:K36" si="4">H34/H33</f>
        <v>-1.005383498143064E-3</v>
      </c>
      <c r="I36" s="159">
        <f t="shared" si="4"/>
        <v>6.3786797747656526E-2</v>
      </c>
      <c r="J36" s="159">
        <f t="shared" si="4"/>
        <v>0.33654085229761627</v>
      </c>
      <c r="K36" s="159">
        <f t="shared" si="4"/>
        <v>0.76466402553944379</v>
      </c>
    </row>
    <row r="37" spans="1:20" ht="15" thickTop="1" x14ac:dyDescent="0.3"/>
    <row r="39" spans="1:20" x14ac:dyDescent="0.3">
      <c r="B39" s="136" t="s">
        <v>386</v>
      </c>
      <c r="C39" s="136"/>
      <c r="D39" s="136"/>
      <c r="E39" s="136"/>
      <c r="F39" s="136"/>
      <c r="G39" s="137">
        <f>'Raw FS'!J$2</f>
        <v>44256</v>
      </c>
      <c r="H39" s="137">
        <f>'Raw FS'!K$2</f>
        <v>44621</v>
      </c>
      <c r="I39" s="137">
        <f>'Raw FS'!L$2</f>
        <v>44986</v>
      </c>
      <c r="J39" s="137">
        <f>'Raw FS'!M$2</f>
        <v>45352</v>
      </c>
      <c r="K39" s="137">
        <f>'Raw FS'!N$2</f>
        <v>45717</v>
      </c>
    </row>
    <row r="41" spans="1:20" x14ac:dyDescent="0.3">
      <c r="B41" t="s">
        <v>387</v>
      </c>
      <c r="G41" s="28">
        <f>-SUM('Raw FS'!J56:J57)</f>
        <v>19854</v>
      </c>
      <c r="H41" s="28">
        <f>-SUM('Raw FS'!K56:K57)</f>
        <v>14938</v>
      </c>
      <c r="I41" s="28">
        <f>-SUM('Raw FS'!L56:L57)</f>
        <v>18945</v>
      </c>
      <c r="J41" s="28">
        <f>-SUM('Raw FS'!M56:M57)</f>
        <v>31183</v>
      </c>
      <c r="K41" s="28">
        <f>-SUM('Raw FS'!N56:N57)</f>
        <v>37068</v>
      </c>
    </row>
    <row r="42" spans="1:20" x14ac:dyDescent="0.3">
      <c r="B42" t="s">
        <v>388</v>
      </c>
      <c r="H42">
        <f>H17-G17</f>
        <v>8259</v>
      </c>
      <c r="I42">
        <f t="shared" ref="I42:K42" si="5">I17-H17</f>
        <v>837</v>
      </c>
      <c r="J42">
        <f t="shared" si="5"/>
        <v>-2366</v>
      </c>
      <c r="K42">
        <f t="shared" si="5"/>
        <v>-38296</v>
      </c>
    </row>
    <row r="44" spans="1:20" x14ac:dyDescent="0.3">
      <c r="B44" t="s">
        <v>383</v>
      </c>
      <c r="G44">
        <f>G34</f>
        <v>8740.7199999999921</v>
      </c>
      <c r="H44">
        <f t="shared" ref="H44:K44" si="6">H34</f>
        <v>-115.59999999998763</v>
      </c>
      <c r="I44">
        <f t="shared" si="6"/>
        <v>6955.4399999999623</v>
      </c>
      <c r="J44">
        <f t="shared" si="6"/>
        <v>32268.210000000043</v>
      </c>
      <c r="K44">
        <f t="shared" si="6"/>
        <v>39761</v>
      </c>
    </row>
    <row r="45" spans="1:20" x14ac:dyDescent="0.3">
      <c r="B45" t="s">
        <v>389</v>
      </c>
      <c r="G45" s="160">
        <v>0.25</v>
      </c>
      <c r="H45" s="160">
        <v>0.25</v>
      </c>
      <c r="I45" s="160">
        <v>0.25</v>
      </c>
      <c r="J45" s="160">
        <v>0.25</v>
      </c>
      <c r="K45" s="160">
        <v>0.25</v>
      </c>
    </row>
    <row r="46" spans="1:20" x14ac:dyDescent="0.3">
      <c r="B46" t="s">
        <v>390</v>
      </c>
      <c r="G46">
        <f>G44*(1-G45)</f>
        <v>6555.5399999999936</v>
      </c>
      <c r="H46">
        <f t="shared" ref="H46:K46" si="7">H44*(1-H45)</f>
        <v>-86.699999999990723</v>
      </c>
      <c r="I46">
        <f t="shared" si="7"/>
        <v>5216.5799999999717</v>
      </c>
      <c r="J46">
        <f t="shared" si="7"/>
        <v>24201.15750000003</v>
      </c>
      <c r="K46">
        <f t="shared" si="7"/>
        <v>29820.75</v>
      </c>
    </row>
    <row r="48" spans="1:20" x14ac:dyDescent="0.3">
      <c r="B48" t="s">
        <v>391</v>
      </c>
      <c r="H48" s="28">
        <f>SUM(H41:H42)</f>
        <v>23197</v>
      </c>
      <c r="I48" s="28">
        <f t="shared" ref="I48:K48" si="8">SUM(I41:I42)</f>
        <v>19782</v>
      </c>
      <c r="J48" s="28">
        <f t="shared" si="8"/>
        <v>28817</v>
      </c>
      <c r="K48" s="28">
        <f t="shared" si="8"/>
        <v>-1228</v>
      </c>
    </row>
  </sheetData>
  <pageMargins left="0.7" right="0.7" top="0.75" bottom="0.75" header="0.3" footer="0.3"/>
  <ignoredErrors>
    <ignoredError sqref="G41:K41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D239-E8FA-4943-B039-3C9342C4BEDE}">
  <dimension ref="B2:N77"/>
  <sheetViews>
    <sheetView showGridLines="0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J56" sqref="J56"/>
    </sheetView>
  </sheetViews>
  <sheetFormatPr defaultRowHeight="14.4" x14ac:dyDescent="0.3"/>
  <cols>
    <col min="1" max="1" width="1.88671875" customWidth="1"/>
    <col min="2" max="2" width="25.77734375" bestFit="1" customWidth="1"/>
    <col min="3" max="14" width="10" bestFit="1" customWidth="1"/>
  </cols>
  <sheetData>
    <row r="2" spans="2:14" x14ac:dyDescent="0.3">
      <c r="B2" s="136" t="s">
        <v>344</v>
      </c>
      <c r="C2" s="137">
        <v>41699</v>
      </c>
      <c r="D2" s="137">
        <v>42064</v>
      </c>
      <c r="E2" s="137">
        <v>42430</v>
      </c>
      <c r="F2" s="137">
        <v>42795</v>
      </c>
      <c r="G2" s="137">
        <v>43160</v>
      </c>
      <c r="H2" s="137">
        <v>43525</v>
      </c>
      <c r="I2" s="137">
        <v>43891</v>
      </c>
      <c r="J2" s="137">
        <v>44256</v>
      </c>
      <c r="K2" s="137">
        <v>44621</v>
      </c>
      <c r="L2" s="137">
        <v>44986</v>
      </c>
      <c r="M2" s="137">
        <v>45352</v>
      </c>
      <c r="N2" s="137">
        <v>45717</v>
      </c>
    </row>
    <row r="3" spans="2:14" x14ac:dyDescent="0.3">
      <c r="B3" s="138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</row>
    <row r="4" spans="2:14" x14ac:dyDescent="0.3">
      <c r="B4" s="2" t="s">
        <v>345</v>
      </c>
      <c r="C4" s="142">
        <v>644</v>
      </c>
      <c r="D4" s="142">
        <v>644</v>
      </c>
      <c r="E4" s="142">
        <v>679</v>
      </c>
      <c r="F4" s="142">
        <v>679</v>
      </c>
      <c r="G4" s="142">
        <v>679</v>
      </c>
      <c r="H4" s="142">
        <v>679</v>
      </c>
      <c r="I4" s="142">
        <v>720</v>
      </c>
      <c r="J4" s="142">
        <v>766</v>
      </c>
      <c r="K4" s="142">
        <v>766</v>
      </c>
      <c r="L4" s="142">
        <v>766</v>
      </c>
      <c r="M4" s="142">
        <v>767</v>
      </c>
      <c r="N4" s="142">
        <v>736</v>
      </c>
    </row>
    <row r="5" spans="2:14" x14ac:dyDescent="0.3">
      <c r="B5" s="2" t="s">
        <v>12</v>
      </c>
      <c r="C5" s="142">
        <v>64960</v>
      </c>
      <c r="D5" s="142">
        <v>55618</v>
      </c>
      <c r="E5" s="142">
        <v>78273</v>
      </c>
      <c r="F5" s="142">
        <v>57383</v>
      </c>
      <c r="G5" s="142">
        <v>94749</v>
      </c>
      <c r="H5" s="142">
        <v>59500</v>
      </c>
      <c r="I5" s="142">
        <v>62359</v>
      </c>
      <c r="J5" s="142">
        <v>54481</v>
      </c>
      <c r="K5" s="142">
        <v>43795</v>
      </c>
      <c r="L5" s="142">
        <v>44556</v>
      </c>
      <c r="M5" s="142">
        <v>84151</v>
      </c>
      <c r="N5" s="142">
        <v>115408</v>
      </c>
    </row>
    <row r="6" spans="2:14" x14ac:dyDescent="0.3">
      <c r="B6" s="2" t="s">
        <v>346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</row>
    <row r="7" spans="2:14" x14ac:dyDescent="0.3">
      <c r="B7" t="s">
        <v>347</v>
      </c>
      <c r="C7" s="142">
        <v>45259</v>
      </c>
      <c r="D7" s="142">
        <v>56071</v>
      </c>
      <c r="E7" s="142">
        <v>50510</v>
      </c>
      <c r="F7" s="142">
        <v>60629</v>
      </c>
      <c r="G7" s="142">
        <v>61200</v>
      </c>
      <c r="H7" s="142">
        <v>70818</v>
      </c>
      <c r="I7" s="142">
        <v>83316</v>
      </c>
      <c r="J7" s="142">
        <v>93113</v>
      </c>
      <c r="K7" s="142">
        <v>97759</v>
      </c>
      <c r="L7" s="142">
        <v>88696</v>
      </c>
      <c r="M7" s="142">
        <v>62149</v>
      </c>
      <c r="N7" s="142">
        <v>40217</v>
      </c>
    </row>
    <row r="8" spans="2:14" x14ac:dyDescent="0.3">
      <c r="B8" t="s">
        <v>348</v>
      </c>
      <c r="C8" s="142">
        <v>9696</v>
      </c>
      <c r="D8" s="142">
        <v>13140</v>
      </c>
      <c r="E8" s="142">
        <v>11451</v>
      </c>
      <c r="F8" s="142">
        <v>13860</v>
      </c>
      <c r="G8" s="142">
        <v>16795</v>
      </c>
      <c r="H8" s="142">
        <v>20150</v>
      </c>
      <c r="I8" s="142">
        <v>16363</v>
      </c>
      <c r="J8" s="142">
        <v>42792</v>
      </c>
      <c r="K8" s="142">
        <v>41918</v>
      </c>
      <c r="L8" s="142">
        <v>36965</v>
      </c>
      <c r="M8" s="142">
        <v>36352</v>
      </c>
      <c r="N8" s="142">
        <v>22282</v>
      </c>
    </row>
    <row r="9" spans="2:14" x14ac:dyDescent="0.3">
      <c r="B9" t="s">
        <v>349</v>
      </c>
      <c r="C9" s="142">
        <v>0</v>
      </c>
      <c r="D9" s="142">
        <v>0</v>
      </c>
      <c r="E9" s="142">
        <v>0</v>
      </c>
      <c r="F9" s="142">
        <v>0</v>
      </c>
      <c r="G9" s="142">
        <v>0</v>
      </c>
      <c r="H9" s="142">
        <v>173</v>
      </c>
      <c r="I9" s="142">
        <v>5977</v>
      </c>
      <c r="J9" s="142">
        <v>6226</v>
      </c>
      <c r="K9" s="142">
        <v>6772</v>
      </c>
      <c r="L9" s="142">
        <v>8453</v>
      </c>
      <c r="M9" s="142">
        <v>8763</v>
      </c>
      <c r="N9" s="142">
        <v>9041</v>
      </c>
    </row>
    <row r="10" spans="2:14" x14ac:dyDescent="0.3">
      <c r="B10" t="s">
        <v>350</v>
      </c>
      <c r="C10" s="142">
        <v>5688</v>
      </c>
      <c r="D10" s="142">
        <v>4399</v>
      </c>
      <c r="E10" s="142">
        <v>7399</v>
      </c>
      <c r="F10" s="142">
        <v>4115</v>
      </c>
      <c r="G10" s="142">
        <v>10956</v>
      </c>
      <c r="H10" s="142">
        <v>15034</v>
      </c>
      <c r="I10" s="142">
        <v>19132</v>
      </c>
      <c r="J10" s="142">
        <v>0</v>
      </c>
      <c r="K10" s="142">
        <v>0</v>
      </c>
      <c r="L10" s="142">
        <v>0</v>
      </c>
      <c r="M10" s="142">
        <v>0</v>
      </c>
      <c r="N10" s="142">
        <v>0</v>
      </c>
    </row>
    <row r="11" spans="2:14" x14ac:dyDescent="0.3">
      <c r="B11" s="2" t="s">
        <v>351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</row>
    <row r="12" spans="2:14" x14ac:dyDescent="0.3">
      <c r="B12" t="s">
        <v>352</v>
      </c>
      <c r="C12" s="142">
        <v>421</v>
      </c>
      <c r="D12" s="142">
        <v>433</v>
      </c>
      <c r="E12" s="142">
        <v>433</v>
      </c>
      <c r="F12" s="142">
        <v>453</v>
      </c>
      <c r="G12" s="142">
        <v>525</v>
      </c>
      <c r="H12" s="142">
        <v>523</v>
      </c>
      <c r="I12" s="142">
        <v>814</v>
      </c>
      <c r="J12" s="142">
        <v>1573</v>
      </c>
      <c r="K12" s="142">
        <v>4271</v>
      </c>
      <c r="L12" s="142">
        <v>7278</v>
      </c>
      <c r="M12" s="142">
        <v>8176</v>
      </c>
      <c r="N12" s="142">
        <v>6610</v>
      </c>
    </row>
    <row r="13" spans="2:14" x14ac:dyDescent="0.3">
      <c r="B13" t="s">
        <v>353</v>
      </c>
      <c r="C13" s="142">
        <v>57316</v>
      </c>
      <c r="D13" s="142">
        <v>57407</v>
      </c>
      <c r="E13" s="142">
        <v>61562</v>
      </c>
      <c r="F13" s="142">
        <v>62533</v>
      </c>
      <c r="G13" s="142">
        <v>76940</v>
      </c>
      <c r="H13" s="142">
        <v>71691</v>
      </c>
      <c r="I13" s="142">
        <v>66398</v>
      </c>
      <c r="J13" s="142">
        <v>76040</v>
      </c>
      <c r="K13" s="142">
        <v>69750</v>
      </c>
      <c r="L13" s="142">
        <v>79252</v>
      </c>
      <c r="M13" s="142">
        <v>93978</v>
      </c>
      <c r="N13" s="142">
        <v>97368</v>
      </c>
    </row>
    <row r="14" spans="2:14" x14ac:dyDescent="0.3">
      <c r="B14" t="s">
        <v>354</v>
      </c>
      <c r="C14" s="142">
        <v>3119</v>
      </c>
      <c r="D14" s="142">
        <v>2289</v>
      </c>
      <c r="E14" s="142">
        <v>2165</v>
      </c>
      <c r="F14" s="142">
        <v>1711</v>
      </c>
      <c r="G14" s="142">
        <v>0</v>
      </c>
      <c r="H14" s="142">
        <v>0</v>
      </c>
      <c r="I14" s="142">
        <v>0</v>
      </c>
      <c r="J14" s="142">
        <v>0</v>
      </c>
      <c r="K14" s="142">
        <v>0</v>
      </c>
      <c r="L14" s="142">
        <v>0</v>
      </c>
      <c r="M14" s="142">
        <v>0</v>
      </c>
      <c r="N14" s="142">
        <v>0</v>
      </c>
    </row>
    <row r="15" spans="2:14" x14ac:dyDescent="0.3">
      <c r="B15" t="s">
        <v>355</v>
      </c>
      <c r="C15" s="143">
        <v>31325</v>
      </c>
      <c r="D15" s="143">
        <v>47313</v>
      </c>
      <c r="E15" s="143">
        <v>50712</v>
      </c>
      <c r="F15" s="143">
        <v>71218</v>
      </c>
      <c r="G15" s="143">
        <v>65349</v>
      </c>
      <c r="H15" s="143">
        <v>67135</v>
      </c>
      <c r="I15" s="143">
        <v>65101</v>
      </c>
      <c r="J15" s="143">
        <v>66579</v>
      </c>
      <c r="K15" s="143">
        <v>64030</v>
      </c>
      <c r="L15" s="143">
        <v>68710</v>
      </c>
      <c r="M15" s="143">
        <v>75185</v>
      </c>
      <c r="N15" s="143">
        <v>85311</v>
      </c>
    </row>
    <row r="16" spans="2:14" x14ac:dyDescent="0.3">
      <c r="B16" s="140" t="s">
        <v>82</v>
      </c>
      <c r="C16" s="144">
        <v>218426</v>
      </c>
      <c r="D16" s="144">
        <v>237315</v>
      </c>
      <c r="E16" s="144">
        <v>263184</v>
      </c>
      <c r="F16" s="144">
        <v>272580</v>
      </c>
      <c r="G16" s="144">
        <v>327192</v>
      </c>
      <c r="H16" s="144">
        <v>305703</v>
      </c>
      <c r="I16" s="144">
        <v>320179</v>
      </c>
      <c r="J16" s="144">
        <v>341570</v>
      </c>
      <c r="K16" s="144">
        <v>329061</v>
      </c>
      <c r="L16" s="144">
        <v>334674</v>
      </c>
      <c r="M16" s="144">
        <v>369521</v>
      </c>
      <c r="N16" s="144">
        <v>376973</v>
      </c>
    </row>
    <row r="17" spans="2:14" x14ac:dyDescent="0.3"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3">
      <c r="B18" s="2" t="s">
        <v>356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3">
      <c r="B19" t="s">
        <v>357</v>
      </c>
      <c r="C19" s="142">
        <v>2296</v>
      </c>
      <c r="D19" s="142">
        <v>2513</v>
      </c>
      <c r="E19" s="142">
        <v>7185</v>
      </c>
      <c r="F19" s="142">
        <v>6762</v>
      </c>
      <c r="G19" s="142">
        <v>7339</v>
      </c>
      <c r="H19" s="142">
        <v>7286</v>
      </c>
      <c r="I19" s="142">
        <v>7675</v>
      </c>
      <c r="J19" s="142">
        <v>7819</v>
      </c>
      <c r="K19" s="142">
        <v>7760</v>
      </c>
      <c r="L19" s="142">
        <v>8045</v>
      </c>
      <c r="M19" s="142">
        <v>7996</v>
      </c>
      <c r="N19" s="142">
        <v>7900</v>
      </c>
    </row>
    <row r="20" spans="2:14" x14ac:dyDescent="0.3">
      <c r="B20" t="s">
        <v>358</v>
      </c>
      <c r="C20" s="142">
        <v>11010</v>
      </c>
      <c r="D20" s="142">
        <v>13396</v>
      </c>
      <c r="E20" s="142">
        <v>12343</v>
      </c>
      <c r="F20" s="142">
        <v>12164</v>
      </c>
      <c r="G20" s="142">
        <v>16552</v>
      </c>
      <c r="H20" s="142">
        <v>22938</v>
      </c>
      <c r="I20" s="142">
        <v>32665</v>
      </c>
      <c r="J20" s="142">
        <v>35537</v>
      </c>
      <c r="K20" s="142">
        <v>36466</v>
      </c>
      <c r="L20" s="142">
        <v>38674</v>
      </c>
      <c r="M20" s="142">
        <v>40583</v>
      </c>
      <c r="N20" s="142">
        <v>44662</v>
      </c>
    </row>
    <row r="21" spans="2:14" x14ac:dyDescent="0.3">
      <c r="B21" t="s">
        <v>359</v>
      </c>
      <c r="C21" s="142">
        <v>79505</v>
      </c>
      <c r="D21" s="142">
        <v>88943</v>
      </c>
      <c r="E21" s="142">
        <v>80063</v>
      </c>
      <c r="F21" s="142">
        <v>79976</v>
      </c>
      <c r="G21" s="142">
        <v>100226</v>
      </c>
      <c r="H21" s="142">
        <v>109415</v>
      </c>
      <c r="I21" s="142">
        <v>124158</v>
      </c>
      <c r="J21" s="142">
        <v>138868</v>
      </c>
      <c r="K21" s="142">
        <v>148585</v>
      </c>
      <c r="L21" s="142">
        <v>153672</v>
      </c>
      <c r="M21" s="142">
        <v>151877</v>
      </c>
      <c r="N21" s="142">
        <v>155939</v>
      </c>
    </row>
    <row r="22" spans="2:14" x14ac:dyDescent="0.3">
      <c r="B22" t="s">
        <v>360</v>
      </c>
      <c r="C22" s="142">
        <v>0</v>
      </c>
      <c r="D22" s="142">
        <v>482</v>
      </c>
      <c r="E22" s="142">
        <v>498</v>
      </c>
      <c r="F22" s="142">
        <v>0</v>
      </c>
      <c r="G22" s="142">
        <v>0</v>
      </c>
      <c r="H22" s="142">
        <v>0</v>
      </c>
      <c r="I22" s="142">
        <v>0</v>
      </c>
      <c r="J22" s="142">
        <v>0</v>
      </c>
      <c r="K22" s="142">
        <v>0</v>
      </c>
      <c r="L22" s="142">
        <v>0</v>
      </c>
      <c r="M22" s="142">
        <v>0</v>
      </c>
      <c r="N22" s="142">
        <v>0</v>
      </c>
    </row>
    <row r="23" spans="2:14" x14ac:dyDescent="0.3">
      <c r="B23" t="s">
        <v>361</v>
      </c>
      <c r="C23" s="142">
        <v>1126</v>
      </c>
      <c r="D23" s="142">
        <v>1364</v>
      </c>
      <c r="E23" s="142">
        <v>1634</v>
      </c>
      <c r="F23" s="142">
        <v>1767</v>
      </c>
      <c r="G23" s="142">
        <v>1943</v>
      </c>
      <c r="H23" s="142">
        <v>2335</v>
      </c>
      <c r="I23" s="142">
        <v>3054</v>
      </c>
      <c r="J23" s="142">
        <v>3172</v>
      </c>
      <c r="K23" s="142">
        <v>3383</v>
      </c>
      <c r="L23" s="142">
        <v>3499</v>
      </c>
      <c r="M23" s="142">
        <v>3667</v>
      </c>
      <c r="N23" s="142">
        <v>3879</v>
      </c>
    </row>
    <row r="24" spans="2:14" x14ac:dyDescent="0.3">
      <c r="B24" t="s">
        <v>362</v>
      </c>
      <c r="C24" s="142">
        <v>1011</v>
      </c>
      <c r="D24" s="142">
        <v>1149</v>
      </c>
      <c r="E24" s="142">
        <v>1241</v>
      </c>
      <c r="F24" s="142">
        <v>1401</v>
      </c>
      <c r="G24" s="142">
        <v>1430</v>
      </c>
      <c r="H24" s="142">
        <v>1626</v>
      </c>
      <c r="I24" s="142">
        <v>1890</v>
      </c>
      <c r="J24" s="142">
        <v>1956</v>
      </c>
      <c r="K24" s="142">
        <v>1984</v>
      </c>
      <c r="L24" s="142">
        <v>2084</v>
      </c>
      <c r="M24" s="142">
        <v>2029</v>
      </c>
      <c r="N24" s="142">
        <v>1970</v>
      </c>
    </row>
    <row r="25" spans="2:14" x14ac:dyDescent="0.3">
      <c r="B25" t="s">
        <v>363</v>
      </c>
      <c r="C25" s="142">
        <v>270</v>
      </c>
      <c r="D25" s="142">
        <v>280</v>
      </c>
      <c r="E25" s="142">
        <v>280</v>
      </c>
      <c r="F25" s="142">
        <v>291</v>
      </c>
      <c r="G25" s="142">
        <v>353</v>
      </c>
      <c r="H25" s="142">
        <v>387</v>
      </c>
      <c r="I25" s="142">
        <v>601</v>
      </c>
      <c r="J25" s="142">
        <v>845</v>
      </c>
      <c r="K25" s="142">
        <v>725</v>
      </c>
      <c r="L25" s="142">
        <v>788</v>
      </c>
      <c r="M25" s="142">
        <v>956</v>
      </c>
      <c r="N25" s="142">
        <v>1151</v>
      </c>
    </row>
    <row r="26" spans="2:14" x14ac:dyDescent="0.3">
      <c r="B26" t="s">
        <v>364</v>
      </c>
      <c r="C26" s="142">
        <v>8994</v>
      </c>
      <c r="D26" s="142">
        <v>9580</v>
      </c>
      <c r="E26" s="142">
        <v>58951</v>
      </c>
      <c r="F26" s="142">
        <v>54932</v>
      </c>
      <c r="G26" s="142">
        <v>77870</v>
      </c>
      <c r="H26" s="142">
        <v>80480</v>
      </c>
      <c r="I26" s="142">
        <v>91157</v>
      </c>
      <c r="J26" s="142">
        <v>114809</v>
      </c>
      <c r="K26" s="142">
        <v>114323</v>
      </c>
      <c r="L26" s="142">
        <v>112538</v>
      </c>
      <c r="M26" s="142">
        <v>116714</v>
      </c>
      <c r="N26" s="142">
        <v>93455</v>
      </c>
    </row>
    <row r="27" spans="2:14" x14ac:dyDescent="0.3">
      <c r="B27" t="s">
        <v>365</v>
      </c>
      <c r="C27" s="142">
        <v>33694</v>
      </c>
      <c r="D27" s="142">
        <v>45196</v>
      </c>
      <c r="E27" s="142">
        <v>6746</v>
      </c>
      <c r="F27" s="142">
        <v>6219</v>
      </c>
      <c r="G27" s="142">
        <v>7497</v>
      </c>
      <c r="H27" s="142">
        <v>8049</v>
      </c>
      <c r="I27" s="142">
        <v>9380</v>
      </c>
      <c r="J27" s="142">
        <v>10686</v>
      </c>
      <c r="K27" s="142">
        <v>10870</v>
      </c>
      <c r="L27" s="142">
        <v>11841</v>
      </c>
      <c r="M27" s="142">
        <v>10657</v>
      </c>
      <c r="N27" s="142">
        <v>11044</v>
      </c>
    </row>
    <row r="28" spans="2:14" x14ac:dyDescent="0.3">
      <c r="B28" s="2" t="s">
        <v>366</v>
      </c>
      <c r="C28" s="145">
        <v>137907</v>
      </c>
      <c r="D28" s="145">
        <v>162904</v>
      </c>
      <c r="E28" s="145">
        <v>168941</v>
      </c>
      <c r="F28" s="145">
        <v>163512</v>
      </c>
      <c r="G28" s="145">
        <v>213209</v>
      </c>
      <c r="H28" s="145">
        <v>232517</v>
      </c>
      <c r="I28" s="145">
        <v>270579</v>
      </c>
      <c r="J28" s="145">
        <v>313692</v>
      </c>
      <c r="K28" s="145">
        <v>324096</v>
      </c>
      <c r="L28" s="145">
        <v>331141</v>
      </c>
      <c r="M28" s="145">
        <v>334479</v>
      </c>
      <c r="N28" s="145">
        <v>320000</v>
      </c>
    </row>
    <row r="29" spans="2:14" x14ac:dyDescent="0.3">
      <c r="B29" s="2" t="s">
        <v>367</v>
      </c>
      <c r="C29" s="143">
        <v>68815</v>
      </c>
      <c r="D29" s="143">
        <v>74424</v>
      </c>
      <c r="E29" s="143">
        <v>61709</v>
      </c>
      <c r="F29" s="143">
        <v>67568</v>
      </c>
      <c r="G29" s="143">
        <v>91795</v>
      </c>
      <c r="H29" s="143">
        <v>121283</v>
      </c>
      <c r="I29" s="143">
        <v>143471</v>
      </c>
      <c r="J29" s="143">
        <v>174985</v>
      </c>
      <c r="K29" s="143">
        <v>185241</v>
      </c>
      <c r="L29" s="143">
        <v>199062</v>
      </c>
      <c r="M29" s="143">
        <v>213194</v>
      </c>
      <c r="N29" s="143">
        <v>204303</v>
      </c>
    </row>
    <row r="30" spans="2:14" x14ac:dyDescent="0.3">
      <c r="B30" s="146" t="s">
        <v>14</v>
      </c>
      <c r="C30" s="147">
        <f>C28-C29</f>
        <v>69092</v>
      </c>
      <c r="D30" s="147">
        <f t="shared" ref="D30:N30" si="0">D28-D29</f>
        <v>88480</v>
      </c>
      <c r="E30" s="147">
        <f t="shared" si="0"/>
        <v>107232</v>
      </c>
      <c r="F30" s="147">
        <f t="shared" si="0"/>
        <v>95944</v>
      </c>
      <c r="G30" s="147">
        <f t="shared" si="0"/>
        <v>121414</v>
      </c>
      <c r="H30" s="147">
        <f t="shared" si="0"/>
        <v>111234</v>
      </c>
      <c r="I30" s="147">
        <f t="shared" si="0"/>
        <v>127108</v>
      </c>
      <c r="J30" s="147">
        <f t="shared" si="0"/>
        <v>138707</v>
      </c>
      <c r="K30" s="147">
        <f t="shared" si="0"/>
        <v>138855</v>
      </c>
      <c r="L30" s="147">
        <f t="shared" si="0"/>
        <v>132079</v>
      </c>
      <c r="M30" s="147">
        <f t="shared" si="0"/>
        <v>121285</v>
      </c>
      <c r="N30" s="147">
        <f t="shared" si="0"/>
        <v>115697</v>
      </c>
    </row>
    <row r="31" spans="2:14" x14ac:dyDescent="0.3">
      <c r="B31" s="2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</row>
    <row r="32" spans="2:14" x14ac:dyDescent="0.3">
      <c r="B32" s="2" t="s">
        <v>368</v>
      </c>
      <c r="C32" s="142">
        <v>33263</v>
      </c>
      <c r="D32" s="142">
        <v>28640</v>
      </c>
      <c r="E32" s="142">
        <v>25919</v>
      </c>
      <c r="F32" s="142">
        <v>33699</v>
      </c>
      <c r="G32" s="142">
        <v>40034</v>
      </c>
      <c r="H32" s="142">
        <v>31884</v>
      </c>
      <c r="I32" s="142">
        <v>35622</v>
      </c>
      <c r="J32" s="142">
        <v>20964</v>
      </c>
      <c r="K32" s="142">
        <v>10251</v>
      </c>
      <c r="L32" s="142">
        <v>14274</v>
      </c>
      <c r="M32" s="142">
        <v>35698</v>
      </c>
      <c r="N32" s="142">
        <v>65806</v>
      </c>
    </row>
    <row r="33" spans="2:14" x14ac:dyDescent="0.3">
      <c r="B33" s="2" t="s">
        <v>16</v>
      </c>
      <c r="C33" s="142">
        <v>10687</v>
      </c>
      <c r="D33" s="142">
        <v>15337</v>
      </c>
      <c r="E33" s="142">
        <v>23767</v>
      </c>
      <c r="F33" s="142">
        <v>20338</v>
      </c>
      <c r="G33" s="142">
        <v>20813</v>
      </c>
      <c r="H33" s="142">
        <v>15771</v>
      </c>
      <c r="I33" s="142">
        <v>16308</v>
      </c>
      <c r="J33" s="142">
        <v>24620</v>
      </c>
      <c r="K33" s="142">
        <v>29380</v>
      </c>
      <c r="L33" s="142">
        <v>26379</v>
      </c>
      <c r="M33" s="142">
        <v>22971</v>
      </c>
      <c r="N33" s="142">
        <v>35656</v>
      </c>
    </row>
    <row r="34" spans="2:14" x14ac:dyDescent="0.3">
      <c r="B34" s="2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</row>
    <row r="35" spans="2:14" x14ac:dyDescent="0.3">
      <c r="B35" s="2" t="s">
        <v>369</v>
      </c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</row>
    <row r="36" spans="2:14" x14ac:dyDescent="0.3">
      <c r="B36" t="s">
        <v>370</v>
      </c>
      <c r="C36" s="142">
        <v>27271</v>
      </c>
      <c r="D36" s="142">
        <v>29272</v>
      </c>
      <c r="E36" s="142">
        <v>32656</v>
      </c>
      <c r="F36" s="142">
        <v>35085</v>
      </c>
      <c r="G36" s="142">
        <v>42138</v>
      </c>
      <c r="H36" s="142">
        <v>39014</v>
      </c>
      <c r="I36" s="142">
        <v>37457</v>
      </c>
      <c r="J36" s="142">
        <v>36089</v>
      </c>
      <c r="K36" s="142">
        <v>35240</v>
      </c>
      <c r="L36" s="142">
        <v>40755</v>
      </c>
      <c r="M36" s="142">
        <v>47788</v>
      </c>
      <c r="N36" s="142">
        <v>47269</v>
      </c>
    </row>
    <row r="37" spans="2:14" x14ac:dyDescent="0.3">
      <c r="B37" t="s">
        <v>371</v>
      </c>
      <c r="C37" s="142">
        <v>10574</v>
      </c>
      <c r="D37" s="142">
        <v>12579</v>
      </c>
      <c r="E37" s="142">
        <v>13571</v>
      </c>
      <c r="F37" s="142">
        <v>14076</v>
      </c>
      <c r="G37" s="142">
        <v>19893</v>
      </c>
      <c r="H37" s="142">
        <v>18996</v>
      </c>
      <c r="I37" s="142">
        <v>11173</v>
      </c>
      <c r="J37" s="142">
        <v>12679</v>
      </c>
      <c r="K37" s="142">
        <v>12442</v>
      </c>
      <c r="L37" s="142">
        <v>15738</v>
      </c>
      <c r="M37" s="142">
        <v>16952</v>
      </c>
      <c r="N37" s="142">
        <v>13248</v>
      </c>
    </row>
    <row r="38" spans="2:14" x14ac:dyDescent="0.3">
      <c r="B38" t="s">
        <v>372</v>
      </c>
      <c r="C38" s="142">
        <v>29712</v>
      </c>
      <c r="D38" s="142">
        <v>32116</v>
      </c>
      <c r="E38" s="142">
        <v>30460</v>
      </c>
      <c r="F38" s="142">
        <v>36078</v>
      </c>
      <c r="G38" s="142">
        <v>34614</v>
      </c>
      <c r="H38" s="142">
        <v>32649</v>
      </c>
      <c r="I38" s="142">
        <v>33727</v>
      </c>
      <c r="J38" s="142">
        <v>46792</v>
      </c>
      <c r="K38" s="142">
        <v>40669</v>
      </c>
      <c r="L38" s="142">
        <v>37016</v>
      </c>
      <c r="M38" s="142">
        <v>45807</v>
      </c>
      <c r="N38" s="142">
        <v>40834</v>
      </c>
    </row>
    <row r="39" spans="2:14" x14ac:dyDescent="0.3">
      <c r="B39" t="s">
        <v>373</v>
      </c>
      <c r="C39" s="142">
        <v>9953</v>
      </c>
      <c r="D39" s="142">
        <v>6628</v>
      </c>
      <c r="E39" s="142">
        <v>2072</v>
      </c>
      <c r="F39" s="142">
        <v>1816</v>
      </c>
      <c r="G39" s="142">
        <v>4066</v>
      </c>
      <c r="H39" s="142">
        <v>3620</v>
      </c>
      <c r="I39" s="142">
        <v>3353</v>
      </c>
      <c r="J39" s="142">
        <v>4520</v>
      </c>
      <c r="K39" s="142">
        <v>4583</v>
      </c>
      <c r="L39" s="142">
        <v>-4029</v>
      </c>
      <c r="M39" s="142">
        <v>-1743</v>
      </c>
      <c r="N39" s="142">
        <v>7552</v>
      </c>
    </row>
    <row r="40" spans="2:14" x14ac:dyDescent="0.3">
      <c r="B40" t="s">
        <v>374</v>
      </c>
      <c r="C40" s="143">
        <v>27876</v>
      </c>
      <c r="D40" s="143">
        <v>24263</v>
      </c>
      <c r="E40" s="143">
        <v>27508</v>
      </c>
      <c r="F40" s="143">
        <v>35544</v>
      </c>
      <c r="G40" s="143">
        <v>44221</v>
      </c>
      <c r="H40" s="143">
        <v>52535</v>
      </c>
      <c r="I40" s="143">
        <v>55432</v>
      </c>
      <c r="J40" s="143">
        <v>57198</v>
      </c>
      <c r="K40" s="143">
        <v>57641</v>
      </c>
      <c r="L40" s="143">
        <v>72461</v>
      </c>
      <c r="M40" s="143">
        <v>80763</v>
      </c>
      <c r="N40" s="143">
        <v>50911</v>
      </c>
    </row>
    <row r="41" spans="2:14" x14ac:dyDescent="0.3">
      <c r="B41" s="140" t="s">
        <v>86</v>
      </c>
      <c r="C41" s="144">
        <v>218426</v>
      </c>
      <c r="D41" s="144">
        <v>237315</v>
      </c>
      <c r="E41" s="144">
        <v>263184</v>
      </c>
      <c r="F41" s="144">
        <v>272580</v>
      </c>
      <c r="G41" s="144">
        <v>327192</v>
      </c>
      <c r="H41" s="144">
        <v>305703</v>
      </c>
      <c r="I41" s="144">
        <v>320179</v>
      </c>
      <c r="J41" s="144">
        <v>341570</v>
      </c>
      <c r="K41" s="144">
        <v>329061</v>
      </c>
      <c r="L41" s="144">
        <v>334674</v>
      </c>
      <c r="M41" s="144">
        <v>369521</v>
      </c>
      <c r="N41" s="144">
        <v>376973</v>
      </c>
    </row>
    <row r="44" spans="2:14" x14ac:dyDescent="0.3">
      <c r="C44" s="27">
        <v>41699</v>
      </c>
      <c r="D44" s="27">
        <v>42064</v>
      </c>
      <c r="E44" s="27">
        <v>42430</v>
      </c>
      <c r="F44" s="27">
        <v>42795</v>
      </c>
      <c r="G44" s="27">
        <v>43160</v>
      </c>
      <c r="H44" s="27">
        <v>43525</v>
      </c>
      <c r="I44" s="27">
        <v>43891</v>
      </c>
      <c r="J44" s="27">
        <v>44256</v>
      </c>
      <c r="K44" s="27">
        <v>44621</v>
      </c>
      <c r="L44" s="27">
        <v>44986</v>
      </c>
      <c r="M44" s="27">
        <v>45352</v>
      </c>
      <c r="N44" s="27">
        <v>45717</v>
      </c>
    </row>
    <row r="45" spans="2:14" x14ac:dyDescent="0.3">
      <c r="B45" t="s">
        <v>115</v>
      </c>
      <c r="C45" s="28">
        <v>36151</v>
      </c>
      <c r="D45" s="28">
        <v>35531</v>
      </c>
      <c r="E45" s="28">
        <v>37900</v>
      </c>
      <c r="F45" s="28">
        <v>30199</v>
      </c>
      <c r="G45" s="28">
        <v>23857</v>
      </c>
      <c r="H45" s="28">
        <v>18891</v>
      </c>
      <c r="I45" s="28">
        <v>26633</v>
      </c>
      <c r="J45" s="28">
        <v>29001</v>
      </c>
      <c r="K45" s="28">
        <v>14283</v>
      </c>
      <c r="L45" s="28">
        <v>35388</v>
      </c>
      <c r="M45" s="28">
        <v>67915</v>
      </c>
      <c r="N45" s="28">
        <v>63102</v>
      </c>
    </row>
    <row r="46" spans="2:14" x14ac:dyDescent="0.3">
      <c r="B46" t="s">
        <v>90</v>
      </c>
      <c r="C46" s="28">
        <v>36303</v>
      </c>
      <c r="D46" s="28">
        <v>43397</v>
      </c>
      <c r="E46" s="28">
        <v>38626</v>
      </c>
      <c r="F46" s="28">
        <v>28840</v>
      </c>
      <c r="G46" s="28">
        <v>33312</v>
      </c>
      <c r="H46" s="28">
        <v>28771</v>
      </c>
      <c r="I46" s="28">
        <v>23352</v>
      </c>
      <c r="J46" s="28">
        <v>31198</v>
      </c>
      <c r="K46" s="28">
        <v>26943</v>
      </c>
      <c r="L46" s="28">
        <v>41694</v>
      </c>
      <c r="M46" s="28">
        <v>65106</v>
      </c>
      <c r="N46" s="28">
        <v>58937</v>
      </c>
    </row>
    <row r="47" spans="2:14" x14ac:dyDescent="0.3">
      <c r="B47" t="s">
        <v>43</v>
      </c>
      <c r="C47">
        <v>445</v>
      </c>
      <c r="D47" s="28">
        <v>-3179</v>
      </c>
      <c r="E47" s="28">
        <v>-2223</v>
      </c>
      <c r="F47" s="28">
        <v>-4152</v>
      </c>
      <c r="G47" s="28">
        <v>-10688</v>
      </c>
      <c r="H47" s="28">
        <v>-9109</v>
      </c>
      <c r="I47" s="28">
        <v>9950</v>
      </c>
      <c r="J47" s="28">
        <v>-5505</v>
      </c>
      <c r="K47">
        <v>185</v>
      </c>
      <c r="L47" s="28">
        <v>-2213</v>
      </c>
      <c r="M47" s="28">
        <v>-1876</v>
      </c>
      <c r="N47" s="28">
        <v>3573</v>
      </c>
    </row>
    <row r="48" spans="2:14" x14ac:dyDescent="0.3">
      <c r="B48" t="s">
        <v>30</v>
      </c>
      <c r="C48" s="28">
        <v>-2853</v>
      </c>
      <c r="D48" s="28">
        <v>-3692</v>
      </c>
      <c r="E48" s="28">
        <v>-5743</v>
      </c>
      <c r="F48" s="28">
        <v>-6621</v>
      </c>
      <c r="G48" s="28">
        <v>-3560</v>
      </c>
      <c r="H48" s="28">
        <v>2069</v>
      </c>
      <c r="I48" s="28">
        <v>2326</v>
      </c>
      <c r="J48" s="28">
        <v>3814</v>
      </c>
      <c r="K48">
        <v>472</v>
      </c>
      <c r="L48" s="28">
        <v>-5665</v>
      </c>
      <c r="M48" s="28">
        <v>-7265</v>
      </c>
      <c r="N48" s="28">
        <v>2127</v>
      </c>
    </row>
    <row r="49" spans="2:14" x14ac:dyDescent="0.3">
      <c r="B49" t="s">
        <v>91</v>
      </c>
      <c r="C49" s="28">
        <v>4694</v>
      </c>
      <c r="D49" s="28">
        <v>3598</v>
      </c>
      <c r="E49" s="28">
        <v>3947</v>
      </c>
      <c r="F49" s="28">
        <v>9301</v>
      </c>
      <c r="G49" s="28">
        <v>7320</v>
      </c>
      <c r="H49" s="28">
        <v>-4692</v>
      </c>
      <c r="I49" s="28">
        <v>-8085</v>
      </c>
      <c r="J49" s="28">
        <v>5748</v>
      </c>
      <c r="K49" s="28">
        <v>-7012</v>
      </c>
      <c r="L49" s="28">
        <v>6945</v>
      </c>
      <c r="M49" s="28">
        <v>13706</v>
      </c>
      <c r="N49" s="28">
        <v>1303</v>
      </c>
    </row>
    <row r="50" spans="2:14" x14ac:dyDescent="0.3">
      <c r="B50" t="s">
        <v>92</v>
      </c>
      <c r="C50">
        <v>0</v>
      </c>
      <c r="D50">
        <v>0</v>
      </c>
      <c r="E50">
        <v>-520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2:14" x14ac:dyDescent="0.3">
      <c r="B51" t="s">
        <v>93</v>
      </c>
      <c r="C51" s="28">
        <v>1870</v>
      </c>
      <c r="D51">
        <v>-398</v>
      </c>
      <c r="E51" s="28">
        <v>5852</v>
      </c>
      <c r="F51" s="28">
        <v>4727</v>
      </c>
      <c r="G51">
        <v>494</v>
      </c>
      <c r="H51" s="28">
        <v>4512</v>
      </c>
      <c r="I51">
        <v>875</v>
      </c>
      <c r="J51" s="28">
        <v>-4150</v>
      </c>
      <c r="K51" s="28">
        <v>-4396</v>
      </c>
      <c r="L51" s="28">
        <v>-2194</v>
      </c>
      <c r="M51" s="28">
        <v>2760</v>
      </c>
      <c r="N51" s="28">
        <v>1153</v>
      </c>
    </row>
    <row r="52" spans="2:14" x14ac:dyDescent="0.3">
      <c r="B52" t="s">
        <v>94</v>
      </c>
      <c r="C52" s="28">
        <v>4157</v>
      </c>
      <c r="D52" s="28">
        <v>-3672</v>
      </c>
      <c r="E52" s="28">
        <v>1313</v>
      </c>
      <c r="F52" s="28">
        <v>3254</v>
      </c>
      <c r="G52" s="28">
        <v>-6434</v>
      </c>
      <c r="H52" s="28">
        <v>-7221</v>
      </c>
      <c r="I52" s="28">
        <v>5065</v>
      </c>
      <c r="J52">
        <v>-93</v>
      </c>
      <c r="K52" s="28">
        <v>-10750</v>
      </c>
      <c r="L52" s="28">
        <v>-3127</v>
      </c>
      <c r="M52" s="28">
        <v>7325</v>
      </c>
      <c r="N52" s="28">
        <v>8156</v>
      </c>
    </row>
    <row r="53" spans="2:14" x14ac:dyDescent="0.3">
      <c r="B53" t="s">
        <v>95</v>
      </c>
      <c r="C53" s="28">
        <v>-4308</v>
      </c>
      <c r="D53" s="28">
        <v>-4194</v>
      </c>
      <c r="E53" s="28">
        <v>-2040</v>
      </c>
      <c r="F53" s="28">
        <v>-1895</v>
      </c>
      <c r="G53" s="28">
        <v>-3021</v>
      </c>
      <c r="H53" s="28">
        <v>-2659</v>
      </c>
      <c r="I53" s="28">
        <v>-1785</v>
      </c>
      <c r="J53" s="28">
        <v>-2105</v>
      </c>
      <c r="K53" s="28">
        <v>-1910</v>
      </c>
      <c r="L53" s="28">
        <v>-3179</v>
      </c>
      <c r="M53" s="28">
        <v>-4516</v>
      </c>
      <c r="N53" s="28">
        <v>-3991</v>
      </c>
    </row>
    <row r="54" spans="2:14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</row>
    <row r="55" spans="2:14" x14ac:dyDescent="0.3">
      <c r="B55" t="s">
        <v>116</v>
      </c>
      <c r="C55" s="28">
        <v>-27991</v>
      </c>
      <c r="D55" s="28">
        <v>-36232</v>
      </c>
      <c r="E55" s="28">
        <v>-36694</v>
      </c>
      <c r="F55" s="28">
        <v>-39571</v>
      </c>
      <c r="G55" s="28">
        <v>-25139</v>
      </c>
      <c r="H55" s="28">
        <v>-20878</v>
      </c>
      <c r="I55" s="28">
        <v>-33115</v>
      </c>
      <c r="J55" s="28">
        <v>-25672</v>
      </c>
      <c r="K55" s="28">
        <v>-4444</v>
      </c>
      <c r="L55" s="28">
        <v>-15417</v>
      </c>
      <c r="M55" s="28">
        <v>-22781</v>
      </c>
      <c r="N55" s="28">
        <v>-49982</v>
      </c>
    </row>
    <row r="56" spans="2:14" x14ac:dyDescent="0.3">
      <c r="B56" t="s">
        <v>96</v>
      </c>
      <c r="C56" s="28">
        <v>-26975</v>
      </c>
      <c r="D56" s="28">
        <v>-31962</v>
      </c>
      <c r="E56" s="28">
        <v>-31503</v>
      </c>
      <c r="F56" s="28">
        <v>-16072</v>
      </c>
      <c r="G56" s="28">
        <v>-35079</v>
      </c>
      <c r="H56" s="28">
        <v>-35304</v>
      </c>
      <c r="I56" s="28">
        <v>-29702</v>
      </c>
      <c r="J56" s="28">
        <v>-20205</v>
      </c>
      <c r="K56" s="28">
        <v>-15168</v>
      </c>
      <c r="L56" s="28">
        <v>-19230</v>
      </c>
      <c r="M56" s="28">
        <v>-31414</v>
      </c>
      <c r="N56" s="28">
        <v>-38042</v>
      </c>
    </row>
    <row r="57" spans="2:14" x14ac:dyDescent="0.3">
      <c r="B57" t="s">
        <v>97</v>
      </c>
      <c r="C57">
        <v>50</v>
      </c>
      <c r="D57">
        <v>74</v>
      </c>
      <c r="E57">
        <v>59</v>
      </c>
      <c r="F57">
        <v>53</v>
      </c>
      <c r="G57">
        <v>30</v>
      </c>
      <c r="H57">
        <v>67</v>
      </c>
      <c r="I57">
        <v>171</v>
      </c>
      <c r="J57">
        <v>351</v>
      </c>
      <c r="K57">
        <v>230</v>
      </c>
      <c r="L57">
        <v>285</v>
      </c>
      <c r="M57">
        <v>231</v>
      </c>
      <c r="N57">
        <v>974</v>
      </c>
    </row>
    <row r="58" spans="2:14" x14ac:dyDescent="0.3">
      <c r="B58" t="s">
        <v>98</v>
      </c>
      <c r="C58">
        <v>-429</v>
      </c>
      <c r="D58" s="28">
        <v>-5461</v>
      </c>
      <c r="E58" s="28">
        <v>-4728</v>
      </c>
      <c r="F58">
        <v>-6</v>
      </c>
      <c r="G58">
        <v>-329</v>
      </c>
      <c r="H58">
        <v>-130</v>
      </c>
      <c r="I58" s="28">
        <v>-1439</v>
      </c>
      <c r="J58" s="28">
        <v>-7530</v>
      </c>
      <c r="K58" s="28">
        <v>-3008</v>
      </c>
      <c r="L58">
        <v>-50</v>
      </c>
      <c r="M58">
        <v>-74</v>
      </c>
      <c r="N58" s="28">
        <v>-12677</v>
      </c>
    </row>
    <row r="59" spans="2:14" x14ac:dyDescent="0.3">
      <c r="B59" t="s">
        <v>99</v>
      </c>
      <c r="C59">
        <v>4</v>
      </c>
      <c r="D59">
        <v>42</v>
      </c>
      <c r="E59">
        <v>89</v>
      </c>
      <c r="F59" s="28">
        <v>1965</v>
      </c>
      <c r="G59" s="28">
        <v>2381</v>
      </c>
      <c r="H59" s="28">
        <v>5644</v>
      </c>
      <c r="I59">
        <v>21</v>
      </c>
      <c r="J59">
        <v>226</v>
      </c>
      <c r="K59">
        <v>104</v>
      </c>
      <c r="L59" s="28">
        <v>6895</v>
      </c>
      <c r="M59" s="28">
        <v>10821</v>
      </c>
      <c r="N59">
        <v>111</v>
      </c>
    </row>
    <row r="60" spans="2:14" x14ac:dyDescent="0.3">
      <c r="B60" t="s">
        <v>100</v>
      </c>
      <c r="C60">
        <v>653</v>
      </c>
      <c r="D60">
        <v>698</v>
      </c>
      <c r="E60">
        <v>731</v>
      </c>
      <c r="F60">
        <v>638</v>
      </c>
      <c r="G60">
        <v>690</v>
      </c>
      <c r="H60">
        <v>761</v>
      </c>
      <c r="I60" s="28">
        <v>1104</v>
      </c>
      <c r="J60">
        <v>428</v>
      </c>
      <c r="K60">
        <v>653</v>
      </c>
      <c r="L60">
        <v>973</v>
      </c>
      <c r="M60" s="28">
        <v>2493</v>
      </c>
      <c r="N60" s="28">
        <v>2420</v>
      </c>
    </row>
    <row r="61" spans="2:14" x14ac:dyDescent="0.3">
      <c r="B61" t="s">
        <v>101</v>
      </c>
      <c r="C61">
        <v>40</v>
      </c>
      <c r="D61">
        <v>80</v>
      </c>
      <c r="E61">
        <v>58</v>
      </c>
      <c r="F61">
        <v>620</v>
      </c>
      <c r="G61" s="28">
        <v>1797</v>
      </c>
      <c r="H61">
        <v>232</v>
      </c>
      <c r="I61">
        <v>21</v>
      </c>
      <c r="J61">
        <v>18</v>
      </c>
      <c r="K61">
        <v>32</v>
      </c>
      <c r="L61">
        <v>46</v>
      </c>
      <c r="M61">
        <v>47</v>
      </c>
      <c r="N61">
        <v>64</v>
      </c>
    </row>
    <row r="62" spans="2:14" x14ac:dyDescent="0.3">
      <c r="B62" t="s">
        <v>102</v>
      </c>
      <c r="C62">
        <v>0</v>
      </c>
      <c r="D62">
        <v>-160</v>
      </c>
      <c r="E62">
        <v>0</v>
      </c>
      <c r="F62">
        <v>-107</v>
      </c>
      <c r="G62">
        <v>-4</v>
      </c>
      <c r="H62">
        <v>-9</v>
      </c>
      <c r="I62">
        <v>-606</v>
      </c>
      <c r="J62">
        <v>-10</v>
      </c>
      <c r="K62">
        <v>0</v>
      </c>
      <c r="L62">
        <v>0</v>
      </c>
      <c r="M62">
        <v>-150</v>
      </c>
      <c r="N62">
        <v>0</v>
      </c>
    </row>
    <row r="63" spans="2:14" x14ac:dyDescent="0.3">
      <c r="B63" t="s">
        <v>103</v>
      </c>
      <c r="C63">
        <v>0</v>
      </c>
      <c r="D63">
        <v>0</v>
      </c>
      <c r="E63">
        <v>0</v>
      </c>
      <c r="F63">
        <v>0</v>
      </c>
      <c r="G63">
        <v>14</v>
      </c>
      <c r="H63">
        <v>533</v>
      </c>
      <c r="I63">
        <v>0</v>
      </c>
      <c r="J63">
        <v>0</v>
      </c>
      <c r="K63">
        <v>0</v>
      </c>
      <c r="L63">
        <v>19</v>
      </c>
      <c r="M63">
        <v>107</v>
      </c>
      <c r="N63">
        <v>765</v>
      </c>
    </row>
    <row r="64" spans="2:14" x14ac:dyDescent="0.3">
      <c r="B64" t="s">
        <v>104</v>
      </c>
      <c r="C64">
        <v>-185</v>
      </c>
      <c r="D64">
        <v>0</v>
      </c>
      <c r="E64">
        <v>-111</v>
      </c>
      <c r="F64">
        <v>0</v>
      </c>
      <c r="G64">
        <v>0</v>
      </c>
      <c r="H64">
        <v>-8</v>
      </c>
      <c r="I64">
        <v>-27</v>
      </c>
      <c r="J64">
        <v>0</v>
      </c>
      <c r="K64">
        <v>-98</v>
      </c>
      <c r="L64">
        <v>0</v>
      </c>
      <c r="M64">
        <v>0</v>
      </c>
      <c r="N64">
        <v>-688</v>
      </c>
    </row>
    <row r="65" spans="2:14" x14ac:dyDescent="0.3">
      <c r="B65" t="s">
        <v>105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-25</v>
      </c>
      <c r="N65">
        <v>-20</v>
      </c>
    </row>
    <row r="66" spans="2:14" x14ac:dyDescent="0.3">
      <c r="B66" t="s">
        <v>106</v>
      </c>
      <c r="C66" s="28">
        <v>-1149</v>
      </c>
      <c r="D66">
        <v>456</v>
      </c>
      <c r="E66" s="28">
        <v>-1289</v>
      </c>
      <c r="F66" s="28">
        <v>-26663</v>
      </c>
      <c r="G66" s="28">
        <v>5360</v>
      </c>
      <c r="H66" s="28">
        <v>7335</v>
      </c>
      <c r="I66" s="28">
        <v>-2659</v>
      </c>
      <c r="J66" s="28">
        <v>1051</v>
      </c>
      <c r="K66" s="28">
        <v>12813</v>
      </c>
      <c r="L66" s="28">
        <v>-4357</v>
      </c>
      <c r="M66" s="28">
        <v>-4817</v>
      </c>
      <c r="N66" s="28">
        <v>-2889</v>
      </c>
    </row>
    <row r="67" spans="2:14" x14ac:dyDescent="0.3">
      <c r="C67" s="28"/>
      <c r="E67" s="28"/>
      <c r="F67" s="28"/>
      <c r="G67" s="28"/>
      <c r="H67" s="28"/>
      <c r="I67" s="28"/>
      <c r="J67" s="28"/>
      <c r="K67" s="28"/>
      <c r="L67" s="28"/>
      <c r="M67" s="28"/>
      <c r="N67" s="28"/>
    </row>
    <row r="68" spans="2:14" x14ac:dyDescent="0.3">
      <c r="B68" t="s">
        <v>117</v>
      </c>
      <c r="C68" s="28">
        <v>-3883</v>
      </c>
      <c r="D68" s="28">
        <v>5201</v>
      </c>
      <c r="E68" s="28">
        <v>-3795</v>
      </c>
      <c r="F68" s="28">
        <v>6205</v>
      </c>
      <c r="G68" s="28">
        <v>2012</v>
      </c>
      <c r="H68" s="28">
        <v>8830</v>
      </c>
      <c r="I68" s="28">
        <v>3390</v>
      </c>
      <c r="J68" s="28">
        <v>9904</v>
      </c>
      <c r="K68" s="28">
        <v>-3380</v>
      </c>
      <c r="L68" s="28">
        <v>-26243</v>
      </c>
      <c r="M68" s="28">
        <v>-37006</v>
      </c>
      <c r="N68" s="28">
        <v>-18786</v>
      </c>
    </row>
    <row r="69" spans="2:14" x14ac:dyDescent="0.3">
      <c r="B69" t="s">
        <v>107</v>
      </c>
      <c r="C69">
        <v>0</v>
      </c>
      <c r="D69">
        <v>0</v>
      </c>
      <c r="E69" s="28">
        <v>7433</v>
      </c>
      <c r="F69">
        <v>5</v>
      </c>
      <c r="G69">
        <v>0</v>
      </c>
      <c r="H69">
        <v>0</v>
      </c>
      <c r="I69" s="28">
        <v>3889</v>
      </c>
      <c r="J69" s="28">
        <v>2603</v>
      </c>
      <c r="K69">
        <v>19</v>
      </c>
      <c r="L69">
        <v>20</v>
      </c>
      <c r="M69">
        <v>82</v>
      </c>
      <c r="N69" s="28">
        <v>1108</v>
      </c>
    </row>
    <row r="70" spans="2:14" x14ac:dyDescent="0.3">
      <c r="B70" t="s">
        <v>108</v>
      </c>
      <c r="C70">
        <v>-658</v>
      </c>
      <c r="D70">
        <v>-744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2:14" x14ac:dyDescent="0.3">
      <c r="B71" t="s">
        <v>109</v>
      </c>
      <c r="C71" s="28">
        <v>33258</v>
      </c>
      <c r="D71" s="28">
        <v>36363</v>
      </c>
      <c r="E71" s="28">
        <v>19519</v>
      </c>
      <c r="F71" s="28">
        <v>33390</v>
      </c>
      <c r="G71" s="28">
        <v>37482</v>
      </c>
      <c r="H71" s="28">
        <v>51128</v>
      </c>
      <c r="I71" s="28">
        <v>38297</v>
      </c>
      <c r="J71" s="28">
        <v>46641</v>
      </c>
      <c r="K71" s="28">
        <v>46578</v>
      </c>
      <c r="L71" s="28">
        <v>43934</v>
      </c>
      <c r="M71" s="28">
        <v>18829</v>
      </c>
      <c r="N71" s="28">
        <v>13384</v>
      </c>
    </row>
    <row r="72" spans="2:14" x14ac:dyDescent="0.3">
      <c r="B72" t="s">
        <v>110</v>
      </c>
      <c r="C72" s="28">
        <v>-29141</v>
      </c>
      <c r="D72" s="28">
        <v>-23332</v>
      </c>
      <c r="E72" s="28">
        <v>-24924</v>
      </c>
      <c r="F72" s="28">
        <v>-21732</v>
      </c>
      <c r="G72" s="28">
        <v>-29964</v>
      </c>
      <c r="H72" s="28">
        <v>-35198</v>
      </c>
      <c r="I72" s="28">
        <v>-29847</v>
      </c>
      <c r="J72" s="28">
        <v>-29709</v>
      </c>
      <c r="K72" s="28">
        <v>-42816</v>
      </c>
      <c r="L72" s="28">
        <v>-62557</v>
      </c>
      <c r="M72" s="28">
        <v>-47414</v>
      </c>
      <c r="N72" s="28">
        <v>-21443</v>
      </c>
    </row>
    <row r="73" spans="2:14" x14ac:dyDescent="0.3">
      <c r="B73" t="s">
        <v>111</v>
      </c>
      <c r="C73" s="28">
        <v>-6171</v>
      </c>
      <c r="D73" s="28">
        <v>-6307</v>
      </c>
      <c r="E73" s="28">
        <v>-5716</v>
      </c>
      <c r="F73" s="28">
        <v>-5336</v>
      </c>
      <c r="G73" s="28">
        <v>-5411</v>
      </c>
      <c r="H73" s="28">
        <v>-7005</v>
      </c>
      <c r="I73" s="28">
        <v>-7518</v>
      </c>
      <c r="J73" s="28">
        <v>-8123</v>
      </c>
      <c r="K73" s="28">
        <v>-9251</v>
      </c>
      <c r="L73" s="28">
        <v>-9336</v>
      </c>
      <c r="M73" s="28">
        <v>-9332</v>
      </c>
      <c r="N73" s="28">
        <v>-5814</v>
      </c>
    </row>
    <row r="74" spans="2:14" x14ac:dyDescent="0.3">
      <c r="B74" t="s">
        <v>112</v>
      </c>
      <c r="C74">
        <v>-722</v>
      </c>
      <c r="D74">
        <v>-720</v>
      </c>
      <c r="E74">
        <v>-108</v>
      </c>
      <c r="F74">
        <v>-121</v>
      </c>
      <c r="G74">
        <v>-96</v>
      </c>
      <c r="H74">
        <v>-95</v>
      </c>
      <c r="I74">
        <v>-57</v>
      </c>
      <c r="J74">
        <v>-30</v>
      </c>
      <c r="K74">
        <v>-100</v>
      </c>
      <c r="L74">
        <v>-141</v>
      </c>
      <c r="M74" s="28">
        <v>-1059</v>
      </c>
      <c r="N74" s="28">
        <v>-2492</v>
      </c>
    </row>
    <row r="75" spans="2:14" x14ac:dyDescent="0.3">
      <c r="B75" t="s">
        <v>113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28">
        <v>-1346</v>
      </c>
      <c r="J75" s="28">
        <v>-1477</v>
      </c>
      <c r="K75" s="28">
        <v>-1559</v>
      </c>
      <c r="L75" s="28">
        <v>-1517</v>
      </c>
      <c r="M75" s="28">
        <v>-1924</v>
      </c>
      <c r="N75" s="28">
        <v>-2393</v>
      </c>
    </row>
    <row r="76" spans="2:14" x14ac:dyDescent="0.3">
      <c r="B76" t="s">
        <v>114</v>
      </c>
      <c r="C76">
        <v>-450</v>
      </c>
      <c r="D76">
        <v>-57</v>
      </c>
      <c r="E76">
        <v>0</v>
      </c>
      <c r="F76">
        <v>0</v>
      </c>
      <c r="G76">
        <v>0</v>
      </c>
      <c r="H76">
        <v>0</v>
      </c>
      <c r="I76">
        <v>-29</v>
      </c>
      <c r="J76">
        <v>0</v>
      </c>
      <c r="K76" s="28">
        <v>3750</v>
      </c>
      <c r="L76" s="28">
        <v>3355</v>
      </c>
      <c r="M76" s="28">
        <v>3812</v>
      </c>
      <c r="N76" s="28">
        <v>-1136</v>
      </c>
    </row>
    <row r="77" spans="2:14" x14ac:dyDescent="0.3">
      <c r="B77" t="s">
        <v>21</v>
      </c>
      <c r="C77" s="28">
        <v>4277</v>
      </c>
      <c r="D77" s="28">
        <v>4500</v>
      </c>
      <c r="E77" s="28">
        <v>-2589</v>
      </c>
      <c r="F77" s="28">
        <v>-3167</v>
      </c>
      <c r="G77">
        <v>730</v>
      </c>
      <c r="H77" s="28">
        <v>6843</v>
      </c>
      <c r="I77" s="28">
        <v>-3092</v>
      </c>
      <c r="J77" s="28">
        <v>13232</v>
      </c>
      <c r="K77" s="28">
        <v>6459</v>
      </c>
      <c r="L77" s="28">
        <v>-6272</v>
      </c>
      <c r="M77" s="28">
        <v>8128</v>
      </c>
      <c r="N77" s="28">
        <v>-5666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99BD-4FDF-4EE4-A9C0-548680F90E2A}">
  <dimension ref="B2:L40"/>
  <sheetViews>
    <sheetView showGridLines="0" topLeftCell="A27" workbookViewId="0">
      <selection activeCell="I48" sqref="I48"/>
    </sheetView>
  </sheetViews>
  <sheetFormatPr defaultRowHeight="14.4" x14ac:dyDescent="0.3"/>
  <cols>
    <col min="1" max="1" width="1.88671875" customWidth="1"/>
    <col min="2" max="2" width="22" bestFit="1" customWidth="1"/>
    <col min="3" max="3" width="9.6640625" bestFit="1" customWidth="1"/>
  </cols>
  <sheetData>
    <row r="2" spans="2:12" ht="15.6" x14ac:dyDescent="0.3">
      <c r="B2" s="153" t="str">
        <f>"Common Size Income Statement"&amp;" "&amp;"- "&amp;'Data Sheet'!$B$1</f>
        <v>Common Size Income Statement - TATA MOTORS LTD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4" spans="2:12" x14ac:dyDescent="0.3">
      <c r="B4" s="129" t="s">
        <v>344</v>
      </c>
      <c r="C4" s="130">
        <f>'Data Sheet'!B16</f>
        <v>42094</v>
      </c>
      <c r="D4" s="130">
        <f>'Data Sheet'!C16</f>
        <v>42460</v>
      </c>
      <c r="E4" s="130">
        <f>'Data Sheet'!D16</f>
        <v>42825</v>
      </c>
      <c r="F4" s="130">
        <f>'Data Sheet'!E16</f>
        <v>43190</v>
      </c>
      <c r="G4" s="130">
        <f>'Data Sheet'!F16</f>
        <v>43555</v>
      </c>
      <c r="H4" s="130">
        <f>'Data Sheet'!G16</f>
        <v>43921</v>
      </c>
      <c r="I4" s="130">
        <f>'Data Sheet'!H16</f>
        <v>44286</v>
      </c>
      <c r="J4" s="130">
        <f>'Data Sheet'!I16</f>
        <v>44651</v>
      </c>
      <c r="K4" s="130">
        <f>'Data Sheet'!J16</f>
        <v>45016</v>
      </c>
      <c r="L4" s="130">
        <f>'Data Sheet'!K16</f>
        <v>45382</v>
      </c>
    </row>
    <row r="6" spans="2:12" x14ac:dyDescent="0.3">
      <c r="B6" s="133" t="str">
        <f>'Data Sheet'!A17</f>
        <v>Sales</v>
      </c>
      <c r="C6" s="135">
        <f>'Data Sheet'!B17/'Data Sheet'!B$17</f>
        <v>1</v>
      </c>
      <c r="D6" s="135">
        <f>'Data Sheet'!C17/'Data Sheet'!C$17</f>
        <v>1</v>
      </c>
      <c r="E6" s="135">
        <f>'Data Sheet'!D17/'Data Sheet'!D$17</f>
        <v>1</v>
      </c>
      <c r="F6" s="135">
        <f>'Data Sheet'!E17/'Data Sheet'!E$17</f>
        <v>1</v>
      </c>
      <c r="G6" s="135">
        <f>'Data Sheet'!F17/'Data Sheet'!F$17</f>
        <v>1</v>
      </c>
      <c r="H6" s="135">
        <f>'Data Sheet'!G17/'Data Sheet'!G$17</f>
        <v>1</v>
      </c>
      <c r="I6" s="135">
        <f>'Data Sheet'!H17/'Data Sheet'!H$17</f>
        <v>1</v>
      </c>
      <c r="J6" s="135">
        <f>'Data Sheet'!I17/'Data Sheet'!I$17</f>
        <v>1</v>
      </c>
      <c r="K6" s="135">
        <f>'Data Sheet'!J17/'Data Sheet'!J$17</f>
        <v>1</v>
      </c>
      <c r="L6" s="135">
        <f>'Data Sheet'!K17/'Data Sheet'!K$17</f>
        <v>1</v>
      </c>
    </row>
    <row r="7" spans="2:12" x14ac:dyDescent="0.3">
      <c r="B7" s="131" t="str">
        <f>'Data Sheet'!A18</f>
        <v>Raw Material Cost</v>
      </c>
      <c r="C7" s="24">
        <f>'Data Sheet'!B18/'Data Sheet'!B$17</f>
        <v>0.62034880968150885</v>
      </c>
      <c r="D7" s="24">
        <f>'Data Sheet'!C18/'Data Sheet'!C$17</f>
        <v>0.60844785632875986</v>
      </c>
      <c r="E7" s="24">
        <f>'Data Sheet'!D18/'Data Sheet'!D$17</f>
        <v>0.64256170851760019</v>
      </c>
      <c r="F7" s="24">
        <f>'Data Sheet'!E18/'Data Sheet'!E$17</f>
        <v>0.6444735745247272</v>
      </c>
      <c r="G7" s="24">
        <f>'Data Sheet'!F18/'Data Sheet'!F$17</f>
        <v>0.64340246222408271</v>
      </c>
      <c r="H7" s="24">
        <f>'Data Sheet'!G18/'Data Sheet'!G$17</f>
        <v>0.63163558516963991</v>
      </c>
      <c r="I7" s="24">
        <f>'Data Sheet'!H18/'Data Sheet'!H$17</f>
        <v>0.6149343010611712</v>
      </c>
      <c r="J7" s="24">
        <f>'Data Sheet'!I18/'Data Sheet'!I$17</f>
        <v>0.64389656704768283</v>
      </c>
      <c r="K7" s="24">
        <f>'Data Sheet'!J18/'Data Sheet'!J$17</f>
        <v>0.66842005177546293</v>
      </c>
      <c r="L7" s="24">
        <f>'Data Sheet'!K18/'Data Sheet'!K$17</f>
        <v>0.62640747810991748</v>
      </c>
    </row>
    <row r="8" spans="2:12" x14ac:dyDescent="0.3">
      <c r="B8" s="131" t="str">
        <f>'Data Sheet'!A19</f>
        <v>Change in Inventory</v>
      </c>
      <c r="C8" s="24">
        <f>'Data Sheet'!B19/'Data Sheet'!B$17</f>
        <v>1.2655277809634314E-2</v>
      </c>
      <c r="D8" s="24">
        <f>'Data Sheet'!C19/'Data Sheet'!C$17</f>
        <v>1.0075203555743071E-2</v>
      </c>
      <c r="E8" s="24">
        <f>'Data Sheet'!D19/'Data Sheet'!D$17</f>
        <v>2.7438359337454348E-2</v>
      </c>
      <c r="F8" s="24">
        <f>'Data Sheet'!E19/'Data Sheet'!E$17</f>
        <v>7.0196420187680708E-3</v>
      </c>
      <c r="G8" s="24">
        <f>'Data Sheet'!F19/'Data Sheet'!F$17</f>
        <v>-6.8003274840166073E-3</v>
      </c>
      <c r="H8" s="24">
        <f>'Data Sheet'!G19/'Data Sheet'!G$17</f>
        <v>-8.5463950250197294E-3</v>
      </c>
      <c r="I8" s="24">
        <f>'Data Sheet'!H19/'Data Sheet'!H$17</f>
        <v>-1.8752035421080705E-2</v>
      </c>
      <c r="J8" s="24">
        <f>'Data Sheet'!I19/'Data Sheet'!I$17</f>
        <v>-5.7118668451859233E-3</v>
      </c>
      <c r="K8" s="24">
        <f>'Data Sheet'!J19/'Data Sheet'!J$17</f>
        <v>1.3821030371772196E-2</v>
      </c>
      <c r="L8" s="24">
        <f>'Data Sheet'!K19/'Data Sheet'!K$17</f>
        <v>3.5748589316452802E-3</v>
      </c>
    </row>
    <row r="9" spans="2:12" x14ac:dyDescent="0.3">
      <c r="B9" s="131" t="str">
        <f>'Data Sheet'!A20</f>
        <v>Power and Fuel</v>
      </c>
      <c r="C9" s="24">
        <f>'Data Sheet'!B20/'Data Sheet'!B$17</f>
        <v>4.2626324209038965E-3</v>
      </c>
      <c r="D9" s="24">
        <f>'Data Sheet'!C20/'Data Sheet'!C$17</f>
        <v>4.1884212746881849E-3</v>
      </c>
      <c r="E9" s="24">
        <f>'Data Sheet'!D20/'Data Sheet'!D$17</f>
        <v>4.3005272931013168E-3</v>
      </c>
      <c r="F9" s="24">
        <f>'Data Sheet'!E20/'Data Sheet'!E$17</f>
        <v>4.4866329837632236E-3</v>
      </c>
      <c r="G9" s="24">
        <f>'Data Sheet'!F20/'Data Sheet'!F$17</f>
        <v>5.252495210943689E-3</v>
      </c>
      <c r="H9" s="24">
        <f>'Data Sheet'!G20/'Data Sheet'!G$17</f>
        <v>4.8452899066859867E-3</v>
      </c>
      <c r="I9" s="24">
        <f>'Data Sheet'!H20/'Data Sheet'!H$17</f>
        <v>4.4551376680254488E-3</v>
      </c>
      <c r="J9" s="24">
        <f>'Data Sheet'!I20/'Data Sheet'!I$17</f>
        <v>7.8228108508698862E-3</v>
      </c>
      <c r="K9" s="24">
        <f>'Data Sheet'!J20/'Data Sheet'!J$17</f>
        <v>7.2646530389880865E-3</v>
      </c>
      <c r="L9" s="24">
        <f>'Data Sheet'!K20/'Data Sheet'!K$17</f>
        <v>5.0125161051102094E-3</v>
      </c>
    </row>
    <row r="10" spans="2:12" x14ac:dyDescent="0.3">
      <c r="B10" s="131" t="str">
        <f>'Data Sheet'!A21</f>
        <v>Other Mfr. Exp</v>
      </c>
      <c r="C10" s="24">
        <f>'Data Sheet'!B21/'Data Sheet'!B$17</f>
        <v>6.1457792548063536E-2</v>
      </c>
      <c r="D10" s="24">
        <f>'Data Sheet'!C21/'Data Sheet'!C$17</f>
        <v>4.4320545725695638E-2</v>
      </c>
      <c r="E10" s="24">
        <f>'Data Sheet'!D21/'Data Sheet'!D$17</f>
        <v>3.7329067833585743E-2</v>
      </c>
      <c r="F10" s="24">
        <f>'Data Sheet'!E21/'Data Sheet'!E$17</f>
        <v>3.7632110912662539E-2</v>
      </c>
      <c r="G10" s="24">
        <f>'Data Sheet'!F21/'Data Sheet'!F$17</f>
        <v>3.8731542592793759E-2</v>
      </c>
      <c r="H10" s="24">
        <f>'Data Sheet'!G21/'Data Sheet'!G$17</f>
        <v>4.4208831899217663E-2</v>
      </c>
      <c r="I10" s="24">
        <f>'Data Sheet'!H21/'Data Sheet'!H$17</f>
        <v>3.3119871414431248E-2</v>
      </c>
      <c r="J10" s="24">
        <f>'Data Sheet'!I21/'Data Sheet'!I$17</f>
        <v>3.3856194794666339E-2</v>
      </c>
      <c r="K10" s="24">
        <f>'Data Sheet'!J21/'Data Sheet'!J$17</f>
        <v>3.4008940217616732E-2</v>
      </c>
      <c r="L10" s="24">
        <f>'Data Sheet'!K21/'Data Sheet'!K$17</f>
        <v>3.9080257458895561E-2</v>
      </c>
    </row>
    <row r="11" spans="2:12" x14ac:dyDescent="0.3">
      <c r="B11" s="131" t="str">
        <f>'Data Sheet'!A22</f>
        <v>Employee Cost</v>
      </c>
      <c r="C11" s="24">
        <f>'Data Sheet'!B22/'Data Sheet'!B$17</f>
        <v>9.7439008161530352E-2</v>
      </c>
      <c r="D11" s="24">
        <f>'Data Sheet'!C22/'Data Sheet'!C$17</f>
        <v>0.10577313825968997</v>
      </c>
      <c r="E11" s="24">
        <f>'Data Sheet'!D22/'Data Sheet'!D$17</f>
        <v>0.10505627316086753</v>
      </c>
      <c r="F11" s="24">
        <f>'Data Sheet'!E22/'Data Sheet'!E$17</f>
        <v>0.10392742279141506</v>
      </c>
      <c r="G11" s="24">
        <f>'Data Sheet'!F22/'Data Sheet'!F$17</f>
        <v>0.11010149752399827</v>
      </c>
      <c r="H11" s="24">
        <f>'Data Sheet'!G22/'Data Sheet'!G$17</f>
        <v>0.11659262528451882</v>
      </c>
      <c r="I11" s="24">
        <f>'Data Sheet'!H22/'Data Sheet'!H$17</f>
        <v>0.11068479221440802</v>
      </c>
      <c r="J11" s="24">
        <f>'Data Sheet'!I22/'Data Sheet'!I$17</f>
        <v>0.11064147774412127</v>
      </c>
      <c r="K11" s="24">
        <f>'Data Sheet'!J22/'Data Sheet'!J$17</f>
        <v>9.7277205393335675E-2</v>
      </c>
      <c r="L11" s="24">
        <f>'Data Sheet'!K22/'Data Sheet'!K$17</f>
        <v>9.701746020810692E-2</v>
      </c>
    </row>
    <row r="12" spans="2:12" x14ac:dyDescent="0.3">
      <c r="B12" s="131" t="str">
        <f>'Data Sheet'!A23</f>
        <v>Selling and admin</v>
      </c>
      <c r="C12" s="24">
        <f>'Data Sheet'!B23/'Data Sheet'!B$17</f>
        <v>8.96910681140351E-2</v>
      </c>
      <c r="D12" s="24">
        <f>'Data Sheet'!C23/'Data Sheet'!C$17</f>
        <v>8.0542956927341092E-2</v>
      </c>
      <c r="E12" s="24">
        <f>'Data Sheet'!D23/'Data Sheet'!D$17</f>
        <v>0.1113838126242364</v>
      </c>
      <c r="F12" s="24">
        <f>'Data Sheet'!E23/'Data Sheet'!E$17</f>
        <v>0.10634377964323709</v>
      </c>
      <c r="G12" s="24">
        <f>'Data Sheet'!F23/'Data Sheet'!F$17</f>
        <v>0.1083658123643763</v>
      </c>
      <c r="H12" s="24">
        <f>'Data Sheet'!G23/'Data Sheet'!G$17</f>
        <v>0.11203335284677013</v>
      </c>
      <c r="I12" s="24">
        <f>'Data Sheet'!H23/'Data Sheet'!H$17</f>
        <v>9.2138805959692913E-2</v>
      </c>
      <c r="J12" s="24">
        <f>'Data Sheet'!I23/'Data Sheet'!I$17</f>
        <v>0.10488425325553319</v>
      </c>
      <c r="K12" s="24">
        <f>'Data Sheet'!J23/'Data Sheet'!J$17</f>
        <v>0.10070091373173573</v>
      </c>
      <c r="L12" s="24">
        <f>'Data Sheet'!K23/'Data Sheet'!K$17</f>
        <v>9.7653843692077344E-2</v>
      </c>
    </row>
    <row r="13" spans="2:12" x14ac:dyDescent="0.3">
      <c r="B13" s="131" t="str">
        <f>'Data Sheet'!A24</f>
        <v>Other Expenses</v>
      </c>
      <c r="C13" s="24">
        <f>'Data Sheet'!B24/'Data Sheet'!B$17</f>
        <v>-9.6502882022114541E-3</v>
      </c>
      <c r="D13" s="24">
        <f>'Data Sheet'!C24/'Data Sheet'!C$17</f>
        <v>2.6183831565130516E-2</v>
      </c>
      <c r="E13" s="24">
        <f>'Data Sheet'!D24/'Data Sheet'!D$17</f>
        <v>1.7094282670289951E-2</v>
      </c>
      <c r="F13" s="24">
        <f>'Data Sheet'!E24/'Data Sheet'!E$17</f>
        <v>2.2582367211331639E-3</v>
      </c>
      <c r="G13" s="24">
        <f>'Data Sheet'!F24/'Data Sheet'!F$17</f>
        <v>5.6592338039812094E-3</v>
      </c>
      <c r="H13" s="24">
        <f>'Data Sheet'!G24/'Data Sheet'!G$17</f>
        <v>1.3239885383105405E-2</v>
      </c>
      <c r="I13" s="24">
        <f>'Data Sheet'!H24/'Data Sheet'!H$17</f>
        <v>-3.3407827826645677E-3</v>
      </c>
      <c r="J13" s="24">
        <f>'Data Sheet'!I24/'Data Sheet'!I$17</f>
        <v>4.4105011096641517E-3</v>
      </c>
      <c r="K13" s="24">
        <f>'Data Sheet'!J24/'Data Sheet'!J$17</f>
        <v>1.4187308112100993E-2</v>
      </c>
      <c r="L13" s="24">
        <f>'Data Sheet'!K24/'Data Sheet'!K$17</f>
        <v>2.4486001424390141E-3</v>
      </c>
    </row>
    <row r="14" spans="2:12" x14ac:dyDescent="0.3">
      <c r="B14" s="131" t="str">
        <f>'Data Sheet'!A25</f>
        <v>Other Income</v>
      </c>
      <c r="C14" s="24">
        <f>'Data Sheet'!B25/'Data Sheet'!B$17</f>
        <v>2.7133028103392101E-3</v>
      </c>
      <c r="D14" s="24">
        <f>'Data Sheet'!C25/'Data Sheet'!C$17</f>
        <v>-9.7771947249836663E-3</v>
      </c>
      <c r="E14" s="24">
        <f>'Data Sheet'!D25/'Data Sheet'!D$17</f>
        <v>6.9304853887117582E-3</v>
      </c>
      <c r="F14" s="24">
        <f>'Data Sheet'!E25/'Data Sheet'!E$17</f>
        <v>2.034889464081829E-2</v>
      </c>
      <c r="G14" s="24">
        <f>'Data Sheet'!F25/'Data Sheet'!F$17</f>
        <v>-8.8383094035074702E-2</v>
      </c>
      <c r="H14" s="24">
        <f>'Data Sheet'!G25/'Data Sheet'!G$17</f>
        <v>3.8959202846676288E-4</v>
      </c>
      <c r="I14" s="24">
        <f>'Data Sheet'!H25/'Data Sheet'!H$17</f>
        <v>-4.4507860953843105E-2</v>
      </c>
      <c r="J14" s="24">
        <f>'Data Sheet'!I25/'Data Sheet'!I$17</f>
        <v>8.7053994844814731E-3</v>
      </c>
      <c r="K14" s="24">
        <f>'Data Sheet'!J25/'Data Sheet'!J$17</f>
        <v>1.9261867686386363E-2</v>
      </c>
      <c r="L14" s="24">
        <f>'Data Sheet'!K25/'Data Sheet'!K$17</f>
        <v>1.295341466927297E-2</v>
      </c>
    </row>
    <row r="15" spans="2:12" x14ac:dyDescent="0.3">
      <c r="B15" s="131" t="str">
        <f>'Data Sheet'!A26</f>
        <v>Depreciation</v>
      </c>
      <c r="C15" s="24">
        <f>'Data Sheet'!B26/'Data Sheet'!B$17</f>
        <v>5.0876584184966822E-2</v>
      </c>
      <c r="D15" s="24">
        <f>'Data Sheet'!C26/'Data Sheet'!C$17</f>
        <v>6.1201425695927715E-2</v>
      </c>
      <c r="E15" s="24">
        <f>'Data Sheet'!D26/'Data Sheet'!D$17</f>
        <v>6.63903865924938E-2</v>
      </c>
      <c r="F15" s="24">
        <f>'Data Sheet'!E26/'Data Sheet'!E$17</f>
        <v>7.3927472182518786E-2</v>
      </c>
      <c r="G15" s="24">
        <f>'Data Sheet'!F26/'Data Sheet'!F$17</f>
        <v>7.8130605447998658E-2</v>
      </c>
      <c r="H15" s="24">
        <f>'Data Sheet'!G26/'Data Sheet'!G$17</f>
        <v>8.206839774331566E-2</v>
      </c>
      <c r="I15" s="24">
        <f>'Data Sheet'!H26/'Data Sheet'!H$17</f>
        <v>9.4264230933596482E-2</v>
      </c>
      <c r="J15" s="24">
        <f>'Data Sheet'!I26/'Data Sheet'!I$17</f>
        <v>8.9191478279219347E-2</v>
      </c>
      <c r="K15" s="24">
        <f>'Data Sheet'!J26/'Data Sheet'!J$17</f>
        <v>7.1857611147098821E-2</v>
      </c>
      <c r="L15" s="24">
        <f>'Data Sheet'!K26/'Data Sheet'!K$17</f>
        <v>6.2270839777984394E-2</v>
      </c>
    </row>
    <row r="16" spans="2:12" x14ac:dyDescent="0.3">
      <c r="B16" s="131" t="str">
        <f>'Data Sheet'!A27</f>
        <v>Interest</v>
      </c>
      <c r="C16" s="24">
        <f>'Data Sheet'!B27/'Data Sheet'!B$17</f>
        <v>1.8473585814932098E-2</v>
      </c>
      <c r="D16" s="24">
        <f>'Data Sheet'!C27/'Data Sheet'!C$17</f>
        <v>1.7905727101993223E-2</v>
      </c>
      <c r="E16" s="24">
        <f>'Data Sheet'!D27/'Data Sheet'!D$17</f>
        <v>1.5714229512714312E-2</v>
      </c>
      <c r="F16" s="24">
        <f>'Data Sheet'!E27/'Data Sheet'!E$17</f>
        <v>1.605824830060304E-2</v>
      </c>
      <c r="G16" s="24">
        <f>'Data Sheet'!F27/'Data Sheet'!F$17</f>
        <v>1.9072102124141878E-2</v>
      </c>
      <c r="H16" s="24">
        <f>'Data Sheet'!G27/'Data Sheet'!G$17</f>
        <v>2.7744996829752802E-2</v>
      </c>
      <c r="I16" s="24">
        <f>'Data Sheet'!H27/'Data Sheet'!H$17</f>
        <v>3.2415292955516477E-2</v>
      </c>
      <c r="J16" s="24">
        <f>'Data Sheet'!I27/'Data Sheet'!I$17</f>
        <v>3.3441332168710897E-2</v>
      </c>
      <c r="K16" s="24">
        <f>'Data Sheet'!J27/'Data Sheet'!J$17</f>
        <v>2.9556231914277829E-2</v>
      </c>
      <c r="L16" s="24">
        <f>'Data Sheet'!K27/'Data Sheet'!K$17</f>
        <v>2.2802299109736749E-2</v>
      </c>
    </row>
    <row r="17" spans="2:12" x14ac:dyDescent="0.3">
      <c r="B17" s="131" t="str">
        <f>'Data Sheet'!A28</f>
        <v>Profit before tax</v>
      </c>
      <c r="C17" s="24">
        <f>'Data Sheet'!B28/'Data Sheet'!B$17</f>
        <v>8.246938789624432E-2</v>
      </c>
      <c r="D17" s="24">
        <f>'Data Sheet'!C28/'Data Sheet'!C$17</f>
        <v>5.1734105951533375E-2</v>
      </c>
      <c r="E17" s="24">
        <f>'Data Sheet'!D28/'Data Sheet'!D$17</f>
        <v>3.453855652127677E-2</v>
      </c>
      <c r="F17" s="24">
        <f>'Data Sheet'!E28/'Data Sheet'!E$17</f>
        <v>3.8261058599526235E-2</v>
      </c>
      <c r="G17" s="24">
        <f>'Data Sheet'!F28/'Data Sheet'!F$17</f>
        <v>-0.10389917281140788</v>
      </c>
      <c r="H17" s="24">
        <f>'Data Sheet'!G28/'Data Sheet'!G$17</f>
        <v>-4.0525768059559354E-2</v>
      </c>
      <c r="I17" s="24">
        <f>'Data Sheet'!H28/'Data Sheet'!H$17</f>
        <v>-4.1931545799101064E-2</v>
      </c>
      <c r="J17" s="24">
        <f>'Data Sheet'!I28/'Data Sheet'!I$17</f>
        <v>-2.5151082611172375E-2</v>
      </c>
      <c r="K17" s="24">
        <f>'Data Sheet'!J28/'Data Sheet'!J$17</f>
        <v>9.809982727541881E-3</v>
      </c>
      <c r="L17" s="24">
        <f>'Data Sheet'!K28/'Data Sheet'!K$17</f>
        <v>6.3834978996650513E-2</v>
      </c>
    </row>
    <row r="18" spans="2:12" x14ac:dyDescent="0.3">
      <c r="B18" s="131" t="str">
        <f>'Data Sheet'!A29</f>
        <v>Tax</v>
      </c>
      <c r="C18" s="24">
        <f>'Data Sheet'!B29/'Data Sheet'!B$17</f>
        <v>2.9042938226922752E-2</v>
      </c>
      <c r="D18" s="24">
        <f>'Data Sheet'!C29/'Data Sheet'!C$17</f>
        <v>1.1078918686109574E-2</v>
      </c>
      <c r="E18" s="24">
        <f>'Data Sheet'!D29/'Data Sheet'!D$17</f>
        <v>1.2055321818169885E-2</v>
      </c>
      <c r="F18" s="24">
        <f>'Data Sheet'!E29/'Data Sheet'!E$17</f>
        <v>1.4892549653836963E-2</v>
      </c>
      <c r="G18" s="24">
        <f>'Data Sheet'!F29/'Data Sheet'!F$17</f>
        <v>-8.0726731015332912E-3</v>
      </c>
      <c r="H18" s="24">
        <f>'Data Sheet'!G29/'Data Sheet'!G$17</f>
        <v>1.5139735448971392E-3</v>
      </c>
      <c r="I18" s="24">
        <f>'Data Sheet'!H29/'Data Sheet'!H$17</f>
        <v>1.0175794327142584E-2</v>
      </c>
      <c r="J18" s="24">
        <f>'Data Sheet'!I29/'Data Sheet'!I$17</f>
        <v>1.5195672442685429E-2</v>
      </c>
      <c r="K18" s="24">
        <f>'Data Sheet'!J29/'Data Sheet'!J$17</f>
        <v>2.0350497621203548E-3</v>
      </c>
      <c r="L18" s="24">
        <f>'Data Sheet'!K29/'Data Sheet'!K$17</f>
        <v>-8.795149026516404E-3</v>
      </c>
    </row>
    <row r="19" spans="2:12" x14ac:dyDescent="0.3">
      <c r="B19" s="131" t="str">
        <f>'Data Sheet'!A30</f>
        <v>Net profit</v>
      </c>
      <c r="C19" s="24">
        <f>'Data Sheet'!B30/'Data Sheet'!B$17</f>
        <v>5.3147682818956064E-2</v>
      </c>
      <c r="D19" s="24">
        <f>'Data Sheet'!C30/'Data Sheet'!C$17</f>
        <v>4.2407971415763523E-2</v>
      </c>
      <c r="E19" s="24">
        <f>'Data Sheet'!D30/'Data Sheet'!D$17</f>
        <v>2.764021885516954E-2</v>
      </c>
      <c r="F19" s="24">
        <f>'Data Sheet'!E30/'Data Sheet'!E$17</f>
        <v>3.0831401821049997E-2</v>
      </c>
      <c r="G19" s="24">
        <f>'Data Sheet'!F30/'Data Sheet'!F$17</f>
        <v>-9.5470566181711222E-2</v>
      </c>
      <c r="H19" s="24">
        <f>'Data Sheet'!G30/'Data Sheet'!G$17</f>
        <v>-4.6236426475450051E-2</v>
      </c>
      <c r="I19" s="24">
        <f>'Data Sheet'!H30/'Data Sheet'!H$17</f>
        <v>-5.3849770661713266E-2</v>
      </c>
      <c r="J19" s="24">
        <f>'Data Sheet'!I30/'Data Sheet'!I$17</f>
        <v>-4.1089320368684734E-2</v>
      </c>
      <c r="K19" s="24">
        <f>'Data Sheet'!J30/'Data Sheet'!J$17</f>
        <v>6.9783829363826268E-3</v>
      </c>
      <c r="L19" s="24">
        <f>'Data Sheet'!K30/'Data Sheet'!K$17</f>
        <v>7.169924391869463E-2</v>
      </c>
    </row>
    <row r="20" spans="2:12" x14ac:dyDescent="0.3">
      <c r="B20" s="131" t="str">
        <f>'Data Sheet'!A31</f>
        <v>Dividend Amount</v>
      </c>
      <c r="C20" s="24">
        <f>'Data Sheet'!B31/'Data Sheet'!B$17</f>
        <v>0</v>
      </c>
      <c r="D20" s="24">
        <f>'Data Sheet'!C31/'Data Sheet'!C$17</f>
        <v>2.487496593975512E-4</v>
      </c>
      <c r="E20" s="24">
        <f>'Data Sheet'!D31/'Data Sheet'!D$17</f>
        <v>0</v>
      </c>
      <c r="F20" s="24">
        <f>'Data Sheet'!E31/'Data Sheet'!E$17</f>
        <v>0</v>
      </c>
      <c r="G20" s="24">
        <f>'Data Sheet'!F31/'Data Sheet'!F$17</f>
        <v>0</v>
      </c>
      <c r="H20" s="24">
        <f>'Data Sheet'!G31/'Data Sheet'!G$17</f>
        <v>0</v>
      </c>
      <c r="I20" s="24">
        <f>'Data Sheet'!H31/'Data Sheet'!H$17</f>
        <v>0</v>
      </c>
      <c r="J20" s="24">
        <f>'Data Sheet'!I31/'Data Sheet'!I$17</f>
        <v>0</v>
      </c>
      <c r="K20" s="24">
        <f>'Data Sheet'!J31/'Data Sheet'!J$17</f>
        <v>2.2141420032091505E-3</v>
      </c>
      <c r="L20" s="24">
        <f>'Data Sheet'!K31/'Data Sheet'!K$17</f>
        <v>5.2508659133445679E-3</v>
      </c>
    </row>
    <row r="21" spans="2:12" x14ac:dyDescent="0.3">
      <c r="B21" s="131" t="str">
        <f>'Data Sheet'!A33</f>
        <v>EBITDA</v>
      </c>
      <c r="C21" s="24">
        <f>'Data Sheet'!B33/'Data Sheet'!B$17</f>
        <v>0.15154079104577772</v>
      </c>
      <c r="D21" s="24">
        <f>'Data Sheet'!C33/'Data Sheet'!C$17</f>
        <v>0.13259404289979404</v>
      </c>
      <c r="E21" s="24">
        <f>'Data Sheet'!D33/'Data Sheet'!D$17</f>
        <v>0.12180015677854752</v>
      </c>
      <c r="F21" s="24">
        <f>'Data Sheet'!E33/'Data Sheet'!E$17</f>
        <v>0.13570967195800879</v>
      </c>
      <c r="G21" s="24">
        <f>'Data Sheet'!F33/'Data Sheet'!F$17</f>
        <v>-6.3405317111039769E-3</v>
      </c>
      <c r="H21" s="24">
        <f>'Data Sheet'!G33/'Data Sheet'!G$17</f>
        <v>6.5090941642515568E-2</v>
      </c>
      <c r="I21" s="24">
        <f>'Data Sheet'!H33/'Data Sheet'!H$17</f>
        <v>8.3005547554542272E-2</v>
      </c>
      <c r="J21" s="24">
        <f>'Data Sheet'!I33/'Data Sheet'!I$17</f>
        <v>9.6739162521930946E-2</v>
      </c>
      <c r="K21" s="24">
        <f>'Data Sheet'!J33/'Data Sheet'!J$17</f>
        <v>0.11042727575987961</v>
      </c>
      <c r="L21" s="24">
        <f>'Data Sheet'!K33/'Data Sheet'!K$17</f>
        <v>0.14797723377989935</v>
      </c>
    </row>
    <row r="22" spans="2:12" x14ac:dyDescent="0.3">
      <c r="E22" t="s">
        <v>63</v>
      </c>
    </row>
    <row r="23" spans="2:12" ht="15.6" x14ac:dyDescent="0.3">
      <c r="B23" s="153" t="str">
        <f>"Common Size Balance Sheet"&amp;" "&amp;"- "&amp;'Data Sheet'!$B$1</f>
        <v>Common Size Balance Sheet - TATA MOTORS LTD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</row>
    <row r="25" spans="2:12" x14ac:dyDescent="0.3">
      <c r="B25" s="129" t="s">
        <v>344</v>
      </c>
      <c r="C25" s="130">
        <f>'Data Sheet'!B56</f>
        <v>42094</v>
      </c>
      <c r="D25" s="130">
        <f>'Data Sheet'!C56</f>
        <v>42460</v>
      </c>
      <c r="E25" s="130">
        <f>'Data Sheet'!D56</f>
        <v>42825</v>
      </c>
      <c r="F25" s="130">
        <f>'Data Sheet'!E56</f>
        <v>43190</v>
      </c>
      <c r="G25" s="130">
        <f>'Data Sheet'!F56</f>
        <v>43555</v>
      </c>
      <c r="H25" s="130">
        <f>'Data Sheet'!G56</f>
        <v>43921</v>
      </c>
      <c r="I25" s="130">
        <f>'Data Sheet'!H56</f>
        <v>44286</v>
      </c>
      <c r="J25" s="130">
        <f>'Data Sheet'!I56</f>
        <v>44651</v>
      </c>
      <c r="K25" s="130">
        <f>'Data Sheet'!J56</f>
        <v>45016</v>
      </c>
      <c r="L25" s="130">
        <f>'Data Sheet'!K56</f>
        <v>45382</v>
      </c>
    </row>
    <row r="26" spans="2:12" x14ac:dyDescent="0.3">
      <c r="B26" s="2"/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">
      <c r="B27" s="2" t="s">
        <v>82</v>
      </c>
      <c r="C27" s="134">
        <f>'Data Sheet'!B61/'Data Sheet'!B$61</f>
        <v>1</v>
      </c>
      <c r="D27" s="134">
        <f>'Data Sheet'!C61/'Data Sheet'!C$61</f>
        <v>1</v>
      </c>
      <c r="E27" s="134">
        <f>'Data Sheet'!D61/'Data Sheet'!D$61</f>
        <v>1</v>
      </c>
      <c r="F27" s="134">
        <f>'Data Sheet'!E61/'Data Sheet'!E$61</f>
        <v>1</v>
      </c>
      <c r="G27" s="134">
        <f>'Data Sheet'!F61/'Data Sheet'!F$61</f>
        <v>1</v>
      </c>
      <c r="H27" s="134">
        <f>'Data Sheet'!G61/'Data Sheet'!G$61</f>
        <v>1</v>
      </c>
      <c r="I27" s="134">
        <f>'Data Sheet'!H61/'Data Sheet'!H$61</f>
        <v>1</v>
      </c>
      <c r="J27" s="134">
        <f>'Data Sheet'!I61/'Data Sheet'!I$61</f>
        <v>1</v>
      </c>
      <c r="K27" s="134">
        <f>'Data Sheet'!J61/'Data Sheet'!J$61</f>
        <v>1</v>
      </c>
      <c r="L27" s="134">
        <f>'Data Sheet'!K61/'Data Sheet'!K$61</f>
        <v>1</v>
      </c>
    </row>
    <row r="28" spans="2:12" x14ac:dyDescent="0.3">
      <c r="B28" s="131" t="str">
        <f>'Data Sheet'!A57</f>
        <v>Equity Share Capital</v>
      </c>
      <c r="C28" s="24">
        <f>'Data Sheet'!B57/'Data Sheet'!B$61</f>
        <v>2.7127681338360746E-3</v>
      </c>
      <c r="D28" s="24">
        <f>'Data Sheet'!C57/'Data Sheet'!C$61</f>
        <v>2.5806268250531225E-3</v>
      </c>
      <c r="E28" s="24">
        <f>'Data Sheet'!D57/'Data Sheet'!D$61</f>
        <v>2.491815624573979E-3</v>
      </c>
      <c r="F28" s="24">
        <f>'Data Sheet'!E57/'Data Sheet'!E$61</f>
        <v>2.0759077068585549E-3</v>
      </c>
      <c r="G28" s="24">
        <f>'Data Sheet'!F57/'Data Sheet'!F$61</f>
        <v>2.2218261230841693E-3</v>
      </c>
      <c r="H28" s="24">
        <f>'Data Sheet'!G57/'Data Sheet'!G$61</f>
        <v>2.2473026761653833E-3</v>
      </c>
      <c r="I28" s="24">
        <f>'Data Sheet'!H57/'Data Sheet'!H$61</f>
        <v>2.2420300429859294E-3</v>
      </c>
      <c r="J28" s="24">
        <f>'Data Sheet'!I57/'Data Sheet'!I$61</f>
        <v>2.3274677325505334E-3</v>
      </c>
      <c r="K28" s="24">
        <f>'Data Sheet'!J57/'Data Sheet'!J$61</f>
        <v>2.2888512875034999E-3</v>
      </c>
      <c r="L28" s="24">
        <f>'Data Sheet'!K57/'Data Sheet'!K$61</f>
        <v>2.0743091975302811E-3</v>
      </c>
    </row>
    <row r="29" spans="2:12" x14ac:dyDescent="0.3">
      <c r="B29" s="131" t="str">
        <f>'Data Sheet'!A58</f>
        <v>Reserves</v>
      </c>
      <c r="C29" s="24">
        <f>'Data Sheet'!B58/'Data Sheet'!B$61</f>
        <v>0.23436440687072221</v>
      </c>
      <c r="D29" s="24">
        <f>'Data Sheet'!C58/'Data Sheet'!C$61</f>
        <v>0.2974086354450261</v>
      </c>
      <c r="E29" s="24">
        <f>'Data Sheet'!D58/'Data Sheet'!D$61</f>
        <v>0.21051652437468349</v>
      </c>
      <c r="F29" s="24">
        <f>'Data Sheet'!E58/'Data Sheet'!E$61</f>
        <v>0.28958148432871839</v>
      </c>
      <c r="G29" s="24">
        <f>'Data Sheet'!F58/'Data Sheet'!F$61</f>
        <v>0.19463415350606564</v>
      </c>
      <c r="H29" s="24">
        <f>'Data Sheet'!G58/'Data Sheet'!G$61</f>
        <v>0.19476266101949907</v>
      </c>
      <c r="I29" s="24">
        <f>'Data Sheet'!H58/'Data Sheet'!H$61</f>
        <v>0.15950149121742019</v>
      </c>
      <c r="J29" s="24">
        <f>'Data Sheet'!I58/'Data Sheet'!I$61</f>
        <v>0.13309172094249011</v>
      </c>
      <c r="K29" s="24">
        <f>'Data Sheet'!J58/'Data Sheet'!J$61</f>
        <v>0.13313168263258116</v>
      </c>
      <c r="L29" s="24">
        <f>'Data Sheet'!K58/'Data Sheet'!K$61</f>
        <v>0.22773160068121778</v>
      </c>
    </row>
    <row r="30" spans="2:12" x14ac:dyDescent="0.3">
      <c r="B30" s="131" t="str">
        <f>'Data Sheet'!A59</f>
        <v>Borrowings</v>
      </c>
      <c r="C30" s="24">
        <f>'Data Sheet'!B59/'Data Sheet'!B$61</f>
        <v>0.31018037266029647</v>
      </c>
      <c r="D30" s="24">
        <f>'Data Sheet'!C59/'Data Sheet'!C$61</f>
        <v>0.2635415844998551</v>
      </c>
      <c r="E30" s="24">
        <f>'Data Sheet'!D59/'Data Sheet'!D$61</f>
        <v>0.2883699324485447</v>
      </c>
      <c r="F30" s="24">
        <f>'Data Sheet'!E59/'Data Sheet'!E$61</f>
        <v>0.27186031948660327</v>
      </c>
      <c r="G30" s="24">
        <f>'Data Sheet'!F59/'Data Sheet'!F$61</f>
        <v>0.34731477877468786</v>
      </c>
      <c r="H30" s="24">
        <f>'Data Sheet'!G59/'Data Sheet'!G$61</f>
        <v>0.38974288757311953</v>
      </c>
      <c r="I30" s="24">
        <f>'Data Sheet'!H59/'Data Sheet'!H$61</f>
        <v>0.41610975041683274</v>
      </c>
      <c r="J30" s="24">
        <f>'Data Sheet'!I59/'Data Sheet'!I$61</f>
        <v>0.445050649956031</v>
      </c>
      <c r="K30" s="24">
        <f>'Data Sheet'!J59/'Data Sheet'!J$61</f>
        <v>0.40072807474416255</v>
      </c>
      <c r="L30" s="24">
        <f>'Data Sheet'!K59/'Data Sheet'!K$61</f>
        <v>0.29027474272679948</v>
      </c>
    </row>
    <row r="31" spans="2:12" x14ac:dyDescent="0.3">
      <c r="B31" s="131" t="str">
        <f>'Data Sheet'!A60</f>
        <v>Other Liabilities</v>
      </c>
      <c r="C31" s="24">
        <f>'Data Sheet'!B60/'Data Sheet'!B$61</f>
        <v>0.45274245233514521</v>
      </c>
      <c r="D31" s="24">
        <f>'Data Sheet'!C60/'Data Sheet'!C$61</f>
        <v>0.43646915323006569</v>
      </c>
      <c r="E31" s="24">
        <f>'Data Sheet'!D60/'Data Sheet'!D$61</f>
        <v>0.4986217275521978</v>
      </c>
      <c r="F31" s="24">
        <f>'Data Sheet'!E60/'Data Sheet'!E$61</f>
        <v>0.43648228847781978</v>
      </c>
      <c r="G31" s="24">
        <f>'Data Sheet'!F60/'Data Sheet'!F$61</f>
        <v>0.45582924159616234</v>
      </c>
      <c r="H31" s="24">
        <f>'Data Sheet'!G60/'Data Sheet'!G$61</f>
        <v>0.41324714873121593</v>
      </c>
      <c r="I31" s="24">
        <f>'Data Sheet'!H60/'Data Sheet'!H$61</f>
        <v>0.42214672832276123</v>
      </c>
      <c r="J31" s="24">
        <f>'Data Sheet'!I60/'Data Sheet'!I$61</f>
        <v>0.41953016136892834</v>
      </c>
      <c r="K31" s="24">
        <f>'Data Sheet'!J60/'Data Sheet'!J$61</f>
        <v>0.46385139133575282</v>
      </c>
      <c r="L31" s="24">
        <f>'Data Sheet'!K60/'Data Sheet'!K$61</f>
        <v>0.47991934739445252</v>
      </c>
    </row>
    <row r="32" spans="2:12" x14ac:dyDescent="0.3">
      <c r="B32" s="131"/>
    </row>
    <row r="33" spans="2:12" x14ac:dyDescent="0.3">
      <c r="B33" s="133" t="s">
        <v>86</v>
      </c>
      <c r="C33" s="24">
        <f>'Data Sheet'!B75/'Data Sheet'!B$75</f>
        <v>1</v>
      </c>
      <c r="D33" s="24">
        <f>'Data Sheet'!C75/'Data Sheet'!C$75</f>
        <v>1</v>
      </c>
      <c r="E33" s="24">
        <f>'Data Sheet'!D75/'Data Sheet'!D$75</f>
        <v>1</v>
      </c>
      <c r="F33" s="24">
        <f>'Data Sheet'!E75/'Data Sheet'!E$75</f>
        <v>1</v>
      </c>
      <c r="G33" s="24">
        <f>'Data Sheet'!F75/'Data Sheet'!F$75</f>
        <v>1</v>
      </c>
      <c r="H33" s="24">
        <f>'Data Sheet'!G75/'Data Sheet'!G$75</f>
        <v>1</v>
      </c>
      <c r="I33" s="24">
        <f>'Data Sheet'!H75/'Data Sheet'!H$75</f>
        <v>1</v>
      </c>
      <c r="J33" s="24">
        <f>'Data Sheet'!I75/'Data Sheet'!I$75</f>
        <v>1</v>
      </c>
      <c r="K33" s="24">
        <f>'Data Sheet'!J75/'Data Sheet'!J$75</f>
        <v>1</v>
      </c>
      <c r="L33" s="24">
        <f>'Data Sheet'!K75/'Data Sheet'!K$75</f>
        <v>1</v>
      </c>
    </row>
    <row r="34" spans="2:12" x14ac:dyDescent="0.3">
      <c r="B34" s="131" t="str">
        <f>'Data Sheet'!A62</f>
        <v>Net Block</v>
      </c>
      <c r="C34" s="24">
        <f>'Data Sheet'!B62/'Data Sheet'!B$75</f>
        <v>0.37283597031605153</v>
      </c>
      <c r="D34" s="24">
        <f>'Data Sheet'!C62/'Data Sheet'!C$75</f>
        <v>0.40744008415097382</v>
      </c>
      <c r="E34" s="24">
        <f>'Data Sheet'!D62/'Data Sheet'!D$75</f>
        <v>0.35198456704657666</v>
      </c>
      <c r="F34" s="24">
        <f>'Data Sheet'!E62/'Data Sheet'!E$75</f>
        <v>0.37107854258332446</v>
      </c>
      <c r="G34" s="24">
        <f>'Data Sheet'!F62/'Data Sheet'!F$75</f>
        <v>0.36386391925064382</v>
      </c>
      <c r="H34" s="24">
        <f>'Data Sheet'!G62/'Data Sheet'!G$75</f>
        <v>0.39698726392101624</v>
      </c>
      <c r="I34" s="24">
        <f>'Data Sheet'!H62/'Data Sheet'!H$75</f>
        <v>0.40608849298230043</v>
      </c>
      <c r="J34" s="24">
        <f>'Data Sheet'!I62/'Data Sheet'!I$75</f>
        <v>0.42197417266906562</v>
      </c>
      <c r="K34" s="24">
        <f>'Data Sheet'!J62/'Data Sheet'!J$75</f>
        <v>0.39465148263642374</v>
      </c>
      <c r="L34" s="24">
        <f>'Data Sheet'!K62/'Data Sheet'!K$75</f>
        <v>0.32822380326769868</v>
      </c>
    </row>
    <row r="35" spans="2:12" x14ac:dyDescent="0.3">
      <c r="B35" s="131" t="str">
        <f>'Data Sheet'!A63</f>
        <v>Capital Work in Progress</v>
      </c>
      <c r="C35" s="24">
        <f>'Data Sheet'!B63/'Data Sheet'!B$75</f>
        <v>0.12068396579918175</v>
      </c>
      <c r="D35" s="24">
        <f>'Data Sheet'!C63/'Data Sheet'!C$75</f>
        <v>9.8482157662096018E-2</v>
      </c>
      <c r="E35" s="24">
        <f>'Data Sheet'!D63/'Data Sheet'!D$75</f>
        <v>0.12362900980833688</v>
      </c>
      <c r="F35" s="24">
        <f>'Data Sheet'!E63/'Data Sheet'!E$75</f>
        <v>0.12235483522646853</v>
      </c>
      <c r="G35" s="24">
        <f>'Data Sheet'!F63/'Data Sheet'!F$75</f>
        <v>0.1042966176146697</v>
      </c>
      <c r="H35" s="24">
        <f>'Data Sheet'!G63/'Data Sheet'!G$75</f>
        <v>0.11125728611076434</v>
      </c>
      <c r="I35" s="24">
        <f>'Data Sheet'!H63/'Data Sheet'!H$75</f>
        <v>6.137522476731045E-2</v>
      </c>
      <c r="J35" s="24">
        <f>'Data Sheet'!I63/'Data Sheet'!I$75</f>
        <v>3.1152505873598278E-2</v>
      </c>
      <c r="K35" s="24">
        <f>'Data Sheet'!J63/'Data Sheet'!J$75</f>
        <v>4.2651899041106903E-2</v>
      </c>
      <c r="L35" s="24">
        <f>'Data Sheet'!K63/'Data Sheet'!K$75</f>
        <v>9.6607412506706999E-2</v>
      </c>
    </row>
    <row r="36" spans="2:12" x14ac:dyDescent="0.3">
      <c r="B36" s="131" t="str">
        <f>'Data Sheet'!A64</f>
        <v>Investments</v>
      </c>
      <c r="C36" s="24">
        <f>'Data Sheet'!B64/'Data Sheet'!B$75</f>
        <v>6.4626144877021785E-2</v>
      </c>
      <c r="D36" s="24">
        <f>'Data Sheet'!C64/'Data Sheet'!C$75</f>
        <v>9.0305676497502971E-2</v>
      </c>
      <c r="E36" s="24">
        <f>'Data Sheet'!D64/'Data Sheet'!D$75</f>
        <v>7.4612565630187005E-2</v>
      </c>
      <c r="F36" s="24">
        <f>'Data Sheet'!E64/'Data Sheet'!E$75</f>
        <v>6.3610241344366172E-2</v>
      </c>
      <c r="G36" s="24">
        <f>'Data Sheet'!F64/'Data Sheet'!F$75</f>
        <v>5.1588289031309388E-2</v>
      </c>
      <c r="H36" s="24">
        <f>'Data Sheet'!G64/'Data Sheet'!G$75</f>
        <v>5.0935445907370862E-2</v>
      </c>
      <c r="I36" s="24">
        <f>'Data Sheet'!H64/'Data Sheet'!H$75</f>
        <v>7.207976838475029E-2</v>
      </c>
      <c r="J36" s="24">
        <f>'Data Sheet'!I64/'Data Sheet'!I$75</f>
        <v>8.928279635517361E-2</v>
      </c>
      <c r="K36" s="24">
        <f>'Data Sheet'!J64/'Data Sheet'!J$75</f>
        <v>7.8820362822460022E-2</v>
      </c>
      <c r="L36" s="24">
        <f>'Data Sheet'!K64/'Data Sheet'!K$75</f>
        <v>6.216451634456871E-2</v>
      </c>
    </row>
    <row r="37" spans="2:12" x14ac:dyDescent="0.3">
      <c r="B37" s="131" t="str">
        <f>'Data Sheet'!A65</f>
        <v>Other Assets</v>
      </c>
      <c r="C37" s="24">
        <f>'Data Sheet'!B74/'Data Sheet'!B$75</f>
        <v>0.13016959457099153</v>
      </c>
      <c r="D37" s="24">
        <f>'Data Sheet'!C74/'Data Sheet'!C$75</f>
        <v>0.11239036762552386</v>
      </c>
      <c r="E37" s="24">
        <f>'Data Sheet'!D74/'Data Sheet'!D$75</f>
        <v>0.13706335995740859</v>
      </c>
      <c r="F37" s="24">
        <f>'Data Sheet'!E74/'Data Sheet'!E$75</f>
        <v>0.14757967199729119</v>
      </c>
      <c r="G37" s="24">
        <f>'Data Sheet'!F74/'Data Sheet'!F$75</f>
        <v>0.1836934867835496</v>
      </c>
      <c r="H37" s="24">
        <f>'Data Sheet'!G74/'Data Sheet'!G$75</f>
        <v>0.1836000124805035</v>
      </c>
      <c r="I37" s="24">
        <f>'Data Sheet'!H74/'Data Sheet'!H$75</f>
        <v>0.18068910109792749</v>
      </c>
      <c r="J37" s="24">
        <f>'Data Sheet'!I74/'Data Sheet'!I$75</f>
        <v>0.18909465826584576</v>
      </c>
      <c r="K37" s="24">
        <f>'Data Sheet'!J74/'Data Sheet'!J$75</f>
        <v>0.20447361335612049</v>
      </c>
      <c r="L37" s="24">
        <f>'Data Sheet'!K74/'Data Sheet'!K$75</f>
        <v>0.21384155000177119</v>
      </c>
    </row>
    <row r="38" spans="2:12" x14ac:dyDescent="0.3">
      <c r="B38" s="131" t="str">
        <f>'Data Sheet'!A67</f>
        <v>Receivables</v>
      </c>
      <c r="C38" s="24">
        <f>'Data Sheet'!B67/'Data Sheet'!B$75</f>
        <v>5.3006388687363314E-2</v>
      </c>
      <c r="D38" s="24">
        <f>'Data Sheet'!C67/'Data Sheet'!C$75</f>
        <v>5.1564319306195219E-2</v>
      </c>
      <c r="E38" s="24">
        <f>'Data Sheet'!D67/'Data Sheet'!D$75</f>
        <v>5.1638166447501938E-2</v>
      </c>
      <c r="F38" s="24">
        <f>'Data Sheet'!E67/'Data Sheet'!E$75</f>
        <v>6.0800115993123419E-2</v>
      </c>
      <c r="G38" s="24">
        <f>'Data Sheet'!F67/'Data Sheet'!F$75</f>
        <v>6.2139198999658127E-2</v>
      </c>
      <c r="H38" s="24">
        <f>'Data Sheet'!G67/'Data Sheet'!G$75</f>
        <v>3.4895094278241959E-2</v>
      </c>
      <c r="I38" s="24">
        <f>'Data Sheet'!H67/'Data Sheet'!H$75</f>
        <v>3.7120014464974392E-2</v>
      </c>
      <c r="J38" s="24">
        <f>'Data Sheet'!I67/'Data Sheet'!I$75</f>
        <v>3.7810927070195913E-2</v>
      </c>
      <c r="K38" s="24">
        <f>'Data Sheet'!J67/'Data Sheet'!J$75</f>
        <v>4.7024715930643397E-2</v>
      </c>
      <c r="L38" s="24">
        <f>'Data Sheet'!K67/'Data Sheet'!K$75</f>
        <v>4.5875140766843833E-2</v>
      </c>
    </row>
    <row r="39" spans="2:12" x14ac:dyDescent="0.3">
      <c r="B39" s="131" t="str">
        <f>'Data Sheet'!A68</f>
        <v>Inventory</v>
      </c>
      <c r="C39" s="24">
        <f>'Data Sheet'!B68/'Data Sheet'!B$75</f>
        <v>0.1233481486762793</v>
      </c>
      <c r="D39" s="24">
        <f>'Data Sheet'!C68/'Data Sheet'!C$75</f>
        <v>0.12407940874244236</v>
      </c>
      <c r="E39" s="24">
        <f>'Data Sheet'!D68/'Data Sheet'!D$75</f>
        <v>0.12871547311772571</v>
      </c>
      <c r="F39" s="24">
        <f>'Data Sheet'!E68/'Data Sheet'!E$75</f>
        <v>0.12878571135383859</v>
      </c>
      <c r="G39" s="24">
        <f>'Data Sheet'!F68/'Data Sheet'!F$75</f>
        <v>0.12761951131143451</v>
      </c>
      <c r="H39" s="24">
        <f>'Data Sheet'!G68/'Data Sheet'!G$75</f>
        <v>0.11698716772494318</v>
      </c>
      <c r="I39" s="24">
        <f>'Data Sheet'!H68/'Data Sheet'!H$75</f>
        <v>0.1056550619461767</v>
      </c>
      <c r="J39" s="24">
        <f>'Data Sheet'!I68/'Data Sheet'!I$75</f>
        <v>0.1070934797019244</v>
      </c>
      <c r="K39" s="24">
        <f>'Data Sheet'!J68/'Data Sheet'!J$75</f>
        <v>0.12177622891596469</v>
      </c>
      <c r="L39" s="24">
        <f>'Data Sheet'!K68/'Data Sheet'!K$75</f>
        <v>0.12932510043215181</v>
      </c>
    </row>
    <row r="40" spans="2:12" x14ac:dyDescent="0.3">
      <c r="B40" s="131" t="str">
        <f>'Data Sheet'!A69</f>
        <v>Cash &amp; Bank</v>
      </c>
      <c r="C40" s="24">
        <f>'Data Sheet'!B69/'Data Sheet'!B$75</f>
        <v>0.13532978707311077</v>
      </c>
      <c r="D40" s="24">
        <f>'Data Sheet'!C69/'Data Sheet'!C$75</f>
        <v>0.11573798601526566</v>
      </c>
      <c r="E40" s="24">
        <f>'Data Sheet'!D69/'Data Sheet'!D$75</f>
        <v>0.13235685799226327</v>
      </c>
      <c r="F40" s="24">
        <f>'Data Sheet'!E69/'Data Sheet'!E$75</f>
        <v>0.10579088150158772</v>
      </c>
      <c r="G40" s="24">
        <f>'Data Sheet'!F69/'Data Sheet'!F$75</f>
        <v>0.10679897700873484</v>
      </c>
      <c r="H40" s="24">
        <f>'Data Sheet'!G69/'Data Sheet'!G$75</f>
        <v>0.10533772957715985</v>
      </c>
      <c r="I40" s="24">
        <f>'Data Sheet'!H69/'Data Sheet'!H$75</f>
        <v>0.13699233635656022</v>
      </c>
      <c r="J40" s="24">
        <f>'Data Sheet'!I69/'Data Sheet'!I$75</f>
        <v>0.12359146006419652</v>
      </c>
      <c r="K40" s="24">
        <f>'Data Sheet'!J69/'Data Sheet'!J$75</f>
        <v>0.11060169729728082</v>
      </c>
      <c r="L40" s="24">
        <f>'Data Sheet'!K69/'Data Sheet'!K$75</f>
        <v>0.1239624766802588</v>
      </c>
    </row>
  </sheetData>
  <mergeCells count="2">
    <mergeCell ref="B2:L2"/>
    <mergeCell ref="B23:L2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B2F7-C0C0-4C11-83FB-B38212F2B967}">
  <sheetPr>
    <tabColor rgb="FF00206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Normal="100" zoomScalePageLayoutView="120" workbookViewId="0">
      <pane xSplit="1" ySplit="1" topLeftCell="B54" activePane="bottomRight" state="frozen"/>
      <selection activeCell="C4" sqref="C4"/>
      <selection pane="topRight" activeCell="C4" sqref="C4"/>
      <selection pane="bottomLeft" activeCell="C4" sqref="C4"/>
      <selection pane="bottomRight" activeCell="B72" sqref="B72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0</v>
      </c>
      <c r="B1" s="1" t="s">
        <v>33</v>
      </c>
      <c r="E1" s="154" t="str">
        <f>IF(B2&lt;&gt;B3, "A NEW VERSION OF THE WORKSHEET IS AVAILABLE", "")</f>
        <v/>
      </c>
      <c r="F1" s="154"/>
      <c r="G1" s="154"/>
      <c r="H1" s="154"/>
      <c r="I1" s="154"/>
      <c r="J1" s="154"/>
      <c r="K1" s="154"/>
    </row>
    <row r="2" spans="1:11" x14ac:dyDescent="0.3">
      <c r="A2" s="1" t="s">
        <v>31</v>
      </c>
      <c r="B2" s="3">
        <v>2.1</v>
      </c>
      <c r="E2" s="155" t="s">
        <v>22</v>
      </c>
      <c r="F2" s="155"/>
      <c r="G2" s="155"/>
      <c r="H2" s="155"/>
      <c r="I2" s="155"/>
      <c r="J2" s="155"/>
      <c r="K2" s="155"/>
    </row>
    <row r="3" spans="1:11" x14ac:dyDescent="0.3">
      <c r="A3" s="1" t="s">
        <v>32</v>
      </c>
      <c r="B3" s="3">
        <v>2.1</v>
      </c>
    </row>
    <row r="4" spans="1:11" x14ac:dyDescent="0.3">
      <c r="A4" s="1"/>
    </row>
    <row r="5" spans="1:11" x14ac:dyDescent="0.3">
      <c r="A5" s="1" t="s">
        <v>34</v>
      </c>
    </row>
    <row r="6" spans="1:11" x14ac:dyDescent="0.3">
      <c r="A6" s="3" t="s">
        <v>28</v>
      </c>
      <c r="B6" s="3">
        <f>IF(B9&gt;0, B9/B8, 0)</f>
        <v>368.35333779861577</v>
      </c>
    </row>
    <row r="7" spans="1:11" x14ac:dyDescent="0.3">
      <c r="A7" s="3" t="s">
        <v>17</v>
      </c>
      <c r="B7">
        <v>2</v>
      </c>
    </row>
    <row r="8" spans="1:11" x14ac:dyDescent="0.3">
      <c r="A8" s="3" t="s">
        <v>29</v>
      </c>
      <c r="B8">
        <v>671.85</v>
      </c>
    </row>
    <row r="9" spans="1:11" x14ac:dyDescent="0.3">
      <c r="A9" s="3" t="s">
        <v>44</v>
      </c>
      <c r="B9">
        <v>247478.19</v>
      </c>
    </row>
    <row r="15" spans="1:11" x14ac:dyDescent="0.3">
      <c r="A15" s="1" t="s">
        <v>23</v>
      </c>
    </row>
    <row r="16" spans="1:11" s="7" customFormat="1" x14ac:dyDescent="0.3">
      <c r="A16" s="6" t="s">
        <v>24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s="4" customFormat="1" x14ac:dyDescent="0.3">
      <c r="A17" s="4" t="s">
        <v>1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4" customFormat="1" x14ac:dyDescent="0.3">
      <c r="A18" s="3" t="s">
        <v>45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4" customFormat="1" x14ac:dyDescent="0.3">
      <c r="A19" s="3" t="s">
        <v>46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4" customFormat="1" x14ac:dyDescent="0.3">
      <c r="A20" s="3" t="s">
        <v>47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4" customFormat="1" x14ac:dyDescent="0.3">
      <c r="A21" s="3" t="s">
        <v>48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4" customFormat="1" x14ac:dyDescent="0.3">
      <c r="A22" s="3" t="s">
        <v>49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4" customFormat="1" x14ac:dyDescent="0.3">
      <c r="A23" s="3" t="s">
        <v>50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4" customFormat="1" x14ac:dyDescent="0.3">
      <c r="A24" s="3" t="s">
        <v>51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4" customFormat="1" x14ac:dyDescent="0.3">
      <c r="A25" s="4" t="s">
        <v>4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4" customFormat="1" x14ac:dyDescent="0.3">
      <c r="A26" s="4" t="s">
        <v>5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4" customFormat="1" x14ac:dyDescent="0.3">
      <c r="A27" s="4" t="s">
        <v>6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4" customFormat="1" x14ac:dyDescent="0.3">
      <c r="A28" s="4" t="s">
        <v>7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4" customFormat="1" x14ac:dyDescent="0.3">
      <c r="A29" s="4" t="s">
        <v>8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4" customFormat="1" x14ac:dyDescent="0.3">
      <c r="A30" s="4" t="s">
        <v>9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4" customFormat="1" x14ac:dyDescent="0.3">
      <c r="A31" s="4" t="s">
        <v>35</v>
      </c>
      <c r="C31">
        <v>67.92</v>
      </c>
      <c r="J31">
        <v>766.02</v>
      </c>
      <c r="K31">
        <v>2299.5</v>
      </c>
    </row>
    <row r="32" spans="1:11" s="4" customFormat="1" x14ac:dyDescent="0.3"/>
    <row r="33" spans="1:11" x14ac:dyDescent="0.3">
      <c r="A33" s="4" t="s">
        <v>66</v>
      </c>
      <c r="B33" s="3">
        <f>B26+B27+B29+B30</f>
        <v>39879.32</v>
      </c>
      <c r="C33" s="3">
        <f t="shared" ref="C33:K33" si="0">C26+C27+C29+C30</f>
        <v>36204.22</v>
      </c>
      <c r="D33" s="3">
        <f t="shared" si="0"/>
        <v>32848.589999999997</v>
      </c>
      <c r="E33" s="3">
        <f t="shared" si="0"/>
        <v>39566.22</v>
      </c>
      <c r="F33" s="3">
        <f t="shared" si="0"/>
        <v>-1914.4499999999971</v>
      </c>
      <c r="G33" s="3">
        <f t="shared" si="0"/>
        <v>16993.160000000003</v>
      </c>
      <c r="H33" s="3">
        <f t="shared" si="0"/>
        <v>20734.349999999999</v>
      </c>
      <c r="I33" s="3">
        <f t="shared" si="0"/>
        <v>26937.370000000003</v>
      </c>
      <c r="J33" s="3">
        <f t="shared" si="0"/>
        <v>38204.189999999995</v>
      </c>
      <c r="K33" s="3">
        <f t="shared" si="0"/>
        <v>64803.34</v>
      </c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25</v>
      </c>
    </row>
    <row r="41" spans="1:11" s="7" customFormat="1" x14ac:dyDescent="0.3">
      <c r="A41" s="6" t="s">
        <v>24</v>
      </c>
      <c r="B41" s="5">
        <v>44834</v>
      </c>
      <c r="C41" s="5">
        <v>44926</v>
      </c>
      <c r="D41" s="5">
        <v>45016</v>
      </c>
      <c r="E41" s="5">
        <v>45107</v>
      </c>
      <c r="F41" s="5">
        <v>45199</v>
      </c>
      <c r="G41" s="5">
        <v>45291</v>
      </c>
      <c r="H41" s="5">
        <v>45382</v>
      </c>
      <c r="I41" s="5">
        <v>45473</v>
      </c>
      <c r="J41" s="5">
        <v>45565</v>
      </c>
      <c r="K41" s="5">
        <v>45657</v>
      </c>
    </row>
    <row r="42" spans="1:11" s="4" customFormat="1" x14ac:dyDescent="0.3">
      <c r="A42" s="4" t="s">
        <v>1</v>
      </c>
      <c r="B42">
        <v>79611.37</v>
      </c>
      <c r="C42">
        <v>88488.59</v>
      </c>
      <c r="D42">
        <v>105932.35</v>
      </c>
      <c r="E42">
        <v>102236</v>
      </c>
      <c r="F42">
        <v>105129</v>
      </c>
      <c r="G42">
        <v>110577</v>
      </c>
      <c r="H42">
        <v>119986</v>
      </c>
      <c r="I42">
        <v>108048</v>
      </c>
      <c r="J42">
        <v>101450</v>
      </c>
      <c r="K42">
        <v>113575</v>
      </c>
    </row>
    <row r="43" spans="1:11" s="4" customFormat="1" x14ac:dyDescent="0.3">
      <c r="A43" s="4" t="s">
        <v>2</v>
      </c>
      <c r="B43">
        <v>74039.06</v>
      </c>
      <c r="C43">
        <v>77668.350000000006</v>
      </c>
      <c r="D43">
        <v>92817.95</v>
      </c>
      <c r="E43">
        <v>89019</v>
      </c>
      <c r="F43">
        <v>91362</v>
      </c>
      <c r="G43">
        <v>95159</v>
      </c>
      <c r="H43">
        <v>102851</v>
      </c>
      <c r="I43">
        <v>92263</v>
      </c>
      <c r="J43">
        <v>89291</v>
      </c>
      <c r="K43">
        <v>100532</v>
      </c>
    </row>
    <row r="44" spans="1:11" s="4" customFormat="1" x14ac:dyDescent="0.3">
      <c r="A44" s="4" t="s">
        <v>4</v>
      </c>
      <c r="B44">
        <v>1351.14</v>
      </c>
      <c r="C44">
        <v>1129.98</v>
      </c>
      <c r="D44">
        <v>1452.86</v>
      </c>
      <c r="E44">
        <v>895</v>
      </c>
      <c r="F44">
        <v>1557</v>
      </c>
      <c r="G44">
        <v>1604</v>
      </c>
      <c r="H44">
        <v>1619</v>
      </c>
      <c r="I44">
        <v>1747</v>
      </c>
      <c r="J44">
        <v>1647</v>
      </c>
      <c r="K44">
        <v>1764</v>
      </c>
    </row>
    <row r="45" spans="1:11" s="4" customFormat="1" x14ac:dyDescent="0.3">
      <c r="A45" s="4" t="s">
        <v>5</v>
      </c>
      <c r="B45">
        <v>5897.34</v>
      </c>
      <c r="C45">
        <v>6071.78</v>
      </c>
      <c r="D45">
        <v>7050.2</v>
      </c>
      <c r="E45">
        <v>6633</v>
      </c>
      <c r="F45">
        <v>6637</v>
      </c>
      <c r="G45">
        <v>6850</v>
      </c>
      <c r="H45">
        <v>7151</v>
      </c>
      <c r="I45">
        <v>6574</v>
      </c>
      <c r="J45">
        <v>6005</v>
      </c>
      <c r="K45">
        <v>5408</v>
      </c>
    </row>
    <row r="46" spans="1:11" s="4" customFormat="1" x14ac:dyDescent="0.3">
      <c r="A46" s="4" t="s">
        <v>6</v>
      </c>
      <c r="B46">
        <v>2487.2600000000002</v>
      </c>
      <c r="C46">
        <v>2675.83</v>
      </c>
      <c r="D46">
        <v>2641.67</v>
      </c>
      <c r="E46">
        <v>2615</v>
      </c>
      <c r="F46">
        <v>2652</v>
      </c>
      <c r="G46">
        <v>2485</v>
      </c>
      <c r="H46">
        <v>2234</v>
      </c>
      <c r="I46">
        <v>2088</v>
      </c>
      <c r="J46">
        <v>2034</v>
      </c>
      <c r="K46">
        <v>1725</v>
      </c>
    </row>
    <row r="47" spans="1:11" s="4" customFormat="1" x14ac:dyDescent="0.3">
      <c r="A47" s="4" t="s">
        <v>7</v>
      </c>
      <c r="B47">
        <v>-1461.15</v>
      </c>
      <c r="C47">
        <v>3202.61</v>
      </c>
      <c r="D47">
        <v>4875.3900000000003</v>
      </c>
      <c r="E47">
        <v>4864</v>
      </c>
      <c r="F47">
        <v>6035</v>
      </c>
      <c r="G47">
        <v>7687</v>
      </c>
      <c r="H47">
        <v>9369</v>
      </c>
      <c r="I47">
        <v>8870</v>
      </c>
      <c r="J47">
        <v>5767</v>
      </c>
      <c r="K47">
        <v>7674</v>
      </c>
    </row>
    <row r="48" spans="1:11" s="4" customFormat="1" x14ac:dyDescent="0.3">
      <c r="A48" s="4" t="s">
        <v>8</v>
      </c>
      <c r="B48">
        <v>-457.08</v>
      </c>
      <c r="C48">
        <v>262.83</v>
      </c>
      <c r="D48">
        <v>-620.65</v>
      </c>
      <c r="E48">
        <v>1563</v>
      </c>
      <c r="F48">
        <v>2203</v>
      </c>
      <c r="G48">
        <v>542</v>
      </c>
      <c r="H48">
        <v>-8160</v>
      </c>
      <c r="I48">
        <v>3178</v>
      </c>
      <c r="J48">
        <v>2317</v>
      </c>
      <c r="K48">
        <v>2096</v>
      </c>
    </row>
    <row r="49" spans="1:11" s="4" customFormat="1" x14ac:dyDescent="0.3">
      <c r="A49" s="4" t="s">
        <v>9</v>
      </c>
      <c r="B49">
        <v>-944.61</v>
      </c>
      <c r="C49">
        <v>2957.71</v>
      </c>
      <c r="D49">
        <v>5407.79</v>
      </c>
      <c r="E49">
        <v>3203</v>
      </c>
      <c r="F49">
        <v>3764</v>
      </c>
      <c r="G49">
        <v>7025</v>
      </c>
      <c r="H49">
        <v>17407</v>
      </c>
      <c r="I49">
        <v>5566</v>
      </c>
      <c r="J49">
        <v>3343</v>
      </c>
      <c r="K49">
        <v>5451</v>
      </c>
    </row>
    <row r="50" spans="1:11" x14ac:dyDescent="0.3">
      <c r="A50" s="4" t="s">
        <v>3</v>
      </c>
      <c r="B50">
        <v>5572.31</v>
      </c>
      <c r="C50">
        <v>10820.24</v>
      </c>
      <c r="D50">
        <v>13114.4</v>
      </c>
      <c r="E50">
        <v>13217</v>
      </c>
      <c r="F50">
        <v>13767</v>
      </c>
      <c r="G50">
        <v>15418</v>
      </c>
      <c r="H50">
        <v>17135</v>
      </c>
      <c r="I50">
        <v>15785</v>
      </c>
      <c r="J50">
        <v>12159</v>
      </c>
      <c r="K50">
        <v>13043</v>
      </c>
    </row>
    <row r="51" spans="1:11" x14ac:dyDescent="0.3">
      <c r="A51" s="4"/>
    </row>
    <row r="52" spans="1:11" x14ac:dyDescent="0.3">
      <c r="A52" s="4"/>
    </row>
    <row r="53" spans="1:11" x14ac:dyDescent="0.3">
      <c r="A53" s="4"/>
    </row>
    <row r="54" spans="1:11" x14ac:dyDescent="0.3">
      <c r="A54" s="4"/>
    </row>
    <row r="55" spans="1:11" x14ac:dyDescent="0.3">
      <c r="A55" s="1" t="s">
        <v>26</v>
      </c>
    </row>
    <row r="56" spans="1:11" s="7" customFormat="1" x14ac:dyDescent="0.3">
      <c r="A56" s="6" t="s">
        <v>24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3">
      <c r="A57" s="4" t="s">
        <v>11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3">
      <c r="A58" s="4" t="s">
        <v>12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62358.99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3">
      <c r="A59" s="4" t="s">
        <v>36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3">
      <c r="A60" s="4" t="s">
        <v>37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132313.22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x14ac:dyDescent="0.3">
      <c r="A61" s="1" t="s">
        <v>13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3">
      <c r="A62" s="4" t="s">
        <v>14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3">
      <c r="A63" s="4" t="s">
        <v>15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3">
      <c r="A64" s="4" t="s">
        <v>16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3">
      <c r="A65" s="4" t="s">
        <v>38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x14ac:dyDescent="0.3">
      <c r="A66" s="1" t="s">
        <v>13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4" customFormat="1" x14ac:dyDescent="0.3">
      <c r="A67" s="4" t="s">
        <v>43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3">
      <c r="A68" s="4" t="s">
        <v>30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3">
      <c r="A69" s="3" t="s">
        <v>52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3">
      <c r="A70" s="3" t="s">
        <v>39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3">
      <c r="A71" s="3" t="s">
        <v>40</v>
      </c>
    </row>
    <row r="72" spans="1:11" x14ac:dyDescent="0.3">
      <c r="A72" s="3" t="s">
        <v>53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">
      <c r="A74" s="4" t="s">
        <v>38</v>
      </c>
      <c r="B74" s="3">
        <f>B65-SUM(B67:B69)</f>
        <v>30891.17</v>
      </c>
      <c r="C74" s="3">
        <f t="shared" ref="C74:K74" si="1">C65-SUM(C67:C69)</f>
        <v>29579.359999999986</v>
      </c>
      <c r="D74" s="3">
        <f t="shared" si="1"/>
        <v>37360.780000000013</v>
      </c>
      <c r="E74" s="3">
        <f t="shared" si="1"/>
        <v>48286.860000000015</v>
      </c>
      <c r="F74" s="3">
        <f t="shared" si="1"/>
        <v>56155.739999999991</v>
      </c>
      <c r="G74" s="3">
        <f t="shared" si="1"/>
        <v>58784.94</v>
      </c>
      <c r="H74" s="3">
        <f t="shared" si="1"/>
        <v>61717.959999999992</v>
      </c>
      <c r="I74" s="3">
        <f t="shared" si="1"/>
        <v>62223.770000000019</v>
      </c>
      <c r="J74" s="3">
        <f t="shared" si="1"/>
        <v>68432.090000000011</v>
      </c>
      <c r="K74" s="3">
        <f t="shared" si="1"/>
        <v>79018.859999999986</v>
      </c>
    </row>
    <row r="75" spans="1:11" x14ac:dyDescent="0.3">
      <c r="A75" s="4" t="s">
        <v>86</v>
      </c>
      <c r="B75" s="3">
        <f>B61</f>
        <v>237314.79</v>
      </c>
      <c r="C75" s="3">
        <f t="shared" ref="C75:K75" si="2">C61</f>
        <v>263184.12</v>
      </c>
      <c r="D75" s="3">
        <f t="shared" si="2"/>
        <v>272580.36</v>
      </c>
      <c r="E75" s="3">
        <f t="shared" si="2"/>
        <v>327191.81</v>
      </c>
      <c r="F75" s="3">
        <f t="shared" si="2"/>
        <v>305703.49</v>
      </c>
      <c r="G75" s="3">
        <f t="shared" si="2"/>
        <v>320179.39</v>
      </c>
      <c r="H75" s="3">
        <f t="shared" si="2"/>
        <v>341569.91</v>
      </c>
      <c r="I75" s="3">
        <f t="shared" si="2"/>
        <v>329061.49</v>
      </c>
      <c r="J75" s="3">
        <f t="shared" si="2"/>
        <v>334674.43</v>
      </c>
      <c r="K75" s="3">
        <f t="shared" si="2"/>
        <v>369520.61</v>
      </c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27</v>
      </c>
    </row>
    <row r="81" spans="1:11" s="7" customFormat="1" x14ac:dyDescent="0.3">
      <c r="A81" s="6" t="s">
        <v>24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</row>
    <row r="82" spans="1:11" s="1" customFormat="1" x14ac:dyDescent="0.3">
      <c r="A82" s="4" t="s">
        <v>18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4" customFormat="1" x14ac:dyDescent="0.3">
      <c r="A83" s="4" t="s">
        <v>19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4" customFormat="1" x14ac:dyDescent="0.3">
      <c r="A84" s="4" t="s">
        <v>20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x14ac:dyDescent="0.3">
      <c r="A85" s="4" t="s">
        <v>21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42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x14ac:dyDescent="0.3">
      <c r="A92" s="1" t="s">
        <v>41</v>
      </c>
    </row>
    <row r="93" spans="1:11" x14ac:dyDescent="0.3">
      <c r="A93" s="3" t="s">
        <v>54</v>
      </c>
      <c r="B93" s="8">
        <v>288.74</v>
      </c>
      <c r="C93" s="8">
        <v>288.72000000000003</v>
      </c>
      <c r="D93" s="8">
        <v>288.73</v>
      </c>
      <c r="E93" s="8">
        <v>288.73</v>
      </c>
      <c r="F93" s="8">
        <v>288.73</v>
      </c>
      <c r="G93" s="8">
        <v>308.89999999999998</v>
      </c>
      <c r="H93" s="8">
        <v>332.03</v>
      </c>
      <c r="I93" s="8">
        <v>332.07</v>
      </c>
      <c r="J93" s="8">
        <v>332.13</v>
      </c>
      <c r="K93" s="8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10FC-956C-4D02-A9C9-626C6693E28F}">
  <dimension ref="B2:N33"/>
  <sheetViews>
    <sheetView workbookViewId="0">
      <selection activeCell="E38" sqref="E38"/>
    </sheetView>
  </sheetViews>
  <sheetFormatPr defaultRowHeight="14.4" x14ac:dyDescent="0.3"/>
  <cols>
    <col min="2" max="2" width="25.77734375" bestFit="1" customWidth="1"/>
    <col min="3" max="14" width="7.109375" bestFit="1" customWidth="1"/>
  </cols>
  <sheetData>
    <row r="2" spans="2:14" x14ac:dyDescent="0.3">
      <c r="C2" s="27">
        <v>41334</v>
      </c>
      <c r="D2" s="27">
        <v>41699</v>
      </c>
      <c r="E2" s="27">
        <v>42064</v>
      </c>
      <c r="F2" s="27">
        <v>42430</v>
      </c>
      <c r="G2" s="27">
        <v>42795</v>
      </c>
      <c r="H2" s="27">
        <v>43160</v>
      </c>
      <c r="I2" s="27">
        <v>43525</v>
      </c>
      <c r="J2" s="27">
        <v>43891</v>
      </c>
      <c r="K2" s="27">
        <v>44256</v>
      </c>
      <c r="L2" s="27">
        <v>44621</v>
      </c>
      <c r="M2" s="27">
        <v>44986</v>
      </c>
      <c r="N2" s="27">
        <v>45352</v>
      </c>
    </row>
    <row r="3" spans="2:14" x14ac:dyDescent="0.3">
      <c r="B3" t="s">
        <v>115</v>
      </c>
      <c r="C3" s="28">
        <v>22163</v>
      </c>
      <c r="D3" s="28">
        <v>36151</v>
      </c>
      <c r="E3" s="28">
        <v>35531</v>
      </c>
      <c r="F3" s="28">
        <v>37900</v>
      </c>
      <c r="G3" s="28">
        <v>30199</v>
      </c>
      <c r="H3" s="28">
        <v>23857</v>
      </c>
      <c r="I3" s="28">
        <v>18891</v>
      </c>
      <c r="J3" s="28">
        <v>26633</v>
      </c>
      <c r="K3" s="28">
        <v>29001</v>
      </c>
      <c r="L3" s="28">
        <v>14283</v>
      </c>
      <c r="M3" s="28">
        <v>35388</v>
      </c>
      <c r="N3" s="28">
        <v>67915</v>
      </c>
    </row>
    <row r="4" spans="2:14" x14ac:dyDescent="0.3">
      <c r="B4" t="s">
        <v>90</v>
      </c>
      <c r="C4" s="28">
        <v>24406</v>
      </c>
      <c r="D4" s="28">
        <v>36303</v>
      </c>
      <c r="E4" s="28">
        <v>43397</v>
      </c>
      <c r="F4" s="28">
        <v>38626</v>
      </c>
      <c r="G4" s="28">
        <v>28840</v>
      </c>
      <c r="H4" s="28">
        <v>33312</v>
      </c>
      <c r="I4" s="28">
        <v>28771</v>
      </c>
      <c r="J4" s="28">
        <v>23352</v>
      </c>
      <c r="K4" s="28">
        <v>31198</v>
      </c>
      <c r="L4" s="28">
        <v>26943</v>
      </c>
      <c r="M4" s="28">
        <v>41694</v>
      </c>
      <c r="N4" s="28">
        <v>65106</v>
      </c>
    </row>
    <row r="5" spans="2:14" x14ac:dyDescent="0.3">
      <c r="B5" t="s">
        <v>43</v>
      </c>
      <c r="C5" s="28">
        <v>-5177</v>
      </c>
      <c r="D5">
        <v>445</v>
      </c>
      <c r="E5" s="28">
        <v>-3179</v>
      </c>
      <c r="F5" s="28">
        <v>-2223</v>
      </c>
      <c r="G5" s="28">
        <v>-4152</v>
      </c>
      <c r="H5" s="28">
        <v>-10688</v>
      </c>
      <c r="I5" s="28">
        <v>-9109</v>
      </c>
      <c r="J5" s="28">
        <v>9950</v>
      </c>
      <c r="K5" s="28">
        <v>-5505</v>
      </c>
      <c r="L5">
        <v>185</v>
      </c>
      <c r="M5" s="28">
        <v>-2213</v>
      </c>
      <c r="N5" s="28">
        <v>-1875</v>
      </c>
    </row>
    <row r="6" spans="2:14" x14ac:dyDescent="0.3">
      <c r="B6" t="s">
        <v>30</v>
      </c>
      <c r="C6" s="28">
        <v>-2656</v>
      </c>
      <c r="D6" s="28">
        <v>-2853</v>
      </c>
      <c r="E6" s="28">
        <v>-3692</v>
      </c>
      <c r="F6" s="28">
        <v>-5743</v>
      </c>
      <c r="G6" s="28">
        <v>-6621</v>
      </c>
      <c r="H6" s="28">
        <v>-3560</v>
      </c>
      <c r="I6" s="28">
        <v>2069</v>
      </c>
      <c r="J6" s="28">
        <v>2326</v>
      </c>
      <c r="K6" s="28">
        <v>3814</v>
      </c>
      <c r="L6">
        <v>472</v>
      </c>
      <c r="M6" s="28">
        <v>-5665</v>
      </c>
      <c r="N6" s="28">
        <v>-7265</v>
      </c>
    </row>
    <row r="7" spans="2:14" x14ac:dyDescent="0.3">
      <c r="B7" t="s">
        <v>91</v>
      </c>
      <c r="C7" s="28">
        <v>8132</v>
      </c>
      <c r="D7" s="28">
        <v>4694</v>
      </c>
      <c r="E7" s="28">
        <v>3598</v>
      </c>
      <c r="F7" s="28">
        <v>3947</v>
      </c>
      <c r="G7" s="28">
        <v>9301</v>
      </c>
      <c r="H7" s="28">
        <v>7320</v>
      </c>
      <c r="I7" s="28">
        <v>-4692</v>
      </c>
      <c r="J7" s="28">
        <v>-8085</v>
      </c>
      <c r="K7" s="28">
        <v>5748</v>
      </c>
      <c r="L7" s="28">
        <v>-7012</v>
      </c>
      <c r="M7" s="28">
        <v>6945</v>
      </c>
      <c r="N7" s="28">
        <v>13706</v>
      </c>
    </row>
    <row r="8" spans="2:14" x14ac:dyDescent="0.3">
      <c r="B8" t="s">
        <v>92</v>
      </c>
      <c r="C8">
        <v>0</v>
      </c>
      <c r="D8">
        <v>0</v>
      </c>
      <c r="E8">
        <v>0</v>
      </c>
      <c r="F8">
        <v>-520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93</v>
      </c>
      <c r="C9">
        <v>-303</v>
      </c>
      <c r="D9" s="28">
        <v>1870</v>
      </c>
      <c r="E9">
        <v>-398</v>
      </c>
      <c r="F9" s="28">
        <v>5852</v>
      </c>
      <c r="G9" s="28">
        <v>4727</v>
      </c>
      <c r="H9">
        <v>494</v>
      </c>
      <c r="I9" s="28">
        <v>4512</v>
      </c>
      <c r="J9">
        <v>875</v>
      </c>
      <c r="K9" s="28">
        <v>-4150</v>
      </c>
      <c r="L9" s="28">
        <v>-4396</v>
      </c>
      <c r="M9" s="28">
        <v>-2194</v>
      </c>
      <c r="N9" s="28">
        <v>2760</v>
      </c>
    </row>
    <row r="10" spans="2:14" x14ac:dyDescent="0.3">
      <c r="B10" t="s">
        <v>94</v>
      </c>
      <c r="C10">
        <v>-3</v>
      </c>
      <c r="D10" s="28">
        <v>4157</v>
      </c>
      <c r="E10" s="28">
        <v>-3672</v>
      </c>
      <c r="F10" s="28">
        <v>1313</v>
      </c>
      <c r="G10" s="28">
        <v>3254</v>
      </c>
      <c r="H10" s="28">
        <v>-6434</v>
      </c>
      <c r="I10" s="28">
        <v>-7221</v>
      </c>
      <c r="J10" s="28">
        <v>5065</v>
      </c>
      <c r="K10">
        <v>-93</v>
      </c>
      <c r="L10" s="28">
        <v>-10750</v>
      </c>
      <c r="M10" s="28">
        <v>-3127</v>
      </c>
      <c r="N10" s="28">
        <v>7325</v>
      </c>
    </row>
    <row r="11" spans="2:14" x14ac:dyDescent="0.3">
      <c r="B11" t="s">
        <v>95</v>
      </c>
      <c r="C11" s="28">
        <v>-2240</v>
      </c>
      <c r="D11" s="28">
        <v>-4308</v>
      </c>
      <c r="E11" s="28">
        <v>-4194</v>
      </c>
      <c r="F11" s="28">
        <v>-2040</v>
      </c>
      <c r="G11" s="28">
        <v>-1895</v>
      </c>
      <c r="H11" s="28">
        <v>-3021</v>
      </c>
      <c r="I11" s="28">
        <v>-2659</v>
      </c>
      <c r="J11" s="28">
        <v>-1785</v>
      </c>
      <c r="K11" s="28">
        <v>-2105</v>
      </c>
      <c r="L11" s="28">
        <v>-1910</v>
      </c>
      <c r="M11" s="28">
        <v>-3179</v>
      </c>
      <c r="N11" s="28">
        <v>-4516</v>
      </c>
    </row>
    <row r="12" spans="2:14" x14ac:dyDescent="0.3">
      <c r="B12" t="s">
        <v>116</v>
      </c>
      <c r="C12" s="28">
        <v>-22969</v>
      </c>
      <c r="D12" s="28">
        <v>-27991</v>
      </c>
      <c r="E12" s="28">
        <v>-36232</v>
      </c>
      <c r="F12" s="28">
        <v>-36694</v>
      </c>
      <c r="G12" s="28">
        <v>-39571</v>
      </c>
      <c r="H12" s="28">
        <v>-25139</v>
      </c>
      <c r="I12" s="28">
        <v>-20878</v>
      </c>
      <c r="J12" s="28">
        <v>-33115</v>
      </c>
      <c r="K12" s="28">
        <v>-25672</v>
      </c>
      <c r="L12" s="28">
        <v>-4444</v>
      </c>
      <c r="M12" s="28">
        <v>-15417</v>
      </c>
      <c r="N12" s="28">
        <v>-22782</v>
      </c>
    </row>
    <row r="13" spans="2:14" x14ac:dyDescent="0.3">
      <c r="B13" t="s">
        <v>96</v>
      </c>
      <c r="C13" s="28">
        <v>-18863</v>
      </c>
      <c r="D13" s="28">
        <v>-26975</v>
      </c>
      <c r="E13" s="28">
        <v>-31962</v>
      </c>
      <c r="F13" s="28">
        <v>-31503</v>
      </c>
      <c r="G13" s="28">
        <v>-16072</v>
      </c>
      <c r="H13" s="28">
        <v>-35079</v>
      </c>
      <c r="I13" s="28">
        <v>-35304</v>
      </c>
      <c r="J13" s="28">
        <v>-29702</v>
      </c>
      <c r="K13" s="28">
        <v>-20205</v>
      </c>
      <c r="L13" s="28">
        <v>-15168</v>
      </c>
      <c r="M13" s="28">
        <v>-19230</v>
      </c>
      <c r="N13" s="28">
        <v>-31414</v>
      </c>
    </row>
    <row r="14" spans="2:14" x14ac:dyDescent="0.3">
      <c r="B14" t="s">
        <v>97</v>
      </c>
      <c r="C14">
        <v>37</v>
      </c>
      <c r="D14">
        <v>50</v>
      </c>
      <c r="E14">
        <v>74</v>
      </c>
      <c r="F14">
        <v>59</v>
      </c>
      <c r="G14">
        <v>53</v>
      </c>
      <c r="H14">
        <v>30</v>
      </c>
      <c r="I14">
        <v>67</v>
      </c>
      <c r="J14">
        <v>171</v>
      </c>
      <c r="K14">
        <v>351</v>
      </c>
      <c r="L14">
        <v>230</v>
      </c>
      <c r="M14">
        <v>285</v>
      </c>
      <c r="N14">
        <v>231</v>
      </c>
    </row>
    <row r="15" spans="2:14" x14ac:dyDescent="0.3">
      <c r="B15" t="s">
        <v>98</v>
      </c>
      <c r="C15">
        <v>73</v>
      </c>
      <c r="D15">
        <v>-429</v>
      </c>
      <c r="E15" s="28">
        <v>-5461</v>
      </c>
      <c r="F15" s="28">
        <v>-4728</v>
      </c>
      <c r="G15">
        <v>-6</v>
      </c>
      <c r="H15">
        <v>-329</v>
      </c>
      <c r="I15">
        <v>-130</v>
      </c>
      <c r="J15" s="28">
        <v>-1439</v>
      </c>
      <c r="K15" s="28">
        <v>-7530</v>
      </c>
      <c r="L15" s="28">
        <v>-3008</v>
      </c>
      <c r="M15">
        <v>-50</v>
      </c>
      <c r="N15">
        <v>-74</v>
      </c>
    </row>
    <row r="16" spans="2:14" x14ac:dyDescent="0.3">
      <c r="B16" t="s">
        <v>99</v>
      </c>
      <c r="C16">
        <v>34</v>
      </c>
      <c r="D16">
        <v>4</v>
      </c>
      <c r="E16">
        <v>42</v>
      </c>
      <c r="F16">
        <v>89</v>
      </c>
      <c r="G16" s="28">
        <v>1965</v>
      </c>
      <c r="H16" s="28">
        <v>2381</v>
      </c>
      <c r="I16" s="28">
        <v>5644</v>
      </c>
      <c r="J16">
        <v>21</v>
      </c>
      <c r="K16">
        <v>226</v>
      </c>
      <c r="L16">
        <v>104</v>
      </c>
      <c r="M16" s="28">
        <v>6895</v>
      </c>
      <c r="N16" s="28">
        <v>10820</v>
      </c>
    </row>
    <row r="17" spans="2:14" x14ac:dyDescent="0.3">
      <c r="B17" t="s">
        <v>100</v>
      </c>
      <c r="C17">
        <v>713</v>
      </c>
      <c r="D17">
        <v>653</v>
      </c>
      <c r="E17">
        <v>698</v>
      </c>
      <c r="F17">
        <v>731</v>
      </c>
      <c r="G17">
        <v>638</v>
      </c>
      <c r="H17">
        <v>690</v>
      </c>
      <c r="I17">
        <v>761</v>
      </c>
      <c r="J17" s="28">
        <v>1104</v>
      </c>
      <c r="K17">
        <v>428</v>
      </c>
      <c r="L17">
        <v>653</v>
      </c>
      <c r="M17">
        <v>973</v>
      </c>
      <c r="N17" s="28">
        <v>2493</v>
      </c>
    </row>
    <row r="18" spans="2:14" x14ac:dyDescent="0.3">
      <c r="B18" t="s">
        <v>101</v>
      </c>
      <c r="C18">
        <v>95</v>
      </c>
      <c r="D18">
        <v>40</v>
      </c>
      <c r="E18">
        <v>80</v>
      </c>
      <c r="F18">
        <v>58</v>
      </c>
      <c r="G18">
        <v>620</v>
      </c>
      <c r="H18" s="28">
        <v>1797</v>
      </c>
      <c r="I18">
        <v>232</v>
      </c>
      <c r="J18">
        <v>21</v>
      </c>
      <c r="K18">
        <v>18</v>
      </c>
      <c r="L18">
        <v>32</v>
      </c>
      <c r="M18">
        <v>46</v>
      </c>
      <c r="N18">
        <v>47</v>
      </c>
    </row>
    <row r="19" spans="2:14" x14ac:dyDescent="0.3">
      <c r="B19" t="s">
        <v>102</v>
      </c>
      <c r="C19">
        <v>0</v>
      </c>
      <c r="D19">
        <v>0</v>
      </c>
      <c r="E19">
        <v>-160</v>
      </c>
      <c r="F19">
        <v>0</v>
      </c>
      <c r="G19">
        <v>-107</v>
      </c>
      <c r="H19">
        <v>-4</v>
      </c>
      <c r="I19">
        <v>-9</v>
      </c>
      <c r="J19">
        <v>-606</v>
      </c>
      <c r="K19">
        <v>-10</v>
      </c>
      <c r="L19">
        <v>0</v>
      </c>
      <c r="M19">
        <v>0</v>
      </c>
      <c r="N19">
        <v>-150</v>
      </c>
    </row>
    <row r="20" spans="2:14" x14ac:dyDescent="0.3"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533</v>
      </c>
      <c r="J20">
        <v>0</v>
      </c>
      <c r="K20">
        <v>0</v>
      </c>
      <c r="L20">
        <v>0</v>
      </c>
      <c r="M20">
        <v>19</v>
      </c>
      <c r="N20">
        <v>108</v>
      </c>
    </row>
    <row r="21" spans="2:14" x14ac:dyDescent="0.3">
      <c r="B21" t="s">
        <v>104</v>
      </c>
      <c r="C21">
        <v>0</v>
      </c>
      <c r="D21">
        <v>-185</v>
      </c>
      <c r="E21">
        <v>0</v>
      </c>
      <c r="F21">
        <v>-111</v>
      </c>
      <c r="G21">
        <v>0</v>
      </c>
      <c r="H21">
        <v>0</v>
      </c>
      <c r="I21">
        <v>-8</v>
      </c>
      <c r="J21">
        <v>-27</v>
      </c>
      <c r="K21">
        <v>0</v>
      </c>
      <c r="L21">
        <v>-98</v>
      </c>
      <c r="M21">
        <v>0</v>
      </c>
      <c r="N21">
        <v>0</v>
      </c>
    </row>
    <row r="22" spans="2:14" x14ac:dyDescent="0.3">
      <c r="B22" t="s">
        <v>105</v>
      </c>
      <c r="C22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-24</v>
      </c>
    </row>
    <row r="23" spans="2:14" x14ac:dyDescent="0.3">
      <c r="B23" t="s">
        <v>106</v>
      </c>
      <c r="C23" s="28">
        <v>-5103</v>
      </c>
      <c r="D23" s="28">
        <v>-1149</v>
      </c>
      <c r="E23">
        <v>456</v>
      </c>
      <c r="F23" s="28">
        <v>-1289</v>
      </c>
      <c r="G23" s="28">
        <v>-26663</v>
      </c>
      <c r="H23" s="28">
        <v>5360</v>
      </c>
      <c r="I23" s="28">
        <v>7335</v>
      </c>
      <c r="J23" s="28">
        <v>-2659</v>
      </c>
      <c r="K23" s="28">
        <v>1051</v>
      </c>
      <c r="L23" s="28">
        <v>12813</v>
      </c>
      <c r="M23" s="28">
        <v>-4357</v>
      </c>
      <c r="N23" s="28">
        <v>-4817</v>
      </c>
    </row>
    <row r="24" spans="2:14" x14ac:dyDescent="0.3">
      <c r="B24" t="s">
        <v>117</v>
      </c>
      <c r="C24" s="28">
        <v>-1692</v>
      </c>
      <c r="D24" s="28">
        <v>-3883</v>
      </c>
      <c r="E24" s="28">
        <v>5201</v>
      </c>
      <c r="F24" s="28">
        <v>-3795</v>
      </c>
      <c r="G24" s="28">
        <v>6205</v>
      </c>
      <c r="H24" s="28">
        <v>2012</v>
      </c>
      <c r="I24" s="28">
        <v>8830</v>
      </c>
      <c r="J24" s="28">
        <v>3390</v>
      </c>
      <c r="K24" s="28">
        <v>9904</v>
      </c>
      <c r="L24" s="28">
        <v>-3380</v>
      </c>
      <c r="M24" s="28">
        <v>-26243</v>
      </c>
      <c r="N24" s="28">
        <v>-37006</v>
      </c>
    </row>
    <row r="25" spans="2:14" x14ac:dyDescent="0.3">
      <c r="B25" t="s">
        <v>107</v>
      </c>
      <c r="C25">
        <v>1</v>
      </c>
      <c r="D25">
        <v>0</v>
      </c>
      <c r="E25">
        <v>0</v>
      </c>
      <c r="F25" s="28">
        <v>7433</v>
      </c>
      <c r="G25">
        <v>5</v>
      </c>
      <c r="H25">
        <v>0</v>
      </c>
      <c r="I25">
        <v>0</v>
      </c>
      <c r="J25" s="28">
        <v>3889</v>
      </c>
      <c r="K25" s="28">
        <v>2603</v>
      </c>
      <c r="L25">
        <v>19</v>
      </c>
      <c r="M25">
        <v>20</v>
      </c>
      <c r="N25">
        <v>82</v>
      </c>
    </row>
    <row r="26" spans="2:14" x14ac:dyDescent="0.3">
      <c r="B26" t="s">
        <v>108</v>
      </c>
      <c r="C26">
        <v>-97</v>
      </c>
      <c r="D26">
        <v>-658</v>
      </c>
      <c r="E26">
        <v>-744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3">
      <c r="B27" t="s">
        <v>109</v>
      </c>
      <c r="C27" s="28">
        <v>27863</v>
      </c>
      <c r="D27" s="28">
        <v>33258</v>
      </c>
      <c r="E27" s="28">
        <v>36363</v>
      </c>
      <c r="F27" s="28">
        <v>19519</v>
      </c>
      <c r="G27" s="28">
        <v>33390</v>
      </c>
      <c r="H27" s="28">
        <v>37482</v>
      </c>
      <c r="I27" s="28">
        <v>51128</v>
      </c>
      <c r="J27" s="28">
        <v>38297</v>
      </c>
      <c r="K27" s="28">
        <v>46641</v>
      </c>
      <c r="L27" s="28">
        <v>46578</v>
      </c>
      <c r="M27" s="28">
        <v>43934</v>
      </c>
      <c r="N27" s="28">
        <v>18747</v>
      </c>
    </row>
    <row r="28" spans="2:14" x14ac:dyDescent="0.3">
      <c r="B28" t="s">
        <v>110</v>
      </c>
      <c r="C28" s="28">
        <v>-20395</v>
      </c>
      <c r="D28" s="28">
        <v>-29141</v>
      </c>
      <c r="E28" s="28">
        <v>-23332</v>
      </c>
      <c r="F28" s="28">
        <v>-24924</v>
      </c>
      <c r="G28" s="28">
        <v>-21732</v>
      </c>
      <c r="H28" s="28">
        <v>-29964</v>
      </c>
      <c r="I28" s="28">
        <v>-35198</v>
      </c>
      <c r="J28" s="28">
        <v>-29847</v>
      </c>
      <c r="K28" s="28">
        <v>-29709</v>
      </c>
      <c r="L28" s="28">
        <v>-42816</v>
      </c>
      <c r="M28" s="28">
        <v>-62557</v>
      </c>
      <c r="N28" s="28">
        <v>-47332</v>
      </c>
    </row>
    <row r="29" spans="2:14" x14ac:dyDescent="0.3">
      <c r="B29" t="s">
        <v>111</v>
      </c>
      <c r="C29" s="28">
        <v>-4666</v>
      </c>
      <c r="D29" s="28">
        <v>-6171</v>
      </c>
      <c r="E29" s="28">
        <v>-6307</v>
      </c>
      <c r="F29" s="28">
        <v>-5716</v>
      </c>
      <c r="G29" s="28">
        <v>-5336</v>
      </c>
      <c r="H29" s="28">
        <v>-5411</v>
      </c>
      <c r="I29" s="28">
        <v>-7005</v>
      </c>
      <c r="J29" s="28">
        <v>-7518</v>
      </c>
      <c r="K29" s="28">
        <v>-8123</v>
      </c>
      <c r="L29" s="28">
        <v>-9251</v>
      </c>
      <c r="M29" s="28">
        <v>-9336</v>
      </c>
      <c r="N29" s="28">
        <v>-9332</v>
      </c>
    </row>
    <row r="30" spans="2:14" x14ac:dyDescent="0.3">
      <c r="B30" t="s">
        <v>112</v>
      </c>
      <c r="C30" s="28">
        <v>-1551</v>
      </c>
      <c r="D30">
        <v>-722</v>
      </c>
      <c r="E30">
        <v>-720</v>
      </c>
      <c r="F30">
        <v>-108</v>
      </c>
      <c r="G30">
        <v>-121</v>
      </c>
      <c r="H30">
        <v>-96</v>
      </c>
      <c r="I30">
        <v>-95</v>
      </c>
      <c r="J30">
        <v>-57</v>
      </c>
      <c r="K30">
        <v>-30</v>
      </c>
      <c r="L30">
        <v>-100</v>
      </c>
      <c r="M30">
        <v>-141</v>
      </c>
      <c r="N30" s="28">
        <v>-1059</v>
      </c>
    </row>
    <row r="31" spans="2:14" x14ac:dyDescent="0.3">
      <c r="B31" t="s">
        <v>113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28">
        <v>-1346</v>
      </c>
      <c r="K31" s="28">
        <v>-1477</v>
      </c>
      <c r="L31" s="28">
        <v>-1559</v>
      </c>
      <c r="M31" s="28">
        <v>-1517</v>
      </c>
      <c r="N31" s="28">
        <v>-1924</v>
      </c>
    </row>
    <row r="32" spans="2:14" x14ac:dyDescent="0.3">
      <c r="B32" t="s">
        <v>114</v>
      </c>
      <c r="C32" s="28">
        <v>-2849</v>
      </c>
      <c r="D32">
        <v>-450</v>
      </c>
      <c r="E32">
        <v>-57</v>
      </c>
      <c r="F32">
        <v>0</v>
      </c>
      <c r="G32">
        <v>0</v>
      </c>
      <c r="H32">
        <v>0</v>
      </c>
      <c r="I32">
        <v>0</v>
      </c>
      <c r="J32">
        <v>-29</v>
      </c>
      <c r="K32">
        <v>0</v>
      </c>
      <c r="L32" s="28">
        <v>3750</v>
      </c>
      <c r="M32" s="28">
        <v>3355</v>
      </c>
      <c r="N32" s="28">
        <v>3812</v>
      </c>
    </row>
    <row r="33" spans="2:14" x14ac:dyDescent="0.3">
      <c r="B33" t="s">
        <v>21</v>
      </c>
      <c r="C33" s="28">
        <v>-2499</v>
      </c>
      <c r="D33" s="28">
        <v>4277</v>
      </c>
      <c r="E33" s="28">
        <v>4500</v>
      </c>
      <c r="F33" s="28">
        <v>-2589</v>
      </c>
      <c r="G33" s="28">
        <v>-3167</v>
      </c>
      <c r="H33">
        <v>730</v>
      </c>
      <c r="I33" s="28">
        <v>6843</v>
      </c>
      <c r="J33" s="28">
        <v>-3092</v>
      </c>
      <c r="K33" s="28">
        <v>13232</v>
      </c>
      <c r="L33" s="28">
        <v>6459</v>
      </c>
      <c r="M33" s="28">
        <v>-6272</v>
      </c>
      <c r="N33" s="28">
        <v>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Financials&gt;</vt:lpstr>
      <vt:lpstr>HistoricalFS</vt:lpstr>
      <vt:lpstr>Ratio Analysis</vt:lpstr>
      <vt:lpstr>Forecasting</vt:lpstr>
      <vt:lpstr>DCF&gt;</vt:lpstr>
      <vt:lpstr>WACC</vt:lpstr>
      <vt:lpstr>Data&gt;</vt:lpstr>
      <vt:lpstr>Beta - Regression</vt:lpstr>
      <vt:lpstr>Beta - Comps</vt:lpstr>
      <vt:lpstr>Rm</vt:lpstr>
      <vt:lpstr>Intrinsic Growth</vt:lpstr>
      <vt:lpstr>Raw FS</vt:lpstr>
      <vt:lpstr>Common Size Statement</vt:lpstr>
      <vt:lpstr>Data Room&gt;</vt:lpstr>
      <vt:lpstr>Data Sheet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Mangwani</dc:creator>
  <cp:lastModifiedBy>Kunal Mangwani</cp:lastModifiedBy>
  <cp:lastPrinted>2012-12-06T18:14:13Z</cp:lastPrinted>
  <dcterms:created xsi:type="dcterms:W3CDTF">2012-08-17T09:55:37Z</dcterms:created>
  <dcterms:modified xsi:type="dcterms:W3CDTF">2025-08-28T14:31:44Z</dcterms:modified>
</cp:coreProperties>
</file>