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2f0f5929e24dcf7/Desktop/Manisha/CV/SFCA/"/>
    </mc:Choice>
  </mc:AlternateContent>
  <xr:revisionPtr revIDLastSave="108" documentId="8_{EBA7EDE5-2B08-4AC3-B6A3-7BB905111EA4}" xr6:coauthVersionLast="47" xr6:coauthVersionMax="47" xr10:uidLastSave="{66DA79E0-1A47-45CA-811D-F4439634134A}"/>
  <bookViews>
    <workbookView xWindow="-108" yWindow="-108" windowWidth="23256" windowHeight="12456" activeTab="2" xr2:uid="{00000000-000D-0000-FFFF-FFFF00000000}"/>
  </bookViews>
  <sheets>
    <sheet name="Inputs" sheetId="2" r:id="rId1"/>
    <sheet name="Assumptions" sheetId="3" r:id="rId2"/>
    <sheet name="P&amp;L" sheetId="4" r:id="rId3"/>
    <sheet name="FCF" sheetId="5" r:id="rId4"/>
    <sheet name="WACC" sheetId="6" r:id="rId5"/>
    <sheet name="Valua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7" l="1"/>
  <c r="F12" i="7"/>
  <c r="D11" i="6"/>
  <c r="C1" i="4"/>
  <c r="B11" i="7" l="1"/>
  <c r="D6" i="6"/>
  <c r="D9" i="6" s="1"/>
  <c r="D4" i="7"/>
  <c r="D5" i="7"/>
  <c r="E8" i="4"/>
  <c r="E13" i="4" s="1"/>
  <c r="D4" i="6"/>
  <c r="H8" i="6"/>
  <c r="H6" i="6"/>
  <c r="D8" i="6"/>
  <c r="E49" i="4"/>
  <c r="E17" i="4"/>
  <c r="F27" i="4"/>
  <c r="G27" i="4" s="1"/>
  <c r="H27" i="4" s="1"/>
  <c r="I27" i="4" s="1"/>
  <c r="J27" i="4" s="1"/>
  <c r="E50" i="4"/>
  <c r="F50" i="4" s="1"/>
  <c r="G50" i="4" s="1"/>
  <c r="H50" i="4" s="1"/>
  <c r="I50" i="4" s="1"/>
  <c r="J50" i="4" s="1"/>
  <c r="E54" i="4"/>
  <c r="E32" i="4" s="1"/>
  <c r="G9" i="3"/>
  <c r="H9" i="3"/>
  <c r="I9" i="3"/>
  <c r="J9" i="3"/>
  <c r="F9" i="3"/>
  <c r="G8" i="3"/>
  <c r="H8" i="3"/>
  <c r="I8" i="3"/>
  <c r="J8" i="3"/>
  <c r="F8" i="3"/>
  <c r="G7" i="3"/>
  <c r="H7" i="3"/>
  <c r="I7" i="3"/>
  <c r="J7" i="3"/>
  <c r="F7" i="3"/>
  <c r="F3" i="3"/>
  <c r="G3" i="3" s="1"/>
  <c r="H3" i="3" s="1"/>
  <c r="I3" i="3" s="1"/>
  <c r="J3" i="3" s="1"/>
  <c r="E3" i="5"/>
  <c r="F3" i="5" s="1"/>
  <c r="G3" i="5" s="1"/>
  <c r="H3" i="5" s="1"/>
  <c r="I3" i="5" s="1"/>
  <c r="D5" i="6"/>
  <c r="E53" i="4"/>
  <c r="E44" i="4" s="1"/>
  <c r="E55" i="4"/>
  <c r="H9" i="6" l="1"/>
  <c r="E36" i="4"/>
  <c r="E38" i="4" s="1"/>
  <c r="D6" i="7"/>
  <c r="E11" i="4"/>
  <c r="E15" i="4" s="1"/>
  <c r="E19" i="4" s="1"/>
  <c r="E21" i="4" s="1"/>
  <c r="E23" i="4" s="1"/>
  <c r="D9" i="5"/>
  <c r="D11" i="5"/>
  <c r="E56" i="4"/>
  <c r="E51" i="4"/>
  <c r="F43" i="4"/>
  <c r="E31" i="4"/>
  <c r="C12" i="7" l="1"/>
  <c r="E6" i="7"/>
  <c r="E5" i="7"/>
  <c r="E7" i="7"/>
  <c r="E4" i="7"/>
  <c r="D7" i="7"/>
  <c r="E58" i="4"/>
  <c r="F47" i="4"/>
  <c r="G47" i="4" s="1"/>
  <c r="H47" i="4" s="1"/>
  <c r="I47" i="4" s="1"/>
  <c r="J47" i="4" s="1"/>
  <c r="D8" i="7" l="1"/>
  <c r="E8" i="7" s="1"/>
  <c r="D7" i="5"/>
  <c r="F8" i="4"/>
  <c r="F5" i="4"/>
  <c r="G5" i="4" s="1"/>
  <c r="H5" i="4" s="1"/>
  <c r="G8" i="4" l="1"/>
  <c r="F13" i="4"/>
  <c r="F31" i="4" s="1"/>
  <c r="F36" i="4"/>
  <c r="F38" i="4" s="1"/>
  <c r="F11" i="4"/>
  <c r="F9" i="4"/>
  <c r="F54" i="4"/>
  <c r="F32" i="4" s="1"/>
  <c r="E11" i="5"/>
  <c r="E9" i="5"/>
  <c r="I5" i="4"/>
  <c r="J5" i="4" s="1"/>
  <c r="F55" i="4" l="1"/>
  <c r="H8" i="4"/>
  <c r="I8" i="4" s="1"/>
  <c r="G36" i="4"/>
  <c r="G38" i="4" s="1"/>
  <c r="G13" i="4"/>
  <c r="E7" i="5"/>
  <c r="G11" i="4"/>
  <c r="G9" i="4"/>
  <c r="G54" i="4"/>
  <c r="G32" i="4" s="1"/>
  <c r="F11" i="5"/>
  <c r="F9" i="5"/>
  <c r="D5" i="5"/>
  <c r="D13" i="5" s="1"/>
  <c r="F15" i="4"/>
  <c r="H13" i="4" l="1"/>
  <c r="H36" i="4"/>
  <c r="H38" i="4" s="1"/>
  <c r="G55" i="4"/>
  <c r="G31" i="4"/>
  <c r="F7" i="5"/>
  <c r="H11" i="4"/>
  <c r="H9" i="4"/>
  <c r="H54" i="4"/>
  <c r="H32" i="4" s="1"/>
  <c r="G11" i="5"/>
  <c r="G9" i="5"/>
  <c r="E5" i="5"/>
  <c r="E13" i="5" s="1"/>
  <c r="C4" i="7" s="1"/>
  <c r="F4" i="7" s="1"/>
  <c r="I36" i="4"/>
  <c r="I38" i="4" s="1"/>
  <c r="G15" i="4"/>
  <c r="J8" i="4" l="1"/>
  <c r="J13" i="4" s="1"/>
  <c r="I13" i="4"/>
  <c r="E29" i="4"/>
  <c r="G7" i="5"/>
  <c r="H31" i="4"/>
  <c r="H55" i="4"/>
  <c r="I11" i="4"/>
  <c r="I9" i="4"/>
  <c r="I54" i="4"/>
  <c r="I32" i="4" s="1"/>
  <c r="F5" i="5"/>
  <c r="F13" i="5" s="1"/>
  <c r="C5" i="7" s="1"/>
  <c r="F5" i="7" s="1"/>
  <c r="H9" i="5"/>
  <c r="H11" i="5"/>
  <c r="H15" i="4"/>
  <c r="E33" i="4" l="1"/>
  <c r="E42" i="4" s="1"/>
  <c r="E43" i="4" s="1"/>
  <c r="H7" i="5"/>
  <c r="I31" i="4"/>
  <c r="J9" i="4"/>
  <c r="J36" i="4"/>
  <c r="J38" i="4" s="1"/>
  <c r="I55" i="4"/>
  <c r="J31" i="4"/>
  <c r="J11" i="4"/>
  <c r="J54" i="4"/>
  <c r="J32" i="4" s="1"/>
  <c r="I9" i="5"/>
  <c r="I11" i="5"/>
  <c r="G5" i="5"/>
  <c r="G13" i="5" s="1"/>
  <c r="C6" i="7" s="1"/>
  <c r="F6" i="7" s="1"/>
  <c r="I15" i="4"/>
  <c r="J55" i="4" l="1"/>
  <c r="I7" i="5"/>
  <c r="H5" i="5"/>
  <c r="H13" i="5" s="1"/>
  <c r="C7" i="7" s="1"/>
  <c r="F7" i="7" s="1"/>
  <c r="J15" i="4"/>
  <c r="I5" i="5" l="1"/>
  <c r="I13" i="5" s="1"/>
  <c r="C8" i="7" s="1"/>
  <c r="C11" i="7" l="1"/>
  <c r="C13" i="7" s="1"/>
  <c r="F9" i="7" s="1"/>
  <c r="F8" i="7"/>
  <c r="F17" i="4"/>
  <c r="F19" i="4" s="1"/>
  <c r="F10" i="7" l="1"/>
  <c r="F21" i="4"/>
  <c r="F23" i="4" s="1"/>
  <c r="F49" i="4" s="1"/>
  <c r="F40" i="4"/>
  <c r="F51" i="4" l="1"/>
  <c r="F29" i="4"/>
  <c r="F33" i="4" l="1"/>
  <c r="F42" i="4" s="1"/>
  <c r="F44" i="4" s="1"/>
  <c r="F53" i="4" s="1"/>
  <c r="F56" i="4" l="1"/>
  <c r="F58" i="4" s="1"/>
  <c r="G43" i="4"/>
  <c r="G17" i="4"/>
  <c r="G19" i="4" s="1"/>
  <c r="G40" i="4"/>
  <c r="G21" i="4" l="1"/>
  <c r="G23" i="4" s="1"/>
  <c r="G49" i="4" l="1"/>
  <c r="G29" i="4"/>
  <c r="G33" i="4" s="1"/>
  <c r="G42" i="4" s="1"/>
  <c r="G44" i="4" s="1"/>
  <c r="G53" i="4" s="1"/>
  <c r="G51" i="4" l="1"/>
  <c r="G56" i="4"/>
  <c r="H43" i="4"/>
  <c r="G58" i="4" l="1"/>
  <c r="H17" i="4"/>
  <c r="H19" i="4" s="1"/>
  <c r="H40" i="4"/>
  <c r="H21" i="4" l="1"/>
  <c r="H23" i="4" s="1"/>
  <c r="H49" i="4" l="1"/>
  <c r="H29" i="4"/>
  <c r="H33" i="4" s="1"/>
  <c r="H42" i="4" s="1"/>
  <c r="H44" i="4" s="1"/>
  <c r="H53" i="4" s="1"/>
  <c r="H51" i="4" l="1"/>
  <c r="I43" i="4"/>
  <c r="H56" i="4"/>
  <c r="H58" i="4" l="1"/>
  <c r="I17" i="4"/>
  <c r="I19" i="4" s="1"/>
  <c r="I40" i="4"/>
  <c r="I21" i="4" l="1"/>
  <c r="I23" i="4" s="1"/>
  <c r="I49" i="4" s="1"/>
  <c r="I51" i="4" l="1"/>
  <c r="I29" i="4"/>
  <c r="I33" i="4" s="1"/>
  <c r="I42" i="4" s="1"/>
  <c r="I44" i="4" s="1"/>
  <c r="I53" i="4" s="1"/>
  <c r="J43" i="4" l="1"/>
  <c r="I56" i="4"/>
  <c r="I58" i="4" s="1"/>
  <c r="J40" i="4" l="1"/>
  <c r="J17" i="4"/>
  <c r="J19" i="4" s="1"/>
  <c r="J21" i="4" l="1"/>
  <c r="J23" i="4" s="1"/>
  <c r="J49" i="4" s="1"/>
  <c r="J29" i="4" l="1"/>
  <c r="J33" i="4" s="1"/>
  <c r="J42" i="4" s="1"/>
  <c r="J44" i="4" s="1"/>
  <c r="J51" i="4"/>
  <c r="J53" i="4" l="1"/>
  <c r="J56" i="4" s="1"/>
  <c r="J58" i="4" s="1"/>
</calcChain>
</file>

<file path=xl/sharedStrings.xml><?xml version="1.0" encoding="utf-8"?>
<sst xmlns="http://schemas.openxmlformats.org/spreadsheetml/2006/main" count="116" uniqueCount="103">
  <si>
    <t>A. Operating Assumptions:</t>
  </si>
  <si>
    <r>
      <t>Base Year Revenue (FY 0):</t>
    </r>
    <r>
      <rPr>
        <sz val="11"/>
        <color theme="1"/>
        <rFont val="Calibri"/>
        <family val="2"/>
        <scheme val="minor"/>
      </rPr>
      <t xml:space="preserve"> ₹120 crores</t>
    </r>
  </si>
  <si>
    <t>Revenue Growth:</t>
  </si>
  <si>
    <t>Year 1: 25%</t>
  </si>
  <si>
    <t>Year 2: 22%</t>
  </si>
  <si>
    <t>Year 3: 20%</t>
  </si>
  <si>
    <t>Year 4: 18%</t>
  </si>
  <si>
    <t>Year 5: 15%</t>
  </si>
  <si>
    <r>
      <t>Stable Growth Rate (Year 6 onward):</t>
    </r>
    <r>
      <rPr>
        <sz val="11"/>
        <color theme="1"/>
        <rFont val="Calibri"/>
        <family val="2"/>
        <scheme val="minor"/>
      </rPr>
      <t xml:space="preserve"> 5%</t>
    </r>
  </si>
  <si>
    <r>
      <t>EBITDA Margin:</t>
    </r>
    <r>
      <rPr>
        <sz val="11"/>
        <color theme="1"/>
        <rFont val="Calibri"/>
        <family val="2"/>
        <scheme val="minor"/>
      </rPr>
      <t xml:space="preserve"> 28%</t>
    </r>
  </si>
  <si>
    <r>
      <t>Depreciation:</t>
    </r>
    <r>
      <rPr>
        <sz val="11"/>
        <color theme="1"/>
        <rFont val="Calibri"/>
        <family val="2"/>
        <scheme val="minor"/>
      </rPr>
      <t xml:space="preserve"> 6% of revenue</t>
    </r>
  </si>
  <si>
    <r>
      <t>CapEx:</t>
    </r>
    <r>
      <rPr>
        <sz val="11"/>
        <color theme="1"/>
        <rFont val="Calibri"/>
        <family val="2"/>
        <scheme val="minor"/>
      </rPr>
      <t xml:space="preserve"> 5% of revenue annually</t>
    </r>
  </si>
  <si>
    <r>
      <t>Change in Net Working Capital (NWC):</t>
    </r>
    <r>
      <rPr>
        <sz val="11"/>
        <color theme="1"/>
        <rFont val="Calibri"/>
        <family val="2"/>
        <scheme val="minor"/>
      </rPr>
      <t xml:space="preserve"> 3% of revenue</t>
    </r>
  </si>
  <si>
    <t>B. Financing &amp; Valuation Assumptions:</t>
  </si>
  <si>
    <r>
      <t>Cost of Equity:</t>
    </r>
    <r>
      <rPr>
        <sz val="11"/>
        <color theme="1"/>
        <rFont val="Calibri"/>
        <family val="2"/>
        <scheme val="minor"/>
      </rPr>
      <t xml:space="preserve"> 14%</t>
    </r>
  </si>
  <si>
    <r>
      <t>Cost of Debt:</t>
    </r>
    <r>
      <rPr>
        <sz val="11"/>
        <color theme="1"/>
        <rFont val="Calibri"/>
        <family val="2"/>
        <scheme val="minor"/>
      </rPr>
      <t xml:space="preserve"> 9%</t>
    </r>
  </si>
  <si>
    <r>
      <t>Corporate Tax Rate:</t>
    </r>
    <r>
      <rPr>
        <sz val="11"/>
        <color theme="1"/>
        <rFont val="Calibri"/>
        <family val="2"/>
        <scheme val="minor"/>
      </rPr>
      <t xml:space="preserve"> 25%</t>
    </r>
  </si>
  <si>
    <r>
      <t>Debt/Equity Ratio:</t>
    </r>
    <r>
      <rPr>
        <sz val="11"/>
        <color theme="1"/>
        <rFont val="Calibri"/>
        <family val="2"/>
        <scheme val="minor"/>
      </rPr>
      <t xml:space="preserve"> 0.5</t>
    </r>
  </si>
  <si>
    <r>
      <t>WACC:</t>
    </r>
    <r>
      <rPr>
        <sz val="11"/>
        <color theme="1"/>
        <rFont val="Calibri"/>
        <family val="2"/>
        <scheme val="minor"/>
      </rPr>
      <t xml:space="preserve"> Calculate using the above and assume 30% tax shield on interest</t>
    </r>
  </si>
  <si>
    <r>
      <t>Number of Equity Shares Outstanding:</t>
    </r>
    <r>
      <rPr>
        <sz val="11"/>
        <color theme="1"/>
        <rFont val="Calibri"/>
        <family val="2"/>
        <scheme val="minor"/>
      </rPr>
      <t xml:space="preserve"> 1 crore</t>
    </r>
  </si>
  <si>
    <t>C. Balance Sheet Assumptions:</t>
  </si>
  <si>
    <r>
      <t>Initial Cash Balance:</t>
    </r>
    <r>
      <rPr>
        <sz val="11"/>
        <color theme="1"/>
        <rFont val="Calibri"/>
        <family val="2"/>
        <scheme val="minor"/>
      </rPr>
      <t xml:space="preserve"> ₹10 crores</t>
    </r>
  </si>
  <si>
    <r>
      <t>Initial Debt:</t>
    </r>
    <r>
      <rPr>
        <sz val="11"/>
        <color theme="1"/>
        <rFont val="Calibri"/>
        <family val="2"/>
        <scheme val="minor"/>
      </rPr>
      <t xml:space="preserve"> ₹30 crores</t>
    </r>
  </si>
  <si>
    <r>
      <t>Initial Net Fixed Assets:</t>
    </r>
    <r>
      <rPr>
        <sz val="11"/>
        <color theme="1"/>
        <rFont val="Calibri"/>
        <family val="2"/>
        <scheme val="minor"/>
      </rPr>
      <t xml:space="preserve"> ₹60 crores</t>
    </r>
  </si>
  <si>
    <r>
      <t>Initial Net Working Capital:</t>
    </r>
    <r>
      <rPr>
        <sz val="11"/>
        <color theme="1"/>
        <rFont val="Calibri"/>
        <family val="2"/>
        <scheme val="minor"/>
      </rPr>
      <t xml:space="preserve"> ₹15 crores</t>
    </r>
  </si>
  <si>
    <r>
      <t>Initial Equity Capital:</t>
    </r>
    <r>
      <rPr>
        <sz val="11"/>
        <color theme="1"/>
        <rFont val="Calibri"/>
        <family val="2"/>
        <scheme val="minor"/>
      </rPr>
      <t xml:space="preserve"> ₹55 crores</t>
    </r>
  </si>
  <si>
    <t>Assumptions</t>
  </si>
  <si>
    <t>Income Statement Assumptions</t>
  </si>
  <si>
    <t>Income Statement</t>
  </si>
  <si>
    <t>Revenue</t>
  </si>
  <si>
    <t>Year</t>
  </si>
  <si>
    <t>Base Year Revenue (₹ Cr)</t>
  </si>
  <si>
    <t>Revenue Growth (%)</t>
  </si>
  <si>
    <t>EBITDA Margin (%)</t>
  </si>
  <si>
    <t>Depreciation (% of Revenue)</t>
  </si>
  <si>
    <t>CapEx (% of Revenue)</t>
  </si>
  <si>
    <t>Change in NWC (% of Revenue)</t>
  </si>
  <si>
    <t>Cost of Equity (%)</t>
  </si>
  <si>
    <t>Cost of Debt (%)</t>
  </si>
  <si>
    <t>Corporate Tax Rate (%)</t>
  </si>
  <si>
    <t>Debt/Equity Ratio</t>
  </si>
  <si>
    <t>Tax Shield on Interest (%)</t>
  </si>
  <si>
    <t>Shares Outstanding (Cr)</t>
  </si>
  <si>
    <t>Initial Cash (₹ Cr)</t>
  </si>
  <si>
    <t>Initial Debt (₹ Cr)</t>
  </si>
  <si>
    <t>Initial Net Fixed Assets (₹ Cr)</t>
  </si>
  <si>
    <t>Initial NWC (₹ Cr)</t>
  </si>
  <si>
    <t>Initial Equity (₹ Cr)</t>
  </si>
  <si>
    <t>Stable Growth Rate (%)</t>
  </si>
  <si>
    <t>EBITDA</t>
  </si>
  <si>
    <t>Depreciation</t>
  </si>
  <si>
    <t>EBIT</t>
  </si>
  <si>
    <t>EBT</t>
  </si>
  <si>
    <t>Net Income</t>
  </si>
  <si>
    <t>% Growth</t>
  </si>
  <si>
    <t>Balance Sheet</t>
  </si>
  <si>
    <t>Equity Share Capital</t>
  </si>
  <si>
    <t>Debt</t>
  </si>
  <si>
    <t>Net Working Capital</t>
  </si>
  <si>
    <t>Cash</t>
  </si>
  <si>
    <t>Net Fixed Assets</t>
  </si>
  <si>
    <t>Total Liabilities</t>
  </si>
  <si>
    <t>Total Assets</t>
  </si>
  <si>
    <t>Total Debt</t>
  </si>
  <si>
    <t>Tax Rate</t>
  </si>
  <si>
    <t>Weighted Average Cost of Capital - VBL Ltd</t>
  </si>
  <si>
    <t>Debt/Equity</t>
  </si>
  <si>
    <t>After-tax cost of debt</t>
  </si>
  <si>
    <t>Free Cash Flow (FCF)</t>
  </si>
  <si>
    <t>NOPAT</t>
  </si>
  <si>
    <t>Financing &amp; Valuation Assumption</t>
  </si>
  <si>
    <t>Balance Sheet Assumptions</t>
  </si>
  <si>
    <t>Cash Flow Statement</t>
  </si>
  <si>
    <t>Net Cash Flow from Operations</t>
  </si>
  <si>
    <t>Net Cash Used in Investing Activities</t>
  </si>
  <si>
    <t>Net Cash from Financing Activities</t>
  </si>
  <si>
    <t>(Increase in Net working capital)</t>
  </si>
  <si>
    <t>Cost of Equity</t>
  </si>
  <si>
    <t>Equity</t>
  </si>
  <si>
    <t>FY 1E</t>
  </si>
  <si>
    <t>FY 2E</t>
  </si>
  <si>
    <t>FY 3E</t>
  </si>
  <si>
    <t>FY 4E</t>
  </si>
  <si>
    <t>FY 5E</t>
  </si>
  <si>
    <t>FCF</t>
  </si>
  <si>
    <t>Year Number</t>
  </si>
  <si>
    <t>Discount Factor</t>
  </si>
  <si>
    <t>PV of FCF</t>
  </si>
  <si>
    <t>Enterprise Value</t>
  </si>
  <si>
    <t>Intrinsic Value per Share</t>
  </si>
  <si>
    <t>(in Cr.)</t>
  </si>
  <si>
    <t>(CapEx)</t>
  </si>
  <si>
    <t>(Change in NWC)</t>
  </si>
  <si>
    <t xml:space="preserve">Net cash Increase </t>
  </si>
  <si>
    <t>Cash at Beginning of Year</t>
  </si>
  <si>
    <t>Cash at Year End</t>
  </si>
  <si>
    <t>Error Check</t>
  </si>
  <si>
    <t>(Depreciation)</t>
  </si>
  <si>
    <t>(Interest)</t>
  </si>
  <si>
    <t>(Tax)</t>
  </si>
  <si>
    <t>DCF Valuation - VB Ltd.</t>
  </si>
  <si>
    <t>Free Cash Flow Computation - VB Ltd.</t>
  </si>
  <si>
    <t>Weighted Average Cost of Capital (WACC)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</si>
</sst>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₹&quot;\ #,##0.00;&quot;₹&quot;\ \-#,##0.00"/>
    <numFmt numFmtId="164" formatCode="&quot;FY &quot;0&quot;A&quot;"/>
    <numFmt numFmtId="165" formatCode="&quot;FY &quot;0&quot;E&quot;"/>
    <numFmt numFmtId="166" formatCode="0.0"/>
    <numFmt numFmtId="167" formatCode="0.000"/>
    <numFmt numFmtId="168" formatCode="0.0%"/>
    <numFmt numFmtId="169" formatCode="&quot;₹&quot;\ #,##0.00;&quot;₹&quot;\ \(#,##0.00\)"/>
    <numFmt numFmtId="170" formatCode="&quot;₹&quot;\ \(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rgb="FF002060"/>
      </top>
      <bottom style="dotted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0" borderId="4" xfId="0" applyFont="1" applyBorder="1" applyAlignment="1">
      <alignment vertical="center"/>
    </xf>
    <xf numFmtId="0" fontId="0" fillId="0" borderId="5" xfId="0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2"/>
    </xf>
    <xf numFmtId="0" fontId="0" fillId="0" borderId="5" xfId="0" applyBorder="1"/>
    <xf numFmtId="0" fontId="2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2" fontId="0" fillId="0" borderId="0" xfId="0" applyNumberFormat="1"/>
    <xf numFmtId="0" fontId="0" fillId="2" borderId="0" xfId="0" applyFill="1"/>
    <xf numFmtId="165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164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0" xfId="0" applyFont="1"/>
    <xf numFmtId="7" fontId="4" fillId="0" borderId="0" xfId="0" applyNumberFormat="1" applyFont="1" applyAlignment="1">
      <alignment horizontal="center"/>
    </xf>
    <xf numFmtId="7" fontId="8" fillId="0" borderId="0" xfId="1" applyNumberFormat="1" applyFont="1" applyAlignment="1">
      <alignment horizontal="center"/>
    </xf>
    <xf numFmtId="7" fontId="8" fillId="0" borderId="0" xfId="0" applyNumberFormat="1" applyFont="1" applyAlignment="1">
      <alignment horizontal="center"/>
    </xf>
    <xf numFmtId="0" fontId="4" fillId="0" borderId="7" xfId="0" applyFont="1" applyBorder="1"/>
    <xf numFmtId="7" fontId="4" fillId="0" borderId="7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7" fontId="8" fillId="2" borderId="0" xfId="0" applyNumberFormat="1" applyFont="1" applyFill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Alignment="1">
      <alignment horizontal="center"/>
    </xf>
    <xf numFmtId="164" fontId="6" fillId="2" borderId="0" xfId="0" applyNumberFormat="1" applyFont="1" applyFill="1"/>
    <xf numFmtId="165" fontId="6" fillId="2" borderId="0" xfId="0" applyNumberFormat="1" applyFont="1" applyFill="1"/>
    <xf numFmtId="166" fontId="8" fillId="0" borderId="0" xfId="0" applyNumberFormat="1" applyFont="1"/>
    <xf numFmtId="9" fontId="8" fillId="0" borderId="0" xfId="1" applyFont="1"/>
    <xf numFmtId="9" fontId="8" fillId="0" borderId="0" xfId="0" applyNumberFormat="1" applyFont="1"/>
    <xf numFmtId="0" fontId="6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68" fontId="8" fillId="0" borderId="0" xfId="1" applyNumberFormat="1" applyFont="1"/>
    <xf numFmtId="2" fontId="8" fillId="0" borderId="9" xfId="0" applyNumberFormat="1" applyFont="1" applyBorder="1"/>
    <xf numFmtId="168" fontId="8" fillId="0" borderId="9" xfId="1" applyNumberFormat="1" applyFont="1" applyBorder="1"/>
    <xf numFmtId="0" fontId="8" fillId="0" borderId="8" xfId="0" applyFont="1" applyBorder="1" applyAlignment="1">
      <alignment horizontal="left"/>
    </xf>
    <xf numFmtId="0" fontId="8" fillId="0" borderId="8" xfId="0" applyFont="1" applyBorder="1"/>
    <xf numFmtId="168" fontId="8" fillId="0" borderId="8" xfId="1" applyNumberFormat="1" applyFont="1" applyBorder="1"/>
    <xf numFmtId="167" fontId="8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7" fontId="8" fillId="0" borderId="0" xfId="0" applyNumberFormat="1" applyFont="1"/>
    <xf numFmtId="169" fontId="8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8" fillId="0" borderId="10" xfId="0" applyFont="1" applyBorder="1"/>
    <xf numFmtId="168" fontId="8" fillId="0" borderId="10" xfId="1" applyNumberFormat="1" applyFont="1" applyBorder="1"/>
    <xf numFmtId="0" fontId="4" fillId="0" borderId="11" xfId="0" applyFont="1" applyBorder="1"/>
    <xf numFmtId="10" fontId="4" fillId="0" borderId="11" xfId="1" applyNumberFormat="1" applyFont="1" applyBorder="1"/>
    <xf numFmtId="168" fontId="8" fillId="0" borderId="0" xfId="1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10" fontId="8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27"/>
  <sheetViews>
    <sheetView workbookViewId="0">
      <selection activeCell="F23" sqref="F23"/>
    </sheetView>
  </sheetViews>
  <sheetFormatPr defaultRowHeight="14.4" x14ac:dyDescent="0.3"/>
  <cols>
    <col min="1" max="1" width="67.44140625" bestFit="1" customWidth="1"/>
    <col min="3" max="3" width="67.44140625" bestFit="1" customWidth="1"/>
  </cols>
  <sheetData>
    <row r="1" spans="1:3" ht="18.600000000000001" thickBot="1" x14ac:dyDescent="0.35">
      <c r="A1" s="60" t="s">
        <v>26</v>
      </c>
      <c r="B1" s="61"/>
      <c r="C1" s="62"/>
    </row>
    <row r="2" spans="1:3" ht="15" thickBot="1" x14ac:dyDescent="0.35"/>
    <row r="3" spans="1:3" ht="15.6" x14ac:dyDescent="0.3">
      <c r="A3" s="1" t="s">
        <v>0</v>
      </c>
      <c r="C3" s="1" t="s">
        <v>13</v>
      </c>
    </row>
    <row r="4" spans="1:3" x14ac:dyDescent="0.3">
      <c r="A4" s="2"/>
      <c r="C4" s="2"/>
    </row>
    <row r="5" spans="1:3" x14ac:dyDescent="0.3">
      <c r="A5" s="3" t="s">
        <v>1</v>
      </c>
      <c r="C5" s="3" t="s">
        <v>14</v>
      </c>
    </row>
    <row r="6" spans="1:3" x14ac:dyDescent="0.3">
      <c r="A6" s="2"/>
      <c r="C6" s="2"/>
    </row>
    <row r="7" spans="1:3" x14ac:dyDescent="0.3">
      <c r="A7" s="3" t="s">
        <v>2</v>
      </c>
      <c r="C7" s="3" t="s">
        <v>15</v>
      </c>
    </row>
    <row r="8" spans="1:3" x14ac:dyDescent="0.3">
      <c r="A8" s="2"/>
      <c r="C8" s="2"/>
    </row>
    <row r="9" spans="1:3" x14ac:dyDescent="0.3">
      <c r="A9" s="4" t="s">
        <v>3</v>
      </c>
      <c r="C9" s="3" t="s">
        <v>16</v>
      </c>
    </row>
    <row r="10" spans="1:3" x14ac:dyDescent="0.3">
      <c r="A10" s="4"/>
      <c r="C10" s="2"/>
    </row>
    <row r="11" spans="1:3" x14ac:dyDescent="0.3">
      <c r="A11" s="4" t="s">
        <v>4</v>
      </c>
      <c r="C11" s="3" t="s">
        <v>17</v>
      </c>
    </row>
    <row r="12" spans="1:3" x14ac:dyDescent="0.3">
      <c r="A12" s="4"/>
      <c r="C12" s="2"/>
    </row>
    <row r="13" spans="1:3" x14ac:dyDescent="0.3">
      <c r="A13" s="4" t="s">
        <v>5</v>
      </c>
      <c r="C13" s="3" t="s">
        <v>18</v>
      </c>
    </row>
    <row r="14" spans="1:3" x14ac:dyDescent="0.3">
      <c r="A14" s="4"/>
      <c r="C14" s="2"/>
    </row>
    <row r="15" spans="1:3" ht="15" thickBot="1" x14ac:dyDescent="0.35">
      <c r="A15" s="4" t="s">
        <v>6</v>
      </c>
      <c r="C15" s="6" t="s">
        <v>19</v>
      </c>
    </row>
    <row r="16" spans="1:3" ht="15" thickBot="1" x14ac:dyDescent="0.35">
      <c r="A16" s="4"/>
    </row>
    <row r="17" spans="1:3" ht="15.6" x14ac:dyDescent="0.3">
      <c r="A17" s="4" t="s">
        <v>7</v>
      </c>
      <c r="C17" s="1" t="s">
        <v>20</v>
      </c>
    </row>
    <row r="18" spans="1:3" x14ac:dyDescent="0.3">
      <c r="A18" s="5"/>
      <c r="C18" s="2"/>
    </row>
    <row r="19" spans="1:3" x14ac:dyDescent="0.3">
      <c r="A19" s="7" t="s">
        <v>8</v>
      </c>
      <c r="C19" s="3" t="s">
        <v>21</v>
      </c>
    </row>
    <row r="20" spans="1:3" x14ac:dyDescent="0.3">
      <c r="A20" s="8"/>
      <c r="C20" s="2"/>
    </row>
    <row r="21" spans="1:3" x14ac:dyDescent="0.3">
      <c r="A21" s="7" t="s">
        <v>9</v>
      </c>
      <c r="C21" s="3" t="s">
        <v>22</v>
      </c>
    </row>
    <row r="22" spans="1:3" x14ac:dyDescent="0.3">
      <c r="A22" s="8"/>
      <c r="C22" s="2"/>
    </row>
    <row r="23" spans="1:3" x14ac:dyDescent="0.3">
      <c r="A23" s="7" t="s">
        <v>10</v>
      </c>
      <c r="C23" s="3" t="s">
        <v>23</v>
      </c>
    </row>
    <row r="24" spans="1:3" x14ac:dyDescent="0.3">
      <c r="A24" s="8"/>
      <c r="C24" s="2"/>
    </row>
    <row r="25" spans="1:3" x14ac:dyDescent="0.3">
      <c r="A25" s="7" t="s">
        <v>11</v>
      </c>
      <c r="C25" s="3" t="s">
        <v>24</v>
      </c>
    </row>
    <row r="26" spans="1:3" x14ac:dyDescent="0.3">
      <c r="A26" s="8"/>
      <c r="C26" s="2"/>
    </row>
    <row r="27" spans="1:3" ht="15" thickBot="1" x14ac:dyDescent="0.35">
      <c r="A27" s="9" t="s">
        <v>12</v>
      </c>
      <c r="C27" s="6" t="s">
        <v>25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C2:J28"/>
  <sheetViews>
    <sheetView showGridLines="0" workbookViewId="0">
      <selection activeCell="M21" sqref="M21"/>
    </sheetView>
  </sheetViews>
  <sheetFormatPr defaultRowHeight="14.4" x14ac:dyDescent="0.3"/>
  <cols>
    <col min="1" max="2" width="2.77734375" customWidth="1"/>
    <col min="3" max="3" width="27.109375" bestFit="1" customWidth="1"/>
    <col min="4" max="4" width="16" bestFit="1" customWidth="1"/>
  </cols>
  <sheetData>
    <row r="2" spans="3:10" ht="15.6" x14ac:dyDescent="0.3">
      <c r="C2" s="63" t="s">
        <v>27</v>
      </c>
      <c r="D2" s="63"/>
      <c r="E2" s="63"/>
      <c r="F2" s="63"/>
      <c r="G2" s="63"/>
      <c r="H2" s="63"/>
      <c r="I2" s="63"/>
      <c r="J2" s="63"/>
    </row>
    <row r="3" spans="3:10" ht="15.6" x14ac:dyDescent="0.3">
      <c r="C3" s="50" t="s">
        <v>30</v>
      </c>
      <c r="D3" s="50"/>
      <c r="E3" s="51">
        <v>0</v>
      </c>
      <c r="F3" s="52">
        <f>E3+1</f>
        <v>1</v>
      </c>
      <c r="G3" s="52">
        <f>F3+1</f>
        <v>2</v>
      </c>
      <c r="H3" s="52">
        <f>G3+1</f>
        <v>3</v>
      </c>
      <c r="I3" s="52">
        <f>H3+1</f>
        <v>4</v>
      </c>
      <c r="J3" s="52">
        <f>I3+1</f>
        <v>5</v>
      </c>
    </row>
    <row r="4" spans="3:10" s="11" customFormat="1" ht="15.6" x14ac:dyDescent="0.3">
      <c r="C4" s="14"/>
      <c r="D4" s="14"/>
      <c r="E4" s="30"/>
      <c r="F4" s="31"/>
      <c r="G4" s="31"/>
      <c r="H4" s="31"/>
      <c r="I4" s="31"/>
      <c r="J4" s="31"/>
    </row>
    <row r="5" spans="3:10" ht="15.6" x14ac:dyDescent="0.3">
      <c r="C5" s="18" t="s">
        <v>31</v>
      </c>
      <c r="D5" s="18"/>
      <c r="E5" s="32">
        <v>120</v>
      </c>
      <c r="F5" s="18"/>
      <c r="G5" s="18"/>
      <c r="H5" s="18"/>
      <c r="I5" s="18"/>
      <c r="J5" s="18"/>
    </row>
    <row r="6" spans="3:10" ht="15.6" x14ac:dyDescent="0.3">
      <c r="C6" s="18" t="s">
        <v>32</v>
      </c>
      <c r="D6" s="18"/>
      <c r="E6" s="18"/>
      <c r="F6" s="33">
        <v>0.253</v>
      </c>
      <c r="G6" s="33">
        <v>0.22</v>
      </c>
      <c r="H6" s="33">
        <v>0.2</v>
      </c>
      <c r="I6" s="33">
        <v>0.18</v>
      </c>
      <c r="J6" s="33">
        <v>0.15</v>
      </c>
    </row>
    <row r="7" spans="3:10" ht="15.6" x14ac:dyDescent="0.3">
      <c r="C7" s="18" t="s">
        <v>33</v>
      </c>
      <c r="D7" s="18"/>
      <c r="E7" s="33">
        <v>0.28000000000000003</v>
      </c>
      <c r="F7" s="34">
        <f>$E$7</f>
        <v>0.28000000000000003</v>
      </c>
      <c r="G7" s="34">
        <f t="shared" ref="G7:J7" si="0">$E$7</f>
        <v>0.28000000000000003</v>
      </c>
      <c r="H7" s="34">
        <f t="shared" si="0"/>
        <v>0.28000000000000003</v>
      </c>
      <c r="I7" s="34">
        <f t="shared" si="0"/>
        <v>0.28000000000000003</v>
      </c>
      <c r="J7" s="34">
        <f t="shared" si="0"/>
        <v>0.28000000000000003</v>
      </c>
    </row>
    <row r="8" spans="3:10" ht="15.6" x14ac:dyDescent="0.3">
      <c r="C8" s="18" t="s">
        <v>34</v>
      </c>
      <c r="D8" s="18"/>
      <c r="E8" s="33">
        <v>0.06</v>
      </c>
      <c r="F8" s="34">
        <f>$E$8</f>
        <v>0.06</v>
      </c>
      <c r="G8" s="34">
        <f t="shared" ref="G8:J8" si="1">$E$8</f>
        <v>0.06</v>
      </c>
      <c r="H8" s="34">
        <f t="shared" si="1"/>
        <v>0.06</v>
      </c>
      <c r="I8" s="34">
        <f t="shared" si="1"/>
        <v>0.06</v>
      </c>
      <c r="J8" s="34">
        <f t="shared" si="1"/>
        <v>0.06</v>
      </c>
    </row>
    <row r="9" spans="3:10" ht="15.6" x14ac:dyDescent="0.3">
      <c r="C9" s="18" t="s">
        <v>39</v>
      </c>
      <c r="D9" s="18"/>
      <c r="E9" s="33">
        <v>0.25</v>
      </c>
      <c r="F9" s="34">
        <f>$E$9</f>
        <v>0.25</v>
      </c>
      <c r="G9" s="34">
        <f t="shared" ref="G9:J9" si="2">$E$9</f>
        <v>0.25</v>
      </c>
      <c r="H9" s="34">
        <f t="shared" si="2"/>
        <v>0.25</v>
      </c>
      <c r="I9" s="34">
        <f t="shared" si="2"/>
        <v>0.25</v>
      </c>
      <c r="J9" s="34">
        <f t="shared" si="2"/>
        <v>0.25</v>
      </c>
    </row>
    <row r="10" spans="3:10" ht="15.6" x14ac:dyDescent="0.3">
      <c r="C10" s="18"/>
      <c r="D10" s="33"/>
      <c r="E10" s="18"/>
      <c r="F10" s="18"/>
      <c r="G10" s="18"/>
      <c r="H10" s="18"/>
      <c r="I10" s="18"/>
      <c r="J10" s="18"/>
    </row>
    <row r="11" spans="3:10" ht="15.6" x14ac:dyDescent="0.3">
      <c r="C11" s="63" t="s">
        <v>70</v>
      </c>
      <c r="D11" s="63"/>
      <c r="E11" s="63"/>
      <c r="F11" s="63"/>
      <c r="G11" s="63"/>
      <c r="H11" s="63"/>
      <c r="I11" s="63"/>
      <c r="J11" s="63"/>
    </row>
    <row r="12" spans="3:10" ht="15.6" x14ac:dyDescent="0.3">
      <c r="C12" s="14"/>
      <c r="D12" s="14"/>
      <c r="E12" s="14"/>
      <c r="F12" s="14"/>
      <c r="G12" s="14"/>
      <c r="H12" s="14"/>
      <c r="I12" s="14"/>
      <c r="J12" s="14"/>
    </row>
    <row r="13" spans="3:10" ht="15.6" x14ac:dyDescent="0.3">
      <c r="C13" s="18" t="s">
        <v>37</v>
      </c>
      <c r="D13" s="33">
        <v>0.14000000000000001</v>
      </c>
      <c r="E13" s="18"/>
      <c r="F13" s="18"/>
      <c r="G13" s="18"/>
      <c r="H13" s="18"/>
      <c r="I13" s="18"/>
      <c r="J13" s="18"/>
    </row>
    <row r="14" spans="3:10" ht="15.6" x14ac:dyDescent="0.3">
      <c r="C14" s="18" t="s">
        <v>38</v>
      </c>
      <c r="D14" s="33">
        <v>0.09</v>
      </c>
      <c r="E14" s="18"/>
      <c r="F14" s="18"/>
      <c r="G14" s="18"/>
      <c r="H14" s="18"/>
      <c r="I14" s="18"/>
      <c r="J14" s="18"/>
    </row>
    <row r="15" spans="3:10" ht="15.6" x14ac:dyDescent="0.3">
      <c r="C15" s="18" t="s">
        <v>40</v>
      </c>
      <c r="D15" s="33">
        <v>0.5</v>
      </c>
      <c r="E15" s="18"/>
      <c r="F15" s="18"/>
      <c r="G15" s="18"/>
      <c r="H15" s="18"/>
      <c r="I15" s="18"/>
      <c r="J15" s="18"/>
    </row>
    <row r="16" spans="3:10" ht="15.6" x14ac:dyDescent="0.3">
      <c r="C16" s="18" t="s">
        <v>41</v>
      </c>
      <c r="D16" s="33">
        <v>0.3</v>
      </c>
      <c r="E16" s="18"/>
      <c r="F16" s="18"/>
      <c r="G16" s="18"/>
      <c r="H16" s="18"/>
      <c r="I16" s="18"/>
      <c r="J16" s="18"/>
    </row>
    <row r="17" spans="3:10" ht="15.6" x14ac:dyDescent="0.3">
      <c r="C17" s="18" t="s">
        <v>42</v>
      </c>
      <c r="D17" s="32">
        <v>1</v>
      </c>
      <c r="E17" s="18"/>
      <c r="F17" s="18"/>
      <c r="G17" s="18"/>
      <c r="H17" s="18"/>
      <c r="I17" s="18"/>
      <c r="J17" s="18"/>
    </row>
    <row r="18" spans="3:10" ht="15.6" x14ac:dyDescent="0.3">
      <c r="C18" s="18" t="s">
        <v>48</v>
      </c>
      <c r="D18" s="33">
        <v>0.05</v>
      </c>
      <c r="E18" s="18"/>
      <c r="F18" s="18"/>
      <c r="G18" s="18"/>
      <c r="H18" s="18"/>
      <c r="I18" s="18"/>
      <c r="J18" s="18"/>
    </row>
    <row r="19" spans="3:10" ht="15.6" x14ac:dyDescent="0.3">
      <c r="C19" s="18"/>
      <c r="D19" s="18"/>
      <c r="E19" s="18"/>
      <c r="F19" s="18"/>
      <c r="G19" s="18"/>
      <c r="H19" s="18"/>
      <c r="I19" s="18"/>
      <c r="J19" s="18"/>
    </row>
    <row r="20" spans="3:10" ht="15.6" x14ac:dyDescent="0.3">
      <c r="C20" s="63" t="s">
        <v>71</v>
      </c>
      <c r="D20" s="63"/>
      <c r="E20" s="63"/>
      <c r="F20" s="63"/>
      <c r="G20" s="63"/>
      <c r="H20" s="63"/>
      <c r="I20" s="63"/>
      <c r="J20" s="63"/>
    </row>
    <row r="21" spans="3:10" ht="15.6" x14ac:dyDescent="0.3">
      <c r="C21" s="35"/>
      <c r="D21" s="35"/>
      <c r="E21" s="35"/>
      <c r="F21" s="35"/>
      <c r="G21" s="35"/>
      <c r="H21" s="35"/>
      <c r="I21" s="35"/>
      <c r="J21" s="35"/>
    </row>
    <row r="22" spans="3:10" ht="15.6" x14ac:dyDescent="0.3">
      <c r="C22" s="18" t="s">
        <v>35</v>
      </c>
      <c r="D22" s="33">
        <v>0.05</v>
      </c>
      <c r="E22" s="18"/>
      <c r="F22" s="18"/>
      <c r="G22" s="18"/>
      <c r="H22" s="18"/>
      <c r="I22" s="18"/>
      <c r="J22" s="18"/>
    </row>
    <row r="23" spans="3:10" ht="15.6" x14ac:dyDescent="0.3">
      <c r="C23" s="18" t="s">
        <v>36</v>
      </c>
      <c r="D23" s="33">
        <v>0.03</v>
      </c>
      <c r="E23" s="18"/>
      <c r="F23" s="18"/>
      <c r="G23" s="18"/>
      <c r="H23" s="18"/>
      <c r="I23" s="18"/>
      <c r="J23" s="18"/>
    </row>
    <row r="24" spans="3:10" ht="15.6" x14ac:dyDescent="0.3">
      <c r="C24" s="18" t="s">
        <v>43</v>
      </c>
      <c r="D24" s="32">
        <v>10</v>
      </c>
      <c r="E24" s="18"/>
      <c r="F24" s="18"/>
      <c r="G24" s="18"/>
      <c r="H24" s="18"/>
      <c r="I24" s="18"/>
      <c r="J24" s="18"/>
    </row>
    <row r="25" spans="3:10" ht="15.6" x14ac:dyDescent="0.3">
      <c r="C25" s="18" t="s">
        <v>44</v>
      </c>
      <c r="D25" s="32">
        <v>30</v>
      </c>
      <c r="E25" s="18"/>
      <c r="F25" s="18"/>
      <c r="G25" s="18"/>
      <c r="H25" s="18"/>
      <c r="I25" s="18"/>
      <c r="J25" s="18"/>
    </row>
    <row r="26" spans="3:10" ht="15.6" x14ac:dyDescent="0.3">
      <c r="C26" s="18" t="s">
        <v>45</v>
      </c>
      <c r="D26" s="32">
        <v>60</v>
      </c>
      <c r="E26" s="18"/>
      <c r="F26" s="18"/>
      <c r="G26" s="18"/>
      <c r="H26" s="18"/>
      <c r="I26" s="18"/>
      <c r="J26" s="18"/>
    </row>
    <row r="27" spans="3:10" ht="15.6" x14ac:dyDescent="0.3">
      <c r="C27" s="18" t="s">
        <v>46</v>
      </c>
      <c r="D27" s="32">
        <v>15</v>
      </c>
      <c r="E27" s="18"/>
      <c r="F27" s="18"/>
      <c r="G27" s="18"/>
      <c r="H27" s="18"/>
      <c r="I27" s="18"/>
      <c r="J27" s="18"/>
    </row>
    <row r="28" spans="3:10" ht="15.6" x14ac:dyDescent="0.3">
      <c r="C28" s="18" t="s">
        <v>47</v>
      </c>
      <c r="D28" s="32">
        <v>55</v>
      </c>
      <c r="E28" s="18"/>
      <c r="F28" s="18"/>
      <c r="G28" s="18"/>
      <c r="H28" s="18"/>
      <c r="I28" s="18"/>
      <c r="J28" s="18"/>
    </row>
  </sheetData>
  <mergeCells count="3">
    <mergeCell ref="C2:J2"/>
    <mergeCell ref="C11:J11"/>
    <mergeCell ref="C20:J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A25-C4E7-4E29-B114-D287673939B6}">
  <sheetPr>
    <tabColor theme="8" tint="-0.249977111117893"/>
  </sheetPr>
  <dimension ref="C1:T58"/>
  <sheetViews>
    <sheetView showGridLines="0" tabSelected="1" zoomScaleNormal="100" workbookViewId="0">
      <selection activeCell="K9" sqref="K9"/>
    </sheetView>
  </sheetViews>
  <sheetFormatPr defaultRowHeight="14.4" outlineLevelRow="1" x14ac:dyDescent="0.3"/>
  <cols>
    <col min="1" max="2" width="2.77734375" customWidth="1"/>
    <col min="3" max="3" width="29.88671875" customWidth="1"/>
    <col min="12" max="12" width="30.21875" customWidth="1"/>
  </cols>
  <sheetData>
    <row r="1" spans="3:10" ht="18" x14ac:dyDescent="0.35">
      <c r="C1" s="64" t="str">
        <f>"Financial Statements of VB Ltd"</f>
        <v>Financial Statements of VB Ltd</v>
      </c>
      <c r="D1" s="64"/>
      <c r="E1" s="64"/>
      <c r="F1" s="64"/>
      <c r="G1" s="64"/>
      <c r="H1" s="64"/>
      <c r="I1" s="64"/>
      <c r="J1" s="64"/>
    </row>
    <row r="2" spans="3:10" x14ac:dyDescent="0.3">
      <c r="C2" s="54"/>
      <c r="D2" s="54"/>
      <c r="E2" s="54"/>
      <c r="F2" s="54"/>
      <c r="G2" s="54"/>
      <c r="H2" s="54"/>
      <c r="I2" s="54"/>
      <c r="J2" s="54"/>
    </row>
    <row r="4" spans="3:10" ht="15.6" x14ac:dyDescent="0.3">
      <c r="C4" s="63" t="s">
        <v>28</v>
      </c>
      <c r="D4" s="63"/>
      <c r="E4" s="63"/>
      <c r="F4" s="63"/>
      <c r="G4" s="63"/>
      <c r="H4" s="63"/>
      <c r="I4" s="63"/>
      <c r="J4" s="63"/>
    </row>
    <row r="5" spans="3:10" ht="15.6" outlineLevel="1" x14ac:dyDescent="0.3">
      <c r="C5" s="50" t="s">
        <v>30</v>
      </c>
      <c r="D5" s="50"/>
      <c r="E5" s="51">
        <v>0</v>
      </c>
      <c r="F5" s="52">
        <f>E5+1</f>
        <v>1</v>
      </c>
      <c r="G5" s="52">
        <f>F5+1</f>
        <v>2</v>
      </c>
      <c r="H5" s="52">
        <f>G5+1</f>
        <v>3</v>
      </c>
      <c r="I5" s="52">
        <f>H5+1</f>
        <v>4</v>
      </c>
      <c r="J5" s="52">
        <f>I5+1</f>
        <v>5</v>
      </c>
    </row>
    <row r="6" spans="3:10" ht="15.6" outlineLevel="1" x14ac:dyDescent="0.3">
      <c r="C6" s="14"/>
      <c r="D6" s="14"/>
      <c r="E6" s="15"/>
      <c r="F6" s="16"/>
      <c r="G6" s="16"/>
      <c r="H6" s="16"/>
      <c r="I6" s="16"/>
      <c r="J6" s="16"/>
    </row>
    <row r="7" spans="3:10" ht="15.6" outlineLevel="1" x14ac:dyDescent="0.3">
      <c r="C7" s="17" t="s">
        <v>90</v>
      </c>
      <c r="D7" s="18"/>
      <c r="E7" s="18"/>
      <c r="F7" s="18"/>
      <c r="G7" s="18"/>
      <c r="H7" s="18"/>
      <c r="I7" s="18"/>
      <c r="J7" s="18"/>
    </row>
    <row r="8" spans="3:10" ht="15.6" outlineLevel="1" x14ac:dyDescent="0.3">
      <c r="C8" s="19" t="s">
        <v>29</v>
      </c>
      <c r="D8" s="19"/>
      <c r="E8" s="20">
        <f>IFERROR(Assumptions!$E$5,0)</f>
        <v>120</v>
      </c>
      <c r="F8" s="20">
        <f>IFERROR('P&amp;L'!E8*(1+Assumptions!F6),0)</f>
        <v>150.36000000000001</v>
      </c>
      <c r="G8" s="20">
        <f>IFERROR(F8*(1+Assumptions!G6),0)</f>
        <v>183.4392</v>
      </c>
      <c r="H8" s="20">
        <f>IFERROR('P&amp;L'!G8*(1+Assumptions!H6),0)</f>
        <v>220.12703999999999</v>
      </c>
      <c r="I8" s="20">
        <f>IFERROR(H8*(1+Assumptions!I6),0)</f>
        <v>259.7499072</v>
      </c>
      <c r="J8" s="20">
        <f>IFERROR('P&amp;L'!I8*(1+Assumptions!J6),0)</f>
        <v>298.71239327999996</v>
      </c>
    </row>
    <row r="9" spans="3:10" ht="15.6" outlineLevel="1" x14ac:dyDescent="0.3">
      <c r="C9" s="18" t="s">
        <v>54</v>
      </c>
      <c r="D9" s="18"/>
      <c r="E9" s="21"/>
      <c r="F9" s="65">
        <f>IFERROR((F8/E8)-1,0)</f>
        <v>0.25300000000000011</v>
      </c>
      <c r="G9" s="65">
        <f>IFERROR((G8/F8)-1,0)</f>
        <v>0.21999999999999997</v>
      </c>
      <c r="H9" s="65">
        <f>IFERROR((H8/G8)-1,0)</f>
        <v>0.19999999999999996</v>
      </c>
      <c r="I9" s="65">
        <f>IFERROR((I8/H8)-1,0)</f>
        <v>0.17999999999999994</v>
      </c>
      <c r="J9" s="65">
        <f>IFERROR((J8/I8)-1,0)</f>
        <v>0.14999999999999991</v>
      </c>
    </row>
    <row r="10" spans="3:10" ht="15.6" outlineLevel="1" x14ac:dyDescent="0.3">
      <c r="C10" s="18"/>
      <c r="D10" s="18"/>
      <c r="E10" s="22"/>
      <c r="F10" s="22"/>
      <c r="G10" s="22"/>
      <c r="H10" s="22"/>
      <c r="I10" s="22"/>
      <c r="J10" s="22"/>
    </row>
    <row r="11" spans="3:10" ht="15.6" outlineLevel="1" x14ac:dyDescent="0.3">
      <c r="C11" s="23" t="s">
        <v>49</v>
      </c>
      <c r="D11" s="23"/>
      <c r="E11" s="24">
        <f>IFERROR(E8*Assumptions!$E$7,0)</f>
        <v>33.6</v>
      </c>
      <c r="F11" s="24">
        <f>IFERROR(F8*Assumptions!$E$7,0)</f>
        <v>42.100800000000007</v>
      </c>
      <c r="G11" s="24">
        <f>IFERROR(G8*Assumptions!$E$7,0)</f>
        <v>51.362976000000003</v>
      </c>
      <c r="H11" s="24">
        <f>IFERROR(H8*Assumptions!$E$7,0)</f>
        <v>61.635571200000001</v>
      </c>
      <c r="I11" s="24">
        <f>IFERROR(I8*Assumptions!$E$7,0)</f>
        <v>72.729974016</v>
      </c>
      <c r="J11" s="24">
        <f>IFERROR(J8*Assumptions!$E$7,0)</f>
        <v>83.639470118399998</v>
      </c>
    </row>
    <row r="12" spans="3:10" ht="15.6" outlineLevel="1" x14ac:dyDescent="0.3">
      <c r="C12" s="18"/>
      <c r="D12" s="18"/>
      <c r="E12" s="22"/>
      <c r="F12" s="22"/>
      <c r="G12" s="22"/>
      <c r="H12" s="22"/>
      <c r="I12" s="22"/>
      <c r="J12" s="22"/>
    </row>
    <row r="13" spans="3:10" ht="15.6" outlineLevel="1" x14ac:dyDescent="0.3">
      <c r="C13" s="18" t="s">
        <v>97</v>
      </c>
      <c r="D13" s="18"/>
      <c r="E13" s="47">
        <f>IFERROR(E8*Assumptions!$E$8,0)</f>
        <v>7.1999999999999993</v>
      </c>
      <c r="F13" s="47">
        <f>IFERROR(F8*Assumptions!$E$8,0)</f>
        <v>9.0216000000000012</v>
      </c>
      <c r="G13" s="47">
        <f>IFERROR(G8*Assumptions!$E$8,0)</f>
        <v>11.006352</v>
      </c>
      <c r="H13" s="47">
        <f>IFERROR(H8*Assumptions!$E$8,0)</f>
        <v>13.2076224</v>
      </c>
      <c r="I13" s="47">
        <f>IFERROR(I8*Assumptions!$E$8,0)</f>
        <v>15.584994431999998</v>
      </c>
      <c r="J13" s="47">
        <f>IFERROR(J8*Assumptions!$E$8,0)</f>
        <v>17.922743596799997</v>
      </c>
    </row>
    <row r="14" spans="3:10" ht="15.6" outlineLevel="1" x14ac:dyDescent="0.3">
      <c r="C14" s="18"/>
      <c r="D14" s="18"/>
      <c r="E14" s="22"/>
      <c r="F14" s="22"/>
      <c r="G14" s="22"/>
      <c r="H14" s="22"/>
      <c r="I14" s="22"/>
      <c r="J14" s="22"/>
    </row>
    <row r="15" spans="3:10" ht="15.6" outlineLevel="1" x14ac:dyDescent="0.3">
      <c r="C15" s="23" t="s">
        <v>51</v>
      </c>
      <c r="D15" s="23"/>
      <c r="E15" s="24">
        <f>IFERROR(E11-E13,0)</f>
        <v>26.400000000000002</v>
      </c>
      <c r="F15" s="24">
        <f t="shared" ref="F15:J15" si="0">IFERROR(F11-F13,0)</f>
        <v>33.079200000000007</v>
      </c>
      <c r="G15" s="24">
        <f t="shared" si="0"/>
        <v>40.356624000000004</v>
      </c>
      <c r="H15" s="24">
        <f t="shared" si="0"/>
        <v>48.427948800000003</v>
      </c>
      <c r="I15" s="24">
        <f t="shared" si="0"/>
        <v>57.144979583999998</v>
      </c>
      <c r="J15" s="24">
        <f t="shared" si="0"/>
        <v>65.716726521600009</v>
      </c>
    </row>
    <row r="16" spans="3:10" ht="15.6" outlineLevel="1" x14ac:dyDescent="0.3">
      <c r="C16" s="18"/>
      <c r="D16" s="18"/>
      <c r="E16" s="22"/>
      <c r="F16" s="22"/>
      <c r="G16" s="22"/>
      <c r="H16" s="22"/>
      <c r="I16" s="22"/>
      <c r="J16" s="22"/>
    </row>
    <row r="17" spans="3:20" ht="15.6" outlineLevel="1" x14ac:dyDescent="0.3">
      <c r="C17" s="18" t="s">
        <v>98</v>
      </c>
      <c r="D17" s="18"/>
      <c r="E17" s="47">
        <f>IFERROR(Assumptions!$D$25*Assumptions!$D$14,0)</f>
        <v>2.6999999999999997</v>
      </c>
      <c r="F17" s="47">
        <f>IFERROR(F50*Assumptions!$D$14,0)</f>
        <v>2.6999999999999997</v>
      </c>
      <c r="G17" s="47">
        <f>IFERROR(G50*Assumptions!$D$14,0)</f>
        <v>2.6999999999999997</v>
      </c>
      <c r="H17" s="47">
        <f>IFERROR(H50*Assumptions!$D$14,0)</f>
        <v>2.6999999999999997</v>
      </c>
      <c r="I17" s="47">
        <f>IFERROR(I50*Assumptions!$D$14,0)</f>
        <v>2.6999999999999997</v>
      </c>
      <c r="J17" s="47">
        <f>IFERROR(J50*Assumptions!$D$14,0)</f>
        <v>2.6999999999999997</v>
      </c>
    </row>
    <row r="18" spans="3:20" ht="15.6" outlineLevel="1" x14ac:dyDescent="0.3">
      <c r="C18" s="18"/>
      <c r="D18" s="18"/>
      <c r="E18" s="22"/>
      <c r="F18" s="22"/>
      <c r="G18" s="22"/>
      <c r="H18" s="22"/>
      <c r="I18" s="22"/>
      <c r="J18" s="22"/>
    </row>
    <row r="19" spans="3:20" ht="15.6" outlineLevel="1" x14ac:dyDescent="0.3">
      <c r="C19" s="23" t="s">
        <v>52</v>
      </c>
      <c r="D19" s="23"/>
      <c r="E19" s="24">
        <f>IFERROR(E15-E17,0)</f>
        <v>23.700000000000003</v>
      </c>
      <c r="F19" s="24">
        <f t="shared" ref="F19:J19" si="1">IFERROR(F15-F17,0)</f>
        <v>30.379200000000008</v>
      </c>
      <c r="G19" s="24">
        <f t="shared" si="1"/>
        <v>37.656624000000001</v>
      </c>
      <c r="H19" s="24">
        <f t="shared" si="1"/>
        <v>45.7279488</v>
      </c>
      <c r="I19" s="24">
        <f t="shared" si="1"/>
        <v>54.444979583999995</v>
      </c>
      <c r="J19" s="24">
        <f t="shared" si="1"/>
        <v>63.016726521600006</v>
      </c>
      <c r="T19" s="10"/>
    </row>
    <row r="20" spans="3:20" ht="15.6" outlineLevel="1" x14ac:dyDescent="0.3">
      <c r="C20" s="18"/>
      <c r="D20" s="18"/>
      <c r="E20" s="22"/>
      <c r="F20" s="22"/>
      <c r="G20" s="22"/>
      <c r="H20" s="22"/>
      <c r="I20" s="22"/>
      <c r="J20" s="22"/>
    </row>
    <row r="21" spans="3:20" ht="15.6" outlineLevel="1" x14ac:dyDescent="0.3">
      <c r="C21" s="18" t="s">
        <v>99</v>
      </c>
      <c r="D21" s="18"/>
      <c r="E21" s="47">
        <f>IFERROR(E19*Assumptions!$E$9,0)</f>
        <v>5.9250000000000007</v>
      </c>
      <c r="F21" s="47">
        <f>IFERROR(F19*Assumptions!$E$9,0)</f>
        <v>7.594800000000002</v>
      </c>
      <c r="G21" s="47">
        <f>IFERROR(G19*Assumptions!$E$9,0)</f>
        <v>9.4141560000000002</v>
      </c>
      <c r="H21" s="47">
        <f>IFERROR(H19*Assumptions!$E$9,0)</f>
        <v>11.4319872</v>
      </c>
      <c r="I21" s="47">
        <f>IFERROR(I19*Assumptions!$E$9,0)</f>
        <v>13.611244895999999</v>
      </c>
      <c r="J21" s="47">
        <f>IFERROR(J19*Assumptions!$E$9,0)</f>
        <v>15.754181630400002</v>
      </c>
    </row>
    <row r="22" spans="3:20" ht="15.6" outlineLevel="1" x14ac:dyDescent="0.3">
      <c r="C22" s="18"/>
      <c r="D22" s="18"/>
      <c r="E22" s="22"/>
      <c r="F22" s="22"/>
      <c r="G22" s="22"/>
      <c r="H22" s="22"/>
      <c r="I22" s="22"/>
      <c r="J22" s="22"/>
    </row>
    <row r="23" spans="3:20" ht="15.6" outlineLevel="1" x14ac:dyDescent="0.3">
      <c r="C23" s="23" t="s">
        <v>53</v>
      </c>
      <c r="D23" s="23"/>
      <c r="E23" s="24">
        <f>IFERROR(E19-E21,0)</f>
        <v>17.775000000000002</v>
      </c>
      <c r="F23" s="24">
        <f>IFERROR(F19-F21,0)</f>
        <v>22.784400000000005</v>
      </c>
      <c r="G23" s="24">
        <f t="shared" ref="G23:I23" si="2">IFERROR(G19-G21,0)</f>
        <v>28.242468000000002</v>
      </c>
      <c r="H23" s="24">
        <f>IFERROR(H19-H21,0)</f>
        <v>34.295961599999998</v>
      </c>
      <c r="I23" s="24">
        <f t="shared" si="2"/>
        <v>40.833734687999993</v>
      </c>
      <c r="J23" s="24">
        <f>IFERROR(J19-J21,0)</f>
        <v>47.262544891200008</v>
      </c>
    </row>
    <row r="24" spans="3:20" ht="15.6" outlineLevel="1" x14ac:dyDescent="0.3">
      <c r="C24" s="19"/>
      <c r="D24" s="19"/>
      <c r="E24" s="25"/>
      <c r="F24" s="25"/>
      <c r="G24" s="25"/>
      <c r="H24" s="25"/>
      <c r="I24" s="25"/>
      <c r="J24" s="25"/>
    </row>
    <row r="25" spans="3:20" ht="15.6" x14ac:dyDescent="0.3">
      <c r="C25" s="19"/>
      <c r="D25" s="19"/>
      <c r="E25" s="26"/>
      <c r="F25" s="26"/>
      <c r="G25" s="26"/>
      <c r="H25" s="26"/>
      <c r="I25" s="26"/>
      <c r="J25" s="26"/>
    </row>
    <row r="26" spans="3:20" ht="15.6" x14ac:dyDescent="0.3">
      <c r="C26" s="63" t="s">
        <v>72</v>
      </c>
      <c r="D26" s="63"/>
      <c r="E26" s="63"/>
      <c r="F26" s="63"/>
      <c r="G26" s="63"/>
      <c r="H26" s="63"/>
      <c r="I26" s="63"/>
      <c r="J26" s="63"/>
    </row>
    <row r="27" spans="3:20" ht="15.6" outlineLevel="1" x14ac:dyDescent="0.3">
      <c r="C27" s="50" t="s">
        <v>30</v>
      </c>
      <c r="D27" s="50"/>
      <c r="E27" s="51">
        <v>0</v>
      </c>
      <c r="F27" s="52">
        <f>E27+1</f>
        <v>1</v>
      </c>
      <c r="G27" s="52">
        <f>F27+1</f>
        <v>2</v>
      </c>
      <c r="H27" s="52">
        <f>G27+1</f>
        <v>3</v>
      </c>
      <c r="I27" s="52">
        <f>H27+1</f>
        <v>4</v>
      </c>
      <c r="J27" s="52">
        <f>I27+1</f>
        <v>5</v>
      </c>
    </row>
    <row r="28" spans="3:20" ht="15.6" outlineLevel="1" x14ac:dyDescent="0.3">
      <c r="C28" s="18"/>
      <c r="D28" s="18"/>
      <c r="E28" s="18"/>
      <c r="F28" s="18"/>
      <c r="G28" s="18"/>
      <c r="H28" s="18"/>
      <c r="I28" s="18"/>
      <c r="J28" s="18"/>
    </row>
    <row r="29" spans="3:20" ht="15.6" outlineLevel="1" x14ac:dyDescent="0.3">
      <c r="C29" s="18" t="s">
        <v>53</v>
      </c>
      <c r="D29" s="18"/>
      <c r="E29" s="22">
        <f t="shared" ref="E29:J29" si="3">IFERROR(E23,0)</f>
        <v>17.775000000000002</v>
      </c>
      <c r="F29" s="22">
        <f t="shared" si="3"/>
        <v>22.784400000000005</v>
      </c>
      <c r="G29" s="22">
        <f t="shared" si="3"/>
        <v>28.242468000000002</v>
      </c>
      <c r="H29" s="22">
        <f t="shared" si="3"/>
        <v>34.295961599999998</v>
      </c>
      <c r="I29" s="22">
        <f t="shared" si="3"/>
        <v>40.833734687999993</v>
      </c>
      <c r="J29" s="22">
        <f t="shared" si="3"/>
        <v>47.262544891200008</v>
      </c>
    </row>
    <row r="30" spans="3:20" ht="15.6" outlineLevel="1" x14ac:dyDescent="0.3">
      <c r="C30" s="18"/>
      <c r="D30" s="18"/>
      <c r="E30" s="22"/>
      <c r="F30" s="22"/>
      <c r="G30" s="22"/>
      <c r="H30" s="22"/>
      <c r="I30" s="22"/>
      <c r="J30" s="22"/>
    </row>
    <row r="31" spans="3:20" ht="15.6" outlineLevel="1" x14ac:dyDescent="0.3">
      <c r="C31" s="18" t="s">
        <v>50</v>
      </c>
      <c r="D31" s="18"/>
      <c r="E31" s="22">
        <f t="shared" ref="E31:J31" si="4">IFERROR(E13,0)</f>
        <v>7.1999999999999993</v>
      </c>
      <c r="F31" s="22">
        <f t="shared" si="4"/>
        <v>9.0216000000000012</v>
      </c>
      <c r="G31" s="22">
        <f t="shared" si="4"/>
        <v>11.006352</v>
      </c>
      <c r="H31" s="22">
        <f t="shared" si="4"/>
        <v>13.2076224</v>
      </c>
      <c r="I31" s="22">
        <f t="shared" si="4"/>
        <v>15.584994431999998</v>
      </c>
      <c r="J31" s="22">
        <f t="shared" si="4"/>
        <v>17.922743596799997</v>
      </c>
      <c r="L31" s="11"/>
      <c r="M31" s="11"/>
      <c r="N31" s="11"/>
    </row>
    <row r="32" spans="3:20" ht="15.6" outlineLevel="1" x14ac:dyDescent="0.3">
      <c r="C32" s="18" t="s">
        <v>76</v>
      </c>
      <c r="D32" s="18"/>
      <c r="E32" s="47">
        <f>E54</f>
        <v>15</v>
      </c>
      <c r="F32" s="47">
        <f>F54-E54</f>
        <v>4.5107999999999997</v>
      </c>
      <c r="G32" s="47">
        <f>G54-F54</f>
        <v>5.5031759999999998</v>
      </c>
      <c r="H32" s="47">
        <f>H54-G54</f>
        <v>6.6038111999999991</v>
      </c>
      <c r="I32" s="47">
        <f>I54-H54</f>
        <v>7.7924972159999975</v>
      </c>
      <c r="J32" s="47">
        <f>J54-I54</f>
        <v>8.9613717983999948</v>
      </c>
    </row>
    <row r="33" spans="3:14" ht="15.6" outlineLevel="1" x14ac:dyDescent="0.3">
      <c r="C33" s="23" t="s">
        <v>73</v>
      </c>
      <c r="D33" s="23"/>
      <c r="E33" s="24">
        <f>E29+E31-E32</f>
        <v>9.9750000000000014</v>
      </c>
      <c r="F33" s="24">
        <f>F29+F31-F32</f>
        <v>27.295200000000005</v>
      </c>
      <c r="G33" s="24">
        <f>G29+G31-G32</f>
        <v>33.745643999999999</v>
      </c>
      <c r="H33" s="24">
        <f>H29+H31-H32</f>
        <v>40.899772799999994</v>
      </c>
      <c r="I33" s="24">
        <f>I29+I31-I32</f>
        <v>48.626231903999994</v>
      </c>
      <c r="J33" s="24">
        <f t="shared" ref="J33" si="5">J29+J31-J32</f>
        <v>56.223916689600003</v>
      </c>
      <c r="L33" s="10"/>
    </row>
    <row r="34" spans="3:14" ht="15.6" outlineLevel="1" x14ac:dyDescent="0.3">
      <c r="C34" s="18"/>
      <c r="D34" s="18"/>
      <c r="E34" s="22"/>
      <c r="F34" s="22"/>
      <c r="G34" s="22"/>
      <c r="H34" s="22"/>
      <c r="I34" s="22"/>
      <c r="J34" s="22"/>
    </row>
    <row r="35" spans="3:14" ht="15.6" outlineLevel="1" x14ac:dyDescent="0.3">
      <c r="C35" s="18"/>
      <c r="D35" s="18"/>
      <c r="E35" s="22"/>
      <c r="F35" s="22"/>
      <c r="G35" s="22"/>
      <c r="H35" s="22"/>
      <c r="I35" s="22"/>
      <c r="J35" s="22"/>
      <c r="N35" s="10"/>
    </row>
    <row r="36" spans="3:14" ht="15.6" outlineLevel="1" x14ac:dyDescent="0.3">
      <c r="C36" s="18" t="s">
        <v>91</v>
      </c>
      <c r="D36" s="18"/>
      <c r="E36" s="47">
        <f>E8*Assumptions!$D$22</f>
        <v>6</v>
      </c>
      <c r="F36" s="47">
        <f>F8*Assumptions!$D$22</f>
        <v>7.5180000000000007</v>
      </c>
      <c r="G36" s="47">
        <f>G8*Assumptions!$D$22</f>
        <v>9.1719600000000003</v>
      </c>
      <c r="H36" s="47">
        <f>H8*Assumptions!$D$22</f>
        <v>11.006352</v>
      </c>
      <c r="I36" s="47">
        <f>I8*Assumptions!$D$22</f>
        <v>12.98749536</v>
      </c>
      <c r="J36" s="47">
        <f>J8*Assumptions!$D$22</f>
        <v>14.935619663999999</v>
      </c>
      <c r="L36" s="10"/>
      <c r="N36" s="10"/>
    </row>
    <row r="37" spans="3:14" ht="15.6" outlineLevel="1" x14ac:dyDescent="0.3">
      <c r="C37" s="18"/>
      <c r="D37" s="18"/>
      <c r="E37" s="46"/>
      <c r="F37" s="46"/>
      <c r="G37" s="46"/>
      <c r="H37" s="46"/>
      <c r="I37" s="46"/>
      <c r="J37" s="46"/>
      <c r="N37" s="10"/>
    </row>
    <row r="38" spans="3:14" ht="15.6" outlineLevel="1" x14ac:dyDescent="0.3">
      <c r="C38" s="23" t="s">
        <v>74</v>
      </c>
      <c r="D38" s="23"/>
      <c r="E38" s="47">
        <f>E36</f>
        <v>6</v>
      </c>
      <c r="F38" s="47">
        <f t="shared" ref="F38:J38" si="6">F36</f>
        <v>7.5180000000000007</v>
      </c>
      <c r="G38" s="47">
        <f t="shared" si="6"/>
        <v>9.1719600000000003</v>
      </c>
      <c r="H38" s="47">
        <f t="shared" si="6"/>
        <v>11.006352</v>
      </c>
      <c r="I38" s="47">
        <f t="shared" si="6"/>
        <v>12.98749536</v>
      </c>
      <c r="J38" s="47">
        <f t="shared" si="6"/>
        <v>14.935619663999999</v>
      </c>
      <c r="N38" s="10"/>
    </row>
    <row r="39" spans="3:14" ht="15.6" outlineLevel="1" x14ac:dyDescent="0.3">
      <c r="C39" s="18"/>
      <c r="D39" s="18"/>
      <c r="E39" s="22"/>
      <c r="F39" s="22"/>
      <c r="G39" s="22"/>
      <c r="H39" s="22"/>
      <c r="I39" s="22"/>
      <c r="J39" s="22"/>
      <c r="N39" s="10"/>
    </row>
    <row r="40" spans="3:14" ht="15.6" outlineLevel="1" x14ac:dyDescent="0.3">
      <c r="C40" s="23" t="s">
        <v>75</v>
      </c>
      <c r="D40" s="23"/>
      <c r="E40" s="24"/>
      <c r="F40" s="24">
        <f>F50-E50</f>
        <v>0</v>
      </c>
      <c r="G40" s="24">
        <f>G50-F50</f>
        <v>0</v>
      </c>
      <c r="H40" s="24">
        <f>H50-G50</f>
        <v>0</v>
      </c>
      <c r="I40" s="24">
        <f>I50-H50</f>
        <v>0</v>
      </c>
      <c r="J40" s="24">
        <f>J50-I50</f>
        <v>0</v>
      </c>
    </row>
    <row r="41" spans="3:14" ht="15.6" outlineLevel="1" x14ac:dyDescent="0.3">
      <c r="C41" s="18"/>
      <c r="D41" s="18"/>
      <c r="E41" s="22"/>
      <c r="F41" s="22"/>
      <c r="G41" s="22"/>
      <c r="H41" s="22"/>
      <c r="I41" s="22"/>
      <c r="J41" s="22"/>
    </row>
    <row r="42" spans="3:14" ht="15.6" outlineLevel="1" x14ac:dyDescent="0.3">
      <c r="C42" s="18" t="s">
        <v>93</v>
      </c>
      <c r="D42" s="18"/>
      <c r="E42" s="22">
        <f>E33-E38</f>
        <v>3.9750000000000014</v>
      </c>
      <c r="F42" s="22">
        <f>F33-F38+F40</f>
        <v>19.777200000000004</v>
      </c>
      <c r="G42" s="22">
        <f t="shared" ref="G42:J42" si="7">G33-G38+G40</f>
        <v>24.573684</v>
      </c>
      <c r="H42" s="22">
        <f t="shared" si="7"/>
        <v>29.893420799999994</v>
      </c>
      <c r="I42" s="22">
        <f t="shared" si="7"/>
        <v>35.638736543999997</v>
      </c>
      <c r="J42" s="22">
        <f t="shared" si="7"/>
        <v>41.288297025600002</v>
      </c>
    </row>
    <row r="43" spans="3:14" ht="15.6" outlineLevel="1" x14ac:dyDescent="0.3">
      <c r="C43" s="18" t="s">
        <v>94</v>
      </c>
      <c r="D43" s="18"/>
      <c r="E43" s="22">
        <f>E44-E42</f>
        <v>6.0249999999999986</v>
      </c>
      <c r="F43" s="22">
        <f>E44</f>
        <v>10</v>
      </c>
      <c r="G43" s="22">
        <f>F44</f>
        <v>29.777200000000004</v>
      </c>
      <c r="H43" s="22">
        <f>G44</f>
        <v>54.350884000000008</v>
      </c>
      <c r="I43" s="22">
        <f t="shared" ref="I43:J43" si="8">H44</f>
        <v>84.244304800000009</v>
      </c>
      <c r="J43" s="22">
        <f t="shared" si="8"/>
        <v>119.88304134400001</v>
      </c>
    </row>
    <row r="44" spans="3:14" ht="15.6" outlineLevel="1" x14ac:dyDescent="0.3">
      <c r="C44" s="23" t="s">
        <v>95</v>
      </c>
      <c r="D44" s="23"/>
      <c r="E44" s="24">
        <f>E53</f>
        <v>10</v>
      </c>
      <c r="F44" s="24">
        <f>SUM(F42:F43)</f>
        <v>29.777200000000004</v>
      </c>
      <c r="G44" s="24">
        <f t="shared" ref="G44:J44" si="9">SUM(G42:G43)</f>
        <v>54.350884000000008</v>
      </c>
      <c r="H44" s="24">
        <f t="shared" si="9"/>
        <v>84.244304800000009</v>
      </c>
      <c r="I44" s="24">
        <f t="shared" si="9"/>
        <v>119.88304134400001</v>
      </c>
      <c r="J44" s="24">
        <f t="shared" si="9"/>
        <v>161.17133836959999</v>
      </c>
    </row>
    <row r="45" spans="3:14" ht="15.6" x14ac:dyDescent="0.3">
      <c r="C45" s="18"/>
      <c r="D45" s="18"/>
      <c r="E45" s="18"/>
      <c r="F45" s="18"/>
      <c r="G45" s="18"/>
      <c r="H45" s="18"/>
      <c r="I45" s="18"/>
      <c r="J45" s="18"/>
    </row>
    <row r="46" spans="3:14" ht="15.6" x14ac:dyDescent="0.3">
      <c r="C46" s="63" t="s">
        <v>55</v>
      </c>
      <c r="D46" s="63"/>
      <c r="E46" s="63"/>
      <c r="F46" s="63"/>
      <c r="G46" s="63"/>
      <c r="H46" s="63"/>
      <c r="I46" s="63"/>
      <c r="J46" s="63"/>
    </row>
    <row r="47" spans="3:14" ht="15.6" outlineLevel="1" x14ac:dyDescent="0.3">
      <c r="C47" s="50" t="s">
        <v>30</v>
      </c>
      <c r="D47" s="50"/>
      <c r="E47" s="51">
        <v>0</v>
      </c>
      <c r="F47" s="52">
        <f>E47+1</f>
        <v>1</v>
      </c>
      <c r="G47" s="52">
        <f>F47+1</f>
        <v>2</v>
      </c>
      <c r="H47" s="52">
        <f>G47+1</f>
        <v>3</v>
      </c>
      <c r="I47" s="52">
        <f>H47+1</f>
        <v>4</v>
      </c>
      <c r="J47" s="52">
        <f>I47+1</f>
        <v>5</v>
      </c>
    </row>
    <row r="48" spans="3:14" ht="15.6" outlineLevel="1" x14ac:dyDescent="0.3">
      <c r="C48" s="18"/>
      <c r="D48" s="18"/>
      <c r="E48" s="18"/>
      <c r="F48" s="18"/>
      <c r="G48" s="18"/>
      <c r="H48" s="18"/>
      <c r="I48" s="18"/>
      <c r="J48" s="18"/>
    </row>
    <row r="49" spans="3:10" ht="15.6" outlineLevel="1" x14ac:dyDescent="0.3">
      <c r="C49" s="18" t="s">
        <v>56</v>
      </c>
      <c r="D49" s="18"/>
      <c r="E49" s="22">
        <f>IFERROR(Assumptions!D28,0)</f>
        <v>55</v>
      </c>
      <c r="F49" s="27">
        <f>IFERROR(E49+F23,0)</f>
        <v>77.784400000000005</v>
      </c>
      <c r="G49" s="27">
        <f t="shared" ref="G49:J49" si="10">IFERROR(F49+G23,0)</f>
        <v>106.02686800000001</v>
      </c>
      <c r="H49" s="27">
        <f t="shared" si="10"/>
        <v>140.32282960000001</v>
      </c>
      <c r="I49" s="27">
        <f t="shared" si="10"/>
        <v>181.156564288</v>
      </c>
      <c r="J49" s="27">
        <f t="shared" si="10"/>
        <v>228.41910917920001</v>
      </c>
    </row>
    <row r="50" spans="3:10" ht="15.6" outlineLevel="1" x14ac:dyDescent="0.3">
      <c r="C50" s="18" t="s">
        <v>57</v>
      </c>
      <c r="D50" s="18"/>
      <c r="E50" s="22">
        <f>IFERROR(Assumptions!D25,0)</f>
        <v>30</v>
      </c>
      <c r="F50" s="27">
        <f>IFERROR(E50,0)</f>
        <v>30</v>
      </c>
      <c r="G50" s="27">
        <f t="shared" ref="G50:J50" si="11">IFERROR(F50,0)</f>
        <v>30</v>
      </c>
      <c r="H50" s="27">
        <f t="shared" si="11"/>
        <v>30</v>
      </c>
      <c r="I50" s="27">
        <f t="shared" si="11"/>
        <v>30</v>
      </c>
      <c r="J50" s="27">
        <f t="shared" si="11"/>
        <v>30</v>
      </c>
    </row>
    <row r="51" spans="3:10" ht="15.6" outlineLevel="1" x14ac:dyDescent="0.3">
      <c r="C51" s="23" t="s">
        <v>61</v>
      </c>
      <c r="D51" s="23"/>
      <c r="E51" s="24">
        <f t="shared" ref="E51:J51" si="12">IFERROR(SUM(E49:E50),0)</f>
        <v>85</v>
      </c>
      <c r="F51" s="24">
        <f t="shared" si="12"/>
        <v>107.78440000000001</v>
      </c>
      <c r="G51" s="24">
        <f t="shared" si="12"/>
        <v>136.02686800000001</v>
      </c>
      <c r="H51" s="24">
        <f t="shared" si="12"/>
        <v>170.32282960000001</v>
      </c>
      <c r="I51" s="24">
        <f t="shared" si="12"/>
        <v>211.156564288</v>
      </c>
      <c r="J51" s="24">
        <f t="shared" si="12"/>
        <v>258.41910917920001</v>
      </c>
    </row>
    <row r="52" spans="3:10" ht="15.6" outlineLevel="1" x14ac:dyDescent="0.3">
      <c r="C52" s="18"/>
      <c r="D52" s="18"/>
      <c r="E52" s="22"/>
      <c r="F52" s="22"/>
      <c r="G52" s="22"/>
      <c r="H52" s="22"/>
      <c r="I52" s="22"/>
      <c r="J52" s="22"/>
    </row>
    <row r="53" spans="3:10" ht="15.6" outlineLevel="1" x14ac:dyDescent="0.3">
      <c r="C53" s="18" t="s">
        <v>59</v>
      </c>
      <c r="D53" s="18"/>
      <c r="E53" s="22">
        <f>IFERROR(Assumptions!D24,0)</f>
        <v>10</v>
      </c>
      <c r="F53" s="22">
        <f>IFERROR(F44,0)</f>
        <v>29.777200000000004</v>
      </c>
      <c r="G53" s="22">
        <f>IFERROR(G44,0)</f>
        <v>54.350884000000008</v>
      </c>
      <c r="H53" s="22">
        <f>IFERROR(H44,0)</f>
        <v>84.244304800000009</v>
      </c>
      <c r="I53" s="22">
        <f>IFERROR(I44,0)</f>
        <v>119.88304134400001</v>
      </c>
      <c r="J53" s="22">
        <f>IFERROR(J44,0)</f>
        <v>161.17133836959999</v>
      </c>
    </row>
    <row r="54" spans="3:10" ht="15.6" outlineLevel="1" x14ac:dyDescent="0.3">
      <c r="C54" s="18" t="s">
        <v>58</v>
      </c>
      <c r="D54" s="18"/>
      <c r="E54" s="22">
        <f>IFERROR(Assumptions!$D$27,0)</f>
        <v>15</v>
      </c>
      <c r="F54" s="22">
        <f>IFERROR(E54+(F8*Assumptions!$D$23),0)</f>
        <v>19.5108</v>
      </c>
      <c r="G54" s="22">
        <f>IFERROR(F54+(G8*Assumptions!$D$23),0)</f>
        <v>25.013976</v>
      </c>
      <c r="H54" s="22">
        <f>IFERROR(G54+(H8*Assumptions!$D$23),0)</f>
        <v>31.617787199999999</v>
      </c>
      <c r="I54" s="22">
        <f>IFERROR(H54+(I8*Assumptions!$D$23),0)</f>
        <v>39.410284415999996</v>
      </c>
      <c r="J54" s="22">
        <f>IFERROR(I54+(J8*Assumptions!$D$23),0)</f>
        <v>48.371656214399991</v>
      </c>
    </row>
    <row r="55" spans="3:10" ht="15.6" outlineLevel="1" x14ac:dyDescent="0.3">
      <c r="C55" s="18" t="s">
        <v>60</v>
      </c>
      <c r="D55" s="18"/>
      <c r="E55" s="22">
        <f>IFERROR(Assumptions!D26,0)</f>
        <v>60</v>
      </c>
      <c r="F55" s="22">
        <f>IFERROR(E55+('P&amp;L'!F8*Assumptions!$D$22),0)-F13</f>
        <v>58.496400000000001</v>
      </c>
      <c r="G55" s="22">
        <f>IFERROR(F55+('P&amp;L'!G8*Assumptions!$D$22)-'P&amp;L'!G13,0)</f>
        <v>56.662008000000007</v>
      </c>
      <c r="H55" s="22">
        <f>IFERROR(G55+('P&amp;L'!H8*Assumptions!$D$22)-'P&amp;L'!H13,0)</f>
        <v>54.460737600000009</v>
      </c>
      <c r="I55" s="22">
        <f>IFERROR(H55+('P&amp;L'!I8*Assumptions!$D$22)-'P&amp;L'!I13,0)</f>
        <v>51.863238528000011</v>
      </c>
      <c r="J55" s="22">
        <f>IFERROR(I55+('P&amp;L'!J8*Assumptions!$D$22)-'P&amp;L'!J13,0)</f>
        <v>48.876114595200015</v>
      </c>
    </row>
    <row r="56" spans="3:10" ht="15.6" outlineLevel="1" x14ac:dyDescent="0.3">
      <c r="C56" s="23" t="s">
        <v>62</v>
      </c>
      <c r="D56" s="23"/>
      <c r="E56" s="24">
        <f t="shared" ref="E56:J56" si="13">IFERROR(SUM(E53:E55),0)</f>
        <v>85</v>
      </c>
      <c r="F56" s="24">
        <f t="shared" si="13"/>
        <v>107.78440000000001</v>
      </c>
      <c r="G56" s="24">
        <f t="shared" si="13"/>
        <v>136.02686800000001</v>
      </c>
      <c r="H56" s="24">
        <f t="shared" si="13"/>
        <v>170.32282960000001</v>
      </c>
      <c r="I56" s="24">
        <f t="shared" si="13"/>
        <v>211.15656428800003</v>
      </c>
      <c r="J56" s="24">
        <f t="shared" si="13"/>
        <v>258.41910917920001</v>
      </c>
    </row>
    <row r="57" spans="3:10" ht="15.6" outlineLevel="1" x14ac:dyDescent="0.3">
      <c r="C57" s="18"/>
      <c r="D57" s="18"/>
      <c r="E57" s="18"/>
      <c r="F57" s="18"/>
      <c r="G57" s="18"/>
      <c r="H57" s="18"/>
      <c r="I57" s="18"/>
      <c r="J57" s="18"/>
    </row>
    <row r="58" spans="3:10" ht="15.6" outlineLevel="1" x14ac:dyDescent="0.3">
      <c r="C58" s="17" t="s">
        <v>96</v>
      </c>
      <c r="D58" s="18"/>
      <c r="E58" s="28">
        <f t="shared" ref="E58:J58" si="14">E51-E56</f>
        <v>0</v>
      </c>
      <c r="F58" s="28">
        <f t="shared" si="14"/>
        <v>0</v>
      </c>
      <c r="G58" s="28">
        <f t="shared" si="14"/>
        <v>0</v>
      </c>
      <c r="H58" s="28">
        <f t="shared" si="14"/>
        <v>0</v>
      </c>
      <c r="I58" s="28">
        <f t="shared" si="14"/>
        <v>0</v>
      </c>
      <c r="J58" s="28">
        <f t="shared" si="14"/>
        <v>0</v>
      </c>
    </row>
  </sheetData>
  <mergeCells count="4">
    <mergeCell ref="C26:J26"/>
    <mergeCell ref="C4:J4"/>
    <mergeCell ref="C46:J46"/>
    <mergeCell ref="C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A363-87F8-45F6-BAB0-CE1E2215497D}">
  <sheetPr>
    <tabColor theme="8" tint="-0.249977111117893"/>
  </sheetPr>
  <dimension ref="B2:I13"/>
  <sheetViews>
    <sheetView showGridLines="0" workbookViewId="0">
      <selection activeCell="B16" sqref="B16"/>
    </sheetView>
  </sheetViews>
  <sheetFormatPr defaultRowHeight="14.4" x14ac:dyDescent="0.3"/>
  <cols>
    <col min="1" max="1" width="2.77734375" customWidth="1"/>
    <col min="2" max="2" width="21.6640625" customWidth="1"/>
  </cols>
  <sheetData>
    <row r="2" spans="2:9" ht="15.6" x14ac:dyDescent="0.3">
      <c r="B2" s="63" t="s">
        <v>101</v>
      </c>
      <c r="C2" s="63"/>
      <c r="D2" s="63"/>
      <c r="E2" s="63"/>
      <c r="F2" s="63"/>
      <c r="G2" s="63"/>
      <c r="H2" s="63"/>
      <c r="I2" s="63"/>
    </row>
    <row r="3" spans="2:9" ht="15.6" x14ac:dyDescent="0.3">
      <c r="B3" s="50" t="s">
        <v>30</v>
      </c>
      <c r="C3" s="50"/>
      <c r="D3" s="51">
        <v>0</v>
      </c>
      <c r="E3" s="52">
        <f>D3+1</f>
        <v>1</v>
      </c>
      <c r="F3" s="52">
        <f>E3+1</f>
        <v>2</v>
      </c>
      <c r="G3" s="52">
        <f>F3+1</f>
        <v>3</v>
      </c>
      <c r="H3" s="52">
        <f>G3+1</f>
        <v>4</v>
      </c>
      <c r="I3" s="52">
        <f>H3+1</f>
        <v>5</v>
      </c>
    </row>
    <row r="4" spans="2:9" ht="15.6" x14ac:dyDescent="0.3">
      <c r="B4" s="17" t="s">
        <v>90</v>
      </c>
      <c r="C4" s="18"/>
      <c r="D4" s="18"/>
      <c r="E4" s="18"/>
      <c r="F4" s="18"/>
      <c r="G4" s="18"/>
      <c r="H4" s="18"/>
      <c r="I4" s="18"/>
    </row>
    <row r="5" spans="2:9" ht="15.6" x14ac:dyDescent="0.3">
      <c r="B5" s="18" t="s">
        <v>69</v>
      </c>
      <c r="C5" s="18"/>
      <c r="D5" s="22">
        <f>IFERROR('P&amp;L'!E15*(1-Assumptions!$E$9),0)</f>
        <v>19.8</v>
      </c>
      <c r="E5" s="22">
        <f>IFERROR('P&amp;L'!F15*(1-Assumptions!$E$9),0)</f>
        <v>24.809400000000004</v>
      </c>
      <c r="F5" s="22">
        <f>IFERROR('P&amp;L'!G15*(1-Assumptions!$E$9),0)</f>
        <v>30.267468000000001</v>
      </c>
      <c r="G5" s="22">
        <f>IFERROR('P&amp;L'!H15*(1-Assumptions!$E$9),0)</f>
        <v>36.320961600000004</v>
      </c>
      <c r="H5" s="22">
        <f>IFERROR('P&amp;L'!I15*(1-Assumptions!$E$9),0)</f>
        <v>42.858734687999998</v>
      </c>
      <c r="I5" s="22">
        <f>IFERROR('P&amp;L'!J15*(1-Assumptions!$E$9),0)</f>
        <v>49.287544891200007</v>
      </c>
    </row>
    <row r="6" spans="2:9" ht="15.6" x14ac:dyDescent="0.3">
      <c r="B6" s="18"/>
      <c r="C6" s="18"/>
      <c r="D6" s="22"/>
      <c r="E6" s="22"/>
      <c r="F6" s="22"/>
      <c r="G6" s="22"/>
      <c r="H6" s="22"/>
      <c r="I6" s="22"/>
    </row>
    <row r="7" spans="2:9" ht="15.6" x14ac:dyDescent="0.3">
      <c r="B7" s="18" t="s">
        <v>50</v>
      </c>
      <c r="C7" s="18"/>
      <c r="D7" s="22">
        <f>IFERROR('P&amp;L'!E13,0)</f>
        <v>7.1999999999999993</v>
      </c>
      <c r="E7" s="22">
        <f>IFERROR('P&amp;L'!F13,0)</f>
        <v>9.0216000000000012</v>
      </c>
      <c r="F7" s="22">
        <f>IFERROR('P&amp;L'!G13,0)</f>
        <v>11.006352</v>
      </c>
      <c r="G7" s="22">
        <f>IFERROR('P&amp;L'!H13,0)</f>
        <v>13.2076224</v>
      </c>
      <c r="H7" s="22">
        <f>IFERROR('P&amp;L'!I13,0)</f>
        <v>15.584994431999998</v>
      </c>
      <c r="I7" s="22">
        <f>IFERROR('P&amp;L'!J13,0)</f>
        <v>17.922743596799997</v>
      </c>
    </row>
    <row r="8" spans="2:9" ht="15.6" x14ac:dyDescent="0.3">
      <c r="B8" s="18"/>
      <c r="C8" s="18"/>
      <c r="D8" s="22"/>
      <c r="E8" s="22"/>
      <c r="F8" s="22"/>
      <c r="G8" s="22"/>
      <c r="H8" s="22"/>
      <c r="I8" s="22"/>
    </row>
    <row r="9" spans="2:9" ht="15.6" x14ac:dyDescent="0.3">
      <c r="B9" s="18" t="s">
        <v>91</v>
      </c>
      <c r="C9" s="18"/>
      <c r="D9" s="47">
        <f>IFERROR('P&amp;L'!E8*Assumptions!$D$22,0)</f>
        <v>6</v>
      </c>
      <c r="E9" s="47">
        <f>IFERROR('P&amp;L'!F8*Assumptions!$D$22,0)</f>
        <v>7.5180000000000007</v>
      </c>
      <c r="F9" s="47">
        <f>IFERROR('P&amp;L'!G8*Assumptions!$D$22,0)</f>
        <v>9.1719600000000003</v>
      </c>
      <c r="G9" s="47">
        <f>IFERROR('P&amp;L'!H8*Assumptions!$D$22,0)</f>
        <v>11.006352</v>
      </c>
      <c r="H9" s="47">
        <f>IFERROR('P&amp;L'!I8*Assumptions!$D$22,0)</f>
        <v>12.98749536</v>
      </c>
      <c r="I9" s="47">
        <f>IFERROR('P&amp;L'!J8*Assumptions!$D$22,0)</f>
        <v>14.935619663999999</v>
      </c>
    </row>
    <row r="10" spans="2:9" ht="15.6" x14ac:dyDescent="0.3">
      <c r="B10" s="18"/>
      <c r="C10" s="18"/>
      <c r="D10" s="47"/>
      <c r="E10" s="47"/>
      <c r="F10" s="47"/>
      <c r="G10" s="47"/>
      <c r="H10" s="47"/>
      <c r="I10" s="47"/>
    </row>
    <row r="11" spans="2:9" ht="15.6" x14ac:dyDescent="0.3">
      <c r="B11" s="18" t="s">
        <v>92</v>
      </c>
      <c r="C11" s="18"/>
      <c r="D11" s="47">
        <f>IFERROR('P&amp;L'!E8*Assumptions!$D$23,0)</f>
        <v>3.5999999999999996</v>
      </c>
      <c r="E11" s="47">
        <f>IFERROR('P&amp;L'!F8*Assumptions!$D$23,0)</f>
        <v>4.5108000000000006</v>
      </c>
      <c r="F11" s="47">
        <f>IFERROR('P&amp;L'!G8*Assumptions!$D$23,0)</f>
        <v>5.5031759999999998</v>
      </c>
      <c r="G11" s="47">
        <f>IFERROR('P&amp;L'!H8*Assumptions!$D$23,0)</f>
        <v>6.6038112</v>
      </c>
      <c r="H11" s="47">
        <f>IFERROR('P&amp;L'!I8*Assumptions!$D$23,0)</f>
        <v>7.7924972159999992</v>
      </c>
      <c r="I11" s="47">
        <f>IFERROR('P&amp;L'!J8*Assumptions!$D$23,0)</f>
        <v>8.9613717983999983</v>
      </c>
    </row>
    <row r="12" spans="2:9" ht="15.6" x14ac:dyDescent="0.3">
      <c r="B12" s="18"/>
      <c r="C12" s="18"/>
      <c r="D12" s="22"/>
      <c r="E12" s="22"/>
      <c r="F12" s="22"/>
      <c r="G12" s="22"/>
      <c r="H12" s="22"/>
      <c r="I12" s="22"/>
    </row>
    <row r="13" spans="2:9" ht="15.6" x14ac:dyDescent="0.3">
      <c r="B13" s="23" t="s">
        <v>68</v>
      </c>
      <c r="C13" s="23"/>
      <c r="D13" s="24">
        <f>IFERROR(SUM(D5,D7)-D9-D11,0)</f>
        <v>17.399999999999999</v>
      </c>
      <c r="E13" s="24">
        <f t="shared" ref="E13:I13" si="0">IFERROR(SUM(E5,E7)-E9-E11,0)</f>
        <v>21.802200000000003</v>
      </c>
      <c r="F13" s="24">
        <f t="shared" si="0"/>
        <v>26.598684000000002</v>
      </c>
      <c r="G13" s="24">
        <f t="shared" si="0"/>
        <v>31.918420800000003</v>
      </c>
      <c r="H13" s="24">
        <f t="shared" si="0"/>
        <v>37.663736544000002</v>
      </c>
      <c r="I13" s="24">
        <f t="shared" si="0"/>
        <v>43.313297025600008</v>
      </c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516A-CD83-4B06-8963-F641BE4F0E04}">
  <sheetPr>
    <tabColor theme="8" tint="-0.249977111117893"/>
  </sheetPr>
  <dimension ref="B2:H11"/>
  <sheetViews>
    <sheetView showGridLines="0" workbookViewId="0">
      <selection activeCell="G13" sqref="G13"/>
    </sheetView>
  </sheetViews>
  <sheetFormatPr defaultRowHeight="14.4" x14ac:dyDescent="0.3"/>
  <cols>
    <col min="1" max="1" width="2.77734375" customWidth="1"/>
    <col min="2" max="2" width="27.6640625" customWidth="1"/>
    <col min="3" max="3" width="11.5546875" customWidth="1"/>
    <col min="4" max="4" width="10.6640625" bestFit="1" customWidth="1"/>
    <col min="5" max="5" width="8.109375" bestFit="1" customWidth="1"/>
    <col min="6" max="6" width="26.44140625" customWidth="1"/>
  </cols>
  <sheetData>
    <row r="2" spans="2:8" ht="15.6" x14ac:dyDescent="0.3">
      <c r="B2" s="49" t="s">
        <v>65</v>
      </c>
      <c r="C2" s="50"/>
      <c r="D2" s="50"/>
      <c r="E2" s="50"/>
      <c r="F2" s="50"/>
      <c r="G2" s="50"/>
      <c r="H2" s="50"/>
    </row>
    <row r="3" spans="2:8" ht="15.6" x14ac:dyDescent="0.3">
      <c r="B3" s="36"/>
      <c r="C3" s="36"/>
      <c r="D3" s="36"/>
      <c r="E3" s="18"/>
      <c r="F3" s="18"/>
      <c r="G3" s="18"/>
      <c r="H3" s="18"/>
    </row>
    <row r="4" spans="2:8" ht="15.6" x14ac:dyDescent="0.3">
      <c r="B4" s="18" t="s">
        <v>63</v>
      </c>
      <c r="C4" s="36"/>
      <c r="D4" s="37">
        <f>IFERROR(Assumptions!$D$14,0)</f>
        <v>0.09</v>
      </c>
      <c r="E4" s="28"/>
      <c r="F4" s="18"/>
      <c r="G4" s="18"/>
      <c r="H4" s="18"/>
    </row>
    <row r="5" spans="2:8" ht="15.6" x14ac:dyDescent="0.3">
      <c r="B5" s="18" t="s">
        <v>64</v>
      </c>
      <c r="C5" s="18"/>
      <c r="D5" s="37">
        <f>IFERROR(Assumptions!$E$9,0)</f>
        <v>0.25</v>
      </c>
      <c r="E5" s="28"/>
    </row>
    <row r="6" spans="2:8" ht="15.6" x14ac:dyDescent="0.3">
      <c r="B6" s="40" t="s">
        <v>67</v>
      </c>
      <c r="C6" s="41"/>
      <c r="D6" s="42">
        <f>IFERROR(D4*(1-D5),0)</f>
        <v>6.7500000000000004E-2</v>
      </c>
      <c r="E6" s="28"/>
      <c r="F6" s="18" t="s">
        <v>77</v>
      </c>
      <c r="G6" s="28"/>
      <c r="H6" s="59">
        <f>IFERROR(Assumptions!$D$13,0)</f>
        <v>0.14000000000000001</v>
      </c>
    </row>
    <row r="7" spans="2:8" ht="15.6" x14ac:dyDescent="0.3">
      <c r="E7" s="28"/>
    </row>
    <row r="8" spans="2:8" ht="15.6" x14ac:dyDescent="0.3">
      <c r="B8" s="55" t="s">
        <v>66</v>
      </c>
      <c r="C8" s="55"/>
      <c r="D8" s="56">
        <f>IFERROR(Assumptions!$D$15,0)</f>
        <v>0.5</v>
      </c>
      <c r="E8" s="18"/>
      <c r="F8" s="38" t="s">
        <v>66</v>
      </c>
      <c r="G8" s="38"/>
      <c r="H8" s="39">
        <f>IFERROR(Assumptions!$D$15,0)</f>
        <v>0.5</v>
      </c>
    </row>
    <row r="9" spans="2:8" ht="15.6" x14ac:dyDescent="0.3">
      <c r="B9" s="18" t="s">
        <v>57</v>
      </c>
      <c r="C9" s="18"/>
      <c r="D9" s="37">
        <f>D6*D8</f>
        <v>3.3750000000000002E-2</v>
      </c>
      <c r="E9" s="18"/>
      <c r="F9" s="28" t="s">
        <v>78</v>
      </c>
      <c r="G9" s="28"/>
      <c r="H9" s="37">
        <f>H6*H8</f>
        <v>7.0000000000000007E-2</v>
      </c>
    </row>
    <row r="10" spans="2:8" ht="15.6" x14ac:dyDescent="0.3">
      <c r="E10" s="18"/>
      <c r="F10" s="18"/>
      <c r="G10" s="18"/>
      <c r="H10" s="18"/>
    </row>
    <row r="11" spans="2:8" ht="15.6" x14ac:dyDescent="0.3">
      <c r="B11" s="57" t="s">
        <v>102</v>
      </c>
      <c r="C11" s="57"/>
      <c r="D11" s="58">
        <f>IFERROR(D9+H9,0)</f>
        <v>0.10375000000000001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6D7B-2B00-4A1A-9607-4CDB445ADEAF}">
  <sheetPr>
    <tabColor theme="8" tint="-0.249977111117893"/>
  </sheetPr>
  <dimension ref="B2:I13"/>
  <sheetViews>
    <sheetView showGridLines="0" workbookViewId="0">
      <selection activeCell="E18" sqref="E18"/>
    </sheetView>
  </sheetViews>
  <sheetFormatPr defaultRowHeight="14.4" x14ac:dyDescent="0.3"/>
  <cols>
    <col min="1" max="1" width="2.77734375" customWidth="1"/>
    <col min="2" max="2" width="30.21875" customWidth="1"/>
    <col min="3" max="3" width="20.21875" bestFit="1" customWidth="1"/>
    <col min="4" max="4" width="13" customWidth="1"/>
    <col min="5" max="5" width="24.44140625" customWidth="1"/>
    <col min="6" max="6" width="11.21875" customWidth="1"/>
  </cols>
  <sheetData>
    <row r="2" spans="2:9" ht="15.6" x14ac:dyDescent="0.3">
      <c r="B2" s="50" t="s">
        <v>100</v>
      </c>
      <c r="C2" s="50"/>
      <c r="D2" s="50"/>
      <c r="E2" s="50"/>
      <c r="F2" s="50"/>
      <c r="G2" s="13"/>
      <c r="H2" s="13"/>
      <c r="I2" s="13"/>
    </row>
    <row r="3" spans="2:9" ht="15.6" x14ac:dyDescent="0.3">
      <c r="B3" s="53" t="s">
        <v>30</v>
      </c>
      <c r="C3" s="53" t="s">
        <v>84</v>
      </c>
      <c r="D3" s="51" t="s">
        <v>85</v>
      </c>
      <c r="E3" s="52" t="s">
        <v>86</v>
      </c>
      <c r="F3" s="52" t="s">
        <v>87</v>
      </c>
      <c r="G3" s="12"/>
      <c r="H3" s="12"/>
      <c r="I3" s="12"/>
    </row>
    <row r="4" spans="2:9" ht="15.6" x14ac:dyDescent="0.3">
      <c r="B4" s="36" t="s">
        <v>79</v>
      </c>
      <c r="C4" s="22">
        <f>IFERROR(FCF!E13,0)</f>
        <v>21.802200000000003</v>
      </c>
      <c r="D4" s="36">
        <f>1</f>
        <v>1</v>
      </c>
      <c r="E4" s="43">
        <f>IFERROR(1/(1+WACC!$D$11)^Valuation!D4,0)</f>
        <v>0.9060022650056625</v>
      </c>
      <c r="F4" s="22">
        <f>IFERROR(C4*E4,0)</f>
        <v>19.752842582106457</v>
      </c>
    </row>
    <row r="5" spans="2:9" ht="15.6" x14ac:dyDescent="0.3">
      <c r="B5" s="36" t="s">
        <v>80</v>
      </c>
      <c r="C5" s="22">
        <f>IFERROR(FCF!F13,0)</f>
        <v>26.598684000000002</v>
      </c>
      <c r="D5" s="36">
        <f t="shared" ref="D5:D8" si="0">D4+1</f>
        <v>2</v>
      </c>
      <c r="E5" s="43">
        <f>IFERROR(1/(1+WACC!$D$11)^Valuation!D5,0)</f>
        <v>0.82084010419539066</v>
      </c>
      <c r="F5" s="22">
        <f t="shared" ref="F5:F8" si="1">IFERROR(C5*E5,0)</f>
        <v>21.833266546020273</v>
      </c>
    </row>
    <row r="6" spans="2:9" ht="15.6" x14ac:dyDescent="0.3">
      <c r="B6" s="36" t="s">
        <v>81</v>
      </c>
      <c r="C6" s="22">
        <f>IFERROR(FCF!G13,0)</f>
        <v>31.918420800000003</v>
      </c>
      <c r="D6" s="36">
        <f t="shared" si="0"/>
        <v>3</v>
      </c>
      <c r="E6" s="43">
        <f>IFERROR(1/(1+WACC!$D$11)^Valuation!D6,0)</f>
        <v>0.74368299360850798</v>
      </c>
      <c r="F6" s="22">
        <f t="shared" si="1"/>
        <v>23.737186731800072</v>
      </c>
    </row>
    <row r="7" spans="2:9" ht="15.6" x14ac:dyDescent="0.3">
      <c r="B7" s="36" t="s">
        <v>82</v>
      </c>
      <c r="C7" s="22">
        <f>IFERROR(FCF!H13,0)</f>
        <v>37.663736544000002</v>
      </c>
      <c r="D7" s="36">
        <f t="shared" si="0"/>
        <v>4</v>
      </c>
      <c r="E7" s="43">
        <f>IFERROR(1/(1+WACC!$D$11)^Valuation!D7,0)</f>
        <v>0.67377847665549984</v>
      </c>
      <c r="F7" s="22">
        <f t="shared" si="1"/>
        <v>25.377015033770402</v>
      </c>
    </row>
    <row r="8" spans="2:9" ht="15.6" x14ac:dyDescent="0.3">
      <c r="B8" s="36" t="s">
        <v>83</v>
      </c>
      <c r="C8" s="22">
        <f>IFERROR(FCF!I13,0)</f>
        <v>43.313297025600008</v>
      </c>
      <c r="D8" s="36">
        <f t="shared" si="0"/>
        <v>5</v>
      </c>
      <c r="E8" s="43">
        <f>IFERROR(1/(1+WACC!$D$11)^Valuation!D8,0)</f>
        <v>0.61044482596194782</v>
      </c>
      <c r="F8" s="22">
        <f t="shared" si="1"/>
        <v>26.440378064630551</v>
      </c>
    </row>
    <row r="9" spans="2:9" ht="15.6" x14ac:dyDescent="0.3">
      <c r="B9" s="18"/>
      <c r="C9" s="18"/>
      <c r="D9" s="18"/>
      <c r="E9" s="18"/>
      <c r="F9" s="22">
        <f>IFERROR($C$13*E8,0)</f>
        <v>516.5097110299921</v>
      </c>
    </row>
    <row r="10" spans="2:9" ht="15.6" x14ac:dyDescent="0.3">
      <c r="B10" s="44" t="s">
        <v>90</v>
      </c>
      <c r="C10" s="36"/>
      <c r="D10" s="18"/>
      <c r="E10" s="19" t="s">
        <v>88</v>
      </c>
      <c r="F10" s="24">
        <f>IFERROR(SUM(F4:F9),0)</f>
        <v>633.6503999883198</v>
      </c>
    </row>
    <row r="11" spans="2:9" ht="15.6" x14ac:dyDescent="0.3">
      <c r="B11" s="48" t="str">
        <f>"Terminal Value at end of "&amp;B8</f>
        <v>Terminal Value at end of FY 5E</v>
      </c>
      <c r="C11" s="29">
        <f>IFERROR(C8*(1+Assumptions!$D$18),0)</f>
        <v>45.478961876880007</v>
      </c>
      <c r="D11" s="18"/>
      <c r="E11" s="18"/>
      <c r="F11" s="45"/>
    </row>
    <row r="12" spans="2:9" ht="15.6" x14ac:dyDescent="0.3">
      <c r="B12" s="18"/>
      <c r="C12" s="36">
        <f>IFERROR((WACC!$D$11-Assumptions!$D$18),0)</f>
        <v>5.3750000000000006E-2</v>
      </c>
      <c r="D12" s="18"/>
      <c r="E12" s="18" t="s">
        <v>42</v>
      </c>
      <c r="F12" s="29">
        <f>Assumptions!D17</f>
        <v>1</v>
      </c>
    </row>
    <row r="13" spans="2:9" ht="15.6" x14ac:dyDescent="0.3">
      <c r="B13" s="18"/>
      <c r="C13" s="24">
        <f>IFERROR(C11/C12,0)</f>
        <v>846.12022096520934</v>
      </c>
      <c r="D13" s="18"/>
      <c r="E13" s="19" t="s">
        <v>89</v>
      </c>
      <c r="F13" s="24">
        <f>IFERROR(F10/F12,0)</f>
        <v>633.6503999883198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Assumptions</vt:lpstr>
      <vt:lpstr>P&amp;L</vt:lpstr>
      <vt:lpstr>FCF</vt:lpstr>
      <vt:lpstr>WACC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Mangwani</dc:creator>
  <cp:lastModifiedBy>Kunal Mangwani</cp:lastModifiedBy>
  <dcterms:created xsi:type="dcterms:W3CDTF">2025-05-24T02:07:01Z</dcterms:created>
  <dcterms:modified xsi:type="dcterms:W3CDTF">2025-06-30T14:57:55Z</dcterms:modified>
</cp:coreProperties>
</file>