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vinkare-my.sharepoint.com/personal/1011872_cavinkare_com/Documents/Backup 11082021/PC Domestic/2023-24/Squeeze/"/>
    </mc:Choice>
  </mc:AlternateContent>
  <xr:revisionPtr revIDLastSave="1863" documentId="8_{88583990-711D-4FDC-B37F-C68F641F7567}" xr6:coauthVersionLast="47" xr6:coauthVersionMax="47" xr10:uidLastSave="{DFA6380F-FD26-4EC6-B72F-FC6B9805A209}"/>
  <bookViews>
    <workbookView xWindow="-108" yWindow="-108" windowWidth="23256" windowHeight="12456" tabRatio="883" activeTab="1" xr2:uid="{9E1EA96E-66E3-432C-9DCC-62180CF642F0}"/>
  </bookViews>
  <sheets>
    <sheet name="Summary" sheetId="5" r:id="rId1"/>
    <sheet name="STATUS TRACKER" sheetId="8" r:id="rId2"/>
  </sheets>
  <externalReferences>
    <externalReference r:id="rId3"/>
  </externalReferences>
  <definedNames>
    <definedName name="_xlnm._FilterDatabase" localSheetId="1" hidden="1">'STATUS TRACKER'!$A$3:$X$63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6" i="8" l="1"/>
  <c r="N36" i="8"/>
  <c r="O36" i="8"/>
  <c r="P36" i="8"/>
  <c r="Q36" i="8"/>
  <c r="R36" i="8"/>
  <c r="S36" i="8"/>
  <c r="T36" i="8"/>
  <c r="U36" i="8"/>
  <c r="V36" i="8"/>
  <c r="J36" i="8"/>
  <c r="J35" i="8" l="1"/>
  <c r="J55" i="8" l="1"/>
  <c r="K61" i="8" l="1"/>
  <c r="K62" i="8"/>
  <c r="K63" i="8"/>
  <c r="L61" i="8"/>
  <c r="L62" i="8"/>
  <c r="L63" i="8"/>
  <c r="J53" i="8" l="1"/>
  <c r="J52" i="8"/>
  <c r="A71" i="8"/>
  <c r="A72" i="8" s="1"/>
  <c r="A73" i="8" s="1"/>
  <c r="J56" i="8"/>
  <c r="J57" i="8"/>
  <c r="J58" i="8"/>
  <c r="J59" i="8"/>
  <c r="A74" i="8" l="1"/>
  <c r="A75" i="8" s="1"/>
  <c r="D7" i="5"/>
  <c r="E8" i="5"/>
  <c r="J6" i="8" l="1"/>
  <c r="J4" i="8"/>
  <c r="J5" i="8"/>
  <c r="J65" i="8" l="1"/>
  <c r="E6" i="5" l="1"/>
  <c r="V3" i="8" l="1"/>
  <c r="U3" i="8"/>
  <c r="T3" i="8"/>
  <c r="S3" i="8"/>
  <c r="R3" i="8"/>
  <c r="R60" i="8" s="1"/>
  <c r="Q3" i="8"/>
  <c r="Q60" i="8" s="1"/>
  <c r="P3" i="8"/>
  <c r="O3" i="8"/>
  <c r="N3" i="8"/>
  <c r="M3" i="8"/>
  <c r="L3" i="8"/>
  <c r="K3" i="8"/>
  <c r="M35" i="8" l="1"/>
  <c r="M60" i="8"/>
  <c r="N35" i="8"/>
  <c r="N60" i="8"/>
  <c r="O35" i="8"/>
  <c r="O60" i="8"/>
  <c r="S35" i="8"/>
  <c r="S60" i="8"/>
  <c r="P35" i="8"/>
  <c r="P60" i="8"/>
  <c r="T35" i="8"/>
  <c r="T60" i="8"/>
  <c r="U35" i="8"/>
  <c r="U60" i="8"/>
  <c r="V35" i="8"/>
  <c r="V60" i="8"/>
  <c r="Q55" i="8"/>
  <c r="Q35" i="8"/>
  <c r="R55" i="8"/>
  <c r="R35" i="8"/>
  <c r="O54" i="8"/>
  <c r="O55" i="8"/>
  <c r="M54" i="8"/>
  <c r="M55" i="8"/>
  <c r="N54" i="8"/>
  <c r="N55" i="8"/>
  <c r="P54" i="8"/>
  <c r="P55" i="8"/>
  <c r="P53" i="8"/>
  <c r="P52" i="8"/>
  <c r="M52" i="8"/>
  <c r="M53" i="8"/>
  <c r="O52" i="8"/>
  <c r="O53" i="8"/>
  <c r="N52" i="8"/>
  <c r="N53" i="8"/>
  <c r="N58" i="8"/>
  <c r="N59" i="8"/>
  <c r="O58" i="8"/>
  <c r="O59" i="8"/>
  <c r="S58" i="8"/>
  <c r="S59" i="8"/>
  <c r="P59" i="8"/>
  <c r="P58" i="8"/>
  <c r="T59" i="8"/>
  <c r="T58" i="8"/>
  <c r="M58" i="8"/>
  <c r="M59" i="8"/>
  <c r="Q58" i="8"/>
  <c r="Q59" i="8"/>
  <c r="U58" i="8"/>
  <c r="U59" i="8"/>
  <c r="R59" i="8"/>
  <c r="R58" i="8"/>
  <c r="V59" i="8"/>
  <c r="V58" i="8"/>
  <c r="S56" i="8"/>
  <c r="S57" i="8"/>
  <c r="P56" i="8"/>
  <c r="P57" i="8"/>
  <c r="T56" i="8"/>
  <c r="T57" i="8"/>
  <c r="O56" i="8"/>
  <c r="O57" i="8"/>
  <c r="M56" i="8"/>
  <c r="M57" i="8"/>
  <c r="Q56" i="8"/>
  <c r="Q57" i="8"/>
  <c r="U56" i="8"/>
  <c r="U57" i="8"/>
  <c r="N56" i="8"/>
  <c r="N57" i="8"/>
  <c r="R56" i="8"/>
  <c r="R57" i="8"/>
  <c r="V56" i="8"/>
  <c r="V57" i="8"/>
  <c r="O21" i="8"/>
  <c r="O8" i="8"/>
  <c r="T21" i="8"/>
  <c r="T8" i="8"/>
  <c r="M21" i="8"/>
  <c r="M8" i="8"/>
  <c r="Q21" i="8"/>
  <c r="Q8" i="8"/>
  <c r="U21" i="8"/>
  <c r="U8" i="8"/>
  <c r="S21" i="8"/>
  <c r="S8" i="8"/>
  <c r="P21" i="8"/>
  <c r="P8" i="8"/>
  <c r="N21" i="8"/>
  <c r="N8" i="8"/>
  <c r="R21" i="8"/>
  <c r="R8" i="8"/>
  <c r="V21" i="8"/>
  <c r="V8" i="8"/>
  <c r="S18" i="8"/>
  <c r="S26" i="8"/>
  <c r="S27" i="8"/>
  <c r="S28" i="8"/>
  <c r="S29" i="8"/>
  <c r="S30" i="8"/>
  <c r="S31" i="8"/>
  <c r="S32" i="8"/>
  <c r="S33" i="8"/>
  <c r="S34" i="8"/>
  <c r="P18" i="8"/>
  <c r="P26" i="8"/>
  <c r="P27" i="8"/>
  <c r="P28" i="8"/>
  <c r="P29" i="8"/>
  <c r="P30" i="8"/>
  <c r="P31" i="8"/>
  <c r="P32" i="8"/>
  <c r="P33" i="8"/>
  <c r="P34" i="8"/>
  <c r="M18" i="8"/>
  <c r="M26" i="8"/>
  <c r="M27" i="8"/>
  <c r="M28" i="8"/>
  <c r="M29" i="8"/>
  <c r="M30" i="8"/>
  <c r="M31" i="8"/>
  <c r="M32" i="8"/>
  <c r="M33" i="8"/>
  <c r="M34" i="8"/>
  <c r="Q18" i="8"/>
  <c r="Q26" i="8"/>
  <c r="Q27" i="8"/>
  <c r="Q28" i="8"/>
  <c r="Q29" i="8"/>
  <c r="Q30" i="8"/>
  <c r="Q31" i="8"/>
  <c r="Q32" i="8"/>
  <c r="Q33" i="8"/>
  <c r="Q34" i="8"/>
  <c r="U18" i="8"/>
  <c r="U26" i="8"/>
  <c r="U27" i="8"/>
  <c r="U28" i="8"/>
  <c r="U29" i="8"/>
  <c r="U30" i="8"/>
  <c r="U31" i="8"/>
  <c r="U32" i="8"/>
  <c r="U33" i="8"/>
  <c r="U34" i="8"/>
  <c r="O18" i="8"/>
  <c r="O26" i="8"/>
  <c r="O27" i="8"/>
  <c r="O28" i="8"/>
  <c r="O29" i="8"/>
  <c r="O30" i="8"/>
  <c r="O31" i="8"/>
  <c r="O32" i="8"/>
  <c r="O33" i="8"/>
  <c r="O34" i="8"/>
  <c r="T18" i="8"/>
  <c r="T26" i="8"/>
  <c r="T27" i="8"/>
  <c r="T28" i="8"/>
  <c r="T29" i="8"/>
  <c r="T30" i="8"/>
  <c r="T31" i="8"/>
  <c r="T32" i="8"/>
  <c r="T33" i="8"/>
  <c r="T34" i="8"/>
  <c r="N18" i="8"/>
  <c r="N27" i="8"/>
  <c r="N31" i="8"/>
  <c r="N29" i="8"/>
  <c r="N26" i="8"/>
  <c r="N28" i="8"/>
  <c r="N30" i="8"/>
  <c r="N32" i="8"/>
  <c r="N33" i="8"/>
  <c r="N34" i="8"/>
  <c r="R18" i="8"/>
  <c r="R26" i="8"/>
  <c r="R30" i="8"/>
  <c r="R32" i="8"/>
  <c r="R33" i="8"/>
  <c r="R34" i="8"/>
  <c r="R27" i="8"/>
  <c r="R28" i="8"/>
  <c r="R29" i="8"/>
  <c r="R31" i="8"/>
  <c r="V18" i="8"/>
  <c r="V27" i="8"/>
  <c r="V28" i="8"/>
  <c r="V29" i="8"/>
  <c r="V26" i="8"/>
  <c r="V30" i="8"/>
  <c r="V31" i="8"/>
  <c r="V32" i="8"/>
  <c r="V33" i="8"/>
  <c r="V34" i="8"/>
  <c r="S63" i="8"/>
  <c r="S62" i="8"/>
  <c r="S61" i="8"/>
  <c r="T63" i="8"/>
  <c r="T62" i="8"/>
  <c r="T61" i="8"/>
  <c r="U63" i="8"/>
  <c r="U62" i="8"/>
  <c r="U61" i="8"/>
  <c r="O63" i="8"/>
  <c r="O62" i="8"/>
  <c r="O61" i="8"/>
  <c r="P63" i="8"/>
  <c r="P62" i="8"/>
  <c r="P61" i="8"/>
  <c r="M63" i="8"/>
  <c r="M62" i="8"/>
  <c r="M61" i="8"/>
  <c r="Q63" i="8"/>
  <c r="Q62" i="8"/>
  <c r="Q61" i="8"/>
  <c r="N63" i="8"/>
  <c r="N62" i="8"/>
  <c r="N61" i="8"/>
  <c r="R63" i="8"/>
  <c r="R62" i="8"/>
  <c r="R61" i="8"/>
  <c r="V63" i="8"/>
  <c r="V62" i="8"/>
  <c r="V61" i="8"/>
  <c r="S20" i="8"/>
  <c r="S22" i="8"/>
  <c r="S23" i="8"/>
  <c r="S24" i="8"/>
  <c r="S25" i="8"/>
  <c r="P20" i="8"/>
  <c r="P23" i="8"/>
  <c r="P24" i="8"/>
  <c r="P25" i="8"/>
  <c r="P22" i="8"/>
  <c r="T22" i="8"/>
  <c r="T20" i="8"/>
  <c r="T23" i="8"/>
  <c r="T24" i="8"/>
  <c r="T25" i="8"/>
  <c r="O20" i="8"/>
  <c r="O22" i="8"/>
  <c r="O23" i="8"/>
  <c r="O24" i="8"/>
  <c r="O25" i="8"/>
  <c r="M20" i="8"/>
  <c r="M22" i="8"/>
  <c r="M23" i="8"/>
  <c r="M24" i="8"/>
  <c r="M25" i="8"/>
  <c r="Q20" i="8"/>
  <c r="Q22" i="8"/>
  <c r="Q23" i="8"/>
  <c r="Q24" i="8"/>
  <c r="Q25" i="8"/>
  <c r="U20" i="8"/>
  <c r="U22" i="8"/>
  <c r="U23" i="8"/>
  <c r="U24" i="8"/>
  <c r="U25" i="8"/>
  <c r="N20" i="8"/>
  <c r="N22" i="8"/>
  <c r="N23" i="8"/>
  <c r="N24" i="8"/>
  <c r="N25" i="8"/>
  <c r="R20" i="8"/>
  <c r="R22" i="8"/>
  <c r="R23" i="8"/>
  <c r="R24" i="8"/>
  <c r="R25" i="8"/>
  <c r="V20" i="8"/>
  <c r="V22" i="8"/>
  <c r="V23" i="8"/>
  <c r="V24" i="8"/>
  <c r="V25" i="8"/>
  <c r="M1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Q19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U19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O19" i="8"/>
  <c r="O39" i="8"/>
  <c r="O42" i="8"/>
  <c r="O43" i="8"/>
  <c r="O44" i="8"/>
  <c r="O45" i="8"/>
  <c r="O47" i="8"/>
  <c r="O48" i="8"/>
  <c r="O49" i="8"/>
  <c r="O50" i="8"/>
  <c r="O51" i="8"/>
  <c r="O37" i="8"/>
  <c r="O38" i="8"/>
  <c r="O40" i="8"/>
  <c r="O41" i="8"/>
  <c r="O46" i="8"/>
  <c r="S19" i="8"/>
  <c r="S37" i="8"/>
  <c r="S38" i="8"/>
  <c r="S39" i="8"/>
  <c r="S40" i="8"/>
  <c r="S41" i="8"/>
  <c r="S42" i="8"/>
  <c r="S43" i="8"/>
  <c r="S44" i="8"/>
  <c r="S45" i="8"/>
  <c r="S46" i="8"/>
  <c r="S47" i="8"/>
  <c r="S50" i="8"/>
  <c r="S51" i="8"/>
  <c r="S48" i="8"/>
  <c r="S49" i="8"/>
  <c r="P19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T19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N19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R19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V19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S4" i="8"/>
  <c r="S5" i="8"/>
  <c r="S6" i="8"/>
  <c r="S7" i="8"/>
  <c r="S12" i="8"/>
  <c r="S14" i="8"/>
  <c r="S11" i="8"/>
  <c r="S16" i="8"/>
  <c r="S9" i="8"/>
  <c r="S10" i="8"/>
  <c r="S15" i="8"/>
  <c r="P5" i="8"/>
  <c r="P4" i="8"/>
  <c r="P6" i="8"/>
  <c r="P7" i="8"/>
  <c r="P12" i="8"/>
  <c r="P14" i="8"/>
  <c r="P11" i="8"/>
  <c r="P16" i="8"/>
  <c r="P9" i="8"/>
  <c r="P10" i="8"/>
  <c r="P15" i="8"/>
  <c r="M4" i="8"/>
  <c r="M5" i="8"/>
  <c r="M6" i="8"/>
  <c r="M7" i="8"/>
  <c r="M12" i="8"/>
  <c r="M14" i="8"/>
  <c r="M11" i="8"/>
  <c r="M16" i="8"/>
  <c r="M10" i="8"/>
  <c r="M15" i="8"/>
  <c r="M9" i="8"/>
  <c r="Q4" i="8"/>
  <c r="Q5" i="8"/>
  <c r="Q7" i="8"/>
  <c r="Q6" i="8"/>
  <c r="Q9" i="8"/>
  <c r="Q12" i="8"/>
  <c r="Q14" i="8"/>
  <c r="Q11" i="8"/>
  <c r="Q16" i="8"/>
  <c r="Q10" i="8"/>
  <c r="Q15" i="8"/>
  <c r="U4" i="8"/>
  <c r="U5" i="8"/>
  <c r="U7" i="8"/>
  <c r="U6" i="8"/>
  <c r="U16" i="8"/>
  <c r="U9" i="8"/>
  <c r="U12" i="8"/>
  <c r="U14" i="8"/>
  <c r="U11" i="8"/>
  <c r="U10" i="8"/>
  <c r="U15" i="8"/>
  <c r="O4" i="8"/>
  <c r="O5" i="8"/>
  <c r="O6" i="8"/>
  <c r="O7" i="8"/>
  <c r="O12" i="8"/>
  <c r="O14" i="8"/>
  <c r="O11" i="8"/>
  <c r="O16" i="8"/>
  <c r="O9" i="8"/>
  <c r="O10" i="8"/>
  <c r="O15" i="8"/>
  <c r="T5" i="8"/>
  <c r="T4" i="8"/>
  <c r="T6" i="8"/>
  <c r="T7" i="8"/>
  <c r="T10" i="8"/>
  <c r="T15" i="8"/>
  <c r="T12" i="8"/>
  <c r="T14" i="8"/>
  <c r="T11" i="8"/>
  <c r="T16" i="8"/>
  <c r="T9" i="8"/>
  <c r="N5" i="8"/>
  <c r="N4" i="8"/>
  <c r="N6" i="8"/>
  <c r="N7" i="8"/>
  <c r="N9" i="8"/>
  <c r="N12" i="8"/>
  <c r="N11" i="8"/>
  <c r="N10" i="8"/>
  <c r="N15" i="8"/>
  <c r="N14" i="8"/>
  <c r="N16" i="8"/>
  <c r="R5" i="8"/>
  <c r="R4" i="8"/>
  <c r="R7" i="8"/>
  <c r="R6" i="8"/>
  <c r="R12" i="8"/>
  <c r="R9" i="8"/>
  <c r="R15" i="8"/>
  <c r="R14" i="8"/>
  <c r="R11" i="8"/>
  <c r="R16" i="8"/>
  <c r="R10" i="8"/>
  <c r="V5" i="8"/>
  <c r="V4" i="8"/>
  <c r="V6" i="8"/>
  <c r="V7" i="8"/>
  <c r="V14" i="8"/>
  <c r="V11" i="8"/>
  <c r="V16" i="8"/>
  <c r="V9" i="8"/>
  <c r="V12" i="8"/>
  <c r="V10" i="8"/>
  <c r="V15" i="8"/>
  <c r="W63" i="8" l="1"/>
  <c r="W62" i="8"/>
  <c r="W61" i="8"/>
  <c r="C10" i="5"/>
  <c r="D6" i="5" l="1"/>
  <c r="O17" i="8"/>
  <c r="S17" i="8"/>
  <c r="N17" i="8"/>
  <c r="P17" i="8"/>
  <c r="T17" i="8"/>
  <c r="V17" i="8"/>
  <c r="M17" i="8"/>
  <c r="Q17" i="8"/>
  <c r="U17" i="8"/>
  <c r="R17" i="8"/>
  <c r="O13" i="8" l="1"/>
  <c r="O65" i="8" s="1"/>
  <c r="S13" i="8"/>
  <c r="S65" i="8" s="1"/>
  <c r="N13" i="8"/>
  <c r="N65" i="8" s="1"/>
  <c r="P13" i="8"/>
  <c r="P65" i="8" s="1"/>
  <c r="T13" i="8"/>
  <c r="T65" i="8" s="1"/>
  <c r="V13" i="8"/>
  <c r="V65" i="8" s="1"/>
  <c r="M13" i="8"/>
  <c r="M65" i="8" s="1"/>
  <c r="Q13" i="8"/>
  <c r="Q65" i="8" s="1"/>
  <c r="U13" i="8"/>
  <c r="U65" i="8" s="1"/>
  <c r="R13" i="8"/>
  <c r="R65" i="8" s="1"/>
  <c r="F6" i="5" l="1"/>
  <c r="G6" i="5" s="1"/>
  <c r="K37" i="8" l="1"/>
  <c r="K36" i="8"/>
  <c r="L36" i="8"/>
  <c r="W36" i="8" l="1"/>
  <c r="L37" i="8"/>
  <c r="W37" i="8" s="1"/>
  <c r="K60" i="8" l="1"/>
  <c r="K54" i="8" l="1"/>
  <c r="L54" i="8"/>
  <c r="W54" i="8" l="1"/>
  <c r="L55" i="8" l="1"/>
  <c r="K59" i="8"/>
  <c r="L57" i="8"/>
  <c r="K57" i="8"/>
  <c r="W57" i="8" s="1"/>
  <c r="L56" i="8"/>
  <c r="K56" i="8"/>
  <c r="W56" i="8" l="1"/>
  <c r="L59" i="8"/>
  <c r="W59" i="8" s="1"/>
  <c r="L60" i="8"/>
  <c r="W60" i="8" s="1"/>
  <c r="K55" i="8"/>
  <c r="W55" i="8" s="1"/>
  <c r="K52" i="8" l="1"/>
  <c r="L52" i="8"/>
  <c r="W52" i="8" l="1"/>
  <c r="K53" i="8"/>
  <c r="L53" i="8"/>
  <c r="W53" i="8" l="1"/>
  <c r="K58" i="8"/>
  <c r="L58" i="8"/>
  <c r="W58" i="8" l="1"/>
  <c r="D8" i="5" s="1"/>
  <c r="F8" i="5" s="1"/>
  <c r="G8" i="5" s="1"/>
  <c r="D10" i="5" l="1"/>
  <c r="L35" i="8" l="1"/>
  <c r="K35" i="8"/>
  <c r="W35" i="8" s="1"/>
  <c r="K34" i="8" l="1"/>
  <c r="L34" i="8"/>
  <c r="K38" i="8"/>
  <c r="L38" i="8"/>
  <c r="K39" i="8"/>
  <c r="L39" i="8"/>
  <c r="K40" i="8"/>
  <c r="L40" i="8"/>
  <c r="K41" i="8"/>
  <c r="L41" i="8"/>
  <c r="K42" i="8"/>
  <c r="L42" i="8"/>
  <c r="K43" i="8"/>
  <c r="L43" i="8"/>
  <c r="K44" i="8"/>
  <c r="L44" i="8"/>
  <c r="K45" i="8"/>
  <c r="L45" i="8"/>
  <c r="K46" i="8"/>
  <c r="L46" i="8"/>
  <c r="K47" i="8"/>
  <c r="L47" i="8"/>
  <c r="K48" i="8"/>
  <c r="L48" i="8"/>
  <c r="K49" i="8"/>
  <c r="L49" i="8"/>
  <c r="K50" i="8"/>
  <c r="L50" i="8"/>
  <c r="K51" i="8"/>
  <c r="L51" i="8"/>
  <c r="W40" i="8" l="1"/>
  <c r="W39" i="8"/>
  <c r="W38" i="8"/>
  <c r="W34" i="8"/>
  <c r="W41" i="8"/>
  <c r="W45" i="8"/>
  <c r="W49" i="8"/>
  <c r="W48" i="8"/>
  <c r="W47" i="8"/>
  <c r="W46" i="8"/>
  <c r="W44" i="8"/>
  <c r="W42" i="8"/>
  <c r="W51" i="8"/>
  <c r="W50" i="8"/>
  <c r="W43" i="8"/>
  <c r="L32" i="8" l="1"/>
  <c r="K32" i="8"/>
  <c r="W32" i="8" s="1"/>
  <c r="K29" i="8"/>
  <c r="L29" i="8"/>
  <c r="K30" i="8"/>
  <c r="L30" i="8"/>
  <c r="K31" i="8"/>
  <c r="L31" i="8"/>
  <c r="L28" i="8"/>
  <c r="K28" i="8"/>
  <c r="W28" i="8" s="1"/>
  <c r="W31" i="8" l="1"/>
  <c r="W30" i="8"/>
  <c r="W29" i="8"/>
  <c r="K12" i="8" l="1"/>
  <c r="L12" i="8"/>
  <c r="W12" i="8" l="1"/>
  <c r="L33" i="8" l="1"/>
  <c r="L27" i="8"/>
  <c r="L26" i="8"/>
  <c r="L25" i="8"/>
  <c r="L24" i="8"/>
  <c r="L23" i="8"/>
  <c r="L22" i="8"/>
  <c r="L21" i="8"/>
  <c r="L20" i="8"/>
  <c r="L19" i="8"/>
  <c r="L18" i="8"/>
  <c r="L11" i="8"/>
  <c r="L10" i="8"/>
  <c r="L9" i="8"/>
  <c r="L8" i="8"/>
  <c r="L7" i="8"/>
  <c r="L6" i="8"/>
  <c r="L5" i="8"/>
  <c r="L4" i="8"/>
  <c r="K5" i="8"/>
  <c r="W5" i="8" s="1"/>
  <c r="K6" i="8"/>
  <c r="K7" i="8"/>
  <c r="K8" i="8"/>
  <c r="W8" i="8" s="1"/>
  <c r="K9" i="8"/>
  <c r="K10" i="8"/>
  <c r="K11" i="8"/>
  <c r="K18" i="8"/>
  <c r="W18" i="8" s="1"/>
  <c r="K19" i="8"/>
  <c r="K20" i="8"/>
  <c r="W20" i="8" s="1"/>
  <c r="K21" i="8"/>
  <c r="K22" i="8"/>
  <c r="W22" i="8" s="1"/>
  <c r="K23" i="8"/>
  <c r="K24" i="8"/>
  <c r="K25" i="8"/>
  <c r="K26" i="8"/>
  <c r="W26" i="8" s="1"/>
  <c r="K27" i="8"/>
  <c r="K33" i="8"/>
  <c r="K4" i="8"/>
  <c r="W21" i="8" l="1"/>
  <c r="W27" i="8"/>
  <c r="W33" i="8"/>
  <c r="W24" i="8"/>
  <c r="W9" i="8"/>
  <c r="W25" i="8"/>
  <c r="W11" i="8"/>
  <c r="W7" i="8"/>
  <c r="W4" i="8"/>
  <c r="W10" i="8"/>
  <c r="W6" i="8"/>
  <c r="W23" i="8"/>
  <c r="W19" i="8"/>
  <c r="L16" i="8" l="1"/>
  <c r="K16" i="8"/>
  <c r="W16" i="8" l="1"/>
  <c r="K17" i="8"/>
  <c r="L17" i="8"/>
  <c r="W17" i="8" l="1"/>
  <c r="L14" i="8" l="1"/>
  <c r="K14" i="8"/>
  <c r="W14" i="8" l="1"/>
  <c r="K15" i="8"/>
  <c r="L15" i="8"/>
  <c r="L13" i="8"/>
  <c r="L65" i="8" s="1"/>
  <c r="W15" i="8" l="1"/>
  <c r="K13" i="8"/>
  <c r="W13" i="8" l="1"/>
  <c r="K65" i="8"/>
  <c r="W65" i="8" l="1"/>
  <c r="E7" i="5"/>
  <c r="F7" i="5" l="1"/>
  <c r="E10" i="5"/>
  <c r="G7" i="5" l="1"/>
  <c r="G10" i="5" s="1"/>
  <c r="F10" i="5"/>
</calcChain>
</file>

<file path=xl/sharedStrings.xml><?xml version="1.0" encoding="utf-8"?>
<sst xmlns="http://schemas.openxmlformats.org/spreadsheetml/2006/main" count="380" uniqueCount="187">
  <si>
    <t>Squeeze Summary</t>
  </si>
  <si>
    <t>FY Targeted</t>
  </si>
  <si>
    <t>FY Forecast</t>
  </si>
  <si>
    <t>Non Proc</t>
  </si>
  <si>
    <t>Proc</t>
  </si>
  <si>
    <t>Total</t>
  </si>
  <si>
    <t>Gap</t>
  </si>
  <si>
    <t>Planned</t>
  </si>
  <si>
    <t>Targeted</t>
  </si>
  <si>
    <t>TOTAL</t>
  </si>
  <si>
    <t>Department</t>
  </si>
  <si>
    <t>R&amp;D</t>
  </si>
  <si>
    <t>Packaging</t>
  </si>
  <si>
    <t>Procurement</t>
  </si>
  <si>
    <t>Mktg</t>
  </si>
  <si>
    <t>ESTD</t>
  </si>
  <si>
    <t>MONTH →</t>
  </si>
  <si>
    <t>Type</t>
  </si>
  <si>
    <t>Project Code</t>
  </si>
  <si>
    <t>Brand - Activity</t>
  </si>
  <si>
    <t>Status</t>
  </si>
  <si>
    <t>DOI (Ini)</t>
  </si>
  <si>
    <t>DOI (rev)</t>
  </si>
  <si>
    <t>DOI (Calc)</t>
  </si>
  <si>
    <t>Amount</t>
  </si>
  <si>
    <t>Pending</t>
  </si>
  <si>
    <t>PQ7-40 (SALCARE SUPER 7/ MERQUAT 740)</t>
  </si>
  <si>
    <t>Material Code</t>
  </si>
  <si>
    <t>Kathon CG</t>
  </si>
  <si>
    <t>Sodium Perborate monohydrate</t>
  </si>
  <si>
    <t>GLYCERYL MONO STEARATE -SE</t>
  </si>
  <si>
    <t>EGDS (GLYCOL DISTEARATE) / Cutina AGS</t>
  </si>
  <si>
    <t>HEAP</t>
  </si>
  <si>
    <t>2DPE HCL</t>
  </si>
  <si>
    <t>MAP</t>
  </si>
  <si>
    <t>D-panthenol</t>
  </si>
  <si>
    <t>CYCLOPENTASILOXANE</t>
  </si>
  <si>
    <t xml:space="preserve">Meer AD - 80 ml - Moulding / Metallization - Single Source </t>
  </si>
  <si>
    <t xml:space="preserve">Meer AD - 180 ml - Moulding / Metallization - Single Source </t>
  </si>
  <si>
    <t xml:space="preserve">Meera Hari wash Powder - Cap - 120 ml - Metallization to Pigment </t>
  </si>
  <si>
    <t>MCO - Container : HDPE to PET with Sleeve</t>
  </si>
  <si>
    <t>5007172/5004885</t>
  </si>
  <si>
    <t>TG-2324-RM01</t>
  </si>
  <si>
    <t>TG-2324-RM02</t>
  </si>
  <si>
    <t>TG-2324-RM03</t>
  </si>
  <si>
    <t>TG-2324-RM05</t>
  </si>
  <si>
    <t>TG-2324-RM06</t>
  </si>
  <si>
    <t>TG-2324-RM07</t>
  </si>
  <si>
    <t>TG-2324-RM08</t>
  </si>
  <si>
    <t>TG-2324-RM09</t>
  </si>
  <si>
    <t>TG-2324-RM10</t>
  </si>
  <si>
    <t>TG-2324-RM11</t>
  </si>
  <si>
    <t>TG-2324-RM12</t>
  </si>
  <si>
    <t>TG-2324-RM15</t>
  </si>
  <si>
    <t>TG-2324-PM01</t>
  </si>
  <si>
    <t>TG-2324-PM02</t>
  </si>
  <si>
    <t>TG-2324-PM03</t>
  </si>
  <si>
    <t>TG-2324-PM04</t>
  </si>
  <si>
    <t>TG-2324-PM05</t>
  </si>
  <si>
    <t>TG-2324-PM06</t>
  </si>
  <si>
    <t>TG-2324-PM07</t>
  </si>
  <si>
    <t>TG-2324-PM08</t>
  </si>
  <si>
    <t>TG-2324-PM09</t>
  </si>
  <si>
    <t>TG-2324-PM10</t>
  </si>
  <si>
    <t>TG-2324-PM11</t>
  </si>
  <si>
    <t>TG-2324-PM12</t>
  </si>
  <si>
    <t>TG-2324-PM13</t>
  </si>
  <si>
    <t>TG-2324-PM14</t>
  </si>
  <si>
    <t>TG-2324-PM15</t>
  </si>
  <si>
    <t>18 ml - Indica - Colorant - Alternative Vendor</t>
  </si>
  <si>
    <t>18 mm - Indica - Middle layer - Alternative Vendor</t>
  </si>
  <si>
    <t>Meera AD - Rs.2/- Shampoo - Alternative Vendor</t>
  </si>
  <si>
    <t>MCO - 25 ml - Sleeve - PAD Printing</t>
  </si>
  <si>
    <t>MCO - 100 ml - Sleeve - PAD Printing</t>
  </si>
  <si>
    <t>MCO - 175 ml - Sleeve - PAD Printing</t>
  </si>
  <si>
    <t>MCO - 250 ml - Sleeve - PAD Printing</t>
  </si>
  <si>
    <t>MCO - 500 ml - Sleeve - PAD Printing</t>
  </si>
  <si>
    <t>MCO - 600 ml - Sleeve - PAD Printing</t>
  </si>
  <si>
    <t>Meera Bi layer bottle - 340ML -  Production shifting from Baddi to Guwahati</t>
  </si>
  <si>
    <t>Meera Bi layer bottle- 640 ml  Production shifting from Baddi to Guwahati</t>
  </si>
  <si>
    <t>TG-2324-RM17</t>
  </si>
  <si>
    <t>TG-2324-RM18</t>
  </si>
  <si>
    <t>TG-2324-RM19</t>
  </si>
  <si>
    <t>TG-2324-RM20</t>
  </si>
  <si>
    <t>Jaguar c13</t>
  </si>
  <si>
    <t>IPM</t>
  </si>
  <si>
    <t>CCTG</t>
  </si>
  <si>
    <t>PL-2324-NP01</t>
  </si>
  <si>
    <t>PL-2324-NP02</t>
  </si>
  <si>
    <t>PL-2324-NP03</t>
  </si>
  <si>
    <t>Indica Easy</t>
  </si>
  <si>
    <t>Chik Re. 1 Fragrance</t>
  </si>
  <si>
    <t>Head</t>
  </si>
  <si>
    <t>Sivaraj</t>
  </si>
  <si>
    <t>Sridhar</t>
  </si>
  <si>
    <t>UKM1 from June and Nikita from July</t>
  </si>
  <si>
    <t>Polyox WSR N 60K</t>
  </si>
  <si>
    <t>ACULYN 33</t>
  </si>
  <si>
    <t>N-HANCE CG-17/JAGUAR C-17/ARMOCARE G114</t>
  </si>
  <si>
    <t>CAPB (COCAMIDOPROPYL BETAINE 30%)</t>
  </si>
  <si>
    <t>BELSIL CK 9819</t>
  </si>
  <si>
    <t>SODIUM SULPHATE ANHYDROUS</t>
  </si>
  <si>
    <t>PRECIPITATED SILICA POWDER</t>
  </si>
  <si>
    <t>EDTA DI Sodium</t>
  </si>
  <si>
    <t>AQUACID 600-S</t>
  </si>
  <si>
    <t>RESORCINOL</t>
  </si>
  <si>
    <t>HYDROGEN PEROXIDE (H2O2) 50%</t>
  </si>
  <si>
    <t>Carbopol 980/Acrypol 980/Biopol 980</t>
  </si>
  <si>
    <t>CLIMBAZOLE (CRINIPAN/DANTUFF/SALIZOLE)</t>
  </si>
  <si>
    <t>TG-2324-RM16B</t>
  </si>
  <si>
    <t>TG-2324-RM14B</t>
  </si>
  <si>
    <t>TG-2324-RM14A</t>
  </si>
  <si>
    <t>sodium CMC</t>
  </si>
  <si>
    <t>TG-2324-RM16A</t>
  </si>
  <si>
    <t>TG-2324-RM04A</t>
  </si>
  <si>
    <t>TG-2324-RM04B</t>
  </si>
  <si>
    <t>TG-2324-RM21</t>
  </si>
  <si>
    <t>TG-2324-RM22</t>
  </si>
  <si>
    <t>TG-2324-RM23</t>
  </si>
  <si>
    <t>TG-2324-RM24</t>
  </si>
  <si>
    <t>TG-2324-RM25</t>
  </si>
  <si>
    <t>TG-2324-RM26</t>
  </si>
  <si>
    <t>TG-2324-RM27</t>
  </si>
  <si>
    <t>TG-2324-RM28</t>
  </si>
  <si>
    <t>TG-2324-RM29</t>
  </si>
  <si>
    <t>Material not lifted</t>
  </si>
  <si>
    <t>Nikita</t>
  </si>
  <si>
    <t>Done</t>
  </si>
  <si>
    <t>Actuals</t>
  </si>
  <si>
    <t>CAPB (COCAMIDOPROPYL BETAINE 30%) - Nikita</t>
  </si>
  <si>
    <t>UKM1 already started and ASM1 is pending</t>
  </si>
  <si>
    <t>CYCLOPENTASILOXANE - E</t>
  </si>
  <si>
    <t>Chik 50p Fragrance - Fragrance Ophelia power - Alternative Material</t>
  </si>
  <si>
    <t>New Projects</t>
  </si>
  <si>
    <t>S. No</t>
  </si>
  <si>
    <t>Annualised Savings</t>
  </si>
  <si>
    <t>Chik</t>
  </si>
  <si>
    <t>Rs. 10/-</t>
  </si>
  <si>
    <t>Reason</t>
  </si>
  <si>
    <t>Outer CFC</t>
  </si>
  <si>
    <t>Meera</t>
  </si>
  <si>
    <t>For Chik Rs. 1/- removing outer CFC and packing only bundle slevees - UKM1 machiery avaiable to be tried in Single State and in trails</t>
  </si>
  <si>
    <t>Lam and CFC</t>
  </si>
  <si>
    <t>Flow Wrap - Reduction in Hanger and CC Cost</t>
  </si>
  <si>
    <t>Indica</t>
  </si>
  <si>
    <t>Removal of Profile actuator and shaped cap</t>
  </si>
  <si>
    <t>Replace with hanger</t>
  </si>
  <si>
    <t>RCC-00952</t>
  </si>
  <si>
    <t>Planning</t>
  </si>
  <si>
    <t>Nishanth</t>
  </si>
  <si>
    <t>Spinz BB Cream - Metalic to Non Metalic Cap</t>
  </si>
  <si>
    <t>Cancelled</t>
  </si>
  <si>
    <t>5001167/5001166</t>
  </si>
  <si>
    <t>For Meera Rs. 2/- lam Structure to 10/10/25, CFC - Down Guaging</t>
  </si>
  <si>
    <t>Spinz BB Talc 25gms</t>
  </si>
  <si>
    <t>Flow Wrap</t>
  </si>
  <si>
    <t>Carton</t>
  </si>
  <si>
    <t>Spinz BB Cream - 15gms/29gms</t>
  </si>
  <si>
    <t>To ideate removing the additional features in carton maintaining same size impression</t>
  </si>
  <si>
    <t>Actuator</t>
  </si>
  <si>
    <t xml:space="preserve">Spinz Deo - All </t>
  </si>
  <si>
    <t>PG-2324-NP01</t>
  </si>
  <si>
    <t>PG-2324-NP02</t>
  </si>
  <si>
    <t>PG-2324-NP03</t>
  </si>
  <si>
    <t>PG-2324-NP04</t>
  </si>
  <si>
    <t>Meera 340ML Container Weight Reduction</t>
  </si>
  <si>
    <t>Developer Laminater Structure Change</t>
  </si>
  <si>
    <t>Meera Shampoo Downguaging and Ink Removal</t>
  </si>
  <si>
    <t>TG-2324-PM16</t>
  </si>
  <si>
    <t>TG-2324-PM17</t>
  </si>
  <si>
    <t>TG-2324-PM18</t>
  </si>
  <si>
    <t>5003983/5004397/ 5008130/5008290</t>
  </si>
  <si>
    <t>5001635/5001639/ 5002668</t>
  </si>
  <si>
    <t>5002665/ 5001644/ 5006732 /5001649</t>
  </si>
  <si>
    <t>TG-2324-PM19</t>
  </si>
  <si>
    <t>CFC - E Auction - Assam Plant (Jun'23 - Nov'23)</t>
  </si>
  <si>
    <t>CFC - E Auction - Nikita Plant (Apr'23 - Sep'23)</t>
  </si>
  <si>
    <t>CFC - E Auction - UKM1 Plant (May'23 - Sep'23)</t>
  </si>
  <si>
    <t>Forward Coverage - Laminate (June'23 - Sep'23)</t>
  </si>
  <si>
    <t>CFC</t>
  </si>
  <si>
    <t>TG-2324-RM30</t>
  </si>
  <si>
    <t>PLANTACRE 1200 (LAURYL GLUCOSIDE)</t>
  </si>
  <si>
    <t>PG-2324-NP05</t>
  </si>
  <si>
    <t>PCR bundling sleeves for PC</t>
  </si>
  <si>
    <t>Need to received Confirmation from R&amp;D</t>
  </si>
  <si>
    <t>TG-2324-RM31</t>
  </si>
  <si>
    <t>GLYCERYL MONO STEARATE -SE (GMS -SE)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</si>
</sst>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7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15" fontId="4" fillId="0" borderId="0" xfId="0" applyNumberFormat="1" applyFont="1" applyAlignment="1">
      <alignment horizontal="center" vertical="center" wrapText="1"/>
    </xf>
    <xf numFmtId="164" fontId="4" fillId="0" borderId="0" xfId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5" fontId="3" fillId="0" borderId="0" xfId="0" applyNumberFormat="1" applyFont="1" applyAlignment="1">
      <alignment horizontal="center"/>
    </xf>
    <xf numFmtId="164" fontId="4" fillId="0" borderId="0" xfId="1" applyNumberFormat="1" applyFont="1"/>
    <xf numFmtId="0" fontId="4" fillId="0" borderId="0" xfId="0" applyFont="1"/>
    <xf numFmtId="164" fontId="3" fillId="0" borderId="0" xfId="0" applyNumberFormat="1" applyFont="1"/>
    <xf numFmtId="164" fontId="3" fillId="0" borderId="0" xfId="1" applyNumberFormat="1" applyFont="1"/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164" fontId="3" fillId="0" borderId="1" xfId="1" applyNumberFormat="1" applyFont="1" applyBorder="1" applyAlignment="1">
      <alignment horizontal="center"/>
    </xf>
    <xf numFmtId="164" fontId="4" fillId="0" borderId="1" xfId="1" applyNumberFormat="1" applyFont="1" applyBorder="1"/>
    <xf numFmtId="164" fontId="3" fillId="0" borderId="1" xfId="1" applyNumberFormat="1" applyFont="1" applyBorder="1"/>
    <xf numFmtId="164" fontId="3" fillId="0" borderId="1" xfId="0" applyNumberFormat="1" applyFont="1" applyBorder="1" applyAlignment="1">
      <alignment horizontal="center"/>
    </xf>
    <xf numFmtId="0" fontId="5" fillId="0" borderId="0" xfId="0" applyFont="1"/>
    <xf numFmtId="164" fontId="4" fillId="0" borderId="0" xfId="1" applyNumberFormat="1" applyFont="1" applyFill="1" applyBorder="1" applyAlignment="1">
      <alignment horizontal="center" vertical="center" wrapText="1"/>
    </xf>
    <xf numFmtId="164" fontId="4" fillId="0" borderId="0" xfId="1" applyNumberFormat="1" applyFont="1" applyFill="1"/>
    <xf numFmtId="0" fontId="3" fillId="0" borderId="0" xfId="0" applyFont="1" applyAlignment="1">
      <alignment horizontal="center" wrapText="1"/>
    </xf>
    <xf numFmtId="3" fontId="0" fillId="0" borderId="0" xfId="0" applyNumberFormat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164" fontId="3" fillId="0" borderId="0" xfId="1" applyNumberFormat="1" applyFont="1" applyFill="1"/>
    <xf numFmtId="0" fontId="3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6EFCE"/>
      <color rgb="FF006100"/>
      <color rgb="FFE3DBD3"/>
      <color rgb="FFA6A6A6"/>
      <color rgb="FF9C0006"/>
      <color rgb="FFFFC7CE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avinkare-my.sharepoint.com/personal/1011872_cavinkare_com/Documents/Backup%2011082021/PC%20Domestic/2023-24/Squeeze/Squeeze%20Actual%20workings/Actual%20Sq%20Savings%20tracker%20-%20Updated.xlsx" TargetMode="External"/><Relationship Id="rId1" Type="http://schemas.openxmlformats.org/officeDocument/2006/relationships/externalLinkPath" Target="Squeeze%20Actual%20workings/Actual%20Sq%20Savings%20tracker%20-%20Upd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Targets"/>
      <sheetName val="Project Code - Savings Workings"/>
      <sheetName val="Procurement Summary"/>
      <sheetName val="RM Material"/>
      <sheetName val="PM Material"/>
      <sheetName val="UKM1 CFC"/>
      <sheetName val="UKM1 Rates"/>
      <sheetName val="Nikita CFC"/>
      <sheetName val="Nikita Rate"/>
    </sheetNames>
    <sheetDataSet>
      <sheetData sheetId="0" refreshError="1"/>
      <sheetData sheetId="1" refreshError="1"/>
      <sheetData sheetId="2">
        <row r="3">
          <cell r="B3" t="str">
            <v>Project Code</v>
          </cell>
          <cell r="C3">
            <v>45017</v>
          </cell>
          <cell r="D3">
            <v>45047</v>
          </cell>
        </row>
        <row r="4">
          <cell r="B4" t="str">
            <v>PL-2324-NP01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</row>
        <row r="5">
          <cell r="B5" t="str">
            <v>PL-2324-NP02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</row>
        <row r="6">
          <cell r="B6" t="str">
            <v>PL-2324-NP03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</row>
        <row r="8">
          <cell r="B8" t="str">
            <v>PG-2324-NP01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</row>
        <row r="9">
          <cell r="B9" t="str">
            <v>PG-2324-NP02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</row>
        <row r="10">
          <cell r="B10" t="str">
            <v>PG-2324-NP03</v>
          </cell>
          <cell r="C10">
            <v>143165.3464000001</v>
          </cell>
          <cell r="D10">
            <v>202351.40400000004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345516.75040000014</v>
          </cell>
        </row>
        <row r="11">
          <cell r="B11" t="str">
            <v>PG-2324-NP04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</row>
        <row r="12">
          <cell r="B12" t="str">
            <v>PG-2324-NP05</v>
          </cell>
          <cell r="C12">
            <v>63623.33719999998</v>
          </cell>
          <cell r="D12">
            <v>216884.77170000001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280508.10889999999</v>
          </cell>
        </row>
        <row r="14">
          <cell r="B14" t="str">
            <v>TG-2324-RM01</v>
          </cell>
          <cell r="C14">
            <v>348332.72288505442</v>
          </cell>
          <cell r="D14">
            <v>232969.66625754279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581302.38914259721</v>
          </cell>
        </row>
        <row r="15">
          <cell r="B15" t="str">
            <v>TG-2324-RM02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</row>
        <row r="16">
          <cell r="B16" t="str">
            <v>TG-2324-RM03</v>
          </cell>
          <cell r="C16">
            <v>202493.17693661971</v>
          </cell>
          <cell r="D16">
            <v>129065.02728873238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331558.20422535209</v>
          </cell>
        </row>
        <row r="17">
          <cell r="B17" t="str">
            <v>TG-2324-RM04A</v>
          </cell>
          <cell r="C17">
            <v>12967.237245663102</v>
          </cell>
          <cell r="D17">
            <v>162282.28946517981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175249.52671084291</v>
          </cell>
        </row>
        <row r="18">
          <cell r="B18" t="str">
            <v>TG-2324-RM04B</v>
          </cell>
          <cell r="C18">
            <v>289286.67106928054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289286.67106928054</v>
          </cell>
        </row>
        <row r="19">
          <cell r="B19" t="str">
            <v>TG-2324-RM05</v>
          </cell>
          <cell r="C19">
            <v>65849.999999999942</v>
          </cell>
          <cell r="D19">
            <v>140099.99999999988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205949.99999999983</v>
          </cell>
        </row>
        <row r="20">
          <cell r="B20" t="str">
            <v>TG-2324-RM06</v>
          </cell>
          <cell r="C20">
            <v>60548.971065699101</v>
          </cell>
          <cell r="D20">
            <v>3952.9744186046419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64501.945484303746</v>
          </cell>
        </row>
        <row r="21">
          <cell r="B21" t="str">
            <v>TG-2324-RM07</v>
          </cell>
          <cell r="C21">
            <v>20298.494828178696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20298.494828178696</v>
          </cell>
        </row>
        <row r="22">
          <cell r="B22" t="str">
            <v>TG-2324-RM08</v>
          </cell>
          <cell r="C22">
            <v>2859.2889518413986</v>
          </cell>
          <cell r="D22">
            <v>27752.995750708225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30612.284702549623</v>
          </cell>
        </row>
        <row r="23">
          <cell r="B23" t="str">
            <v>TG-2324-RM09</v>
          </cell>
          <cell r="C23">
            <v>15984.533596491237</v>
          </cell>
          <cell r="D23">
            <v>117175.32766666677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133159.861263158</v>
          </cell>
        </row>
        <row r="24">
          <cell r="B24" t="str">
            <v>TG-2324-RM10</v>
          </cell>
          <cell r="C24">
            <v>465207.01029411767</v>
          </cell>
          <cell r="D24">
            <v>511865.68382352946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977072.69411764713</v>
          </cell>
        </row>
        <row r="25">
          <cell r="B25" t="str">
            <v>TG-2324-RM11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B26" t="str">
            <v>TG-2324-RM12</v>
          </cell>
          <cell r="C26">
            <v>0</v>
          </cell>
          <cell r="D26">
            <v>501135.74409736355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501135.74409736355</v>
          </cell>
        </row>
        <row r="27">
          <cell r="B27" t="str">
            <v>TG-2324-RM13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B28" t="str">
            <v>TG-2324-RM14A</v>
          </cell>
          <cell r="C28">
            <v>0</v>
          </cell>
          <cell r="D28">
            <v>570049.73905272572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570049.73905272572</v>
          </cell>
        </row>
        <row r="29">
          <cell r="B29" t="str">
            <v>TG-2324-RM14B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B30" t="str">
            <v>TG-2324-RM15</v>
          </cell>
          <cell r="C30">
            <v>55964.738307692314</v>
          </cell>
          <cell r="D30">
            <v>191898.54830769228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247863.2866153846</v>
          </cell>
        </row>
        <row r="31">
          <cell r="B31" t="str">
            <v>TG-2324-RM16A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</row>
        <row r="32">
          <cell r="B32" t="str">
            <v>TG-2324-RM16B</v>
          </cell>
          <cell r="C32">
            <v>40365.424325811851</v>
          </cell>
          <cell r="D32">
            <v>81152.744061640144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121518.16838745199</v>
          </cell>
        </row>
        <row r="33">
          <cell r="B33" t="str">
            <v>TG-2324-RM17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B34" t="str">
            <v>TG-2324-RM18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B35" t="str">
            <v>TG-2324-RM19</v>
          </cell>
          <cell r="C35">
            <v>5297.1428571428532</v>
          </cell>
          <cell r="D35">
            <v>5559.2142857142835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10856.357142857138</v>
          </cell>
        </row>
        <row r="36">
          <cell r="B36" t="str">
            <v>TG-2324-RM20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</row>
        <row r="37">
          <cell r="B37" t="str">
            <v>TG-2324-RM21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</row>
        <row r="38">
          <cell r="B38" t="str">
            <v>TG-2324-RM22</v>
          </cell>
          <cell r="C38">
            <v>8500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8500</v>
          </cell>
        </row>
        <row r="39">
          <cell r="B39" t="str">
            <v>TG-2324-RM23</v>
          </cell>
          <cell r="C39">
            <v>0</v>
          </cell>
          <cell r="D39">
            <v>562931.69989743596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562931.69989743596</v>
          </cell>
        </row>
        <row r="40">
          <cell r="B40" t="str">
            <v>TG-2324-RM24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</row>
        <row r="41">
          <cell r="B41" t="str">
            <v>TG-2324-RM25</v>
          </cell>
          <cell r="C41">
            <v>0</v>
          </cell>
          <cell r="D41">
            <v>21395.750000000004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21395.750000000004</v>
          </cell>
        </row>
        <row r="42">
          <cell r="B42" t="str">
            <v>TG-2324-RM26</v>
          </cell>
          <cell r="C42">
            <v>0</v>
          </cell>
          <cell r="D42">
            <v>112370.17647058825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112370.17647058825</v>
          </cell>
        </row>
        <row r="43">
          <cell r="B43" t="str">
            <v>TG-2324-RM27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4">
          <cell r="B44" t="str">
            <v>TG-2324-RM28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</row>
        <row r="45">
          <cell r="B45" t="str">
            <v>TG-2324-RM29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</row>
        <row r="46">
          <cell r="B46" t="str">
            <v>TG-2324-RM30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</row>
        <row r="47">
          <cell r="B47" t="str">
            <v>TG-2324-RM31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</row>
        <row r="48">
          <cell r="B48" t="str">
            <v>TG-2324-PM01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</row>
        <row r="49">
          <cell r="B49" t="str">
            <v>TG-2324-PM02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0">
          <cell r="B50" t="str">
            <v>TG-2324-PM03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</row>
        <row r="51">
          <cell r="B51" t="str">
            <v>TG-2324-PM04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</row>
        <row r="52">
          <cell r="B52" t="str">
            <v>TG-2324-PM05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</row>
        <row r="53">
          <cell r="B53" t="str">
            <v>TG-2324-PM06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</row>
        <row r="54">
          <cell r="B54" t="str">
            <v>TG-2324-PM07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</row>
        <row r="55">
          <cell r="B55" t="str">
            <v>TG-2324-PM08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</row>
        <row r="56">
          <cell r="B56" t="str">
            <v>TG-2324-PM09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</row>
        <row r="57">
          <cell r="B57" t="str">
            <v>TG-2324-PM10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</row>
        <row r="58">
          <cell r="B58" t="str">
            <v>TG-2324-PM11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</row>
        <row r="59">
          <cell r="B59" t="str">
            <v>TG-2324-PM12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</row>
        <row r="60">
          <cell r="B60" t="str">
            <v>TG-2324-PM13</v>
          </cell>
          <cell r="C60">
            <v>0</v>
          </cell>
          <cell r="D60">
            <v>493476.70386000024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493476.70386000024</v>
          </cell>
        </row>
        <row r="61">
          <cell r="B61" t="str">
            <v>TG-2324-PM14</v>
          </cell>
          <cell r="C61">
            <v>0</v>
          </cell>
          <cell r="D61">
            <v>639545.72515049996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639545.72515049996</v>
          </cell>
        </row>
        <row r="62">
          <cell r="B62" t="str">
            <v>TG-2324-PM15</v>
          </cell>
          <cell r="C62">
            <v>1933801.328062501</v>
          </cell>
          <cell r="D62">
            <v>1098816.3300095005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3032617.6580720013</v>
          </cell>
        </row>
        <row r="63">
          <cell r="B63" t="str">
            <v>TG-2324-PM16</v>
          </cell>
          <cell r="C63">
            <v>73402.509125000128</v>
          </cell>
          <cell r="D63">
            <v>1508669.6594000002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1582072.1685250003</v>
          </cell>
        </row>
        <row r="64">
          <cell r="B64" t="str">
            <v>TG-2324-PM17</v>
          </cell>
          <cell r="C64">
            <v>1505151.1694750006</v>
          </cell>
          <cell r="D64">
            <v>1039158.4232356132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2544309.5927106137</v>
          </cell>
        </row>
        <row r="65">
          <cell r="B65" t="str">
            <v>TG-2324-PM18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</row>
        <row r="66">
          <cell r="B66" t="str">
            <v>TG-2324-PM19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</row>
        <row r="67">
          <cell r="C67">
            <v>5313099.1026260955</v>
          </cell>
          <cell r="D67">
            <v>8570560.5981997382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13883659.700825835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EB46C-8EF5-4E5A-BFFD-0D35E4750127}">
  <dimension ref="B2:I18"/>
  <sheetViews>
    <sheetView showGridLines="0" zoomScaleNormal="100" workbookViewId="0">
      <selection activeCell="G10" sqref="G10"/>
    </sheetView>
  </sheetViews>
  <sheetFormatPr defaultRowHeight="14.4" x14ac:dyDescent="0.3"/>
  <cols>
    <col min="2" max="2" width="8.88671875" bestFit="1" customWidth="1"/>
    <col min="3" max="3" width="10.33203125" bestFit="1" customWidth="1"/>
    <col min="4" max="4" width="10.109375" bestFit="1" customWidth="1"/>
    <col min="9" max="9" width="11" bestFit="1" customWidth="1"/>
  </cols>
  <sheetData>
    <row r="2" spans="2:9" x14ac:dyDescent="0.3">
      <c r="B2" s="18" t="s">
        <v>0</v>
      </c>
      <c r="C2" s="12"/>
      <c r="D2" s="12"/>
      <c r="E2" s="12"/>
      <c r="F2" s="12"/>
      <c r="G2" s="12"/>
    </row>
    <row r="3" spans="2:9" x14ac:dyDescent="0.3">
      <c r="B3" s="12"/>
      <c r="C3" s="12"/>
      <c r="D3" s="12"/>
      <c r="E3" s="12"/>
      <c r="F3" s="12"/>
      <c r="G3" s="12"/>
    </row>
    <row r="4" spans="2:9" x14ac:dyDescent="0.3">
      <c r="B4" s="15"/>
      <c r="C4" s="16" t="s">
        <v>1</v>
      </c>
      <c r="D4" s="31" t="s">
        <v>2</v>
      </c>
      <c r="E4" s="31"/>
      <c r="F4" s="31"/>
      <c r="G4" s="31"/>
    </row>
    <row r="5" spans="2:9" x14ac:dyDescent="0.3">
      <c r="B5" s="15"/>
      <c r="C5" s="16"/>
      <c r="D5" s="16" t="s">
        <v>3</v>
      </c>
      <c r="E5" s="16" t="s">
        <v>4</v>
      </c>
      <c r="F5" s="16" t="s">
        <v>5</v>
      </c>
      <c r="G5" s="16" t="s">
        <v>6</v>
      </c>
    </row>
    <row r="6" spans="2:9" x14ac:dyDescent="0.3">
      <c r="B6" s="3" t="s">
        <v>7</v>
      </c>
      <c r="C6" s="19">
        <v>500</v>
      </c>
      <c r="D6" s="20">
        <f>SUMIFS('STATUS TRACKER'!W:W,'STATUS TRACKER'!A:A,Summary!D$5,'STATUS TRACKER'!B:B,"PL*")/100000</f>
        <v>203.66666666666669</v>
      </c>
      <c r="E6" s="20">
        <f>SUMIFS('STATUS TRACKER'!W:W,'STATUS TRACKER'!A:A,Summary!E$5,'STATUS TRACKER'!B:B,"PL*")/100000</f>
        <v>0</v>
      </c>
      <c r="F6" s="21">
        <f>+D6+E6</f>
        <v>203.66666666666669</v>
      </c>
      <c r="G6" s="21">
        <f>+F6-C6</f>
        <v>-296.33333333333331</v>
      </c>
    </row>
    <row r="7" spans="2:9" x14ac:dyDescent="0.3">
      <c r="B7" s="3" t="s">
        <v>8</v>
      </c>
      <c r="C7" s="19">
        <v>500</v>
      </c>
      <c r="D7" s="20">
        <f>SUMIFS('STATUS TRACKER'!W:W,'STATUS TRACKER'!A:A,Summary!D$5,'STATUS TRACKER'!B:B,"TG*")/100000</f>
        <v>0</v>
      </c>
      <c r="E7" s="20">
        <f>SUMIFS('STATUS TRACKER'!W:W,'STATUS TRACKER'!A:A,Summary!E$5,'STATUS TRACKER'!B:B,"TG*")/100000</f>
        <v>1373.8089035343057</v>
      </c>
      <c r="F7" s="21">
        <f>+D7+E7</f>
        <v>1373.8089035343057</v>
      </c>
      <c r="G7" s="21">
        <f>+F7-C7</f>
        <v>873.80890353430573</v>
      </c>
    </row>
    <row r="8" spans="2:9" x14ac:dyDescent="0.3">
      <c r="B8" s="3" t="s">
        <v>148</v>
      </c>
      <c r="C8" s="19">
        <v>500</v>
      </c>
      <c r="D8" s="20">
        <f>SUMIFS('STATUS TRACKER'!W:W,'STATUS TRACKER'!A:A,Summary!D$5,'STATUS TRACKER'!B:B,"PG*")/100000</f>
        <v>112.29038425966669</v>
      </c>
      <c r="E8" s="20">
        <f>SUMIFS('STATUS TRACKER'!W:W,'STATUS TRACKER'!A:A,Summary!E$5,'STATUS TRACKER'!B:B,"PG*")/100000</f>
        <v>0</v>
      </c>
      <c r="F8" s="21">
        <f>+D8+E8</f>
        <v>112.29038425966669</v>
      </c>
      <c r="G8" s="21">
        <f>+F8-C8</f>
        <v>-387.70961574033333</v>
      </c>
    </row>
    <row r="9" spans="2:9" x14ac:dyDescent="0.3">
      <c r="B9" s="15"/>
      <c r="C9" s="16"/>
      <c r="D9" s="20"/>
      <c r="E9" s="20"/>
      <c r="F9" s="21"/>
      <c r="G9" s="21"/>
    </row>
    <row r="10" spans="2:9" x14ac:dyDescent="0.3">
      <c r="B10" s="16" t="s">
        <v>9</v>
      </c>
      <c r="C10" s="22">
        <f>SUM(C6:C9)</f>
        <v>1500</v>
      </c>
      <c r="D10" s="21">
        <f>SUM(D6:D9)</f>
        <v>315.95705092633341</v>
      </c>
      <c r="E10" s="21">
        <f>SUM(E6:E9)</f>
        <v>1373.8089035343057</v>
      </c>
      <c r="F10" s="21">
        <f>SUM(F6:F9)</f>
        <v>1689.7659544606393</v>
      </c>
      <c r="G10" s="21">
        <f>SUM(G6:G9)</f>
        <v>189.76595446063914</v>
      </c>
    </row>
    <row r="11" spans="2:9" x14ac:dyDescent="0.3">
      <c r="B11" s="12"/>
      <c r="C11" s="12"/>
      <c r="D11" s="12"/>
      <c r="E11" s="12"/>
      <c r="F11" s="12"/>
      <c r="G11" s="12"/>
    </row>
    <row r="12" spans="2:9" x14ac:dyDescent="0.3">
      <c r="B12" s="23"/>
      <c r="C12" s="12"/>
      <c r="D12" s="12"/>
      <c r="E12" s="12"/>
      <c r="F12" s="12"/>
      <c r="G12" s="14"/>
    </row>
    <row r="13" spans="2:9" x14ac:dyDescent="0.3">
      <c r="F13" s="2"/>
      <c r="G13" s="14"/>
    </row>
    <row r="14" spans="2:9" x14ac:dyDescent="0.3">
      <c r="F14" s="2"/>
      <c r="I14" s="9" t="s">
        <v>10</v>
      </c>
    </row>
    <row r="15" spans="2:9" x14ac:dyDescent="0.3">
      <c r="I15" s="17" t="s">
        <v>11</v>
      </c>
    </row>
    <row r="16" spans="2:9" x14ac:dyDescent="0.3">
      <c r="I16" s="17" t="s">
        <v>12</v>
      </c>
    </row>
    <row r="17" spans="9:9" x14ac:dyDescent="0.3">
      <c r="I17" s="17" t="s">
        <v>13</v>
      </c>
    </row>
    <row r="18" spans="9:9" x14ac:dyDescent="0.3">
      <c r="I18" s="17" t="s">
        <v>14</v>
      </c>
    </row>
  </sheetData>
  <mergeCells count="1">
    <mergeCell ref="D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21F37-45B7-444D-8C6A-B981DBCCBAE0}">
  <sheetPr filterMode="1"/>
  <dimension ref="A1:X75"/>
  <sheetViews>
    <sheetView showGridLines="0" tabSelected="1" topLeftCell="B38" workbookViewId="0">
      <selection activeCell="F55" sqref="F55"/>
    </sheetView>
  </sheetViews>
  <sheetFormatPr defaultRowHeight="14.4" x14ac:dyDescent="0.3"/>
  <cols>
    <col min="1" max="1" width="11.77734375" style="4" bestFit="1" customWidth="1"/>
    <col min="2" max="2" width="15.5546875" bestFit="1" customWidth="1"/>
    <col min="3" max="3" width="20.77734375" customWidth="1"/>
    <col min="4" max="4" width="42.33203125" bestFit="1" customWidth="1"/>
    <col min="5" max="5" width="9.5546875" bestFit="1" customWidth="1"/>
    <col min="6" max="6" width="10.44140625" bestFit="1" customWidth="1"/>
    <col min="7" max="7" width="11.88671875" customWidth="1"/>
    <col min="8" max="8" width="12.5546875" style="4" bestFit="1" customWidth="1"/>
    <col min="9" max="9" width="13" style="4" bestFit="1" customWidth="1"/>
    <col min="10" max="10" width="14.109375" bestFit="1" customWidth="1"/>
    <col min="11" max="11" width="13.5546875" customWidth="1"/>
    <col min="12" max="12" width="14" customWidth="1"/>
    <col min="13" max="13" width="13.33203125" customWidth="1"/>
    <col min="14" max="14" width="12.6640625" customWidth="1"/>
    <col min="15" max="15" width="13.6640625" customWidth="1"/>
    <col min="16" max="16" width="13.5546875" customWidth="1"/>
    <col min="17" max="17" width="13.44140625" bestFit="1" customWidth="1"/>
    <col min="18" max="18" width="13.88671875" bestFit="1" customWidth="1"/>
    <col min="19" max="19" width="13.5546875" bestFit="1" customWidth="1"/>
    <col min="20" max="20" width="13.109375" bestFit="1" customWidth="1"/>
    <col min="21" max="21" width="13.5546875" bestFit="1" customWidth="1"/>
    <col min="22" max="22" width="13.88671875" bestFit="1" customWidth="1"/>
    <col min="23" max="23" width="12.5546875" bestFit="1" customWidth="1"/>
  </cols>
  <sheetData>
    <row r="1" spans="1:24" x14ac:dyDescent="0.3">
      <c r="K1" s="2" t="s">
        <v>128</v>
      </c>
      <c r="L1" s="2" t="s">
        <v>128</v>
      </c>
      <c r="M1" s="2" t="s">
        <v>15</v>
      </c>
      <c r="N1" s="2" t="s">
        <v>15</v>
      </c>
      <c r="O1" s="2" t="s">
        <v>15</v>
      </c>
      <c r="P1" s="2" t="s">
        <v>15</v>
      </c>
      <c r="Q1" s="2" t="s">
        <v>15</v>
      </c>
      <c r="R1" s="2" t="s">
        <v>15</v>
      </c>
      <c r="S1" s="2" t="s">
        <v>15</v>
      </c>
      <c r="T1" s="2" t="s">
        <v>15</v>
      </c>
      <c r="U1" s="2" t="s">
        <v>15</v>
      </c>
      <c r="V1" s="2" t="s">
        <v>15</v>
      </c>
    </row>
    <row r="2" spans="1:24" x14ac:dyDescent="0.3">
      <c r="I2" s="2" t="s">
        <v>16</v>
      </c>
      <c r="J2" s="1"/>
      <c r="K2" s="5">
        <v>45017</v>
      </c>
      <c r="L2" s="5">
        <v>45047</v>
      </c>
      <c r="M2" s="5">
        <v>45078</v>
      </c>
      <c r="N2" s="5">
        <v>45108</v>
      </c>
      <c r="O2" s="5">
        <v>45139</v>
      </c>
      <c r="P2" s="5">
        <v>45170</v>
      </c>
      <c r="Q2" s="5">
        <v>45200</v>
      </c>
      <c r="R2" s="5">
        <v>45231</v>
      </c>
      <c r="S2" s="5">
        <v>45261</v>
      </c>
      <c r="T2" s="5">
        <v>45292</v>
      </c>
      <c r="U2" s="5">
        <v>45323</v>
      </c>
      <c r="V2" s="5">
        <v>45352</v>
      </c>
      <c r="W2" s="2" t="s">
        <v>5</v>
      </c>
    </row>
    <row r="3" spans="1:24" ht="27.6" x14ac:dyDescent="0.3">
      <c r="A3" s="9" t="s">
        <v>17</v>
      </c>
      <c r="B3" s="9" t="s">
        <v>18</v>
      </c>
      <c r="C3" s="9" t="s">
        <v>27</v>
      </c>
      <c r="D3" s="9" t="s">
        <v>19</v>
      </c>
      <c r="E3" s="9" t="s">
        <v>92</v>
      </c>
      <c r="F3" s="9" t="s">
        <v>20</v>
      </c>
      <c r="G3" s="9" t="s">
        <v>21</v>
      </c>
      <c r="H3" s="9" t="s">
        <v>22</v>
      </c>
      <c r="I3" s="9" t="s">
        <v>23</v>
      </c>
      <c r="J3" s="26" t="s">
        <v>135</v>
      </c>
      <c r="K3" s="10">
        <f t="shared" ref="K3:V3" si="0">+EOMONTH(K2,0)</f>
        <v>45046</v>
      </c>
      <c r="L3" s="10">
        <f t="shared" si="0"/>
        <v>45077</v>
      </c>
      <c r="M3" s="10">
        <f t="shared" si="0"/>
        <v>45107</v>
      </c>
      <c r="N3" s="10">
        <f t="shared" si="0"/>
        <v>45138</v>
      </c>
      <c r="O3" s="10">
        <f t="shared" si="0"/>
        <v>45169</v>
      </c>
      <c r="P3" s="10">
        <f t="shared" si="0"/>
        <v>45199</v>
      </c>
      <c r="Q3" s="10">
        <f t="shared" si="0"/>
        <v>45230</v>
      </c>
      <c r="R3" s="10">
        <f t="shared" si="0"/>
        <v>45260</v>
      </c>
      <c r="S3" s="10">
        <f t="shared" si="0"/>
        <v>45291</v>
      </c>
      <c r="T3" s="10">
        <f t="shared" si="0"/>
        <v>45322</v>
      </c>
      <c r="U3" s="10">
        <f t="shared" si="0"/>
        <v>45351</v>
      </c>
      <c r="V3" s="10">
        <f t="shared" si="0"/>
        <v>45382</v>
      </c>
      <c r="W3" s="10" t="s">
        <v>24</v>
      </c>
    </row>
    <row r="4" spans="1:24" hidden="1" x14ac:dyDescent="0.3">
      <c r="A4" s="17" t="s">
        <v>4</v>
      </c>
      <c r="B4" s="6" t="s">
        <v>42</v>
      </c>
      <c r="C4" s="6">
        <v>4000310</v>
      </c>
      <c r="D4" s="6" t="s">
        <v>97</v>
      </c>
      <c r="E4" s="6" t="s">
        <v>93</v>
      </c>
      <c r="F4" s="6" t="s">
        <v>127</v>
      </c>
      <c r="G4" s="7">
        <v>45017</v>
      </c>
      <c r="H4" s="7">
        <v>45017</v>
      </c>
      <c r="I4" s="7">
        <v>45017</v>
      </c>
      <c r="J4" s="8">
        <f>80000*(423.5-380)</f>
        <v>3480000</v>
      </c>
      <c r="K4" s="25">
        <f>+VLOOKUP(B4,'[1]Project Code - Savings Workings'!$B$4:$O$67,2,0)</f>
        <v>348332.72288505442</v>
      </c>
      <c r="L4" s="11">
        <f>+VLOOKUP(B4,'[1]Project Code - Savings Workings'!$B$3:$D$67,3,0)</f>
        <v>232969.66625754279</v>
      </c>
      <c r="M4" s="11">
        <f t="shared" ref="M4:V14" si="1">IFERROR(IF($J4/12*MIN((M$3-$I4),(M$3-M$2))/(M$3-M$2)&lt;0,0,$J4/12*MIN((M$3-$I4),(M$3-M$2))/(M$3-M$2)),0)</f>
        <v>290000</v>
      </c>
      <c r="N4" s="11">
        <f t="shared" si="1"/>
        <v>290000</v>
      </c>
      <c r="O4" s="11">
        <f t="shared" si="1"/>
        <v>290000</v>
      </c>
      <c r="P4" s="11">
        <f t="shared" si="1"/>
        <v>290000</v>
      </c>
      <c r="Q4" s="11">
        <f t="shared" si="1"/>
        <v>290000</v>
      </c>
      <c r="R4" s="11">
        <f t="shared" si="1"/>
        <v>290000</v>
      </c>
      <c r="S4" s="11">
        <f t="shared" si="1"/>
        <v>290000</v>
      </c>
      <c r="T4" s="11">
        <f t="shared" si="1"/>
        <v>290000</v>
      </c>
      <c r="U4" s="11">
        <f t="shared" si="1"/>
        <v>290000</v>
      </c>
      <c r="V4" s="11">
        <f t="shared" si="1"/>
        <v>290000</v>
      </c>
      <c r="W4" s="14">
        <f>SUM(K4:V4)</f>
        <v>3481302.3891425971</v>
      </c>
    </row>
    <row r="5" spans="1:24" hidden="1" x14ac:dyDescent="0.3">
      <c r="A5" s="17" t="s">
        <v>4</v>
      </c>
      <c r="B5" s="6" t="s">
        <v>43</v>
      </c>
      <c r="C5" s="6">
        <v>4000178</v>
      </c>
      <c r="D5" s="6" t="s">
        <v>36</v>
      </c>
      <c r="E5" s="6" t="s">
        <v>93</v>
      </c>
      <c r="F5" s="6" t="s">
        <v>127</v>
      </c>
      <c r="G5" s="7">
        <v>45017</v>
      </c>
      <c r="H5" s="7">
        <v>45017</v>
      </c>
      <c r="I5" s="7">
        <v>45078</v>
      </c>
      <c r="J5" s="8">
        <f>53000*(325-319)</f>
        <v>318000</v>
      </c>
      <c r="K5" s="25">
        <f>+VLOOKUP(B5,'[1]Project Code - Savings Workings'!$B$4:$O$67,2,0)</f>
        <v>0</v>
      </c>
      <c r="L5" s="11">
        <f>+VLOOKUP(B5,'[1]Project Code - Savings Workings'!$B$3:$D$67,3,0)</f>
        <v>0</v>
      </c>
      <c r="M5" s="11">
        <f t="shared" si="1"/>
        <v>26500</v>
      </c>
      <c r="N5" s="11">
        <f t="shared" si="1"/>
        <v>26500</v>
      </c>
      <c r="O5" s="11">
        <f t="shared" si="1"/>
        <v>26500</v>
      </c>
      <c r="P5" s="11">
        <f t="shared" si="1"/>
        <v>26500</v>
      </c>
      <c r="Q5" s="11">
        <f t="shared" si="1"/>
        <v>26500</v>
      </c>
      <c r="R5" s="11">
        <f t="shared" si="1"/>
        <v>26500</v>
      </c>
      <c r="S5" s="11">
        <f t="shared" si="1"/>
        <v>26500</v>
      </c>
      <c r="T5" s="11">
        <f t="shared" si="1"/>
        <v>26500</v>
      </c>
      <c r="U5" s="11">
        <f t="shared" si="1"/>
        <v>26500</v>
      </c>
      <c r="V5" s="11">
        <f t="shared" si="1"/>
        <v>26500</v>
      </c>
      <c r="W5" s="14">
        <f t="shared" ref="W5:W17" si="2">SUM(K5:V5)</f>
        <v>265000</v>
      </c>
      <c r="X5" t="s">
        <v>125</v>
      </c>
    </row>
    <row r="6" spans="1:24" hidden="1" x14ac:dyDescent="0.3">
      <c r="A6" s="17" t="s">
        <v>4</v>
      </c>
      <c r="B6" s="6" t="s">
        <v>44</v>
      </c>
      <c r="C6" s="6">
        <v>4000225</v>
      </c>
      <c r="D6" s="6" t="s">
        <v>98</v>
      </c>
      <c r="E6" s="6" t="s">
        <v>93</v>
      </c>
      <c r="F6" s="6" t="s">
        <v>127</v>
      </c>
      <c r="G6" s="7">
        <v>45017</v>
      </c>
      <c r="H6" s="7">
        <v>45017</v>
      </c>
      <c r="I6" s="7">
        <v>45017</v>
      </c>
      <c r="J6" s="8">
        <f>36030*(850-750)</f>
        <v>3603000</v>
      </c>
      <c r="K6" s="25">
        <f>+VLOOKUP(B6,'[1]Project Code - Savings Workings'!$B$4:$O$67,2,0)</f>
        <v>202493.17693661971</v>
      </c>
      <c r="L6" s="11">
        <f>+VLOOKUP(B6,'[1]Project Code - Savings Workings'!$B$3:$D$67,3,0)</f>
        <v>129065.02728873238</v>
      </c>
      <c r="M6" s="11">
        <f t="shared" si="1"/>
        <v>300250</v>
      </c>
      <c r="N6" s="11">
        <f t="shared" si="1"/>
        <v>300250</v>
      </c>
      <c r="O6" s="11">
        <f t="shared" si="1"/>
        <v>300250</v>
      </c>
      <c r="P6" s="11">
        <f t="shared" si="1"/>
        <v>300250</v>
      </c>
      <c r="Q6" s="11">
        <f t="shared" si="1"/>
        <v>300250</v>
      </c>
      <c r="R6" s="11">
        <f t="shared" si="1"/>
        <v>300250</v>
      </c>
      <c r="S6" s="11">
        <f t="shared" si="1"/>
        <v>300250</v>
      </c>
      <c r="T6" s="11">
        <f t="shared" si="1"/>
        <v>300250</v>
      </c>
      <c r="U6" s="11">
        <f t="shared" si="1"/>
        <v>300250</v>
      </c>
      <c r="V6" s="11">
        <f t="shared" si="1"/>
        <v>300250</v>
      </c>
      <c r="W6" s="14">
        <f t="shared" si="2"/>
        <v>3334058.204225352</v>
      </c>
    </row>
    <row r="7" spans="1:24" hidden="1" x14ac:dyDescent="0.3">
      <c r="A7" s="17" t="s">
        <v>4</v>
      </c>
      <c r="B7" s="6" t="s">
        <v>114</v>
      </c>
      <c r="C7" s="6">
        <v>4000129</v>
      </c>
      <c r="D7" s="6" t="s">
        <v>99</v>
      </c>
      <c r="E7" s="6" t="s">
        <v>93</v>
      </c>
      <c r="F7" s="6" t="s">
        <v>127</v>
      </c>
      <c r="G7" s="7">
        <v>45017</v>
      </c>
      <c r="H7" s="7">
        <v>45017</v>
      </c>
      <c r="I7" s="7">
        <v>45017</v>
      </c>
      <c r="J7" s="24">
        <v>378228</v>
      </c>
      <c r="K7" s="25">
        <f>+VLOOKUP(B7,'[1]Project Code - Savings Workings'!$B$4:$O$67,2,0)</f>
        <v>12967.237245663102</v>
      </c>
      <c r="L7" s="11">
        <f>+VLOOKUP(B7,'[1]Project Code - Savings Workings'!$B$3:$D$67,3,0)</f>
        <v>162282.28946517981</v>
      </c>
      <c r="M7" s="11">
        <f t="shared" si="1"/>
        <v>31519</v>
      </c>
      <c r="N7" s="11">
        <f t="shared" si="1"/>
        <v>31519</v>
      </c>
      <c r="O7" s="11">
        <f t="shared" si="1"/>
        <v>31519</v>
      </c>
      <c r="P7" s="11">
        <f t="shared" si="1"/>
        <v>31519</v>
      </c>
      <c r="Q7" s="11">
        <f t="shared" si="1"/>
        <v>31519</v>
      </c>
      <c r="R7" s="11">
        <f t="shared" si="1"/>
        <v>31519</v>
      </c>
      <c r="S7" s="11">
        <f t="shared" si="1"/>
        <v>31519</v>
      </c>
      <c r="T7" s="11">
        <f t="shared" si="1"/>
        <v>31519</v>
      </c>
      <c r="U7" s="11">
        <f t="shared" si="1"/>
        <v>31519</v>
      </c>
      <c r="V7" s="11">
        <f t="shared" si="1"/>
        <v>31519</v>
      </c>
      <c r="W7" s="14">
        <f t="shared" si="2"/>
        <v>490439.52671084291</v>
      </c>
    </row>
    <row r="8" spans="1:24" hidden="1" x14ac:dyDescent="0.3">
      <c r="A8" s="17" t="s">
        <v>4</v>
      </c>
      <c r="B8" s="6" t="s">
        <v>115</v>
      </c>
      <c r="C8" s="6" t="s">
        <v>147</v>
      </c>
      <c r="D8" s="6" t="s">
        <v>129</v>
      </c>
      <c r="E8" s="6" t="s">
        <v>93</v>
      </c>
      <c r="F8" s="6" t="s">
        <v>127</v>
      </c>
      <c r="G8" s="7">
        <v>45017</v>
      </c>
      <c r="H8" s="7">
        <v>45017</v>
      </c>
      <c r="I8" s="7">
        <v>45017</v>
      </c>
      <c r="J8" s="24">
        <v>720000</v>
      </c>
      <c r="K8" s="25">
        <f>+VLOOKUP(B8,'[1]Project Code - Savings Workings'!$B$4:$O$67,2,0)</f>
        <v>289286.67106928054</v>
      </c>
      <c r="L8" s="11">
        <f>+VLOOKUP(B8,'[1]Project Code - Savings Workings'!$B$3:$D$67,3,0)</f>
        <v>0</v>
      </c>
      <c r="M8" s="11">
        <f t="shared" si="1"/>
        <v>60000</v>
      </c>
      <c r="N8" s="11">
        <f t="shared" si="1"/>
        <v>60000</v>
      </c>
      <c r="O8" s="11">
        <f t="shared" si="1"/>
        <v>60000</v>
      </c>
      <c r="P8" s="11">
        <f t="shared" si="1"/>
        <v>60000</v>
      </c>
      <c r="Q8" s="11">
        <f t="shared" si="1"/>
        <v>60000</v>
      </c>
      <c r="R8" s="11">
        <f t="shared" si="1"/>
        <v>60000</v>
      </c>
      <c r="S8" s="11">
        <f t="shared" si="1"/>
        <v>60000</v>
      </c>
      <c r="T8" s="11">
        <f t="shared" si="1"/>
        <v>60000</v>
      </c>
      <c r="U8" s="11">
        <f t="shared" si="1"/>
        <v>60000</v>
      </c>
      <c r="V8" s="11">
        <f t="shared" si="1"/>
        <v>60000</v>
      </c>
      <c r="W8" s="14">
        <f t="shared" ref="W8" si="3">SUM(K8:V8)</f>
        <v>889286.67106928048</v>
      </c>
      <c r="X8" t="s">
        <v>126</v>
      </c>
    </row>
    <row r="9" spans="1:24" hidden="1" x14ac:dyDescent="0.3">
      <c r="A9" s="17" t="s">
        <v>4</v>
      </c>
      <c r="B9" s="6" t="s">
        <v>45</v>
      </c>
      <c r="C9" s="6">
        <v>4000223</v>
      </c>
      <c r="D9" s="6" t="s">
        <v>100</v>
      </c>
      <c r="E9" s="6" t="s">
        <v>93</v>
      </c>
      <c r="F9" s="6" t="s">
        <v>127</v>
      </c>
      <c r="G9" s="7">
        <v>45017</v>
      </c>
      <c r="H9" s="7">
        <v>45017</v>
      </c>
      <c r="I9" s="7">
        <v>45017</v>
      </c>
      <c r="J9" s="8">
        <v>746946.66666666674</v>
      </c>
      <c r="K9" s="25">
        <f>+VLOOKUP(B9,'[1]Project Code - Savings Workings'!$B$4:$O$67,2,0)</f>
        <v>65849.999999999942</v>
      </c>
      <c r="L9" s="11">
        <f>+VLOOKUP(B9,'[1]Project Code - Savings Workings'!$B$3:$D$67,3,0)</f>
        <v>140099.99999999988</v>
      </c>
      <c r="M9" s="11">
        <f t="shared" si="1"/>
        <v>62245.555555555562</v>
      </c>
      <c r="N9" s="11">
        <f t="shared" si="1"/>
        <v>62245.555555555569</v>
      </c>
      <c r="O9" s="11">
        <f t="shared" si="1"/>
        <v>62245.555555555569</v>
      </c>
      <c r="P9" s="11">
        <f t="shared" si="1"/>
        <v>62245.555555555562</v>
      </c>
      <c r="Q9" s="11">
        <f t="shared" si="1"/>
        <v>62245.555555555569</v>
      </c>
      <c r="R9" s="11">
        <f t="shared" si="1"/>
        <v>62245.555555555562</v>
      </c>
      <c r="S9" s="11">
        <f t="shared" si="1"/>
        <v>62245.555555555569</v>
      </c>
      <c r="T9" s="11">
        <f t="shared" si="1"/>
        <v>62245.555555555569</v>
      </c>
      <c r="U9" s="11">
        <f t="shared" si="1"/>
        <v>62245.555555555562</v>
      </c>
      <c r="V9" s="11">
        <f t="shared" si="1"/>
        <v>62245.555555555569</v>
      </c>
      <c r="W9" s="14">
        <f t="shared" si="2"/>
        <v>828405.55555555562</v>
      </c>
    </row>
    <row r="10" spans="1:24" hidden="1" x14ac:dyDescent="0.3">
      <c r="A10" s="17" t="s">
        <v>4</v>
      </c>
      <c r="B10" s="6" t="s">
        <v>46</v>
      </c>
      <c r="C10" s="6">
        <v>4000146</v>
      </c>
      <c r="D10" s="6" t="s">
        <v>101</v>
      </c>
      <c r="E10" s="6" t="s">
        <v>93</v>
      </c>
      <c r="F10" s="6" t="s">
        <v>127</v>
      </c>
      <c r="G10" s="7">
        <v>45017</v>
      </c>
      <c r="H10" s="7">
        <v>45017</v>
      </c>
      <c r="I10" s="7">
        <v>45017</v>
      </c>
      <c r="J10" s="8">
        <v>35800</v>
      </c>
      <c r="K10" s="25">
        <f>+VLOOKUP(B10,'[1]Project Code - Savings Workings'!$B$4:$O$67,2,0)</f>
        <v>60548.971065699101</v>
      </c>
      <c r="L10" s="11">
        <f>+VLOOKUP(B10,'[1]Project Code - Savings Workings'!$B$3:$D$67,3,0)</f>
        <v>3952.9744186046419</v>
      </c>
      <c r="M10" s="11">
        <f t="shared" si="1"/>
        <v>2983.3333333333335</v>
      </c>
      <c r="N10" s="11">
        <f t="shared" si="1"/>
        <v>2983.3333333333335</v>
      </c>
      <c r="O10" s="11">
        <f t="shared" si="1"/>
        <v>2983.3333333333335</v>
      </c>
      <c r="P10" s="11">
        <f t="shared" si="1"/>
        <v>2983.3333333333335</v>
      </c>
      <c r="Q10" s="11">
        <f t="shared" si="1"/>
        <v>2983.3333333333335</v>
      </c>
      <c r="R10" s="11">
        <f t="shared" si="1"/>
        <v>2983.3333333333335</v>
      </c>
      <c r="S10" s="11">
        <f t="shared" si="1"/>
        <v>2983.3333333333335</v>
      </c>
      <c r="T10" s="11">
        <f t="shared" si="1"/>
        <v>2983.3333333333335</v>
      </c>
      <c r="U10" s="11">
        <f t="shared" si="1"/>
        <v>2983.3333333333335</v>
      </c>
      <c r="V10" s="11">
        <f t="shared" si="1"/>
        <v>2983.3333333333335</v>
      </c>
      <c r="W10" s="14">
        <f t="shared" si="2"/>
        <v>94335.278817637038</v>
      </c>
    </row>
    <row r="11" spans="1:24" hidden="1" x14ac:dyDescent="0.3">
      <c r="A11" s="17" t="s">
        <v>4</v>
      </c>
      <c r="B11" s="6" t="s">
        <v>47</v>
      </c>
      <c r="C11" s="6">
        <v>4000376</v>
      </c>
      <c r="D11" s="6" t="s">
        <v>102</v>
      </c>
      <c r="E11" s="6" t="s">
        <v>93</v>
      </c>
      <c r="F11" s="6" t="s">
        <v>127</v>
      </c>
      <c r="G11" s="7">
        <v>45017</v>
      </c>
      <c r="H11" s="7">
        <v>45017</v>
      </c>
      <c r="I11" s="7">
        <v>45017</v>
      </c>
      <c r="J11" s="8">
        <v>146200</v>
      </c>
      <c r="K11" s="25">
        <f>+VLOOKUP(B11,'[1]Project Code - Savings Workings'!$B$4:$O$67,2,0)</f>
        <v>20298.494828178696</v>
      </c>
      <c r="L11" s="11">
        <f>+VLOOKUP(B11,'[1]Project Code - Savings Workings'!$B$3:$D$67,3,0)</f>
        <v>0</v>
      </c>
      <c r="M11" s="11">
        <f t="shared" si="1"/>
        <v>12183.333333333334</v>
      </c>
      <c r="N11" s="11">
        <f t="shared" si="1"/>
        <v>12183.333333333334</v>
      </c>
      <c r="O11" s="11">
        <f t="shared" si="1"/>
        <v>12183.333333333334</v>
      </c>
      <c r="P11" s="11">
        <f t="shared" si="1"/>
        <v>12183.333333333334</v>
      </c>
      <c r="Q11" s="11">
        <f t="shared" si="1"/>
        <v>12183.333333333334</v>
      </c>
      <c r="R11" s="11">
        <f t="shared" si="1"/>
        <v>12183.333333333334</v>
      </c>
      <c r="S11" s="11">
        <f t="shared" si="1"/>
        <v>12183.333333333334</v>
      </c>
      <c r="T11" s="11">
        <f t="shared" si="1"/>
        <v>12183.333333333334</v>
      </c>
      <c r="U11" s="11">
        <f t="shared" si="1"/>
        <v>12183.333333333334</v>
      </c>
      <c r="V11" s="11">
        <f t="shared" si="1"/>
        <v>12183.333333333334</v>
      </c>
      <c r="W11" s="14">
        <f t="shared" si="2"/>
        <v>142131.82816151201</v>
      </c>
    </row>
    <row r="12" spans="1:24" hidden="1" x14ac:dyDescent="0.3">
      <c r="A12" s="17" t="s">
        <v>4</v>
      </c>
      <c r="B12" s="6" t="s">
        <v>48</v>
      </c>
      <c r="C12" s="6">
        <v>4000097</v>
      </c>
      <c r="D12" s="6" t="s">
        <v>103</v>
      </c>
      <c r="E12" s="6" t="s">
        <v>93</v>
      </c>
      <c r="F12" s="6" t="s">
        <v>127</v>
      </c>
      <c r="G12" s="7">
        <v>45017</v>
      </c>
      <c r="H12" s="7">
        <v>45017</v>
      </c>
      <c r="I12" s="7">
        <v>45017</v>
      </c>
      <c r="J12" s="8">
        <v>425499.99999999994</v>
      </c>
      <c r="K12" s="25">
        <f>+VLOOKUP(B12,'[1]Project Code - Savings Workings'!$B$4:$O$67,2,0)</f>
        <v>2859.2889518413986</v>
      </c>
      <c r="L12" s="11">
        <f>+VLOOKUP(B12,'[1]Project Code - Savings Workings'!$B$3:$D$67,3,0)</f>
        <v>27752.995750708225</v>
      </c>
      <c r="M12" s="11">
        <f t="shared" si="1"/>
        <v>35458.333333333328</v>
      </c>
      <c r="N12" s="11">
        <f t="shared" si="1"/>
        <v>35458.333333333328</v>
      </c>
      <c r="O12" s="11">
        <f t="shared" si="1"/>
        <v>35458.333333333328</v>
      </c>
      <c r="P12" s="11">
        <f t="shared" si="1"/>
        <v>35458.333333333328</v>
      </c>
      <c r="Q12" s="11">
        <f t="shared" si="1"/>
        <v>35458.333333333328</v>
      </c>
      <c r="R12" s="11">
        <f t="shared" si="1"/>
        <v>35458.333333333328</v>
      </c>
      <c r="S12" s="11">
        <f t="shared" si="1"/>
        <v>35458.333333333328</v>
      </c>
      <c r="T12" s="11">
        <f t="shared" si="1"/>
        <v>35458.333333333328</v>
      </c>
      <c r="U12" s="11">
        <f t="shared" si="1"/>
        <v>35458.333333333328</v>
      </c>
      <c r="V12" s="11">
        <f t="shared" si="1"/>
        <v>35458.333333333328</v>
      </c>
      <c r="W12" s="14">
        <f t="shared" si="2"/>
        <v>385195.61803588283</v>
      </c>
    </row>
    <row r="13" spans="1:24" hidden="1" x14ac:dyDescent="0.3">
      <c r="A13" s="17" t="s">
        <v>4</v>
      </c>
      <c r="B13" s="6" t="s">
        <v>49</v>
      </c>
      <c r="C13" s="6">
        <v>4000241</v>
      </c>
      <c r="D13" s="6" t="s">
        <v>104</v>
      </c>
      <c r="E13" s="6" t="s">
        <v>93</v>
      </c>
      <c r="F13" s="6" t="s">
        <v>127</v>
      </c>
      <c r="G13" s="7">
        <v>45017</v>
      </c>
      <c r="H13" s="7">
        <v>45017</v>
      </c>
      <c r="I13" s="7">
        <v>45017</v>
      </c>
      <c r="J13" s="8">
        <v>682500</v>
      </c>
      <c r="K13" s="25">
        <f>+VLOOKUP(B13,'[1]Project Code - Savings Workings'!$B$4:$O$67,2,0)</f>
        <v>15984.533596491237</v>
      </c>
      <c r="L13" s="11">
        <f>+VLOOKUP(B13,'[1]Project Code - Savings Workings'!$B$3:$D$67,3,0)</f>
        <v>117175.32766666677</v>
      </c>
      <c r="M13" s="11">
        <f t="shared" si="1"/>
        <v>56875</v>
      </c>
      <c r="N13" s="11">
        <f t="shared" si="1"/>
        <v>56875</v>
      </c>
      <c r="O13" s="11">
        <f t="shared" si="1"/>
        <v>56875</v>
      </c>
      <c r="P13" s="11">
        <f t="shared" si="1"/>
        <v>56875</v>
      </c>
      <c r="Q13" s="11">
        <f t="shared" si="1"/>
        <v>56875</v>
      </c>
      <c r="R13" s="11">
        <f t="shared" si="1"/>
        <v>56875</v>
      </c>
      <c r="S13" s="11">
        <f t="shared" si="1"/>
        <v>56875</v>
      </c>
      <c r="T13" s="11">
        <f t="shared" si="1"/>
        <v>56875</v>
      </c>
      <c r="U13" s="11">
        <f t="shared" si="1"/>
        <v>56875</v>
      </c>
      <c r="V13" s="11">
        <f t="shared" si="1"/>
        <v>56875</v>
      </c>
      <c r="W13" s="14">
        <f t="shared" si="2"/>
        <v>701909.86126315803</v>
      </c>
    </row>
    <row r="14" spans="1:24" hidden="1" x14ac:dyDescent="0.3">
      <c r="A14" s="17" t="s">
        <v>4</v>
      </c>
      <c r="B14" s="6" t="s">
        <v>50</v>
      </c>
      <c r="C14" s="6">
        <v>4000102</v>
      </c>
      <c r="D14" s="6" t="s">
        <v>105</v>
      </c>
      <c r="E14" s="6" t="s">
        <v>93</v>
      </c>
      <c r="F14" s="6" t="s">
        <v>127</v>
      </c>
      <c r="G14" s="7">
        <v>45017</v>
      </c>
      <c r="H14" s="7">
        <v>45017</v>
      </c>
      <c r="I14" s="7">
        <v>45017</v>
      </c>
      <c r="J14" s="8">
        <v>1470015</v>
      </c>
      <c r="K14" s="25">
        <f>+VLOOKUP(B14,'[1]Project Code - Savings Workings'!$B$4:$O$67,2,0)</f>
        <v>465207.01029411767</v>
      </c>
      <c r="L14" s="11">
        <f>+VLOOKUP(B14,'[1]Project Code - Savings Workings'!$B$3:$D$67,3,0)</f>
        <v>511865.68382352946</v>
      </c>
      <c r="M14" s="11">
        <f t="shared" si="1"/>
        <v>122501.25</v>
      </c>
      <c r="N14" s="11">
        <f t="shared" si="1"/>
        <v>122501.25</v>
      </c>
      <c r="O14" s="11">
        <f t="shared" si="1"/>
        <v>122501.25</v>
      </c>
      <c r="P14" s="11">
        <f t="shared" si="1"/>
        <v>122501.25</v>
      </c>
      <c r="Q14" s="11">
        <f t="shared" si="1"/>
        <v>122501.25</v>
      </c>
      <c r="R14" s="11">
        <f t="shared" si="1"/>
        <v>122501.25</v>
      </c>
      <c r="S14" s="11">
        <f t="shared" si="1"/>
        <v>122501.25</v>
      </c>
      <c r="T14" s="11">
        <f t="shared" si="1"/>
        <v>122501.25</v>
      </c>
      <c r="U14" s="11">
        <f t="shared" si="1"/>
        <v>122501.25</v>
      </c>
      <c r="V14" s="11">
        <f t="shared" si="1"/>
        <v>122501.25</v>
      </c>
      <c r="W14" s="14">
        <f t="shared" si="2"/>
        <v>2202085.1941176471</v>
      </c>
    </row>
    <row r="15" spans="1:24" hidden="1" x14ac:dyDescent="0.3">
      <c r="A15" s="17" t="s">
        <v>4</v>
      </c>
      <c r="B15" s="6" t="s">
        <v>51</v>
      </c>
      <c r="C15" s="6">
        <v>4000373</v>
      </c>
      <c r="D15" s="6" t="s">
        <v>106</v>
      </c>
      <c r="E15" s="6" t="s">
        <v>93</v>
      </c>
      <c r="F15" s="6" t="s">
        <v>127</v>
      </c>
      <c r="G15" s="7">
        <v>45017</v>
      </c>
      <c r="H15" s="7">
        <v>45017</v>
      </c>
      <c r="I15" s="7">
        <v>45078</v>
      </c>
      <c r="J15" s="8">
        <v>1736000</v>
      </c>
      <c r="K15" s="25">
        <f>+VLOOKUP(B15,'[1]Project Code - Savings Workings'!$B$4:$O$67,2,0)</f>
        <v>0</v>
      </c>
      <c r="L15" s="11">
        <f>+VLOOKUP(B15,'[1]Project Code - Savings Workings'!$B$3:$D$67,3,0)</f>
        <v>0</v>
      </c>
      <c r="M15" s="11">
        <f t="shared" ref="M15:V19" si="4">IFERROR(IF($J15/12*MIN((M$3-$I15),(M$3-M$2))/(M$3-M$2)&lt;0,0,$J15/12*MIN((M$3-$I15),(M$3-M$2))/(M$3-M$2)),0)</f>
        <v>144666.66666666666</v>
      </c>
      <c r="N15" s="11">
        <f t="shared" si="4"/>
        <v>144666.66666666666</v>
      </c>
      <c r="O15" s="11">
        <f t="shared" si="4"/>
        <v>144666.66666666666</v>
      </c>
      <c r="P15" s="11">
        <f t="shared" si="4"/>
        <v>144666.66666666666</v>
      </c>
      <c r="Q15" s="11">
        <f t="shared" si="4"/>
        <v>144666.66666666666</v>
      </c>
      <c r="R15" s="11">
        <f t="shared" si="4"/>
        <v>144666.66666666666</v>
      </c>
      <c r="S15" s="11">
        <f t="shared" si="4"/>
        <v>144666.66666666666</v>
      </c>
      <c r="T15" s="11">
        <f t="shared" si="4"/>
        <v>144666.66666666666</v>
      </c>
      <c r="U15" s="11">
        <f t="shared" si="4"/>
        <v>144666.66666666666</v>
      </c>
      <c r="V15" s="11">
        <f t="shared" si="4"/>
        <v>144666.66666666666</v>
      </c>
      <c r="W15" s="14">
        <f t="shared" si="2"/>
        <v>1446666.6666666667</v>
      </c>
      <c r="X15" t="s">
        <v>130</v>
      </c>
    </row>
    <row r="16" spans="1:24" hidden="1" x14ac:dyDescent="0.3">
      <c r="A16" s="17" t="s">
        <v>4</v>
      </c>
      <c r="B16" s="6" t="s">
        <v>52</v>
      </c>
      <c r="C16" s="6">
        <v>4000218</v>
      </c>
      <c r="D16" s="6" t="s">
        <v>107</v>
      </c>
      <c r="E16" s="6" t="s">
        <v>93</v>
      </c>
      <c r="F16" s="6" t="s">
        <v>127</v>
      </c>
      <c r="G16" s="7">
        <v>45017</v>
      </c>
      <c r="H16" s="7">
        <v>45017</v>
      </c>
      <c r="I16" s="7">
        <v>45078</v>
      </c>
      <c r="J16" s="8">
        <v>8174833.3333333321</v>
      </c>
      <c r="K16" s="25">
        <f>+VLOOKUP(B16,'[1]Project Code - Savings Workings'!$B$4:$O$67,2,0)</f>
        <v>0</v>
      </c>
      <c r="L16" s="11">
        <f>+VLOOKUP(B16,'[1]Project Code - Savings Workings'!$B$3:$D$67,3,0)</f>
        <v>501135.74409736355</v>
      </c>
      <c r="M16" s="11">
        <f t="shared" si="4"/>
        <v>681236.11111111101</v>
      </c>
      <c r="N16" s="11">
        <f t="shared" si="4"/>
        <v>681236.11111111089</v>
      </c>
      <c r="O16" s="11">
        <f t="shared" si="4"/>
        <v>681236.11111111089</v>
      </c>
      <c r="P16" s="11">
        <f t="shared" si="4"/>
        <v>681236.11111111101</v>
      </c>
      <c r="Q16" s="11">
        <f t="shared" si="4"/>
        <v>681236.11111111089</v>
      </c>
      <c r="R16" s="11">
        <f t="shared" si="4"/>
        <v>681236.11111111101</v>
      </c>
      <c r="S16" s="11">
        <f t="shared" si="4"/>
        <v>681236.11111111089</v>
      </c>
      <c r="T16" s="11">
        <f t="shared" si="4"/>
        <v>681236.11111111089</v>
      </c>
      <c r="U16" s="11">
        <f t="shared" si="4"/>
        <v>681236.11111111101</v>
      </c>
      <c r="V16" s="11">
        <f t="shared" si="4"/>
        <v>681236.11111111089</v>
      </c>
      <c r="W16" s="14">
        <f t="shared" si="2"/>
        <v>7313496.8552084733</v>
      </c>
    </row>
    <row r="17" spans="1:24" hidden="1" x14ac:dyDescent="0.3">
      <c r="A17" s="17" t="s">
        <v>4</v>
      </c>
      <c r="B17" s="6" t="s">
        <v>111</v>
      </c>
      <c r="C17" s="6">
        <v>4000224</v>
      </c>
      <c r="D17" s="6" t="s">
        <v>108</v>
      </c>
      <c r="E17" s="6" t="s">
        <v>93</v>
      </c>
      <c r="F17" s="6" t="s">
        <v>127</v>
      </c>
      <c r="G17" s="7">
        <v>45017</v>
      </c>
      <c r="H17" s="7">
        <v>45017</v>
      </c>
      <c r="I17" s="7">
        <v>45047</v>
      </c>
      <c r="J17" s="8">
        <v>5880000</v>
      </c>
      <c r="K17" s="25">
        <f>+VLOOKUP(B17,'[1]Project Code - Savings Workings'!$B$4:$O$67,2,0)</f>
        <v>0</v>
      </c>
      <c r="L17" s="11">
        <f>+VLOOKUP(B17,'[1]Project Code - Savings Workings'!$B$3:$D$67,3,0)</f>
        <v>570049.73905272572</v>
      </c>
      <c r="M17" s="11">
        <f t="shared" si="4"/>
        <v>490000</v>
      </c>
      <c r="N17" s="11">
        <f t="shared" si="4"/>
        <v>490000</v>
      </c>
      <c r="O17" s="11">
        <f t="shared" si="4"/>
        <v>490000</v>
      </c>
      <c r="P17" s="11">
        <f t="shared" si="4"/>
        <v>490000</v>
      </c>
      <c r="Q17" s="11">
        <f t="shared" si="4"/>
        <v>490000</v>
      </c>
      <c r="R17" s="11">
        <f t="shared" si="4"/>
        <v>490000</v>
      </c>
      <c r="S17" s="11">
        <f t="shared" si="4"/>
        <v>490000</v>
      </c>
      <c r="T17" s="11">
        <f t="shared" si="4"/>
        <v>490000</v>
      </c>
      <c r="U17" s="11">
        <f t="shared" si="4"/>
        <v>490000</v>
      </c>
      <c r="V17" s="11">
        <f t="shared" si="4"/>
        <v>490000</v>
      </c>
      <c r="W17" s="14">
        <f t="shared" si="2"/>
        <v>5470049.739052726</v>
      </c>
    </row>
    <row r="18" spans="1:24" hidden="1" x14ac:dyDescent="0.3">
      <c r="A18" s="17" t="s">
        <v>4</v>
      </c>
      <c r="B18" s="6" t="s">
        <v>110</v>
      </c>
      <c r="C18" s="6">
        <v>4000224</v>
      </c>
      <c r="D18" s="6" t="s">
        <v>108</v>
      </c>
      <c r="E18" s="6" t="s">
        <v>93</v>
      </c>
      <c r="F18" s="6" t="s">
        <v>127</v>
      </c>
      <c r="G18" s="7">
        <v>45017</v>
      </c>
      <c r="H18" s="7">
        <v>45017</v>
      </c>
      <c r="I18" s="7">
        <v>45078</v>
      </c>
      <c r="J18" s="8">
        <v>3520000</v>
      </c>
      <c r="K18" s="25">
        <f>+VLOOKUP(B18,'[1]Project Code - Savings Workings'!$B$4:$O$67,2,0)</f>
        <v>0</v>
      </c>
      <c r="L18" s="11">
        <f>+VLOOKUP(B18,'[1]Project Code - Savings Workings'!$B$3:$D$67,3,0)</f>
        <v>0</v>
      </c>
      <c r="M18" s="11">
        <f t="shared" si="4"/>
        <v>293333.33333333331</v>
      </c>
      <c r="N18" s="11">
        <f t="shared" si="4"/>
        <v>293333.33333333331</v>
      </c>
      <c r="O18" s="11">
        <f t="shared" si="4"/>
        <v>293333.33333333331</v>
      </c>
      <c r="P18" s="11">
        <f t="shared" si="4"/>
        <v>293333.33333333331</v>
      </c>
      <c r="Q18" s="11">
        <f t="shared" si="4"/>
        <v>293333.33333333331</v>
      </c>
      <c r="R18" s="11">
        <f t="shared" si="4"/>
        <v>293333.33333333331</v>
      </c>
      <c r="S18" s="11">
        <f t="shared" si="4"/>
        <v>293333.33333333331</v>
      </c>
      <c r="T18" s="11">
        <f t="shared" si="4"/>
        <v>293333.33333333331</v>
      </c>
      <c r="U18" s="11">
        <f t="shared" si="4"/>
        <v>293333.33333333331</v>
      </c>
      <c r="V18" s="11">
        <f t="shared" si="4"/>
        <v>293333.33333333331</v>
      </c>
      <c r="W18" s="14">
        <f t="shared" ref="W18:W19" si="5">SUM(K18:V18)</f>
        <v>2933333.3333333335</v>
      </c>
    </row>
    <row r="19" spans="1:24" hidden="1" x14ac:dyDescent="0.3">
      <c r="A19" s="17" t="s">
        <v>4</v>
      </c>
      <c r="B19" s="6" t="s">
        <v>53</v>
      </c>
      <c r="C19" s="6">
        <v>4000507</v>
      </c>
      <c r="D19" s="6" t="s">
        <v>96</v>
      </c>
      <c r="E19" s="6" t="s">
        <v>93</v>
      </c>
      <c r="F19" s="6" t="s">
        <v>127</v>
      </c>
      <c r="G19" s="7">
        <v>45017</v>
      </c>
      <c r="H19" s="7">
        <v>45017</v>
      </c>
      <c r="I19" s="7">
        <v>45017</v>
      </c>
      <c r="J19" s="8">
        <v>2400000</v>
      </c>
      <c r="K19" s="25">
        <f>+VLOOKUP(B19,'[1]Project Code - Savings Workings'!$B$4:$O$67,2,0)</f>
        <v>55964.738307692314</v>
      </c>
      <c r="L19" s="11">
        <f>+VLOOKUP(B19,'[1]Project Code - Savings Workings'!$B$3:$D$67,3,0)</f>
        <v>191898.54830769228</v>
      </c>
      <c r="M19" s="11">
        <f t="shared" si="4"/>
        <v>200000</v>
      </c>
      <c r="N19" s="11">
        <f t="shared" si="4"/>
        <v>200000</v>
      </c>
      <c r="O19" s="11">
        <f t="shared" si="4"/>
        <v>200000</v>
      </c>
      <c r="P19" s="11">
        <f t="shared" si="4"/>
        <v>200000</v>
      </c>
      <c r="Q19" s="11">
        <f t="shared" si="4"/>
        <v>200000</v>
      </c>
      <c r="R19" s="11">
        <f t="shared" si="4"/>
        <v>200000</v>
      </c>
      <c r="S19" s="11">
        <f t="shared" si="4"/>
        <v>200000</v>
      </c>
      <c r="T19" s="11">
        <f t="shared" si="4"/>
        <v>200000</v>
      </c>
      <c r="U19" s="11">
        <f t="shared" si="4"/>
        <v>200000</v>
      </c>
      <c r="V19" s="11">
        <f t="shared" si="4"/>
        <v>200000</v>
      </c>
      <c r="W19" s="14">
        <f t="shared" si="5"/>
        <v>2247863.2866153847</v>
      </c>
    </row>
    <row r="20" spans="1:24" hidden="1" x14ac:dyDescent="0.3">
      <c r="A20" s="17" t="s">
        <v>4</v>
      </c>
      <c r="B20" s="6" t="s">
        <v>113</v>
      </c>
      <c r="C20" s="6">
        <v>4000180</v>
      </c>
      <c r="D20" s="6" t="s">
        <v>31</v>
      </c>
      <c r="E20" s="6" t="s">
        <v>93</v>
      </c>
      <c r="F20" s="6" t="s">
        <v>25</v>
      </c>
      <c r="G20" s="7">
        <v>45017</v>
      </c>
      <c r="H20" s="7">
        <v>45017</v>
      </c>
      <c r="I20" s="7">
        <v>45108</v>
      </c>
      <c r="J20" s="8">
        <v>471450</v>
      </c>
      <c r="K20" s="25">
        <f>+VLOOKUP(B20,'[1]Project Code - Savings Workings'!$B$4:$O$67,2,0)</f>
        <v>0</v>
      </c>
      <c r="L20" s="11">
        <f>+VLOOKUP(B20,'[1]Project Code - Savings Workings'!$B$3:$D$67,3,0)</f>
        <v>0</v>
      </c>
      <c r="M20" s="11">
        <f t="shared" ref="M20:V29" si="6">IFERROR(IF($J20/12*MIN((M$3-$I20),(M$3-M$2))/(M$3-M$2)&lt;0,0,$J20/12*MIN((M$3-$I20),(M$3-M$2))/(M$3-M$2)),0)</f>
        <v>0</v>
      </c>
      <c r="N20" s="11">
        <f t="shared" si="6"/>
        <v>39287.5</v>
      </c>
      <c r="O20" s="11">
        <f t="shared" si="6"/>
        <v>39287.5</v>
      </c>
      <c r="P20" s="11">
        <f t="shared" si="6"/>
        <v>39287.5</v>
      </c>
      <c r="Q20" s="11">
        <f t="shared" si="6"/>
        <v>39287.5</v>
      </c>
      <c r="R20" s="11">
        <f t="shared" si="6"/>
        <v>39287.5</v>
      </c>
      <c r="S20" s="11">
        <f t="shared" si="6"/>
        <v>39287.5</v>
      </c>
      <c r="T20" s="11">
        <f t="shared" si="6"/>
        <v>39287.5</v>
      </c>
      <c r="U20" s="11">
        <f t="shared" si="6"/>
        <v>39287.5</v>
      </c>
      <c r="V20" s="11">
        <f t="shared" si="6"/>
        <v>39287.5</v>
      </c>
      <c r="W20" s="14">
        <f t="shared" ref="W20:W54" si="7">SUM(K20:V20)</f>
        <v>353587.5</v>
      </c>
    </row>
    <row r="21" spans="1:24" hidden="1" x14ac:dyDescent="0.3">
      <c r="A21" s="17" t="s">
        <v>4</v>
      </c>
      <c r="B21" s="6" t="s">
        <v>109</v>
      </c>
      <c r="C21" s="6">
        <v>4000180</v>
      </c>
      <c r="D21" s="6" t="s">
        <v>31</v>
      </c>
      <c r="E21" s="6" t="s">
        <v>93</v>
      </c>
      <c r="F21" s="6" t="s">
        <v>127</v>
      </c>
      <c r="G21" s="7">
        <v>45017</v>
      </c>
      <c r="H21" s="7">
        <v>45017</v>
      </c>
      <c r="I21" s="7">
        <v>45017</v>
      </c>
      <c r="J21" s="8">
        <v>252562.5</v>
      </c>
      <c r="K21" s="25">
        <f>+VLOOKUP(B21,'[1]Project Code - Savings Workings'!$B$4:$O$67,2,0)</f>
        <v>40365.424325811851</v>
      </c>
      <c r="L21" s="11">
        <f>+VLOOKUP(B21,'[1]Project Code - Savings Workings'!$B$3:$D$67,3,0)</f>
        <v>81152.744061640144</v>
      </c>
      <c r="M21" s="11">
        <f t="shared" si="6"/>
        <v>21046.875</v>
      </c>
      <c r="N21" s="11">
        <f t="shared" si="6"/>
        <v>21046.875</v>
      </c>
      <c r="O21" s="11">
        <f t="shared" si="6"/>
        <v>21046.875</v>
      </c>
      <c r="P21" s="11">
        <f t="shared" si="6"/>
        <v>21046.875</v>
      </c>
      <c r="Q21" s="11">
        <f t="shared" si="6"/>
        <v>21046.875</v>
      </c>
      <c r="R21" s="11">
        <f t="shared" si="6"/>
        <v>21046.875</v>
      </c>
      <c r="S21" s="11">
        <f t="shared" si="6"/>
        <v>21046.875</v>
      </c>
      <c r="T21" s="11">
        <f t="shared" si="6"/>
        <v>21046.875</v>
      </c>
      <c r="U21" s="11">
        <f t="shared" si="6"/>
        <v>21046.875</v>
      </c>
      <c r="V21" s="11">
        <f t="shared" si="6"/>
        <v>21046.875</v>
      </c>
      <c r="W21" s="14">
        <f t="shared" si="7"/>
        <v>331986.91838745202</v>
      </c>
    </row>
    <row r="22" spans="1:24" hidden="1" x14ac:dyDescent="0.3">
      <c r="A22" s="17" t="s">
        <v>4</v>
      </c>
      <c r="B22" s="6" t="s">
        <v>80</v>
      </c>
      <c r="C22" s="6">
        <v>4000133</v>
      </c>
      <c r="D22" s="6" t="s">
        <v>84</v>
      </c>
      <c r="E22" s="6" t="s">
        <v>93</v>
      </c>
      <c r="F22" s="6" t="s">
        <v>25</v>
      </c>
      <c r="G22" s="7">
        <v>45017</v>
      </c>
      <c r="H22" s="7">
        <v>45017</v>
      </c>
      <c r="I22" s="7">
        <v>45108</v>
      </c>
      <c r="J22" s="8">
        <v>31500</v>
      </c>
      <c r="K22" s="25">
        <f>+VLOOKUP(B22,'[1]Project Code - Savings Workings'!$B$4:$O$67,2,0)</f>
        <v>0</v>
      </c>
      <c r="L22" s="11">
        <f>+VLOOKUP(B22,'[1]Project Code - Savings Workings'!$B$3:$D$67,3,0)</f>
        <v>0</v>
      </c>
      <c r="M22" s="11">
        <f t="shared" si="6"/>
        <v>0</v>
      </c>
      <c r="N22" s="11">
        <f t="shared" si="6"/>
        <v>2625</v>
      </c>
      <c r="O22" s="11">
        <f t="shared" si="6"/>
        <v>2625</v>
      </c>
      <c r="P22" s="11">
        <f t="shared" si="6"/>
        <v>2625</v>
      </c>
      <c r="Q22" s="11">
        <f t="shared" si="6"/>
        <v>2625</v>
      </c>
      <c r="R22" s="11">
        <f t="shared" si="6"/>
        <v>2625</v>
      </c>
      <c r="S22" s="11">
        <f t="shared" si="6"/>
        <v>2625</v>
      </c>
      <c r="T22" s="11">
        <f t="shared" si="6"/>
        <v>2625</v>
      </c>
      <c r="U22" s="11">
        <f t="shared" si="6"/>
        <v>2625</v>
      </c>
      <c r="V22" s="11">
        <f t="shared" si="6"/>
        <v>2625</v>
      </c>
      <c r="W22" s="14">
        <f t="shared" si="7"/>
        <v>23625</v>
      </c>
    </row>
    <row r="23" spans="1:24" hidden="1" x14ac:dyDescent="0.3">
      <c r="A23" s="17" t="s">
        <v>4</v>
      </c>
      <c r="B23" s="6" t="s">
        <v>81</v>
      </c>
      <c r="C23" s="6">
        <v>4000163</v>
      </c>
      <c r="D23" s="6" t="s">
        <v>112</v>
      </c>
      <c r="E23" s="6" t="s">
        <v>93</v>
      </c>
      <c r="F23" s="6" t="s">
        <v>25</v>
      </c>
      <c r="G23" s="7">
        <v>45017</v>
      </c>
      <c r="H23" s="7">
        <v>45017</v>
      </c>
      <c r="I23" s="7">
        <v>45139</v>
      </c>
      <c r="J23" s="8">
        <v>575400</v>
      </c>
      <c r="K23" s="25">
        <f>+VLOOKUP(B23,'[1]Project Code - Savings Workings'!$B$4:$O$67,2,0)</f>
        <v>0</v>
      </c>
      <c r="L23" s="11">
        <f>+VLOOKUP(B23,'[1]Project Code - Savings Workings'!$B$3:$D$67,3,0)</f>
        <v>0</v>
      </c>
      <c r="M23" s="11">
        <f t="shared" si="6"/>
        <v>0</v>
      </c>
      <c r="N23" s="11">
        <f t="shared" si="6"/>
        <v>0</v>
      </c>
      <c r="O23" s="11">
        <f t="shared" si="6"/>
        <v>47950</v>
      </c>
      <c r="P23" s="11">
        <f t="shared" si="6"/>
        <v>47950</v>
      </c>
      <c r="Q23" s="11">
        <f t="shared" si="6"/>
        <v>47950</v>
      </c>
      <c r="R23" s="11">
        <f t="shared" si="6"/>
        <v>47950</v>
      </c>
      <c r="S23" s="11">
        <f t="shared" si="6"/>
        <v>47950</v>
      </c>
      <c r="T23" s="11">
        <f t="shared" si="6"/>
        <v>47950</v>
      </c>
      <c r="U23" s="11">
        <f t="shared" si="6"/>
        <v>47950</v>
      </c>
      <c r="V23" s="11">
        <f t="shared" si="6"/>
        <v>47950</v>
      </c>
      <c r="W23" s="14">
        <f t="shared" si="7"/>
        <v>383600</v>
      </c>
    </row>
    <row r="24" spans="1:24" hidden="1" x14ac:dyDescent="0.3">
      <c r="A24" s="17" t="s">
        <v>4</v>
      </c>
      <c r="B24" s="6" t="s">
        <v>82</v>
      </c>
      <c r="C24" s="6">
        <v>4000211</v>
      </c>
      <c r="D24" s="6" t="s">
        <v>28</v>
      </c>
      <c r="E24" s="6" t="s">
        <v>93</v>
      </c>
      <c r="F24" s="6" t="s">
        <v>127</v>
      </c>
      <c r="G24" s="7">
        <v>45017</v>
      </c>
      <c r="H24" s="7">
        <v>45017</v>
      </c>
      <c r="I24" s="7">
        <v>45017</v>
      </c>
      <c r="J24" s="8">
        <v>1431456</v>
      </c>
      <c r="K24" s="25">
        <f>+VLOOKUP(B24,'[1]Project Code - Savings Workings'!$B$4:$O$67,2,0)</f>
        <v>5297.1428571428532</v>
      </c>
      <c r="L24" s="11">
        <f>+VLOOKUP(B24,'[1]Project Code - Savings Workings'!$B$3:$D$67,3,0)</f>
        <v>5559.2142857142835</v>
      </c>
      <c r="M24" s="11">
        <f t="shared" si="6"/>
        <v>119288</v>
      </c>
      <c r="N24" s="11">
        <f t="shared" si="6"/>
        <v>119288</v>
      </c>
      <c r="O24" s="11">
        <f t="shared" si="6"/>
        <v>119288</v>
      </c>
      <c r="P24" s="11">
        <f t="shared" si="6"/>
        <v>119288</v>
      </c>
      <c r="Q24" s="11">
        <f t="shared" si="6"/>
        <v>119288</v>
      </c>
      <c r="R24" s="11">
        <f t="shared" si="6"/>
        <v>119288</v>
      </c>
      <c r="S24" s="11">
        <f t="shared" si="6"/>
        <v>119288</v>
      </c>
      <c r="T24" s="11">
        <f t="shared" si="6"/>
        <v>119288</v>
      </c>
      <c r="U24" s="11">
        <f t="shared" si="6"/>
        <v>119288</v>
      </c>
      <c r="V24" s="11">
        <f t="shared" si="6"/>
        <v>119288</v>
      </c>
      <c r="W24" s="14">
        <f t="shared" si="7"/>
        <v>1203736.3571428573</v>
      </c>
    </row>
    <row r="25" spans="1:24" hidden="1" x14ac:dyDescent="0.3">
      <c r="A25" s="17" t="s">
        <v>4</v>
      </c>
      <c r="B25" s="6" t="s">
        <v>83</v>
      </c>
      <c r="C25" s="6">
        <v>4000104</v>
      </c>
      <c r="D25" s="6" t="s">
        <v>29</v>
      </c>
      <c r="E25" s="6" t="s">
        <v>93</v>
      </c>
      <c r="F25" s="6" t="s">
        <v>25</v>
      </c>
      <c r="G25" s="7">
        <v>45017</v>
      </c>
      <c r="H25" s="7">
        <v>45017</v>
      </c>
      <c r="I25" s="7">
        <v>45200</v>
      </c>
      <c r="J25" s="8">
        <v>7774200</v>
      </c>
      <c r="K25" s="25">
        <f>+VLOOKUP(B25,'[1]Project Code - Savings Workings'!$B$4:$O$67,2,0)</f>
        <v>0</v>
      </c>
      <c r="L25" s="11">
        <f>+VLOOKUP(B25,'[1]Project Code - Savings Workings'!$B$3:$D$67,3,0)</f>
        <v>0</v>
      </c>
      <c r="M25" s="11">
        <f t="shared" si="6"/>
        <v>0</v>
      </c>
      <c r="N25" s="11">
        <f t="shared" si="6"/>
        <v>0</v>
      </c>
      <c r="O25" s="11">
        <f t="shared" si="6"/>
        <v>0</v>
      </c>
      <c r="P25" s="11">
        <f t="shared" si="6"/>
        <v>0</v>
      </c>
      <c r="Q25" s="11">
        <f t="shared" si="6"/>
        <v>647850</v>
      </c>
      <c r="R25" s="11">
        <f t="shared" si="6"/>
        <v>647850</v>
      </c>
      <c r="S25" s="11">
        <f t="shared" si="6"/>
        <v>647850</v>
      </c>
      <c r="T25" s="11">
        <f t="shared" si="6"/>
        <v>647850</v>
      </c>
      <c r="U25" s="11">
        <f t="shared" si="6"/>
        <v>647850</v>
      </c>
      <c r="V25" s="11">
        <f t="shared" si="6"/>
        <v>647850</v>
      </c>
      <c r="W25" s="14">
        <f t="shared" si="7"/>
        <v>3887100</v>
      </c>
    </row>
    <row r="26" spans="1:24" hidden="1" x14ac:dyDescent="0.3">
      <c r="A26" s="17" t="s">
        <v>4</v>
      </c>
      <c r="B26" s="6" t="s">
        <v>116</v>
      </c>
      <c r="C26" s="6">
        <v>4000186</v>
      </c>
      <c r="D26" s="6" t="s">
        <v>30</v>
      </c>
      <c r="E26" s="6" t="s">
        <v>93</v>
      </c>
      <c r="F26" s="6" t="s">
        <v>25</v>
      </c>
      <c r="G26" s="7">
        <v>45017</v>
      </c>
      <c r="H26" s="7">
        <v>45017</v>
      </c>
      <c r="I26" s="7">
        <v>45200</v>
      </c>
      <c r="J26" s="8">
        <v>1910700</v>
      </c>
      <c r="K26" s="25">
        <f>+VLOOKUP(B26,'[1]Project Code - Savings Workings'!$B$4:$O$67,2,0)</f>
        <v>0</v>
      </c>
      <c r="L26" s="11">
        <f>+VLOOKUP(B26,'[1]Project Code - Savings Workings'!$B$3:$D$67,3,0)</f>
        <v>0</v>
      </c>
      <c r="M26" s="11">
        <f t="shared" si="6"/>
        <v>0</v>
      </c>
      <c r="N26" s="11">
        <f t="shared" si="6"/>
        <v>0</v>
      </c>
      <c r="O26" s="11">
        <f t="shared" si="6"/>
        <v>0</v>
      </c>
      <c r="P26" s="11">
        <f t="shared" si="6"/>
        <v>0</v>
      </c>
      <c r="Q26" s="11">
        <f t="shared" si="6"/>
        <v>159225</v>
      </c>
      <c r="R26" s="11">
        <f t="shared" si="6"/>
        <v>159225</v>
      </c>
      <c r="S26" s="11">
        <f t="shared" si="6"/>
        <v>159225</v>
      </c>
      <c r="T26" s="11">
        <f t="shared" si="6"/>
        <v>159225</v>
      </c>
      <c r="U26" s="11">
        <f t="shared" si="6"/>
        <v>159225</v>
      </c>
      <c r="V26" s="11">
        <f t="shared" si="6"/>
        <v>159225</v>
      </c>
      <c r="W26" s="14">
        <f t="shared" si="7"/>
        <v>955350</v>
      </c>
    </row>
    <row r="27" spans="1:24" hidden="1" x14ac:dyDescent="0.3">
      <c r="A27" s="17" t="s">
        <v>4</v>
      </c>
      <c r="B27" s="6" t="s">
        <v>117</v>
      </c>
      <c r="C27" s="6">
        <v>4000270</v>
      </c>
      <c r="D27" s="6" t="s">
        <v>32</v>
      </c>
      <c r="E27" s="6" t="s">
        <v>93</v>
      </c>
      <c r="F27" s="6" t="s">
        <v>25</v>
      </c>
      <c r="G27" s="7">
        <v>45017</v>
      </c>
      <c r="H27" s="7">
        <v>45017</v>
      </c>
      <c r="I27" s="7">
        <v>45078</v>
      </c>
      <c r="J27" s="8">
        <v>472500</v>
      </c>
      <c r="K27" s="25">
        <f>+VLOOKUP(B27,'[1]Project Code - Savings Workings'!$B$4:$O$67,2,0)</f>
        <v>8500</v>
      </c>
      <c r="L27" s="11">
        <f>+VLOOKUP(B27,'[1]Project Code - Savings Workings'!$B$3:$D$67,3,0)</f>
        <v>0</v>
      </c>
      <c r="M27" s="11">
        <f t="shared" si="6"/>
        <v>39375</v>
      </c>
      <c r="N27" s="11">
        <f t="shared" si="6"/>
        <v>39375</v>
      </c>
      <c r="O27" s="11">
        <f t="shared" si="6"/>
        <v>39375</v>
      </c>
      <c r="P27" s="11">
        <f t="shared" si="6"/>
        <v>39375</v>
      </c>
      <c r="Q27" s="11">
        <f t="shared" si="6"/>
        <v>39375</v>
      </c>
      <c r="R27" s="11">
        <f t="shared" si="6"/>
        <v>39375</v>
      </c>
      <c r="S27" s="11">
        <f t="shared" si="6"/>
        <v>39375</v>
      </c>
      <c r="T27" s="11">
        <f t="shared" si="6"/>
        <v>39375</v>
      </c>
      <c r="U27" s="11">
        <f t="shared" si="6"/>
        <v>39375</v>
      </c>
      <c r="V27" s="11">
        <f t="shared" si="6"/>
        <v>39375</v>
      </c>
      <c r="W27" s="14">
        <f t="shared" si="7"/>
        <v>402250</v>
      </c>
      <c r="X27" t="s">
        <v>184</v>
      </c>
    </row>
    <row r="28" spans="1:24" hidden="1" x14ac:dyDescent="0.3">
      <c r="A28" s="17" t="s">
        <v>4</v>
      </c>
      <c r="B28" s="6" t="s">
        <v>118</v>
      </c>
      <c r="C28" s="6">
        <v>4000227</v>
      </c>
      <c r="D28" s="6" t="s">
        <v>33</v>
      </c>
      <c r="E28" s="6" t="s">
        <v>93</v>
      </c>
      <c r="F28" s="6" t="s">
        <v>127</v>
      </c>
      <c r="G28" s="7">
        <v>45017</v>
      </c>
      <c r="H28" s="7">
        <v>45017</v>
      </c>
      <c r="I28" s="7">
        <v>45108</v>
      </c>
      <c r="J28" s="8">
        <v>4745625</v>
      </c>
      <c r="K28" s="25">
        <f>+VLOOKUP(B28,'[1]Project Code - Savings Workings'!$B$4:$O$67,2,0)</f>
        <v>0</v>
      </c>
      <c r="L28" s="11">
        <f>+VLOOKUP(B28,'[1]Project Code - Savings Workings'!$B$3:$D$67,3,0)</f>
        <v>562931.69989743596</v>
      </c>
      <c r="M28" s="11">
        <f t="shared" si="6"/>
        <v>0</v>
      </c>
      <c r="N28" s="11">
        <f t="shared" si="6"/>
        <v>395468.75</v>
      </c>
      <c r="O28" s="11">
        <f t="shared" si="6"/>
        <v>395468.75</v>
      </c>
      <c r="P28" s="11">
        <f t="shared" si="6"/>
        <v>395468.75</v>
      </c>
      <c r="Q28" s="11">
        <f t="shared" si="6"/>
        <v>395468.75</v>
      </c>
      <c r="R28" s="11">
        <f t="shared" si="6"/>
        <v>395468.75</v>
      </c>
      <c r="S28" s="11">
        <f t="shared" si="6"/>
        <v>395468.75</v>
      </c>
      <c r="T28" s="11">
        <f t="shared" si="6"/>
        <v>395468.75</v>
      </c>
      <c r="U28" s="11">
        <f t="shared" si="6"/>
        <v>395468.75</v>
      </c>
      <c r="V28" s="11">
        <f t="shared" si="6"/>
        <v>395468.75</v>
      </c>
      <c r="W28" s="14">
        <f t="shared" si="7"/>
        <v>4122150.449897436</v>
      </c>
    </row>
    <row r="29" spans="1:24" hidden="1" x14ac:dyDescent="0.3">
      <c r="A29" s="17" t="s">
        <v>4</v>
      </c>
      <c r="B29" s="6" t="s">
        <v>119</v>
      </c>
      <c r="C29" s="6">
        <v>4000325</v>
      </c>
      <c r="D29" s="6" t="s">
        <v>34</v>
      </c>
      <c r="E29" s="6" t="s">
        <v>93</v>
      </c>
      <c r="F29" s="6" t="s">
        <v>25</v>
      </c>
      <c r="G29" s="7">
        <v>45017</v>
      </c>
      <c r="H29" s="7">
        <v>45017</v>
      </c>
      <c r="I29" s="7">
        <v>45108</v>
      </c>
      <c r="J29" s="8">
        <v>1542000</v>
      </c>
      <c r="K29" s="25">
        <f>+VLOOKUP(B29,'[1]Project Code - Savings Workings'!$B$4:$O$67,2,0)</f>
        <v>0</v>
      </c>
      <c r="L29" s="11">
        <f>+VLOOKUP(B29,'[1]Project Code - Savings Workings'!$B$3:$D$67,3,0)</f>
        <v>0</v>
      </c>
      <c r="M29" s="11">
        <f t="shared" si="6"/>
        <v>0</v>
      </c>
      <c r="N29" s="11">
        <f t="shared" si="6"/>
        <v>128500</v>
      </c>
      <c r="O29" s="11">
        <f t="shared" si="6"/>
        <v>128500</v>
      </c>
      <c r="P29" s="11">
        <f t="shared" si="6"/>
        <v>128500</v>
      </c>
      <c r="Q29" s="11">
        <f t="shared" si="6"/>
        <v>128500</v>
      </c>
      <c r="R29" s="11">
        <f t="shared" si="6"/>
        <v>128500</v>
      </c>
      <c r="S29" s="11">
        <f t="shared" si="6"/>
        <v>128500</v>
      </c>
      <c r="T29" s="11">
        <f t="shared" si="6"/>
        <v>128500</v>
      </c>
      <c r="U29" s="11">
        <f t="shared" si="6"/>
        <v>128500</v>
      </c>
      <c r="V29" s="11">
        <f t="shared" si="6"/>
        <v>128500</v>
      </c>
      <c r="W29" s="14">
        <f t="shared" si="7"/>
        <v>1156500</v>
      </c>
    </row>
    <row r="30" spans="1:24" hidden="1" x14ac:dyDescent="0.3">
      <c r="A30" s="17" t="s">
        <v>4</v>
      </c>
      <c r="B30" s="6" t="s">
        <v>120</v>
      </c>
      <c r="C30" s="6">
        <v>4000191</v>
      </c>
      <c r="D30" s="6" t="s">
        <v>85</v>
      </c>
      <c r="E30" s="6" t="s">
        <v>93</v>
      </c>
      <c r="F30" s="6" t="s">
        <v>127</v>
      </c>
      <c r="G30" s="7">
        <v>45017</v>
      </c>
      <c r="H30" s="7">
        <v>45017</v>
      </c>
      <c r="I30" s="7">
        <v>45078</v>
      </c>
      <c r="J30" s="8">
        <v>20000</v>
      </c>
      <c r="K30" s="25">
        <f>+VLOOKUP(B30,'[1]Project Code - Savings Workings'!$B$4:$O$67,2,0)</f>
        <v>0</v>
      </c>
      <c r="L30" s="11">
        <f>+VLOOKUP(B30,'[1]Project Code - Savings Workings'!$B$3:$D$67,3,0)</f>
        <v>21395.750000000004</v>
      </c>
      <c r="M30" s="11">
        <f t="shared" ref="M30:V41" si="8">IFERROR(IF($J30/12*MIN((M$3-$I30),(M$3-M$2))/(M$3-M$2)&lt;0,0,$J30/12*MIN((M$3-$I30),(M$3-M$2))/(M$3-M$2)),0)</f>
        <v>1666.6666666666667</v>
      </c>
      <c r="N30" s="11">
        <f t="shared" si="8"/>
        <v>1666.6666666666667</v>
      </c>
      <c r="O30" s="11">
        <f t="shared" si="8"/>
        <v>1666.6666666666667</v>
      </c>
      <c r="P30" s="11">
        <f t="shared" si="8"/>
        <v>1666.6666666666667</v>
      </c>
      <c r="Q30" s="11">
        <f t="shared" si="8"/>
        <v>1666.6666666666667</v>
      </c>
      <c r="R30" s="11">
        <f t="shared" si="8"/>
        <v>1666.6666666666667</v>
      </c>
      <c r="S30" s="11">
        <f t="shared" si="8"/>
        <v>1666.6666666666667</v>
      </c>
      <c r="T30" s="11">
        <f t="shared" si="8"/>
        <v>1666.6666666666667</v>
      </c>
      <c r="U30" s="11">
        <f t="shared" si="8"/>
        <v>1666.6666666666667</v>
      </c>
      <c r="V30" s="11">
        <f t="shared" si="8"/>
        <v>1666.6666666666667</v>
      </c>
      <c r="W30" s="14">
        <f t="shared" si="7"/>
        <v>38062.416666666672</v>
      </c>
    </row>
    <row r="31" spans="1:24" hidden="1" x14ac:dyDescent="0.3">
      <c r="A31" s="17" t="s">
        <v>4</v>
      </c>
      <c r="B31" s="6" t="s">
        <v>121</v>
      </c>
      <c r="C31" s="6">
        <v>4000112</v>
      </c>
      <c r="D31" s="6" t="s">
        <v>86</v>
      </c>
      <c r="E31" s="6" t="s">
        <v>93</v>
      </c>
      <c r="F31" s="6" t="s">
        <v>127</v>
      </c>
      <c r="G31" s="7">
        <v>45017</v>
      </c>
      <c r="H31" s="7">
        <v>45017</v>
      </c>
      <c r="I31" s="7">
        <v>45078</v>
      </c>
      <c r="J31" s="8">
        <v>100000</v>
      </c>
      <c r="K31" s="25">
        <f>+VLOOKUP(B31,'[1]Project Code - Savings Workings'!$B$4:$O$67,2,0)</f>
        <v>0</v>
      </c>
      <c r="L31" s="11">
        <f>+VLOOKUP(B31,'[1]Project Code - Savings Workings'!$B$3:$D$67,3,0)</f>
        <v>112370.17647058825</v>
      </c>
      <c r="M31" s="11">
        <f t="shared" si="8"/>
        <v>8333.3333333333339</v>
      </c>
      <c r="N31" s="11">
        <f t="shared" si="8"/>
        <v>8333.3333333333339</v>
      </c>
      <c r="O31" s="11">
        <f t="shared" si="8"/>
        <v>8333.3333333333339</v>
      </c>
      <c r="P31" s="11">
        <f t="shared" si="8"/>
        <v>8333.3333333333339</v>
      </c>
      <c r="Q31" s="11">
        <f t="shared" si="8"/>
        <v>8333.3333333333339</v>
      </c>
      <c r="R31" s="11">
        <f t="shared" si="8"/>
        <v>8333.3333333333339</v>
      </c>
      <c r="S31" s="11">
        <f t="shared" si="8"/>
        <v>8333.3333333333339</v>
      </c>
      <c r="T31" s="11">
        <f t="shared" si="8"/>
        <v>8333.3333333333339</v>
      </c>
      <c r="U31" s="11">
        <f t="shared" si="8"/>
        <v>8333.3333333333339</v>
      </c>
      <c r="V31" s="11">
        <f t="shared" si="8"/>
        <v>8333.3333333333339</v>
      </c>
      <c r="W31" s="14">
        <f t="shared" si="7"/>
        <v>195703.50980392165</v>
      </c>
    </row>
    <row r="32" spans="1:24" hidden="1" x14ac:dyDescent="0.3">
      <c r="A32" s="17" t="s">
        <v>4</v>
      </c>
      <c r="B32" s="6" t="s">
        <v>122</v>
      </c>
      <c r="C32" s="6">
        <v>4000334</v>
      </c>
      <c r="D32" s="6" t="s">
        <v>35</v>
      </c>
      <c r="E32" s="6" t="s">
        <v>93</v>
      </c>
      <c r="F32" s="6" t="s">
        <v>25</v>
      </c>
      <c r="G32" s="7">
        <v>45017</v>
      </c>
      <c r="H32" s="7">
        <v>45017</v>
      </c>
      <c r="I32" s="7">
        <v>45078</v>
      </c>
      <c r="J32" s="8">
        <v>587000</v>
      </c>
      <c r="K32" s="25">
        <f>+VLOOKUP(B32,'[1]Project Code - Savings Workings'!$B$4:$O$67,2,0)</f>
        <v>0</v>
      </c>
      <c r="L32" s="11">
        <f>+VLOOKUP(B32,'[1]Project Code - Savings Workings'!$B$3:$D$67,3,0)</f>
        <v>0</v>
      </c>
      <c r="M32" s="11">
        <f t="shared" si="8"/>
        <v>48916.666666666664</v>
      </c>
      <c r="N32" s="11">
        <f t="shared" si="8"/>
        <v>48916.666666666664</v>
      </c>
      <c r="O32" s="11">
        <f t="shared" si="8"/>
        <v>48916.666666666664</v>
      </c>
      <c r="P32" s="11">
        <f t="shared" si="8"/>
        <v>48916.666666666664</v>
      </c>
      <c r="Q32" s="11">
        <f t="shared" si="8"/>
        <v>48916.666666666664</v>
      </c>
      <c r="R32" s="11">
        <f t="shared" si="8"/>
        <v>48916.666666666664</v>
      </c>
      <c r="S32" s="11">
        <f t="shared" si="8"/>
        <v>48916.666666666664</v>
      </c>
      <c r="T32" s="11">
        <f t="shared" si="8"/>
        <v>48916.666666666664</v>
      </c>
      <c r="U32" s="11">
        <f t="shared" si="8"/>
        <v>48916.666666666664</v>
      </c>
      <c r="V32" s="11">
        <f t="shared" si="8"/>
        <v>48916.666666666664</v>
      </c>
      <c r="W32" s="14">
        <f t="shared" si="7"/>
        <v>489166.66666666674</v>
      </c>
    </row>
    <row r="33" spans="1:23" hidden="1" x14ac:dyDescent="0.3">
      <c r="A33" s="17" t="s">
        <v>4</v>
      </c>
      <c r="B33" s="6" t="s">
        <v>123</v>
      </c>
      <c r="C33" s="6">
        <v>4000178</v>
      </c>
      <c r="D33" s="6" t="s">
        <v>131</v>
      </c>
      <c r="E33" s="6" t="s">
        <v>93</v>
      </c>
      <c r="F33" s="6" t="s">
        <v>127</v>
      </c>
      <c r="G33" s="7">
        <v>45017</v>
      </c>
      <c r="H33" s="7">
        <v>45017</v>
      </c>
      <c r="I33" s="7">
        <v>45078</v>
      </c>
      <c r="J33" s="8">
        <v>1114285.7142857148</v>
      </c>
      <c r="K33" s="25">
        <f>+VLOOKUP(B33,'[1]Project Code - Savings Workings'!$B$4:$O$67,2,0)</f>
        <v>0</v>
      </c>
      <c r="L33" s="11">
        <f>+VLOOKUP(B33,'[1]Project Code - Savings Workings'!$B$3:$D$67,3,0)</f>
        <v>0</v>
      </c>
      <c r="M33" s="11">
        <f t="shared" si="8"/>
        <v>92857.142857142899</v>
      </c>
      <c r="N33" s="11">
        <f t="shared" si="8"/>
        <v>92857.142857142899</v>
      </c>
      <c r="O33" s="11">
        <f t="shared" si="8"/>
        <v>92857.142857142899</v>
      </c>
      <c r="P33" s="11">
        <f t="shared" si="8"/>
        <v>92857.142857142899</v>
      </c>
      <c r="Q33" s="11">
        <f t="shared" si="8"/>
        <v>92857.142857142899</v>
      </c>
      <c r="R33" s="11">
        <f t="shared" si="8"/>
        <v>92857.142857142899</v>
      </c>
      <c r="S33" s="11">
        <f t="shared" si="8"/>
        <v>92857.142857142899</v>
      </c>
      <c r="T33" s="11">
        <f t="shared" si="8"/>
        <v>92857.142857142899</v>
      </c>
      <c r="U33" s="11">
        <f t="shared" si="8"/>
        <v>92857.142857142884</v>
      </c>
      <c r="V33" s="11">
        <f t="shared" si="8"/>
        <v>92857.142857142899</v>
      </c>
      <c r="W33" s="14">
        <f t="shared" si="7"/>
        <v>928571.42857142887</v>
      </c>
    </row>
    <row r="34" spans="1:23" hidden="1" x14ac:dyDescent="0.3">
      <c r="A34" s="17" t="s">
        <v>4</v>
      </c>
      <c r="B34" s="6" t="s">
        <v>124</v>
      </c>
      <c r="C34" s="6">
        <v>4000139</v>
      </c>
      <c r="D34" s="6" t="s">
        <v>26</v>
      </c>
      <c r="E34" s="6" t="s">
        <v>93</v>
      </c>
      <c r="F34" s="6" t="s">
        <v>25</v>
      </c>
      <c r="G34" s="7">
        <v>45017</v>
      </c>
      <c r="H34" s="7">
        <v>45017</v>
      </c>
      <c r="I34" s="7">
        <v>45170</v>
      </c>
      <c r="J34" s="8">
        <v>1196667</v>
      </c>
      <c r="K34" s="25">
        <f>+VLOOKUP(B34,'[1]Project Code - Savings Workings'!$B$4:$O$67,2,0)</f>
        <v>0</v>
      </c>
      <c r="L34" s="11">
        <f>+VLOOKUP(B34,'[1]Project Code - Savings Workings'!$B$3:$D$67,3,0)</f>
        <v>0</v>
      </c>
      <c r="M34" s="11">
        <f t="shared" si="8"/>
        <v>0</v>
      </c>
      <c r="N34" s="11">
        <f t="shared" si="8"/>
        <v>0</v>
      </c>
      <c r="O34" s="11">
        <f t="shared" si="8"/>
        <v>0</v>
      </c>
      <c r="P34" s="11">
        <f t="shared" si="8"/>
        <v>99722.25</v>
      </c>
      <c r="Q34" s="11">
        <f t="shared" si="8"/>
        <v>99722.25</v>
      </c>
      <c r="R34" s="11">
        <f t="shared" si="8"/>
        <v>99722.25</v>
      </c>
      <c r="S34" s="11">
        <f t="shared" si="8"/>
        <v>99722.25</v>
      </c>
      <c r="T34" s="11">
        <f t="shared" si="8"/>
        <v>99722.25</v>
      </c>
      <c r="U34" s="11">
        <f t="shared" si="8"/>
        <v>99722.25</v>
      </c>
      <c r="V34" s="11">
        <f t="shared" si="8"/>
        <v>99722.25</v>
      </c>
      <c r="W34" s="14">
        <f t="shared" si="7"/>
        <v>698055.75</v>
      </c>
    </row>
    <row r="35" spans="1:23" hidden="1" x14ac:dyDescent="0.3">
      <c r="A35" s="28" t="s">
        <v>4</v>
      </c>
      <c r="B35" s="29" t="s">
        <v>180</v>
      </c>
      <c r="C35" s="6">
        <v>4000160</v>
      </c>
      <c r="D35" s="6" t="s">
        <v>181</v>
      </c>
      <c r="E35" s="6" t="s">
        <v>93</v>
      </c>
      <c r="F35" s="6" t="s">
        <v>127</v>
      </c>
      <c r="G35" s="7">
        <v>45078</v>
      </c>
      <c r="H35" s="7">
        <v>45078</v>
      </c>
      <c r="I35" s="7">
        <v>45078</v>
      </c>
      <c r="J35" s="8">
        <f>43643*(150-130)</f>
        <v>872860</v>
      </c>
      <c r="K35" s="25">
        <f>+VLOOKUP(B35,'[1]Project Code - Savings Workings'!$B$4:$O$67,2,0)</f>
        <v>0</v>
      </c>
      <c r="L35" s="11">
        <f>+VLOOKUP(B35,'[1]Project Code - Savings Workings'!$B$3:$D$67,3,0)</f>
        <v>0</v>
      </c>
      <c r="M35" s="11">
        <f t="shared" si="8"/>
        <v>72738.333333333328</v>
      </c>
      <c r="N35" s="11">
        <f t="shared" si="8"/>
        <v>72738.333333333328</v>
      </c>
      <c r="O35" s="11">
        <f t="shared" si="8"/>
        <v>72738.333333333328</v>
      </c>
      <c r="P35" s="11">
        <f t="shared" si="8"/>
        <v>72738.333333333328</v>
      </c>
      <c r="Q35" s="11">
        <f t="shared" si="8"/>
        <v>72738.333333333328</v>
      </c>
      <c r="R35" s="11">
        <f t="shared" si="8"/>
        <v>72738.333333333328</v>
      </c>
      <c r="S35" s="11">
        <f t="shared" si="8"/>
        <v>72738.333333333328</v>
      </c>
      <c r="T35" s="11">
        <f t="shared" si="8"/>
        <v>72738.333333333328</v>
      </c>
      <c r="U35" s="11">
        <f t="shared" si="8"/>
        <v>72738.333333333328</v>
      </c>
      <c r="V35" s="11">
        <f t="shared" si="8"/>
        <v>72738.333333333328</v>
      </c>
      <c r="W35" s="14">
        <f t="shared" ref="W35" si="9">SUM(K35:V35)</f>
        <v>727383.33333333337</v>
      </c>
    </row>
    <row r="36" spans="1:23" hidden="1" x14ac:dyDescent="0.3">
      <c r="A36" s="28" t="s">
        <v>4</v>
      </c>
      <c r="B36" s="29" t="s">
        <v>185</v>
      </c>
      <c r="C36" s="6">
        <v>4000186</v>
      </c>
      <c r="D36" s="6" t="s">
        <v>186</v>
      </c>
      <c r="E36" s="6" t="s">
        <v>93</v>
      </c>
      <c r="F36" s="6" t="s">
        <v>127</v>
      </c>
      <c r="G36" s="7">
        <v>45078</v>
      </c>
      <c r="H36" s="7">
        <v>45078</v>
      </c>
      <c r="I36" s="7">
        <v>45078</v>
      </c>
      <c r="J36" s="8">
        <f>12783*(165-130)</f>
        <v>447405</v>
      </c>
      <c r="K36" s="25">
        <f>+VLOOKUP(B36,'[1]Project Code - Savings Workings'!$B$4:$O$67,2,0)</f>
        <v>0</v>
      </c>
      <c r="L36" s="11">
        <f>+VLOOKUP(B36,'[1]Project Code - Savings Workings'!$B$3:$D$67,3,0)</f>
        <v>0</v>
      </c>
      <c r="M36" s="11">
        <f t="shared" si="8"/>
        <v>37283.75</v>
      </c>
      <c r="N36" s="11">
        <f t="shared" si="8"/>
        <v>37283.75</v>
      </c>
      <c r="O36" s="11">
        <f t="shared" si="8"/>
        <v>37283.75</v>
      </c>
      <c r="P36" s="11">
        <f t="shared" si="8"/>
        <v>37283.75</v>
      </c>
      <c r="Q36" s="11">
        <f t="shared" si="8"/>
        <v>37283.75</v>
      </c>
      <c r="R36" s="11">
        <f t="shared" si="8"/>
        <v>37283.75</v>
      </c>
      <c r="S36" s="11">
        <f t="shared" si="8"/>
        <v>37283.75</v>
      </c>
      <c r="T36" s="11">
        <f t="shared" si="8"/>
        <v>37283.75</v>
      </c>
      <c r="U36" s="11">
        <f t="shared" si="8"/>
        <v>37283.75</v>
      </c>
      <c r="V36" s="11">
        <f t="shared" si="8"/>
        <v>37283.75</v>
      </c>
      <c r="W36" s="14">
        <f t="shared" ref="W36" si="10">SUM(K36:V36)</f>
        <v>372837.5</v>
      </c>
    </row>
    <row r="37" spans="1:23" ht="27.6" x14ac:dyDescent="0.3">
      <c r="A37" s="17" t="s">
        <v>4</v>
      </c>
      <c r="B37" s="6" t="s">
        <v>54</v>
      </c>
      <c r="C37" s="6" t="s">
        <v>172</v>
      </c>
      <c r="D37" s="6" t="s">
        <v>78</v>
      </c>
      <c r="E37" s="6" t="s">
        <v>93</v>
      </c>
      <c r="F37" s="6" t="s">
        <v>127</v>
      </c>
      <c r="G37" s="7">
        <v>45017</v>
      </c>
      <c r="H37" s="7">
        <v>45017</v>
      </c>
      <c r="I37" s="7">
        <v>45078</v>
      </c>
      <c r="J37" s="8">
        <v>2123999.9999999995</v>
      </c>
      <c r="K37" s="25">
        <f>+VLOOKUP(B37,'[1]Project Code - Savings Workings'!$B$4:$O$67,2,0)</f>
        <v>0</v>
      </c>
      <c r="L37" s="11">
        <f>+VLOOKUP(B37,'[1]Project Code - Savings Workings'!$B$3:$D$67,3,0)</f>
        <v>0</v>
      </c>
      <c r="M37" s="11">
        <f t="shared" si="8"/>
        <v>176999.99999999997</v>
      </c>
      <c r="N37" s="11">
        <f t="shared" si="8"/>
        <v>176999.99999999997</v>
      </c>
      <c r="O37" s="11">
        <f t="shared" si="8"/>
        <v>176999.99999999997</v>
      </c>
      <c r="P37" s="11">
        <f t="shared" si="8"/>
        <v>176999.99999999997</v>
      </c>
      <c r="Q37" s="11">
        <f t="shared" si="8"/>
        <v>176999.99999999997</v>
      </c>
      <c r="R37" s="11">
        <f t="shared" si="8"/>
        <v>176999.99999999997</v>
      </c>
      <c r="S37" s="11">
        <f t="shared" si="8"/>
        <v>176999.99999999997</v>
      </c>
      <c r="T37" s="11">
        <f t="shared" si="8"/>
        <v>176999.99999999997</v>
      </c>
      <c r="U37" s="11">
        <f t="shared" si="8"/>
        <v>176999.99999999997</v>
      </c>
      <c r="V37" s="11">
        <f t="shared" si="8"/>
        <v>176999.99999999997</v>
      </c>
      <c r="W37" s="14">
        <f t="shared" si="7"/>
        <v>1769999.9999999998</v>
      </c>
    </row>
    <row r="38" spans="1:23" ht="27.6" x14ac:dyDescent="0.3">
      <c r="A38" s="17" t="s">
        <v>4</v>
      </c>
      <c r="B38" s="6" t="s">
        <v>55</v>
      </c>
      <c r="C38" s="6" t="s">
        <v>173</v>
      </c>
      <c r="D38" s="6" t="s">
        <v>79</v>
      </c>
      <c r="E38" s="6" t="s">
        <v>93</v>
      </c>
      <c r="F38" s="6" t="s">
        <v>25</v>
      </c>
      <c r="G38" s="7">
        <v>45017</v>
      </c>
      <c r="H38" s="7">
        <v>45017</v>
      </c>
      <c r="I38" s="7">
        <v>45139</v>
      </c>
      <c r="J38" s="8">
        <v>1452000</v>
      </c>
      <c r="K38" s="25">
        <f>+VLOOKUP(B38,'[1]Project Code - Savings Workings'!$B$4:$O$67,2,0)</f>
        <v>0</v>
      </c>
      <c r="L38" s="11">
        <f>+VLOOKUP(B38,'[1]Project Code - Savings Workings'!$B$3:$D$67,3,0)</f>
        <v>0</v>
      </c>
      <c r="M38" s="11">
        <f t="shared" si="8"/>
        <v>0</v>
      </c>
      <c r="N38" s="11">
        <f t="shared" si="8"/>
        <v>0</v>
      </c>
      <c r="O38" s="11">
        <f t="shared" si="8"/>
        <v>121000</v>
      </c>
      <c r="P38" s="11">
        <f t="shared" si="8"/>
        <v>121000</v>
      </c>
      <c r="Q38" s="11">
        <f t="shared" si="8"/>
        <v>121000</v>
      </c>
      <c r="R38" s="11">
        <f t="shared" si="8"/>
        <v>121000</v>
      </c>
      <c r="S38" s="11">
        <f t="shared" si="8"/>
        <v>121000</v>
      </c>
      <c r="T38" s="11">
        <f t="shared" si="8"/>
        <v>121000</v>
      </c>
      <c r="U38" s="11">
        <f t="shared" si="8"/>
        <v>121000</v>
      </c>
      <c r="V38" s="11">
        <f t="shared" si="8"/>
        <v>121000</v>
      </c>
      <c r="W38" s="14">
        <f t="shared" si="7"/>
        <v>968000</v>
      </c>
    </row>
    <row r="39" spans="1:23" ht="27.6" x14ac:dyDescent="0.3">
      <c r="A39" s="17" t="s">
        <v>4</v>
      </c>
      <c r="B39" s="6" t="s">
        <v>56</v>
      </c>
      <c r="C39" s="6">
        <v>5001731</v>
      </c>
      <c r="D39" s="6" t="s">
        <v>37</v>
      </c>
      <c r="E39" s="6" t="s">
        <v>93</v>
      </c>
      <c r="F39" s="6" t="s">
        <v>25</v>
      </c>
      <c r="G39" s="7">
        <v>45017</v>
      </c>
      <c r="H39" s="7">
        <v>45017</v>
      </c>
      <c r="I39" s="7">
        <v>45108</v>
      </c>
      <c r="J39" s="8">
        <v>1500000</v>
      </c>
      <c r="K39" s="25">
        <f>+VLOOKUP(B39,'[1]Project Code - Savings Workings'!$B$4:$O$67,2,0)</f>
        <v>0</v>
      </c>
      <c r="L39" s="11">
        <f>+VLOOKUP(B39,'[1]Project Code - Savings Workings'!$B$3:$D$67,3,0)</f>
        <v>0</v>
      </c>
      <c r="M39" s="11">
        <f t="shared" si="8"/>
        <v>0</v>
      </c>
      <c r="N39" s="11">
        <f t="shared" si="8"/>
        <v>125000</v>
      </c>
      <c r="O39" s="11">
        <f t="shared" si="8"/>
        <v>125000</v>
      </c>
      <c r="P39" s="11">
        <f t="shared" si="8"/>
        <v>125000</v>
      </c>
      <c r="Q39" s="11">
        <f t="shared" si="8"/>
        <v>125000</v>
      </c>
      <c r="R39" s="11">
        <f t="shared" si="8"/>
        <v>125000</v>
      </c>
      <c r="S39" s="11">
        <f t="shared" si="8"/>
        <v>125000</v>
      </c>
      <c r="T39" s="11">
        <f t="shared" si="8"/>
        <v>125000</v>
      </c>
      <c r="U39" s="11">
        <f t="shared" si="8"/>
        <v>125000</v>
      </c>
      <c r="V39" s="11">
        <f t="shared" si="8"/>
        <v>125000</v>
      </c>
      <c r="W39" s="14">
        <f t="shared" si="7"/>
        <v>1125000</v>
      </c>
    </row>
    <row r="40" spans="1:23" ht="27.6" x14ac:dyDescent="0.3">
      <c r="A40" s="17" t="s">
        <v>4</v>
      </c>
      <c r="B40" s="6" t="s">
        <v>57</v>
      </c>
      <c r="C40" s="6">
        <v>5001732</v>
      </c>
      <c r="D40" s="6" t="s">
        <v>38</v>
      </c>
      <c r="E40" s="6" t="s">
        <v>93</v>
      </c>
      <c r="F40" s="6" t="s">
        <v>25</v>
      </c>
      <c r="G40" s="7">
        <v>45017</v>
      </c>
      <c r="H40" s="7">
        <v>45017</v>
      </c>
      <c r="I40" s="7">
        <v>45108</v>
      </c>
      <c r="J40" s="8">
        <v>2270000</v>
      </c>
      <c r="K40" s="25">
        <f>+VLOOKUP(B40,'[1]Project Code - Savings Workings'!$B$4:$O$67,2,0)</f>
        <v>0</v>
      </c>
      <c r="L40" s="11">
        <f>+VLOOKUP(B40,'[1]Project Code - Savings Workings'!$B$3:$D$67,3,0)</f>
        <v>0</v>
      </c>
      <c r="M40" s="11">
        <f t="shared" si="8"/>
        <v>0</v>
      </c>
      <c r="N40" s="11">
        <f t="shared" si="8"/>
        <v>189166.66666666666</v>
      </c>
      <c r="O40" s="11">
        <f t="shared" si="8"/>
        <v>189166.66666666666</v>
      </c>
      <c r="P40" s="11">
        <f t="shared" si="8"/>
        <v>189166.66666666666</v>
      </c>
      <c r="Q40" s="11">
        <f t="shared" si="8"/>
        <v>189166.66666666666</v>
      </c>
      <c r="R40" s="11">
        <f t="shared" si="8"/>
        <v>189166.66666666666</v>
      </c>
      <c r="S40" s="11">
        <f t="shared" si="8"/>
        <v>189166.66666666666</v>
      </c>
      <c r="T40" s="11">
        <f t="shared" si="8"/>
        <v>189166.66666666666</v>
      </c>
      <c r="U40" s="11">
        <f t="shared" si="8"/>
        <v>189166.66666666666</v>
      </c>
      <c r="V40" s="11">
        <f t="shared" si="8"/>
        <v>189166.66666666666</v>
      </c>
      <c r="W40" s="14">
        <f t="shared" si="7"/>
        <v>1702500.0000000002</v>
      </c>
    </row>
    <row r="41" spans="1:23" ht="27.6" x14ac:dyDescent="0.3">
      <c r="A41" s="17" t="s">
        <v>4</v>
      </c>
      <c r="B41" s="6" t="s">
        <v>58</v>
      </c>
      <c r="C41" s="6">
        <v>5006068</v>
      </c>
      <c r="D41" s="6" t="s">
        <v>39</v>
      </c>
      <c r="E41" s="6" t="s">
        <v>93</v>
      </c>
      <c r="F41" s="6" t="s">
        <v>151</v>
      </c>
      <c r="G41" s="7">
        <v>45017</v>
      </c>
      <c r="H41" s="7">
        <v>45017</v>
      </c>
      <c r="I41" s="7">
        <v>45200</v>
      </c>
      <c r="J41" s="8">
        <v>0</v>
      </c>
      <c r="K41" s="25">
        <f>+VLOOKUP(B41,'[1]Project Code - Savings Workings'!$B$4:$O$67,2,0)</f>
        <v>0</v>
      </c>
      <c r="L41" s="11">
        <f>+VLOOKUP(B41,'[1]Project Code - Savings Workings'!$B$3:$D$67,3,0)</f>
        <v>0</v>
      </c>
      <c r="M41" s="11">
        <f t="shared" si="8"/>
        <v>0</v>
      </c>
      <c r="N41" s="11">
        <f t="shared" si="8"/>
        <v>0</v>
      </c>
      <c r="O41" s="11">
        <f t="shared" si="8"/>
        <v>0</v>
      </c>
      <c r="P41" s="11">
        <f t="shared" si="8"/>
        <v>0</v>
      </c>
      <c r="Q41" s="11">
        <f t="shared" si="8"/>
        <v>0</v>
      </c>
      <c r="R41" s="11">
        <f t="shared" si="8"/>
        <v>0</v>
      </c>
      <c r="S41" s="11">
        <f t="shared" si="8"/>
        <v>0</v>
      </c>
      <c r="T41" s="11">
        <f t="shared" si="8"/>
        <v>0</v>
      </c>
      <c r="U41" s="11">
        <f t="shared" si="8"/>
        <v>0</v>
      </c>
      <c r="V41" s="11">
        <f t="shared" si="8"/>
        <v>0</v>
      </c>
      <c r="W41" s="14">
        <f t="shared" si="7"/>
        <v>0</v>
      </c>
    </row>
    <row r="42" spans="1:23" x14ac:dyDescent="0.3">
      <c r="A42" s="17" t="s">
        <v>4</v>
      </c>
      <c r="B42" s="6" t="s">
        <v>59</v>
      </c>
      <c r="C42" s="6"/>
      <c r="D42" s="6" t="s">
        <v>72</v>
      </c>
      <c r="E42" s="6" t="s">
        <v>93</v>
      </c>
      <c r="F42" s="6" t="s">
        <v>25</v>
      </c>
      <c r="G42" s="7">
        <v>45017</v>
      </c>
      <c r="H42" s="7">
        <v>45017</v>
      </c>
      <c r="I42" s="7">
        <v>45200</v>
      </c>
      <c r="J42" s="8">
        <v>304640.00000000006</v>
      </c>
      <c r="K42" s="25">
        <f>+VLOOKUP(B42,'[1]Project Code - Savings Workings'!$B$4:$O$67,2,0)</f>
        <v>0</v>
      </c>
      <c r="L42" s="11">
        <f>+VLOOKUP(B42,'[1]Project Code - Savings Workings'!$B$3:$D$67,3,0)</f>
        <v>0</v>
      </c>
      <c r="M42" s="11">
        <f t="shared" ref="M42:V51" si="11">IFERROR(IF($J42/12*MIN((M$3-$I42),(M$3-M$2))/(M$3-M$2)&lt;0,0,$J42/12*MIN((M$3-$I42),(M$3-M$2))/(M$3-M$2)),0)</f>
        <v>0</v>
      </c>
      <c r="N42" s="11">
        <f t="shared" si="11"/>
        <v>0</v>
      </c>
      <c r="O42" s="11">
        <f t="shared" si="11"/>
        <v>0</v>
      </c>
      <c r="P42" s="11">
        <f t="shared" si="11"/>
        <v>0</v>
      </c>
      <c r="Q42" s="11">
        <f t="shared" si="11"/>
        <v>25386.666666666672</v>
      </c>
      <c r="R42" s="11">
        <f t="shared" si="11"/>
        <v>25386.666666666672</v>
      </c>
      <c r="S42" s="11">
        <f t="shared" si="11"/>
        <v>25386.666666666672</v>
      </c>
      <c r="T42" s="11">
        <f t="shared" si="11"/>
        <v>25386.666666666672</v>
      </c>
      <c r="U42" s="11">
        <f t="shared" si="11"/>
        <v>25386.666666666668</v>
      </c>
      <c r="V42" s="11">
        <f t="shared" si="11"/>
        <v>25386.666666666672</v>
      </c>
      <c r="W42" s="14">
        <f t="shared" si="7"/>
        <v>152320.00000000003</v>
      </c>
    </row>
    <row r="43" spans="1:23" x14ac:dyDescent="0.3">
      <c r="A43" s="17" t="s">
        <v>4</v>
      </c>
      <c r="B43" s="6" t="s">
        <v>60</v>
      </c>
      <c r="C43" s="6"/>
      <c r="D43" s="6" t="s">
        <v>73</v>
      </c>
      <c r="E43" s="6" t="s">
        <v>93</v>
      </c>
      <c r="F43" s="6" t="s">
        <v>25</v>
      </c>
      <c r="G43" s="7">
        <v>45017</v>
      </c>
      <c r="H43" s="7">
        <v>45017</v>
      </c>
      <c r="I43" s="7">
        <v>45200</v>
      </c>
      <c r="J43" s="8">
        <v>235200</v>
      </c>
      <c r="K43" s="25">
        <f>+VLOOKUP(B43,'[1]Project Code - Savings Workings'!$B$4:$O$67,2,0)</f>
        <v>0</v>
      </c>
      <c r="L43" s="11">
        <f>+VLOOKUP(B43,'[1]Project Code - Savings Workings'!$B$3:$D$67,3,0)</f>
        <v>0</v>
      </c>
      <c r="M43" s="11">
        <f t="shared" si="11"/>
        <v>0</v>
      </c>
      <c r="N43" s="11">
        <f t="shared" si="11"/>
        <v>0</v>
      </c>
      <c r="O43" s="11">
        <f t="shared" si="11"/>
        <v>0</v>
      </c>
      <c r="P43" s="11">
        <f t="shared" si="11"/>
        <v>0</v>
      </c>
      <c r="Q43" s="11">
        <f t="shared" si="11"/>
        <v>19600</v>
      </c>
      <c r="R43" s="11">
        <f t="shared" si="11"/>
        <v>19600</v>
      </c>
      <c r="S43" s="11">
        <f t="shared" si="11"/>
        <v>19600</v>
      </c>
      <c r="T43" s="11">
        <f t="shared" si="11"/>
        <v>19600</v>
      </c>
      <c r="U43" s="11">
        <f t="shared" si="11"/>
        <v>19600</v>
      </c>
      <c r="V43" s="11">
        <f t="shared" si="11"/>
        <v>19600</v>
      </c>
      <c r="W43" s="14">
        <f t="shared" si="7"/>
        <v>117600</v>
      </c>
    </row>
    <row r="44" spans="1:23" x14ac:dyDescent="0.3">
      <c r="A44" s="17" t="s">
        <v>4</v>
      </c>
      <c r="B44" s="6" t="s">
        <v>61</v>
      </c>
      <c r="C44" s="6"/>
      <c r="D44" s="6" t="s">
        <v>74</v>
      </c>
      <c r="E44" s="6" t="s">
        <v>93</v>
      </c>
      <c r="F44" s="6" t="s">
        <v>25</v>
      </c>
      <c r="G44" s="7">
        <v>45017</v>
      </c>
      <c r="H44" s="7">
        <v>45017</v>
      </c>
      <c r="I44" s="7">
        <v>45200</v>
      </c>
      <c r="J44" s="8">
        <v>385840.00000000006</v>
      </c>
      <c r="K44" s="25">
        <f>+VLOOKUP(B44,'[1]Project Code - Savings Workings'!$B$4:$O$67,2,0)</f>
        <v>0</v>
      </c>
      <c r="L44" s="11">
        <f>+VLOOKUP(B44,'[1]Project Code - Savings Workings'!$B$3:$D$67,3,0)</f>
        <v>0</v>
      </c>
      <c r="M44" s="11">
        <f t="shared" si="11"/>
        <v>0</v>
      </c>
      <c r="N44" s="11">
        <f t="shared" si="11"/>
        <v>0</v>
      </c>
      <c r="O44" s="11">
        <f t="shared" si="11"/>
        <v>0</v>
      </c>
      <c r="P44" s="11">
        <f t="shared" si="11"/>
        <v>0</v>
      </c>
      <c r="Q44" s="11">
        <f t="shared" si="11"/>
        <v>32153.333333333339</v>
      </c>
      <c r="R44" s="11">
        <f t="shared" si="11"/>
        <v>32153.333333333339</v>
      </c>
      <c r="S44" s="11">
        <f t="shared" si="11"/>
        <v>32153.333333333339</v>
      </c>
      <c r="T44" s="11">
        <f t="shared" si="11"/>
        <v>32153.333333333339</v>
      </c>
      <c r="U44" s="11">
        <f t="shared" si="11"/>
        <v>32153.333333333339</v>
      </c>
      <c r="V44" s="11">
        <f t="shared" si="11"/>
        <v>32153.333333333339</v>
      </c>
      <c r="W44" s="14">
        <f t="shared" si="7"/>
        <v>192920.00000000003</v>
      </c>
    </row>
    <row r="45" spans="1:23" x14ac:dyDescent="0.3">
      <c r="A45" s="17" t="s">
        <v>4</v>
      </c>
      <c r="B45" s="6" t="s">
        <v>62</v>
      </c>
      <c r="C45" s="6"/>
      <c r="D45" s="6" t="s">
        <v>75</v>
      </c>
      <c r="E45" s="6" t="s">
        <v>93</v>
      </c>
      <c r="F45" s="6" t="s">
        <v>25</v>
      </c>
      <c r="G45" s="7">
        <v>45017</v>
      </c>
      <c r="H45" s="7">
        <v>45017</v>
      </c>
      <c r="I45" s="7">
        <v>45200</v>
      </c>
      <c r="J45" s="8">
        <v>850080</v>
      </c>
      <c r="K45" s="25">
        <f>+VLOOKUP(B45,'[1]Project Code - Savings Workings'!$B$4:$O$67,2,0)</f>
        <v>0</v>
      </c>
      <c r="L45" s="11">
        <f>+VLOOKUP(B45,'[1]Project Code - Savings Workings'!$B$3:$D$67,3,0)</f>
        <v>0</v>
      </c>
      <c r="M45" s="11">
        <f t="shared" si="11"/>
        <v>0</v>
      </c>
      <c r="N45" s="11">
        <f t="shared" si="11"/>
        <v>0</v>
      </c>
      <c r="O45" s="11">
        <f t="shared" si="11"/>
        <v>0</v>
      </c>
      <c r="P45" s="11">
        <f t="shared" si="11"/>
        <v>0</v>
      </c>
      <c r="Q45" s="11">
        <f t="shared" si="11"/>
        <v>70840</v>
      </c>
      <c r="R45" s="11">
        <f t="shared" si="11"/>
        <v>70840</v>
      </c>
      <c r="S45" s="11">
        <f t="shared" si="11"/>
        <v>70840</v>
      </c>
      <c r="T45" s="11">
        <f t="shared" si="11"/>
        <v>70840</v>
      </c>
      <c r="U45" s="11">
        <f t="shared" si="11"/>
        <v>70840</v>
      </c>
      <c r="V45" s="11">
        <f t="shared" si="11"/>
        <v>70840</v>
      </c>
      <c r="W45" s="14">
        <f t="shared" si="7"/>
        <v>425040</v>
      </c>
    </row>
    <row r="46" spans="1:23" x14ac:dyDescent="0.3">
      <c r="A46" s="17" t="s">
        <v>4</v>
      </c>
      <c r="B46" s="6" t="s">
        <v>63</v>
      </c>
      <c r="C46" s="6"/>
      <c r="D46" s="6" t="s">
        <v>76</v>
      </c>
      <c r="E46" s="6" t="s">
        <v>93</v>
      </c>
      <c r="F46" s="6" t="s">
        <v>25</v>
      </c>
      <c r="G46" s="7">
        <v>45017</v>
      </c>
      <c r="H46" s="7">
        <v>45017</v>
      </c>
      <c r="I46" s="7">
        <v>45200</v>
      </c>
      <c r="J46" s="8">
        <v>488880</v>
      </c>
      <c r="K46" s="25">
        <f>+VLOOKUP(B46,'[1]Project Code - Savings Workings'!$B$4:$O$67,2,0)</f>
        <v>0</v>
      </c>
      <c r="L46" s="11">
        <f>+VLOOKUP(B46,'[1]Project Code - Savings Workings'!$B$3:$D$67,3,0)</f>
        <v>0</v>
      </c>
      <c r="M46" s="11">
        <f t="shared" si="11"/>
        <v>0</v>
      </c>
      <c r="N46" s="11">
        <f t="shared" si="11"/>
        <v>0</v>
      </c>
      <c r="O46" s="11">
        <f t="shared" si="11"/>
        <v>0</v>
      </c>
      <c r="P46" s="11">
        <f t="shared" si="11"/>
        <v>0</v>
      </c>
      <c r="Q46" s="11">
        <f t="shared" si="11"/>
        <v>40740</v>
      </c>
      <c r="R46" s="11">
        <f t="shared" si="11"/>
        <v>40740</v>
      </c>
      <c r="S46" s="11">
        <f t="shared" si="11"/>
        <v>40740</v>
      </c>
      <c r="T46" s="11">
        <f t="shared" si="11"/>
        <v>40740</v>
      </c>
      <c r="U46" s="11">
        <f t="shared" si="11"/>
        <v>40740</v>
      </c>
      <c r="V46" s="11">
        <f t="shared" si="11"/>
        <v>40740</v>
      </c>
      <c r="W46" s="14">
        <f t="shared" si="7"/>
        <v>244440</v>
      </c>
    </row>
    <row r="47" spans="1:23" x14ac:dyDescent="0.3">
      <c r="A47" s="17" t="s">
        <v>4</v>
      </c>
      <c r="B47" s="6" t="s">
        <v>64</v>
      </c>
      <c r="C47" s="6"/>
      <c r="D47" s="6" t="s">
        <v>77</v>
      </c>
      <c r="E47" s="6" t="s">
        <v>93</v>
      </c>
      <c r="F47" s="6" t="s">
        <v>25</v>
      </c>
      <c r="G47" s="7">
        <v>45017</v>
      </c>
      <c r="H47" s="7">
        <v>45017</v>
      </c>
      <c r="I47" s="7">
        <v>45200</v>
      </c>
      <c r="J47" s="8">
        <v>27160</v>
      </c>
      <c r="K47" s="25">
        <f>+VLOOKUP(B47,'[1]Project Code - Savings Workings'!$B$4:$O$67,2,0)</f>
        <v>0</v>
      </c>
      <c r="L47" s="11">
        <f>+VLOOKUP(B47,'[1]Project Code - Savings Workings'!$B$3:$D$67,3,0)</f>
        <v>0</v>
      </c>
      <c r="M47" s="11">
        <f t="shared" si="11"/>
        <v>0</v>
      </c>
      <c r="N47" s="11">
        <f t="shared" si="11"/>
        <v>0</v>
      </c>
      <c r="O47" s="11">
        <f t="shared" si="11"/>
        <v>0</v>
      </c>
      <c r="P47" s="11">
        <f t="shared" si="11"/>
        <v>0</v>
      </c>
      <c r="Q47" s="11">
        <f t="shared" si="11"/>
        <v>2263.3333333333335</v>
      </c>
      <c r="R47" s="11">
        <f t="shared" si="11"/>
        <v>2263.3333333333335</v>
      </c>
      <c r="S47" s="11">
        <f t="shared" si="11"/>
        <v>2263.3333333333335</v>
      </c>
      <c r="T47" s="11">
        <f t="shared" si="11"/>
        <v>2263.3333333333335</v>
      </c>
      <c r="U47" s="11">
        <f t="shared" si="11"/>
        <v>2263.3333333333335</v>
      </c>
      <c r="V47" s="11">
        <f t="shared" si="11"/>
        <v>2263.3333333333335</v>
      </c>
      <c r="W47" s="14">
        <f t="shared" si="7"/>
        <v>13580.000000000002</v>
      </c>
    </row>
    <row r="48" spans="1:23" x14ac:dyDescent="0.3">
      <c r="A48" s="17" t="s">
        <v>4</v>
      </c>
      <c r="B48" s="6" t="s">
        <v>65</v>
      </c>
      <c r="C48" s="6"/>
      <c r="D48" s="6" t="s">
        <v>40</v>
      </c>
      <c r="E48" s="6" t="s">
        <v>93</v>
      </c>
      <c r="F48" s="6" t="s">
        <v>151</v>
      </c>
      <c r="G48" s="7">
        <v>45017</v>
      </c>
      <c r="H48" s="7">
        <v>45017</v>
      </c>
      <c r="I48" s="7">
        <v>45200</v>
      </c>
      <c r="J48" s="8">
        <v>0</v>
      </c>
      <c r="K48" s="25">
        <f>+VLOOKUP(B48,'[1]Project Code - Savings Workings'!$B$4:$O$67,2,0)</f>
        <v>0</v>
      </c>
      <c r="L48" s="11">
        <f>+VLOOKUP(B48,'[1]Project Code - Savings Workings'!$B$3:$D$67,3,0)</f>
        <v>0</v>
      </c>
      <c r="M48" s="11">
        <f t="shared" si="11"/>
        <v>0</v>
      </c>
      <c r="N48" s="11">
        <f t="shared" si="11"/>
        <v>0</v>
      </c>
      <c r="O48" s="11">
        <f t="shared" si="11"/>
        <v>0</v>
      </c>
      <c r="P48" s="11">
        <f t="shared" si="11"/>
        <v>0</v>
      </c>
      <c r="Q48" s="11">
        <f t="shared" si="11"/>
        <v>0</v>
      </c>
      <c r="R48" s="11">
        <f t="shared" si="11"/>
        <v>0</v>
      </c>
      <c r="S48" s="11">
        <f t="shared" si="11"/>
        <v>0</v>
      </c>
      <c r="T48" s="11">
        <f t="shared" si="11"/>
        <v>0</v>
      </c>
      <c r="U48" s="11">
        <f t="shared" si="11"/>
        <v>0</v>
      </c>
      <c r="V48" s="11">
        <f t="shared" si="11"/>
        <v>0</v>
      </c>
      <c r="W48" s="14">
        <f t="shared" si="7"/>
        <v>0</v>
      </c>
    </row>
    <row r="49" spans="1:24" x14ac:dyDescent="0.3">
      <c r="A49" s="17" t="s">
        <v>4</v>
      </c>
      <c r="B49" s="6" t="s">
        <v>66</v>
      </c>
      <c r="C49" s="6">
        <v>5004396</v>
      </c>
      <c r="D49" s="6" t="s">
        <v>69</v>
      </c>
      <c r="E49" s="6" t="s">
        <v>93</v>
      </c>
      <c r="F49" s="6" t="s">
        <v>127</v>
      </c>
      <c r="G49" s="7">
        <v>45017</v>
      </c>
      <c r="H49" s="7">
        <v>45017</v>
      </c>
      <c r="I49" s="7">
        <v>45047</v>
      </c>
      <c r="J49" s="8">
        <v>10085600</v>
      </c>
      <c r="K49" s="25">
        <f>+VLOOKUP(B49,'[1]Project Code - Savings Workings'!$B$4:$O$67,2,0)</f>
        <v>0</v>
      </c>
      <c r="L49" s="11">
        <f>+VLOOKUP(B49,'[1]Project Code - Savings Workings'!$B$3:$D$67,3,0)</f>
        <v>493476.70386000024</v>
      </c>
      <c r="M49" s="11">
        <f t="shared" si="11"/>
        <v>840466.66666666663</v>
      </c>
      <c r="N49" s="11">
        <f t="shared" si="11"/>
        <v>840466.66666666663</v>
      </c>
      <c r="O49" s="11">
        <f t="shared" si="11"/>
        <v>840466.66666666663</v>
      </c>
      <c r="P49" s="11">
        <f t="shared" si="11"/>
        <v>840466.66666666663</v>
      </c>
      <c r="Q49" s="11">
        <f t="shared" si="11"/>
        <v>840466.66666666663</v>
      </c>
      <c r="R49" s="11">
        <f t="shared" si="11"/>
        <v>840466.66666666663</v>
      </c>
      <c r="S49" s="11">
        <f t="shared" si="11"/>
        <v>840466.66666666663</v>
      </c>
      <c r="T49" s="11">
        <f t="shared" si="11"/>
        <v>840466.66666666663</v>
      </c>
      <c r="U49" s="11">
        <f t="shared" si="11"/>
        <v>840466.66666666663</v>
      </c>
      <c r="V49" s="11">
        <f t="shared" si="11"/>
        <v>840466.66666666663</v>
      </c>
      <c r="W49" s="14">
        <f t="shared" si="7"/>
        <v>8898143.3705266677</v>
      </c>
    </row>
    <row r="50" spans="1:24" x14ac:dyDescent="0.3">
      <c r="A50" s="17" t="s">
        <v>4</v>
      </c>
      <c r="B50" s="6" t="s">
        <v>67</v>
      </c>
      <c r="C50" s="6">
        <v>5000718</v>
      </c>
      <c r="D50" s="6" t="s">
        <v>70</v>
      </c>
      <c r="E50" s="6" t="s">
        <v>93</v>
      </c>
      <c r="F50" s="6" t="s">
        <v>127</v>
      </c>
      <c r="G50" s="7">
        <v>45017</v>
      </c>
      <c r="H50" s="7">
        <v>45017</v>
      </c>
      <c r="I50" s="7">
        <v>45047</v>
      </c>
      <c r="J50" s="8">
        <v>13639290.000000004</v>
      </c>
      <c r="K50" s="25">
        <f>+VLOOKUP(B50,'[1]Project Code - Savings Workings'!$B$4:$O$67,2,0)</f>
        <v>0</v>
      </c>
      <c r="L50" s="11">
        <f>+VLOOKUP(B50,'[1]Project Code - Savings Workings'!$B$3:$D$67,3,0)</f>
        <v>639545.72515049996</v>
      </c>
      <c r="M50" s="11">
        <f t="shared" si="11"/>
        <v>1136607.5000000002</v>
      </c>
      <c r="N50" s="11">
        <f t="shared" si="11"/>
        <v>1136607.5000000002</v>
      </c>
      <c r="O50" s="11">
        <f t="shared" si="11"/>
        <v>1136607.5000000002</v>
      </c>
      <c r="P50" s="11">
        <f t="shared" si="11"/>
        <v>1136607.5000000002</v>
      </c>
      <c r="Q50" s="11">
        <f t="shared" si="11"/>
        <v>1136607.5000000002</v>
      </c>
      <c r="R50" s="11">
        <f t="shared" si="11"/>
        <v>1136607.5000000002</v>
      </c>
      <c r="S50" s="11">
        <f t="shared" si="11"/>
        <v>1136607.5000000002</v>
      </c>
      <c r="T50" s="11">
        <f t="shared" si="11"/>
        <v>1136607.5000000002</v>
      </c>
      <c r="U50" s="11">
        <f t="shared" si="11"/>
        <v>1136607.5000000002</v>
      </c>
      <c r="V50" s="11">
        <f t="shared" si="11"/>
        <v>1136607.5000000002</v>
      </c>
      <c r="W50" s="14">
        <f t="shared" si="7"/>
        <v>12005620.725150501</v>
      </c>
    </row>
    <row r="51" spans="1:24" x14ac:dyDescent="0.3">
      <c r="A51" s="17" t="s">
        <v>4</v>
      </c>
      <c r="B51" s="6" t="s">
        <v>68</v>
      </c>
      <c r="C51" s="6" t="s">
        <v>41</v>
      </c>
      <c r="D51" s="6" t="s">
        <v>71</v>
      </c>
      <c r="E51" s="6" t="s">
        <v>93</v>
      </c>
      <c r="F51" s="6" t="s">
        <v>127</v>
      </c>
      <c r="G51" s="7">
        <v>45017</v>
      </c>
      <c r="H51" s="7">
        <v>45017</v>
      </c>
      <c r="I51" s="7">
        <v>45017</v>
      </c>
      <c r="J51" s="8">
        <v>3825000</v>
      </c>
      <c r="K51" s="25">
        <f>+VLOOKUP(B51,'[1]Project Code - Savings Workings'!$B$4:$O$67,2,0)</f>
        <v>1933801.328062501</v>
      </c>
      <c r="L51" s="11">
        <f>+VLOOKUP(B51,'[1]Project Code - Savings Workings'!$B$3:$D$67,3,0)</f>
        <v>1098816.3300095005</v>
      </c>
      <c r="M51" s="11">
        <f t="shared" si="11"/>
        <v>318750</v>
      </c>
      <c r="N51" s="11">
        <f t="shared" si="11"/>
        <v>318750</v>
      </c>
      <c r="O51" s="11">
        <f t="shared" si="11"/>
        <v>318750</v>
      </c>
      <c r="P51" s="11">
        <f t="shared" si="11"/>
        <v>318750</v>
      </c>
      <c r="Q51" s="11">
        <f t="shared" si="11"/>
        <v>318750</v>
      </c>
      <c r="R51" s="11">
        <f t="shared" si="11"/>
        <v>318750</v>
      </c>
      <c r="S51" s="11">
        <f t="shared" si="11"/>
        <v>318750</v>
      </c>
      <c r="T51" s="11">
        <f t="shared" si="11"/>
        <v>318750</v>
      </c>
      <c r="U51" s="11">
        <f t="shared" si="11"/>
        <v>318750</v>
      </c>
      <c r="V51" s="11">
        <f t="shared" si="11"/>
        <v>318750</v>
      </c>
      <c r="W51" s="14">
        <f t="shared" si="7"/>
        <v>6220117.6580720013</v>
      </c>
    </row>
    <row r="52" spans="1:24" x14ac:dyDescent="0.3">
      <c r="A52" s="17" t="s">
        <v>4</v>
      </c>
      <c r="B52" s="6" t="s">
        <v>168</v>
      </c>
      <c r="C52" s="6" t="s">
        <v>179</v>
      </c>
      <c r="D52" s="6" t="s">
        <v>177</v>
      </c>
      <c r="E52" s="6" t="s">
        <v>93</v>
      </c>
      <c r="F52" s="6" t="s">
        <v>127</v>
      </c>
      <c r="G52" s="7">
        <v>45078</v>
      </c>
      <c r="H52" s="7">
        <v>45078</v>
      </c>
      <c r="I52" s="7">
        <v>45047</v>
      </c>
      <c r="J52" s="8">
        <f>1000000*(56-33.7)</f>
        <v>22299999.999999996</v>
      </c>
      <c r="K52" s="25">
        <f>+VLOOKUP(B52,'[1]Project Code - Savings Workings'!$B$4:$O$67,2,0)</f>
        <v>73402.509125000128</v>
      </c>
      <c r="L52" s="11">
        <f>+VLOOKUP(B52,'[1]Project Code - Savings Workings'!$B$3:$D$67,3,0)</f>
        <v>1508669.6594000002</v>
      </c>
      <c r="M52" s="11">
        <f>IFERROR(IF($J52/12*MIN((M$3-$I52),(M$3-M$2))/(M$3-M$2)&lt;0,0,$J52/12*MIN((M$3-$I52),(M$3-M$2))/(M$3-M$2)),0)</f>
        <v>1858333.333333333</v>
      </c>
      <c r="N52" s="11">
        <f>IFERROR(IF($J52/12*MIN((N$3-$I52),(N$3-N$2))/(N$3-N$2)&lt;0,0,$J52/12*MIN((N$3-$I52),(N$3-N$2))/(N$3-N$2)),0)</f>
        <v>1858333.333333333</v>
      </c>
      <c r="O52" s="11">
        <f>IFERROR(IF($J52/12*MIN((O$3-$I52),(O$3-O$2))/(O$3-O$2)&lt;0,0,$J52/12*MIN((O$3-$I52),(O$3-O$2))/(O$3-O$2)),0)</f>
        <v>1858333.333333333</v>
      </c>
      <c r="P52" s="11">
        <f>IFERROR(IF($J52/12*MIN((P$3-$I52),(P$3-P$2))/(P$3-P$2)&lt;0,0,$J52/12*MIN((P$3-$I52),(P$3-P$2))/(P$3-P$2)),0)</f>
        <v>1858333.333333333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4">
        <f t="shared" si="7"/>
        <v>9015405.5018583313</v>
      </c>
    </row>
    <row r="53" spans="1:24" x14ac:dyDescent="0.3">
      <c r="A53" s="17" t="s">
        <v>4</v>
      </c>
      <c r="B53" s="6" t="s">
        <v>169</v>
      </c>
      <c r="C53" s="6" t="s">
        <v>179</v>
      </c>
      <c r="D53" s="6" t="s">
        <v>176</v>
      </c>
      <c r="E53" s="6" t="s">
        <v>93</v>
      </c>
      <c r="F53" s="6" t="s">
        <v>127</v>
      </c>
      <c r="G53" s="7">
        <v>45078</v>
      </c>
      <c r="H53" s="7">
        <v>45078</v>
      </c>
      <c r="I53" s="7">
        <v>45017</v>
      </c>
      <c r="J53" s="8">
        <f>1000000*(57.4-38)</f>
        <v>19400000</v>
      </c>
      <c r="K53" s="25">
        <f>+VLOOKUP(B53,'[1]Project Code - Savings Workings'!$B$4:$O$67,2,0)</f>
        <v>1505151.1694750006</v>
      </c>
      <c r="L53" s="11">
        <f>+VLOOKUP(B53,'[1]Project Code - Savings Workings'!$B$3:$D$67,3,0)</f>
        <v>1039158.4232356132</v>
      </c>
      <c r="M53" s="11">
        <f t="shared" ref="M53:P53" si="12">IFERROR(IF($J53/12*MIN((M$3-$I53),(M$3-M$2))/(M$3-M$2)&lt;0,0,$J53/12*MIN((M$3-$I53),(M$3-M$2))/(M$3-M$2)),0)</f>
        <v>1616666.6666666667</v>
      </c>
      <c r="N53" s="11">
        <f t="shared" si="12"/>
        <v>1616666.6666666667</v>
      </c>
      <c r="O53" s="11">
        <f t="shared" si="12"/>
        <v>1616666.6666666667</v>
      </c>
      <c r="P53" s="11">
        <f t="shared" si="12"/>
        <v>1616666.6666666667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4">
        <f t="shared" si="7"/>
        <v>9010976.2593772803</v>
      </c>
    </row>
    <row r="54" spans="1:24" x14ac:dyDescent="0.3">
      <c r="A54" s="17" t="s">
        <v>4</v>
      </c>
      <c r="B54" s="6" t="s">
        <v>170</v>
      </c>
      <c r="C54" s="6"/>
      <c r="D54" s="6" t="s">
        <v>178</v>
      </c>
      <c r="E54" s="6" t="s">
        <v>93</v>
      </c>
      <c r="F54" s="6" t="s">
        <v>127</v>
      </c>
      <c r="G54" s="7">
        <v>45078</v>
      </c>
      <c r="H54" s="7">
        <v>45078</v>
      </c>
      <c r="I54" s="7">
        <v>45078</v>
      </c>
      <c r="J54" s="8">
        <v>22000000</v>
      </c>
      <c r="K54" s="25">
        <f>+VLOOKUP(B54,'[1]Project Code - Savings Workings'!$B$4:$O$67,2,0)</f>
        <v>0</v>
      </c>
      <c r="L54" s="11">
        <f>+VLOOKUP(B54,'[1]Project Code - Savings Workings'!$B$3:$D$67,3,0)</f>
        <v>0</v>
      </c>
      <c r="M54" s="11">
        <f>IFERROR(IF($J54/4*MIN((M$3-$I54),(M$3-M$2))/(M$3-M$2)&lt;0,0,$J54/4*MIN((M$3-$I54),(M$3-M$2))/(M$3-M$2)),0)</f>
        <v>5500000</v>
      </c>
      <c r="N54" s="11">
        <f t="shared" ref="N54:P54" si="13">IFERROR(IF($J54/4*MIN((N$3-$I54),(N$3-N$2))/(N$3-N$2)&lt;0,0,$J54/4*MIN((N$3-$I54),(N$3-N$2))/(N$3-N$2)),0)</f>
        <v>5500000</v>
      </c>
      <c r="O54" s="11">
        <f t="shared" si="13"/>
        <v>5500000</v>
      </c>
      <c r="P54" s="11">
        <f t="shared" si="13"/>
        <v>5500000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4">
        <f t="shared" si="7"/>
        <v>22000000</v>
      </c>
    </row>
    <row r="55" spans="1:24" x14ac:dyDescent="0.3">
      <c r="A55" s="28" t="s">
        <v>4</v>
      </c>
      <c r="B55" s="29" t="s">
        <v>174</v>
      </c>
      <c r="C55" s="6" t="s">
        <v>179</v>
      </c>
      <c r="D55" s="6" t="s">
        <v>175</v>
      </c>
      <c r="E55" s="6" t="s">
        <v>93</v>
      </c>
      <c r="F55" s="6" t="s">
        <v>127</v>
      </c>
      <c r="G55" s="7">
        <v>45078</v>
      </c>
      <c r="H55" s="7">
        <v>45078</v>
      </c>
      <c r="I55" s="7">
        <v>45078</v>
      </c>
      <c r="J55" s="8">
        <f>1600000*(48.78-30)</f>
        <v>30048000</v>
      </c>
      <c r="K55" s="25">
        <f>+VLOOKUP(B55,'[1]Project Code - Savings Workings'!$B$4:$O$67,2,0)</f>
        <v>0</v>
      </c>
      <c r="L55" s="11">
        <f>+VLOOKUP(B55,'[1]Project Code - Savings Workings'!$B$3:$D$67,3,0)</f>
        <v>0</v>
      </c>
      <c r="M55" s="11">
        <f t="shared" ref="M55:V63" si="14">IFERROR(IF($J55/12*MIN((M$3-$I55),(M$3-M$2))/(M$3-M$2)&lt;0,0,$J55/12*MIN((M$3-$I55),(M$3-M$2))/(M$3-M$2)),0)</f>
        <v>2504000</v>
      </c>
      <c r="N55" s="11">
        <f t="shared" si="14"/>
        <v>2504000</v>
      </c>
      <c r="O55" s="11">
        <f t="shared" si="14"/>
        <v>2504000</v>
      </c>
      <c r="P55" s="11">
        <f t="shared" si="14"/>
        <v>2504000</v>
      </c>
      <c r="Q55" s="11">
        <f t="shared" si="14"/>
        <v>2504000</v>
      </c>
      <c r="R55" s="11">
        <f t="shared" si="14"/>
        <v>2504000</v>
      </c>
      <c r="S55" s="11">
        <v>0</v>
      </c>
      <c r="T55" s="11">
        <v>0</v>
      </c>
      <c r="U55" s="11">
        <v>0</v>
      </c>
      <c r="V55" s="11">
        <v>0</v>
      </c>
      <c r="W55" s="14">
        <f t="shared" ref="W55" si="15">SUM(K55:V55)</f>
        <v>15024000</v>
      </c>
    </row>
    <row r="56" spans="1:24" hidden="1" x14ac:dyDescent="0.3">
      <c r="A56" s="17" t="s">
        <v>3</v>
      </c>
      <c r="B56" s="6" t="s">
        <v>161</v>
      </c>
      <c r="C56" s="6" t="s">
        <v>152</v>
      </c>
      <c r="D56" s="6" t="s">
        <v>150</v>
      </c>
      <c r="E56" s="6" t="s">
        <v>149</v>
      </c>
      <c r="F56" s="6" t="s">
        <v>25</v>
      </c>
      <c r="G56" s="7">
        <v>45078</v>
      </c>
      <c r="H56" s="7">
        <v>45078</v>
      </c>
      <c r="I56" s="7">
        <v>45200</v>
      </c>
      <c r="J56" s="8">
        <f>2.2*4764679</f>
        <v>10482293.800000001</v>
      </c>
      <c r="K56" s="25">
        <f>+VLOOKUP(B56,'[1]Project Code - Savings Workings'!$B$4:$O$67,2,0)</f>
        <v>0</v>
      </c>
      <c r="L56" s="11">
        <f>+VLOOKUP(B56,'[1]Project Code - Savings Workings'!$B$3:$D$67,3,0)</f>
        <v>0</v>
      </c>
      <c r="M56" s="11">
        <f t="shared" si="14"/>
        <v>0</v>
      </c>
      <c r="N56" s="11">
        <f t="shared" si="14"/>
        <v>0</v>
      </c>
      <c r="O56" s="11">
        <f t="shared" si="14"/>
        <v>0</v>
      </c>
      <c r="P56" s="11">
        <f t="shared" si="14"/>
        <v>0</v>
      </c>
      <c r="Q56" s="11">
        <f t="shared" si="14"/>
        <v>873524.48333333328</v>
      </c>
      <c r="R56" s="11">
        <f t="shared" si="14"/>
        <v>873524.4833333334</v>
      </c>
      <c r="S56" s="11">
        <f t="shared" si="14"/>
        <v>873524.48333333328</v>
      </c>
      <c r="T56" s="11">
        <f t="shared" si="14"/>
        <v>873524.48333333328</v>
      </c>
      <c r="U56" s="11">
        <f t="shared" si="14"/>
        <v>873524.4833333334</v>
      </c>
      <c r="V56" s="11">
        <f t="shared" si="14"/>
        <v>873524.48333333328</v>
      </c>
      <c r="W56" s="30">
        <f t="shared" ref="W56" si="16">SUM(K56:V56)</f>
        <v>5241146.9000000004</v>
      </c>
    </row>
    <row r="57" spans="1:24" hidden="1" x14ac:dyDescent="0.3">
      <c r="A57" s="17" t="s">
        <v>3</v>
      </c>
      <c r="B57" s="6" t="s">
        <v>162</v>
      </c>
      <c r="C57" s="6"/>
      <c r="D57" s="6" t="s">
        <v>165</v>
      </c>
      <c r="E57" s="6" t="s">
        <v>149</v>
      </c>
      <c r="F57" s="6" t="s">
        <v>25</v>
      </c>
      <c r="G57" s="7">
        <v>45078</v>
      </c>
      <c r="H57" s="7">
        <v>45078</v>
      </c>
      <c r="I57" s="7">
        <v>45108</v>
      </c>
      <c r="J57" s="24">
        <f>30000*33.12</f>
        <v>993599.99999999988</v>
      </c>
      <c r="K57" s="25">
        <f>+VLOOKUP(B57,'[1]Project Code - Savings Workings'!$B$4:$O$67,2,0)</f>
        <v>0</v>
      </c>
      <c r="L57" s="11">
        <f>+VLOOKUP(B57,'[1]Project Code - Savings Workings'!$B$3:$D$67,3,0)</f>
        <v>0</v>
      </c>
      <c r="M57" s="11">
        <f t="shared" si="14"/>
        <v>0</v>
      </c>
      <c r="N57" s="11">
        <f t="shared" si="14"/>
        <v>82799.999999999985</v>
      </c>
      <c r="O57" s="11">
        <f t="shared" si="14"/>
        <v>82799.999999999985</v>
      </c>
      <c r="P57" s="11">
        <f t="shared" si="14"/>
        <v>82799.999999999985</v>
      </c>
      <c r="Q57" s="11">
        <f t="shared" si="14"/>
        <v>82799.999999999985</v>
      </c>
      <c r="R57" s="11">
        <f t="shared" si="14"/>
        <v>82799.999999999985</v>
      </c>
      <c r="S57" s="11">
        <f t="shared" si="14"/>
        <v>82799.999999999985</v>
      </c>
      <c r="T57" s="11">
        <f t="shared" si="14"/>
        <v>82799.999999999985</v>
      </c>
      <c r="U57" s="11">
        <f t="shared" si="14"/>
        <v>82799.999999999985</v>
      </c>
      <c r="V57" s="11">
        <f t="shared" si="14"/>
        <v>82799.999999999985</v>
      </c>
      <c r="W57" s="30">
        <f t="shared" ref="W57:W58" si="17">SUM(K57:V57)</f>
        <v>745199.99999999988</v>
      </c>
    </row>
    <row r="58" spans="1:24" ht="27.6" hidden="1" x14ac:dyDescent="0.3">
      <c r="A58" s="17" t="s">
        <v>3</v>
      </c>
      <c r="B58" s="6" t="s">
        <v>163</v>
      </c>
      <c r="C58" s="6" t="s">
        <v>171</v>
      </c>
      <c r="D58" s="6" t="s">
        <v>166</v>
      </c>
      <c r="E58" s="6" t="s">
        <v>149</v>
      </c>
      <c r="F58" s="6" t="s">
        <v>127</v>
      </c>
      <c r="G58" s="7">
        <v>45078</v>
      </c>
      <c r="H58" s="7">
        <v>45078</v>
      </c>
      <c r="I58" s="7">
        <v>45017</v>
      </c>
      <c r="J58" s="8">
        <f>845000*2.4</f>
        <v>2028000</v>
      </c>
      <c r="K58" s="25">
        <f>+VLOOKUP(B58,'[1]Project Code - Savings Workings'!$B$4:$O$67,2,0)</f>
        <v>143165.3464000001</v>
      </c>
      <c r="L58" s="11">
        <f>+VLOOKUP(B58,'[1]Project Code - Savings Workings'!$B$3:$D$67,3,0)</f>
        <v>202351.40400000004</v>
      </c>
      <c r="M58" s="11">
        <f t="shared" si="14"/>
        <v>169000</v>
      </c>
      <c r="N58" s="11">
        <f t="shared" si="14"/>
        <v>169000</v>
      </c>
      <c r="O58" s="11">
        <f t="shared" si="14"/>
        <v>169000</v>
      </c>
      <c r="P58" s="11">
        <f t="shared" si="14"/>
        <v>169000</v>
      </c>
      <c r="Q58" s="11">
        <f t="shared" si="14"/>
        <v>169000</v>
      </c>
      <c r="R58" s="11">
        <f t="shared" si="14"/>
        <v>169000</v>
      </c>
      <c r="S58" s="11">
        <f t="shared" si="14"/>
        <v>169000</v>
      </c>
      <c r="T58" s="11">
        <f t="shared" si="14"/>
        <v>169000</v>
      </c>
      <c r="U58" s="11">
        <f t="shared" si="14"/>
        <v>169000</v>
      </c>
      <c r="V58" s="11">
        <f t="shared" si="14"/>
        <v>169000</v>
      </c>
      <c r="W58" s="30">
        <f t="shared" si="17"/>
        <v>2035516.7504000003</v>
      </c>
    </row>
    <row r="59" spans="1:24" hidden="1" x14ac:dyDescent="0.3">
      <c r="A59" s="17" t="s">
        <v>3</v>
      </c>
      <c r="B59" s="6" t="s">
        <v>164</v>
      </c>
      <c r="C59" s="6"/>
      <c r="D59" s="6" t="s">
        <v>167</v>
      </c>
      <c r="E59" s="6" t="s">
        <v>149</v>
      </c>
      <c r="F59" s="6" t="s">
        <v>25</v>
      </c>
      <c r="G59" s="7">
        <v>45078</v>
      </c>
      <c r="H59" s="7">
        <v>45078</v>
      </c>
      <c r="I59" s="7">
        <v>45261</v>
      </c>
      <c r="J59" s="8">
        <f>630000*8</f>
        <v>5040000</v>
      </c>
      <c r="K59" s="25">
        <f>+VLOOKUP(B59,'[1]Project Code - Savings Workings'!$B$4:$O$67,2,0)</f>
        <v>0</v>
      </c>
      <c r="L59" s="11">
        <f>+VLOOKUP(B59,'[1]Project Code - Savings Workings'!$B$3:$D$67,3,0)</f>
        <v>0</v>
      </c>
      <c r="M59" s="11">
        <f t="shared" si="14"/>
        <v>0</v>
      </c>
      <c r="N59" s="11">
        <f t="shared" si="14"/>
        <v>0</v>
      </c>
      <c r="O59" s="11">
        <f t="shared" si="14"/>
        <v>0</v>
      </c>
      <c r="P59" s="11">
        <f t="shared" si="14"/>
        <v>0</v>
      </c>
      <c r="Q59" s="11">
        <f t="shared" si="14"/>
        <v>0</v>
      </c>
      <c r="R59" s="11">
        <f t="shared" si="14"/>
        <v>0</v>
      </c>
      <c r="S59" s="11">
        <f t="shared" si="14"/>
        <v>420000</v>
      </c>
      <c r="T59" s="11">
        <f t="shared" si="14"/>
        <v>420000</v>
      </c>
      <c r="U59" s="11">
        <f t="shared" si="14"/>
        <v>420000</v>
      </c>
      <c r="V59" s="11">
        <f t="shared" si="14"/>
        <v>420000</v>
      </c>
      <c r="W59" s="30">
        <f t="shared" ref="W59" si="18">SUM(K59:V59)</f>
        <v>1680000</v>
      </c>
    </row>
    <row r="60" spans="1:24" hidden="1" x14ac:dyDescent="0.3">
      <c r="A60" s="17" t="s">
        <v>3</v>
      </c>
      <c r="B60" s="6" t="s">
        <v>182</v>
      </c>
      <c r="C60" s="6"/>
      <c r="D60" s="6" t="s">
        <v>183</v>
      </c>
      <c r="E60" s="6" t="s">
        <v>149</v>
      </c>
      <c r="F60" s="6" t="s">
        <v>127</v>
      </c>
      <c r="G60" s="7">
        <v>45078</v>
      </c>
      <c r="H60" s="7">
        <v>45078</v>
      </c>
      <c r="I60" s="7">
        <v>45017</v>
      </c>
      <c r="J60" s="8">
        <v>1496000</v>
      </c>
      <c r="K60" s="25">
        <f>+VLOOKUP(B60,'[1]Project Code - Savings Workings'!$B$4:$O$67,2,0)</f>
        <v>63623.33719999998</v>
      </c>
      <c r="L60" s="11">
        <f>+VLOOKUP(B60,'[1]Project Code - Savings Workings'!$B$3:$D$67,3,0)</f>
        <v>216884.77170000001</v>
      </c>
      <c r="M60" s="11">
        <f t="shared" si="14"/>
        <v>124666.66666666667</v>
      </c>
      <c r="N60" s="11">
        <f t="shared" si="14"/>
        <v>124666.66666666667</v>
      </c>
      <c r="O60" s="11">
        <f t="shared" si="14"/>
        <v>124666.66666666667</v>
      </c>
      <c r="P60" s="11">
        <f t="shared" si="14"/>
        <v>124666.66666666667</v>
      </c>
      <c r="Q60" s="11">
        <f t="shared" si="14"/>
        <v>124666.66666666667</v>
      </c>
      <c r="R60" s="11">
        <f t="shared" si="14"/>
        <v>124666.66666666667</v>
      </c>
      <c r="S60" s="11">
        <f t="shared" si="14"/>
        <v>124666.66666666667</v>
      </c>
      <c r="T60" s="11">
        <f t="shared" si="14"/>
        <v>124666.66666666667</v>
      </c>
      <c r="U60" s="11">
        <f t="shared" si="14"/>
        <v>124666.66666666667</v>
      </c>
      <c r="V60" s="11">
        <f t="shared" si="14"/>
        <v>124666.66666666667</v>
      </c>
      <c r="W60" s="30">
        <f t="shared" ref="W60" si="19">SUM(K60:V60)</f>
        <v>1527174.7755666669</v>
      </c>
    </row>
    <row r="61" spans="1:24" hidden="1" x14ac:dyDescent="0.3">
      <c r="A61" s="17" t="s">
        <v>3</v>
      </c>
      <c r="B61" s="6" t="s">
        <v>87</v>
      </c>
      <c r="C61" s="6"/>
      <c r="D61" s="6" t="s">
        <v>90</v>
      </c>
      <c r="E61" s="6" t="s">
        <v>94</v>
      </c>
      <c r="F61" s="6" t="s">
        <v>25</v>
      </c>
      <c r="G61" s="7">
        <v>45017</v>
      </c>
      <c r="H61" s="7">
        <v>45017</v>
      </c>
      <c r="I61" s="7">
        <v>45139</v>
      </c>
      <c r="J61" s="8">
        <v>12800000</v>
      </c>
      <c r="K61" s="25">
        <f>+VLOOKUP(B61,'[1]Project Code - Savings Workings'!$B$4:$O$67,2,0)</f>
        <v>0</v>
      </c>
      <c r="L61" s="11">
        <f>+VLOOKUP(B61,'[1]Project Code - Savings Workings'!$B$3:$D$67,3,0)</f>
        <v>0</v>
      </c>
      <c r="M61" s="11">
        <f t="shared" si="14"/>
        <v>0</v>
      </c>
      <c r="N61" s="11">
        <f t="shared" si="14"/>
        <v>0</v>
      </c>
      <c r="O61" s="11">
        <f t="shared" si="14"/>
        <v>1066666.6666666667</v>
      </c>
      <c r="P61" s="11">
        <f t="shared" si="14"/>
        <v>1066666.6666666667</v>
      </c>
      <c r="Q61" s="11">
        <f t="shared" si="14"/>
        <v>1066666.6666666667</v>
      </c>
      <c r="R61" s="11">
        <f t="shared" si="14"/>
        <v>1066666.6666666667</v>
      </c>
      <c r="S61" s="11">
        <f t="shared" si="14"/>
        <v>1066666.6666666667</v>
      </c>
      <c r="T61" s="11">
        <f t="shared" si="14"/>
        <v>1066666.6666666667</v>
      </c>
      <c r="U61" s="11">
        <f t="shared" si="14"/>
        <v>1066666.6666666667</v>
      </c>
      <c r="V61" s="11">
        <f t="shared" si="14"/>
        <v>1066666.6666666667</v>
      </c>
      <c r="W61" s="30">
        <f t="shared" ref="W61:W63" si="20">SUM(K61:V61)</f>
        <v>8533333.333333334</v>
      </c>
    </row>
    <row r="62" spans="1:24" hidden="1" x14ac:dyDescent="0.3">
      <c r="A62" s="17" t="s">
        <v>3</v>
      </c>
      <c r="B62" s="6" t="s">
        <v>88</v>
      </c>
      <c r="C62" s="6"/>
      <c r="D62" s="6" t="s">
        <v>91</v>
      </c>
      <c r="E62" s="6" t="s">
        <v>94</v>
      </c>
      <c r="F62" s="6" t="s">
        <v>25</v>
      </c>
      <c r="G62" s="7">
        <v>45017</v>
      </c>
      <c r="H62" s="7">
        <v>45017</v>
      </c>
      <c r="I62" s="7">
        <v>45200</v>
      </c>
      <c r="J62" s="8">
        <v>17000000</v>
      </c>
      <c r="K62" s="25">
        <f>+VLOOKUP(B62,'[1]Project Code - Savings Workings'!$B$4:$O$67,2,0)</f>
        <v>0</v>
      </c>
      <c r="L62" s="11">
        <f>+VLOOKUP(B62,'[1]Project Code - Savings Workings'!$B$3:$D$67,3,0)</f>
        <v>0</v>
      </c>
      <c r="M62" s="11">
        <f t="shared" si="14"/>
        <v>0</v>
      </c>
      <c r="N62" s="11">
        <f t="shared" si="14"/>
        <v>0</v>
      </c>
      <c r="O62" s="11">
        <f t="shared" si="14"/>
        <v>0</v>
      </c>
      <c r="P62" s="11">
        <f t="shared" si="14"/>
        <v>0</v>
      </c>
      <c r="Q62" s="11">
        <f t="shared" si="14"/>
        <v>1416666.6666666667</v>
      </c>
      <c r="R62" s="11">
        <f t="shared" si="14"/>
        <v>1416666.6666666667</v>
      </c>
      <c r="S62" s="11">
        <f t="shared" si="14"/>
        <v>1416666.6666666667</v>
      </c>
      <c r="T62" s="11">
        <f t="shared" si="14"/>
        <v>1416666.6666666667</v>
      </c>
      <c r="U62" s="11">
        <f t="shared" si="14"/>
        <v>1416666.6666666667</v>
      </c>
      <c r="V62" s="11">
        <f t="shared" si="14"/>
        <v>1416666.6666666667</v>
      </c>
      <c r="W62" s="30">
        <f t="shared" si="20"/>
        <v>8500000</v>
      </c>
    </row>
    <row r="63" spans="1:24" ht="27.6" hidden="1" x14ac:dyDescent="0.3">
      <c r="A63" s="17" t="s">
        <v>3</v>
      </c>
      <c r="B63" s="6" t="s">
        <v>89</v>
      </c>
      <c r="C63" s="6">
        <v>4002873</v>
      </c>
      <c r="D63" s="6" t="s">
        <v>132</v>
      </c>
      <c r="E63" s="6" t="s">
        <v>94</v>
      </c>
      <c r="F63" s="6" t="s">
        <v>127</v>
      </c>
      <c r="G63" s="7">
        <v>45017</v>
      </c>
      <c r="H63" s="7">
        <v>45017</v>
      </c>
      <c r="I63" s="7">
        <v>45078</v>
      </c>
      <c r="J63" s="8">
        <v>4000000</v>
      </c>
      <c r="K63" s="25">
        <f>+VLOOKUP(B63,'[1]Project Code - Savings Workings'!$B$4:$O$67,2,0)</f>
        <v>0</v>
      </c>
      <c r="L63" s="11">
        <f>+VLOOKUP(B63,'[1]Project Code - Savings Workings'!$B$3:$D$67,3,0)</f>
        <v>0</v>
      </c>
      <c r="M63" s="11">
        <f t="shared" si="14"/>
        <v>333333.33333333331</v>
      </c>
      <c r="N63" s="11">
        <f t="shared" si="14"/>
        <v>333333.33333333331</v>
      </c>
      <c r="O63" s="11">
        <f t="shared" si="14"/>
        <v>333333.33333333331</v>
      </c>
      <c r="P63" s="11">
        <f t="shared" si="14"/>
        <v>333333.33333333331</v>
      </c>
      <c r="Q63" s="11">
        <f t="shared" si="14"/>
        <v>333333.33333333331</v>
      </c>
      <c r="R63" s="11">
        <f t="shared" si="14"/>
        <v>333333.33333333331</v>
      </c>
      <c r="S63" s="11">
        <f t="shared" si="14"/>
        <v>333333.33333333331</v>
      </c>
      <c r="T63" s="11">
        <f t="shared" si="14"/>
        <v>333333.33333333331</v>
      </c>
      <c r="U63" s="11">
        <f t="shared" si="14"/>
        <v>333333.33333333331</v>
      </c>
      <c r="V63" s="11">
        <f t="shared" si="14"/>
        <v>333333.33333333331</v>
      </c>
      <c r="W63" s="30">
        <f t="shared" si="20"/>
        <v>3333333.3333333335</v>
      </c>
      <c r="X63" t="s">
        <v>95</v>
      </c>
    </row>
    <row r="64" spans="1:24" x14ac:dyDescent="0.3">
      <c r="B64" s="12"/>
      <c r="C64" s="12"/>
      <c r="D64" s="12"/>
      <c r="E64" s="12"/>
      <c r="F64" s="12"/>
      <c r="G64" s="12"/>
      <c r="H64" s="17"/>
      <c r="I64" s="17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</row>
    <row r="65" spans="1:23" x14ac:dyDescent="0.3">
      <c r="B65" s="12"/>
      <c r="C65" s="12"/>
      <c r="D65" s="12"/>
      <c r="E65" s="12"/>
      <c r="F65" s="12"/>
      <c r="G65" s="12"/>
      <c r="H65" s="17"/>
      <c r="I65" s="17"/>
      <c r="J65" s="13">
        <f>SUBTOTAL(9,J4:J63)</f>
        <v>130935690</v>
      </c>
      <c r="K65" s="13">
        <f t="shared" ref="K65:W65" si="21">SUBTOTAL(9,K4:K63)</f>
        <v>3512355.006662502</v>
      </c>
      <c r="L65" s="13">
        <f t="shared" si="21"/>
        <v>4779666.8416556139</v>
      </c>
      <c r="M65" s="13">
        <f t="shared" si="21"/>
        <v>13951824.166666668</v>
      </c>
      <c r="N65" s="13">
        <f t="shared" si="21"/>
        <v>14265990.833333332</v>
      </c>
      <c r="O65" s="13">
        <f t="shared" si="21"/>
        <v>14386990.833333332</v>
      </c>
      <c r="P65" s="13">
        <f t="shared" si="21"/>
        <v>14386990.833333332</v>
      </c>
      <c r="Q65" s="13">
        <f t="shared" si="21"/>
        <v>5602974.166666667</v>
      </c>
      <c r="R65" s="13">
        <f t="shared" si="21"/>
        <v>5602974.166666667</v>
      </c>
      <c r="S65" s="13">
        <f t="shared" si="21"/>
        <v>3098974.166666667</v>
      </c>
      <c r="T65" s="13">
        <f t="shared" si="21"/>
        <v>3098974.166666667</v>
      </c>
      <c r="U65" s="13">
        <f t="shared" si="21"/>
        <v>3098974.166666667</v>
      </c>
      <c r="V65" s="13">
        <f t="shared" si="21"/>
        <v>3098974.166666667</v>
      </c>
      <c r="W65" s="13">
        <f t="shared" si="21"/>
        <v>88885663.514984787</v>
      </c>
    </row>
    <row r="68" spans="1:23" x14ac:dyDescent="0.3">
      <c r="A68" s="2" t="s">
        <v>133</v>
      </c>
    </row>
    <row r="69" spans="1:23" x14ac:dyDescent="0.3">
      <c r="A69" s="2" t="s">
        <v>134</v>
      </c>
      <c r="B69" s="9" t="s">
        <v>27</v>
      </c>
      <c r="C69" s="9" t="s">
        <v>19</v>
      </c>
      <c r="D69" s="9" t="s">
        <v>24</v>
      </c>
      <c r="E69" s="9" t="s">
        <v>138</v>
      </c>
      <c r="F69" s="26"/>
    </row>
    <row r="70" spans="1:23" x14ac:dyDescent="0.3">
      <c r="A70" s="4">
        <v>1</v>
      </c>
      <c r="B70" t="s">
        <v>139</v>
      </c>
      <c r="C70" t="s">
        <v>136</v>
      </c>
      <c r="D70" t="s">
        <v>137</v>
      </c>
      <c r="E70" t="s">
        <v>141</v>
      </c>
    </row>
    <row r="71" spans="1:23" x14ac:dyDescent="0.3">
      <c r="A71" s="4">
        <f>+A70+1</f>
        <v>2</v>
      </c>
      <c r="B71" t="s">
        <v>142</v>
      </c>
      <c r="C71" t="s">
        <v>140</v>
      </c>
      <c r="D71" s="27">
        <v>5000000</v>
      </c>
      <c r="E71" t="s">
        <v>153</v>
      </c>
    </row>
    <row r="72" spans="1:23" x14ac:dyDescent="0.3">
      <c r="A72" s="4">
        <f>+A71+1</f>
        <v>3</v>
      </c>
      <c r="B72" t="s">
        <v>155</v>
      </c>
      <c r="C72" t="s">
        <v>154</v>
      </c>
      <c r="D72" s="27"/>
      <c r="E72" t="s">
        <v>143</v>
      </c>
    </row>
    <row r="73" spans="1:23" x14ac:dyDescent="0.3">
      <c r="A73" s="4">
        <f t="shared" ref="A73:A75" si="22">+A72+1</f>
        <v>4</v>
      </c>
      <c r="B73" t="s">
        <v>159</v>
      </c>
      <c r="C73" t="s">
        <v>160</v>
      </c>
      <c r="E73" t="s">
        <v>145</v>
      </c>
    </row>
    <row r="74" spans="1:23" x14ac:dyDescent="0.3">
      <c r="A74" s="4">
        <f t="shared" si="22"/>
        <v>5</v>
      </c>
      <c r="B74" t="s">
        <v>156</v>
      </c>
      <c r="C74" t="s">
        <v>144</v>
      </c>
      <c r="E74" t="s">
        <v>146</v>
      </c>
    </row>
    <row r="75" spans="1:23" x14ac:dyDescent="0.3">
      <c r="A75" s="4">
        <f t="shared" si="22"/>
        <v>6</v>
      </c>
      <c r="B75" t="s">
        <v>156</v>
      </c>
      <c r="C75" t="s">
        <v>157</v>
      </c>
      <c r="E75" t="s">
        <v>158</v>
      </c>
    </row>
  </sheetData>
  <sheetProtection autoFilter="0"/>
  <autoFilter ref="A3:X63" xr:uid="{C3E21F37-45B7-444D-8C6A-B981DBCCBAE0}">
    <filterColumn colId="1">
      <filters>
        <filter val="TG-2324-PM01"/>
        <filter val="TG-2324-PM02"/>
        <filter val="TG-2324-PM03"/>
        <filter val="TG-2324-PM04"/>
        <filter val="TG-2324-PM05"/>
        <filter val="TG-2324-PM06"/>
        <filter val="TG-2324-PM07"/>
        <filter val="TG-2324-PM08"/>
        <filter val="TG-2324-PM09"/>
        <filter val="TG-2324-PM10"/>
        <filter val="TG-2324-PM11"/>
        <filter val="TG-2324-PM12"/>
        <filter val="TG-2324-PM13"/>
        <filter val="TG-2324-PM14"/>
        <filter val="TG-2324-PM15"/>
        <filter val="TG-2324-PM16"/>
        <filter val="TG-2324-PM17"/>
        <filter val="TG-2324-PM18"/>
        <filter val="TG-2324-PM19"/>
      </filters>
    </filterColumn>
  </autoFilter>
  <sortState xmlns:xlrd2="http://schemas.microsoft.com/office/spreadsheetml/2017/richdata2" ref="J65:W65">
    <sortCondition ref="J6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STATUS TRACKER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Pranav Narayanan S</dc:creator>
  <cp:keywords/>
  <dc:description/>
  <cp:lastModifiedBy>pranayraja@outlook.com</cp:lastModifiedBy>
  <cp:revision/>
  <dcterms:created xsi:type="dcterms:W3CDTF">2022-07-15T05:05:33Z</dcterms:created>
  <dcterms:modified xsi:type="dcterms:W3CDTF">2023-06-20T10:34:29Z</dcterms:modified>
  <cp:category/>
  <cp:contentStatus/>
</cp:coreProperties>
</file>